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5.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theme/themeOverride1.xml" ContentType="application/vnd.openxmlformats-officedocument.themeOverrid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theme/themeOverride2.xml" ContentType="application/vnd.openxmlformats-officedocument.themeOverrid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theme/themeOverride3.xml" ContentType="application/vnd.openxmlformats-officedocument.themeOverrid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theme/themeOverride4.xml" ContentType="application/vnd.openxmlformats-officedocument.themeOverrid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theme/themeOverride5.xml" ContentType="application/vnd.openxmlformats-officedocument.themeOverrid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theme/themeOverride6.xml" ContentType="application/vnd.openxmlformats-officedocument.themeOverrid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theme/themeOverride7.xml" ContentType="application/vnd.openxmlformats-officedocument.themeOverrid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theme/themeOverride8.xml" ContentType="application/vnd.openxmlformats-officedocument.themeOverrid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theme/themeOverride9.xml" ContentType="application/vnd.openxmlformats-officedocument.themeOverride+xml"/>
  <Override PartName="/xl/drawings/drawing6.xml" ContentType="application/vnd.openxmlformats-officedocument.drawing+xml"/>
  <Override PartName="/xl/drawings/drawing7.xml" ContentType="application/vnd.openxmlformats-officedocument.drawing+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Git_Repositories\DissertationBJT\Manuscripts\HydrothermalGoethite\data\"/>
    </mc:Choice>
  </mc:AlternateContent>
  <xr:revisionPtr revIDLastSave="0" documentId="13_ncr:1_{B6020826-0877-49E1-9C00-C087236E6532}" xr6:coauthVersionLast="47" xr6:coauthVersionMax="47" xr10:uidLastSave="{00000000-0000-0000-0000-000000000000}"/>
  <bookViews>
    <workbookView xWindow="612" yWindow="1236" windowWidth="21600" windowHeight="11004" tabRatio="601" firstSheet="6" activeTab="7" xr2:uid="{33AD0488-6D47-4A4F-A434-0713909A9BBC}"/>
  </bookViews>
  <sheets>
    <sheet name="DistilledBoundingMethod" sheetId="18" r:id="rId1"/>
    <sheet name="DistilledPermeationMethod" sheetId="19" r:id="rId2"/>
    <sheet name="Raw Data and Corrections" sheetId="1" r:id="rId3"/>
    <sheet name="diffusivitiesHTWin0601bM" sheetId="15" r:id="rId4"/>
    <sheet name="diffusivitiesHTWin0601bLB" sheetId="24" r:id="rId5"/>
    <sheet name="diffusivitiesHTWin0601bUB" sheetId="25" r:id="rId6"/>
    <sheet name="Perm Method 3He Diffusivities" sheetId="10" r:id="rId7"/>
    <sheet name="Fit Lambdas" sheetId="13" r:id="rId8"/>
    <sheet name="Totals" sheetId="9" r:id="rId9"/>
    <sheet name="STDs" sheetId="14" r:id="rId10"/>
    <sheet name="Cooling Rate" sheetId="20" r:id="rId11"/>
  </sheets>
  <definedNames>
    <definedName name="solver_adj" localSheetId="2" hidden="1">'Raw Data and Corrections'!#REF!</definedName>
    <definedName name="solver_cvg" localSheetId="2" hidden="1">0.0001</definedName>
    <definedName name="solver_drv" localSheetId="2" hidden="1">1</definedName>
    <definedName name="solver_eng" localSheetId="2" hidden="1">1</definedName>
    <definedName name="solver_est" localSheetId="2" hidden="1">1</definedName>
    <definedName name="solver_itr" localSheetId="2" hidden="1">2147483647</definedName>
    <definedName name="solver_mip" localSheetId="2" hidden="1">2147483647</definedName>
    <definedName name="solver_mni" localSheetId="2" hidden="1">30</definedName>
    <definedName name="solver_mrt" localSheetId="2" hidden="1">0.075</definedName>
    <definedName name="solver_msl" localSheetId="2" hidden="1">2</definedName>
    <definedName name="solver_neg" localSheetId="2" hidden="1">1</definedName>
    <definedName name="solver_nod" localSheetId="2" hidden="1">2147483647</definedName>
    <definedName name="solver_num" localSheetId="2" hidden="1">0</definedName>
    <definedName name="solver_nwt" localSheetId="2" hidden="1">1</definedName>
    <definedName name="solver_opt" localSheetId="2" hidden="1">'Raw Data and Corrections'!#REF!</definedName>
    <definedName name="solver_pre" localSheetId="2" hidden="1">0.000001</definedName>
    <definedName name="solver_rbv" localSheetId="2" hidden="1">1</definedName>
    <definedName name="solver_rlx" localSheetId="2" hidden="1">2</definedName>
    <definedName name="solver_rsd" localSheetId="2" hidden="1">0</definedName>
    <definedName name="solver_scl" localSheetId="2" hidden="1">1</definedName>
    <definedName name="solver_sho" localSheetId="2" hidden="1">2</definedName>
    <definedName name="solver_ssz" localSheetId="2" hidden="1">100</definedName>
    <definedName name="solver_tim" localSheetId="2" hidden="1">2147483647</definedName>
    <definedName name="solver_tol" localSheetId="2" hidden="1">0.01</definedName>
    <definedName name="solver_typ" localSheetId="2" hidden="1">2</definedName>
    <definedName name="solver_val" localSheetId="2" hidden="1">0</definedName>
    <definedName name="solver_ver" localSheetId="2" hidden="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1" i="13" l="1"/>
  <c r="I10" i="13"/>
  <c r="I9" i="13"/>
  <c r="I8" i="13"/>
  <c r="I7" i="13"/>
  <c r="I6" i="13"/>
  <c r="I5" i="13"/>
  <c r="I4" i="13"/>
  <c r="I3" i="13"/>
  <c r="I2" i="13"/>
  <c r="AA1" i="13"/>
  <c r="AA2" i="13"/>
  <c r="D35" i="18" l="1"/>
  <c r="D34" i="18"/>
  <c r="D33" i="18"/>
  <c r="D32" i="18"/>
  <c r="D31" i="18"/>
  <c r="D30" i="18"/>
  <c r="D29" i="18"/>
  <c r="D28" i="18"/>
  <c r="D27" i="18"/>
  <c r="D26" i="18"/>
  <c r="D25" i="18"/>
  <c r="D24" i="18"/>
  <c r="D23" i="18"/>
  <c r="D22" i="18"/>
  <c r="D21" i="18"/>
  <c r="D20" i="18"/>
  <c r="D19" i="18"/>
  <c r="D18" i="18"/>
  <c r="D17" i="18"/>
  <c r="D16" i="18"/>
  <c r="D15" i="18"/>
  <c r="D14" i="18"/>
  <c r="D13" i="18"/>
  <c r="D12" i="18"/>
  <c r="D11" i="18"/>
  <c r="D10" i="18"/>
  <c r="D9" i="18"/>
  <c r="D8" i="18"/>
  <c r="D7" i="18"/>
  <c r="D6" i="18"/>
  <c r="D5" i="18"/>
  <c r="D4" i="18"/>
  <c r="D3" i="18"/>
  <c r="D2" i="18"/>
  <c r="K5" i="18" a="1"/>
  <c r="K5" i="18" s="1"/>
  <c r="J5" i="18" a="1"/>
  <c r="J5" i="18" s="1"/>
  <c r="I5" i="18" a="1"/>
  <c r="I5" i="18" s="1"/>
  <c r="V35" i="18" a="1"/>
  <c r="V35" i="18" s="1"/>
  <c r="V34" i="18" a="1"/>
  <c r="V34" i="18" s="1"/>
  <c r="V33" i="18" a="1"/>
  <c r="V33" i="18" s="1"/>
  <c r="V32" i="18" a="1"/>
  <c r="V32" i="18" s="1"/>
  <c r="V31" i="18" a="1"/>
  <c r="V31" i="18" s="1"/>
  <c r="V30" i="18" a="1"/>
  <c r="V30" i="18" s="1"/>
  <c r="V29" i="18" a="1"/>
  <c r="V29" i="18" s="1"/>
  <c r="V28" i="18" a="1"/>
  <c r="V28" i="18" s="1"/>
  <c r="V27" i="18" a="1"/>
  <c r="V27" i="18" s="1"/>
  <c r="V26" i="18" a="1"/>
  <c r="V26" i="18" s="1"/>
  <c r="V25" i="18" a="1"/>
  <c r="V25" i="18" s="1"/>
  <c r="V24" i="18" a="1"/>
  <c r="V24" i="18" s="1"/>
  <c r="V23" i="18" a="1"/>
  <c r="V23" i="18" s="1"/>
  <c r="V22" i="18" a="1"/>
  <c r="V22" i="18" s="1"/>
  <c r="V21" i="18" a="1"/>
  <c r="V21" i="18" s="1"/>
  <c r="V20" i="18" a="1"/>
  <c r="V20" i="18" s="1"/>
  <c r="V19" i="18" a="1"/>
  <c r="V19" i="18" s="1"/>
  <c r="V18" i="18" a="1"/>
  <c r="V18" i="18" s="1"/>
  <c r="V17" i="18" a="1"/>
  <c r="V17" i="18" s="1"/>
  <c r="V16" i="18" a="1"/>
  <c r="V16" i="18" s="1"/>
  <c r="V15" i="18" a="1"/>
  <c r="V15" i="18" s="1"/>
  <c r="V14" i="18" a="1"/>
  <c r="V14" i="18" s="1"/>
  <c r="V13" i="18" a="1"/>
  <c r="V13" i="18" s="1"/>
  <c r="V12" i="18" a="1"/>
  <c r="V12" i="18" s="1"/>
  <c r="V11" i="18" a="1"/>
  <c r="V11" i="18" s="1"/>
  <c r="V10" i="18" a="1"/>
  <c r="V10" i="18" s="1"/>
  <c r="V9" i="18" a="1"/>
  <c r="V9" i="18" s="1"/>
  <c r="V8" i="18" a="1"/>
  <c r="V8" i="18" s="1"/>
  <c r="V7" i="18" a="1"/>
  <c r="V7" i="18" s="1"/>
  <c r="V6" i="18" a="1"/>
  <c r="V6" i="18" s="1"/>
  <c r="BR135" i="1"/>
  <c r="BR133" i="1"/>
  <c r="BR130" i="1"/>
  <c r="BR126" i="1"/>
  <c r="BR121" i="1"/>
  <c r="BR117" i="1"/>
  <c r="BR113" i="1"/>
  <c r="BR109" i="1"/>
  <c r="BR105" i="1"/>
  <c r="BR101" i="1"/>
  <c r="BR97" i="1"/>
  <c r="BR93" i="1"/>
  <c r="BR89" i="1"/>
  <c r="BR85" i="1"/>
  <c r="BR81" i="1"/>
  <c r="BR77" i="1"/>
  <c r="BR73" i="1"/>
  <c r="BR69" i="1"/>
  <c r="BR65" i="1"/>
  <c r="BR61" i="1"/>
  <c r="BR59" i="1"/>
  <c r="BR55" i="1"/>
  <c r="BR51" i="1"/>
  <c r="BR47" i="1"/>
  <c r="BR43" i="1"/>
  <c r="BR38" i="1"/>
  <c r="BR33" i="1"/>
  <c r="BR29" i="1"/>
  <c r="BR25" i="1"/>
  <c r="BR21" i="1"/>
  <c r="BR17" i="1"/>
  <c r="W5" i="18" s="1"/>
  <c r="BR13" i="1"/>
  <c r="W4" i="18" s="1"/>
  <c r="BR9" i="1"/>
  <c r="W3" i="18" s="1"/>
  <c r="BR5" i="1"/>
  <c r="W2" i="18"/>
  <c r="F80" i="25"/>
  <c r="O79" i="25"/>
  <c r="O78" i="25"/>
  <c r="O77" i="25"/>
  <c r="O76" i="25"/>
  <c r="O75" i="25"/>
  <c r="O74" i="25"/>
  <c r="O73" i="25"/>
  <c r="O72" i="25"/>
  <c r="O71" i="25"/>
  <c r="O70" i="25"/>
  <c r="O69" i="25"/>
  <c r="O68" i="25"/>
  <c r="O67" i="25"/>
  <c r="O66" i="25"/>
  <c r="O65" i="25"/>
  <c r="O64" i="25"/>
  <c r="O63" i="25"/>
  <c r="O62" i="25"/>
  <c r="O61" i="25"/>
  <c r="O60" i="25"/>
  <c r="O59" i="25"/>
  <c r="O58" i="25"/>
  <c r="O57" i="25"/>
  <c r="O56" i="25"/>
  <c r="O55" i="25"/>
  <c r="O54" i="25"/>
  <c r="O53" i="25"/>
  <c r="O52" i="25"/>
  <c r="O51" i="25"/>
  <c r="O50" i="25"/>
  <c r="O49" i="25"/>
  <c r="O48" i="25"/>
  <c r="O47" i="25"/>
  <c r="O46" i="25"/>
  <c r="F38" i="25"/>
  <c r="O37" i="25"/>
  <c r="F37" i="25"/>
  <c r="O36" i="25"/>
  <c r="F36" i="25"/>
  <c r="O35" i="25"/>
  <c r="F35" i="25"/>
  <c r="O34" i="25"/>
  <c r="F34" i="25"/>
  <c r="AA33" i="25"/>
  <c r="O33" i="25"/>
  <c r="F33" i="25"/>
  <c r="O32" i="25"/>
  <c r="F32" i="25"/>
  <c r="O31" i="25"/>
  <c r="F31" i="25"/>
  <c r="O30" i="25"/>
  <c r="F30" i="25"/>
  <c r="O29" i="25"/>
  <c r="F29" i="25"/>
  <c r="O28" i="25"/>
  <c r="F28" i="25"/>
  <c r="O27" i="25"/>
  <c r="F27" i="25"/>
  <c r="O26" i="25"/>
  <c r="F26" i="25"/>
  <c r="O25" i="25"/>
  <c r="F25" i="25"/>
  <c r="O24" i="25"/>
  <c r="F24" i="25"/>
  <c r="O23" i="25"/>
  <c r="F23" i="25"/>
  <c r="O22" i="25"/>
  <c r="F22" i="25"/>
  <c r="O21" i="25"/>
  <c r="F21" i="25"/>
  <c r="O20" i="25"/>
  <c r="F20" i="25"/>
  <c r="O19" i="25"/>
  <c r="F19" i="25"/>
  <c r="O18" i="25"/>
  <c r="F18" i="25"/>
  <c r="O17" i="25"/>
  <c r="F17" i="25"/>
  <c r="O16" i="25"/>
  <c r="F16" i="25"/>
  <c r="O15" i="25"/>
  <c r="F15" i="25"/>
  <c r="O14" i="25"/>
  <c r="F14" i="25"/>
  <c r="O13" i="25"/>
  <c r="F13" i="25"/>
  <c r="O12" i="25"/>
  <c r="F12" i="25"/>
  <c r="O11" i="25"/>
  <c r="F11" i="25"/>
  <c r="O10" i="25"/>
  <c r="F10" i="25"/>
  <c r="O9" i="25"/>
  <c r="F9" i="25"/>
  <c r="O8" i="25"/>
  <c r="F8" i="25"/>
  <c r="O7" i="25"/>
  <c r="F7" i="25"/>
  <c r="O6" i="25"/>
  <c r="F6" i="25"/>
  <c r="O5" i="25"/>
  <c r="F5" i="25"/>
  <c r="O4" i="25"/>
  <c r="F4" i="25"/>
  <c r="F80" i="24"/>
  <c r="O79" i="24"/>
  <c r="O78" i="24"/>
  <c r="O77" i="24"/>
  <c r="O76" i="24"/>
  <c r="O75" i="24"/>
  <c r="O74" i="24"/>
  <c r="O73" i="24"/>
  <c r="O72" i="24"/>
  <c r="O71" i="24"/>
  <c r="O70" i="24"/>
  <c r="O69" i="24"/>
  <c r="O68" i="24"/>
  <c r="O67" i="24"/>
  <c r="O66" i="24"/>
  <c r="O65" i="24"/>
  <c r="O64" i="24"/>
  <c r="O63" i="24"/>
  <c r="O62" i="24"/>
  <c r="O61" i="24"/>
  <c r="O60" i="24"/>
  <c r="O59" i="24"/>
  <c r="O58" i="24"/>
  <c r="O57" i="24"/>
  <c r="O56" i="24"/>
  <c r="O55" i="24"/>
  <c r="O54" i="24"/>
  <c r="O53" i="24"/>
  <c r="O52" i="24"/>
  <c r="O51" i="24"/>
  <c r="O50" i="24"/>
  <c r="O49" i="24"/>
  <c r="O48" i="24"/>
  <c r="O47" i="24"/>
  <c r="O46" i="24"/>
  <c r="F38" i="24"/>
  <c r="O37" i="24"/>
  <c r="F37" i="24"/>
  <c r="O36" i="24"/>
  <c r="F36" i="24"/>
  <c r="O35" i="24"/>
  <c r="F35" i="24"/>
  <c r="O34" i="24"/>
  <c r="F34" i="24"/>
  <c r="AA33" i="24"/>
  <c r="O33" i="24"/>
  <c r="F33" i="24"/>
  <c r="O32" i="24"/>
  <c r="F32" i="24"/>
  <c r="O31" i="24"/>
  <c r="F31" i="24"/>
  <c r="O30" i="24"/>
  <c r="F30" i="24"/>
  <c r="O29" i="24"/>
  <c r="F29" i="24"/>
  <c r="O28" i="24"/>
  <c r="F28" i="24"/>
  <c r="O27" i="24"/>
  <c r="F27" i="24"/>
  <c r="O26" i="24"/>
  <c r="F26" i="24"/>
  <c r="O25" i="24"/>
  <c r="F25" i="24"/>
  <c r="O24" i="24"/>
  <c r="F24" i="24"/>
  <c r="O23" i="24"/>
  <c r="F23" i="24"/>
  <c r="O22" i="24"/>
  <c r="F22" i="24"/>
  <c r="O21" i="24"/>
  <c r="F21" i="24"/>
  <c r="O20" i="24"/>
  <c r="F20" i="24"/>
  <c r="O19" i="24"/>
  <c r="F19" i="24"/>
  <c r="O18" i="24"/>
  <c r="F18" i="24"/>
  <c r="O17" i="24"/>
  <c r="F17" i="24"/>
  <c r="O16" i="24"/>
  <c r="F16" i="24"/>
  <c r="O15" i="24"/>
  <c r="F15" i="24"/>
  <c r="O14" i="24"/>
  <c r="F14" i="24"/>
  <c r="O13" i="24"/>
  <c r="F13" i="24"/>
  <c r="O12" i="24"/>
  <c r="F12" i="24"/>
  <c r="O11" i="24"/>
  <c r="F11" i="24"/>
  <c r="O10" i="24"/>
  <c r="F10" i="24"/>
  <c r="O9" i="24"/>
  <c r="F9" i="24"/>
  <c r="O8" i="24"/>
  <c r="F8" i="24"/>
  <c r="O7" i="24"/>
  <c r="F7" i="24"/>
  <c r="O6" i="24"/>
  <c r="F6" i="24"/>
  <c r="O5" i="24"/>
  <c r="F5" i="24"/>
  <c r="O4" i="24"/>
  <c r="F4" i="24"/>
  <c r="M35" i="18"/>
  <c r="M34" i="18"/>
  <c r="M33" i="18"/>
  <c r="M32" i="18"/>
  <c r="M31" i="18"/>
  <c r="M30" i="18"/>
  <c r="M29" i="18"/>
  <c r="M28" i="18"/>
  <c r="M27" i="18"/>
  <c r="M26" i="18"/>
  <c r="M25" i="18"/>
  <c r="M24" i="18"/>
  <c r="M23" i="18"/>
  <c r="M22" i="18"/>
  <c r="M21" i="18"/>
  <c r="M20" i="18"/>
  <c r="M19" i="18"/>
  <c r="M18" i="18"/>
  <c r="M17" i="18"/>
  <c r="M16" i="18"/>
  <c r="M15" i="18"/>
  <c r="M14" i="18"/>
  <c r="M13" i="18"/>
  <c r="M12" i="18"/>
  <c r="M11" i="18"/>
  <c r="M10" i="18"/>
  <c r="M9" i="18"/>
  <c r="M8" i="18"/>
  <c r="M7" i="18"/>
  <c r="M6" i="18"/>
  <c r="M5" i="18"/>
  <c r="M4" i="18"/>
  <c r="M3" i="18"/>
  <c r="M2" i="18"/>
  <c r="D4" i="24" l="1" a="1"/>
  <c r="D4" i="24" s="1"/>
  <c r="D4" i="25" a="1"/>
  <c r="D4" i="25" s="1"/>
  <c r="D4" i="15" a="1"/>
  <c r="D4" i="15" s="1"/>
  <c r="D46" i="15" a="1"/>
  <c r="D46" i="15" s="1"/>
  <c r="D46" i="24" a="1"/>
  <c r="D46" i="24" s="1"/>
  <c r="D46" i="25" a="1"/>
  <c r="D46" i="25" s="1"/>
  <c r="AJ6" i="1" l="1" a="1"/>
  <c r="AJ6" i="1" s="1"/>
  <c r="AJ7" i="1" a="1"/>
  <c r="AJ7" i="1" s="1"/>
  <c r="AJ8" i="1" a="1"/>
  <c r="AJ8" i="1" s="1"/>
  <c r="AJ9" i="1" a="1"/>
  <c r="AJ9" i="1" s="1"/>
  <c r="AJ10" i="1" a="1"/>
  <c r="AJ10" i="1" s="1"/>
  <c r="AJ11" i="1" a="1"/>
  <c r="AJ11" i="1" s="1"/>
  <c r="AJ12" i="1" a="1"/>
  <c r="AJ12" i="1" s="1"/>
  <c r="AJ13" i="1" a="1"/>
  <c r="AJ13" i="1" s="1"/>
  <c r="AJ14" i="1" a="1"/>
  <c r="AJ14" i="1" s="1"/>
  <c r="AJ15" i="1" a="1"/>
  <c r="AJ15" i="1" s="1"/>
  <c r="AJ16" i="1" a="1"/>
  <c r="AJ16" i="1" s="1"/>
  <c r="AJ17" i="1" a="1"/>
  <c r="AJ17" i="1" s="1"/>
  <c r="AJ18" i="1" a="1"/>
  <c r="AJ18" i="1" s="1"/>
  <c r="AJ19" i="1" a="1"/>
  <c r="AJ19" i="1" s="1"/>
  <c r="AJ20" i="1" a="1"/>
  <c r="AJ20" i="1" s="1"/>
  <c r="AJ21" i="1" a="1"/>
  <c r="AJ21" i="1" s="1"/>
  <c r="AJ22" i="1" a="1"/>
  <c r="AJ22" i="1" s="1"/>
  <c r="AJ23" i="1" a="1"/>
  <c r="AJ23" i="1" s="1"/>
  <c r="AJ24" i="1" a="1"/>
  <c r="AJ24" i="1" s="1"/>
  <c r="AJ25" i="1" a="1"/>
  <c r="AJ25" i="1" s="1"/>
  <c r="AJ26" i="1" a="1"/>
  <c r="AJ26" i="1" s="1"/>
  <c r="AJ27" i="1" a="1"/>
  <c r="AJ27" i="1" s="1"/>
  <c r="AJ28" i="1" a="1"/>
  <c r="AJ28" i="1" s="1"/>
  <c r="AJ29" i="1" a="1"/>
  <c r="AJ29" i="1" s="1"/>
  <c r="AJ30" i="1" a="1"/>
  <c r="AJ30" i="1" s="1"/>
  <c r="AJ31" i="1" a="1"/>
  <c r="AJ31" i="1" s="1"/>
  <c r="AJ32" i="1" a="1"/>
  <c r="AJ32" i="1" s="1"/>
  <c r="AJ33" i="1" a="1"/>
  <c r="AJ33" i="1" s="1"/>
  <c r="AJ34" i="1" a="1"/>
  <c r="AJ34" i="1" s="1"/>
  <c r="AJ35" i="1" a="1"/>
  <c r="AJ35" i="1" s="1"/>
  <c r="AJ36" i="1" a="1"/>
  <c r="AJ36" i="1" s="1"/>
  <c r="AJ37" i="1" a="1"/>
  <c r="AJ37" i="1" s="1"/>
  <c r="AJ38" i="1" a="1"/>
  <c r="AJ38" i="1" s="1"/>
  <c r="AJ39" i="1" a="1"/>
  <c r="AJ39" i="1" s="1"/>
  <c r="AJ40" i="1" a="1"/>
  <c r="AJ40" i="1" s="1"/>
  <c r="AJ41" i="1" a="1"/>
  <c r="AJ41" i="1" s="1"/>
  <c r="AJ42" i="1" a="1"/>
  <c r="AJ42" i="1" s="1"/>
  <c r="AJ43" i="1" a="1"/>
  <c r="AJ43" i="1" s="1"/>
  <c r="AJ44" i="1" a="1"/>
  <c r="AJ44" i="1" s="1"/>
  <c r="AJ45" i="1" a="1"/>
  <c r="AJ45" i="1" s="1"/>
  <c r="AJ46" i="1" a="1"/>
  <c r="AJ46" i="1" s="1"/>
  <c r="AJ47" i="1" a="1"/>
  <c r="AJ47" i="1" s="1"/>
  <c r="AJ48" i="1" a="1"/>
  <c r="AJ48" i="1" s="1"/>
  <c r="AJ49" i="1" a="1"/>
  <c r="AJ49" i="1" s="1"/>
  <c r="AJ50" i="1" a="1"/>
  <c r="AJ50" i="1" s="1"/>
  <c r="AJ51" i="1" a="1"/>
  <c r="AJ51" i="1" s="1"/>
  <c r="AJ52" i="1" a="1"/>
  <c r="AJ52" i="1" s="1"/>
  <c r="AJ53" i="1" a="1"/>
  <c r="AJ53" i="1" s="1"/>
  <c r="AJ54" i="1" a="1"/>
  <c r="AJ54" i="1" s="1"/>
  <c r="AJ55" i="1" a="1"/>
  <c r="AJ55" i="1" s="1"/>
  <c r="AJ56" i="1" a="1"/>
  <c r="AJ56" i="1" s="1"/>
  <c r="AJ57" i="1" a="1"/>
  <c r="AJ57" i="1" s="1"/>
  <c r="AJ58" i="1" a="1"/>
  <c r="AJ58" i="1" s="1"/>
  <c r="AJ59" i="1" a="1"/>
  <c r="AJ59" i="1" s="1"/>
  <c r="AJ60" i="1" a="1"/>
  <c r="AJ60" i="1" s="1"/>
  <c r="AJ61" i="1" a="1"/>
  <c r="AJ61" i="1" s="1"/>
  <c r="AJ62" i="1" a="1"/>
  <c r="AJ62" i="1" s="1"/>
  <c r="AJ63" i="1" a="1"/>
  <c r="AJ63" i="1" s="1"/>
  <c r="AJ64" i="1" a="1"/>
  <c r="AJ64" i="1" s="1"/>
  <c r="AJ65" i="1" a="1"/>
  <c r="AJ65" i="1" s="1"/>
  <c r="AJ66" i="1" a="1"/>
  <c r="AJ66" i="1" s="1"/>
  <c r="AJ67" i="1" a="1"/>
  <c r="AJ67" i="1" s="1"/>
  <c r="AJ68" i="1" a="1"/>
  <c r="AJ68" i="1" s="1"/>
  <c r="AJ69" i="1" a="1"/>
  <c r="AJ69" i="1" s="1"/>
  <c r="AJ70" i="1" a="1"/>
  <c r="AJ70" i="1" s="1"/>
  <c r="AJ71" i="1" a="1"/>
  <c r="AJ71" i="1" s="1"/>
  <c r="AJ72" i="1" a="1"/>
  <c r="AJ72" i="1" s="1"/>
  <c r="AJ73" i="1" a="1"/>
  <c r="AJ73" i="1" s="1"/>
  <c r="AJ74" i="1" a="1"/>
  <c r="AJ74" i="1" s="1"/>
  <c r="AJ75" i="1" a="1"/>
  <c r="AJ75" i="1" s="1"/>
  <c r="AJ76" i="1" a="1"/>
  <c r="AJ76" i="1" s="1"/>
  <c r="AJ77" i="1" a="1"/>
  <c r="AJ77" i="1" s="1"/>
  <c r="AJ78" i="1" a="1"/>
  <c r="AJ78" i="1" s="1"/>
  <c r="AJ79" i="1" a="1"/>
  <c r="AJ79" i="1" s="1"/>
  <c r="AJ80" i="1" a="1"/>
  <c r="AJ80" i="1" s="1"/>
  <c r="AJ81" i="1" a="1"/>
  <c r="AJ81" i="1" s="1"/>
  <c r="AJ82" i="1" a="1"/>
  <c r="AJ82" i="1" s="1"/>
  <c r="AJ83" i="1" a="1"/>
  <c r="AJ83" i="1" s="1"/>
  <c r="AJ84" i="1" a="1"/>
  <c r="AJ84" i="1" s="1"/>
  <c r="AJ85" i="1" a="1"/>
  <c r="AJ85" i="1" s="1"/>
  <c r="AJ86" i="1" a="1"/>
  <c r="AJ86" i="1" s="1"/>
  <c r="AJ87" i="1" a="1"/>
  <c r="AJ87" i="1" s="1"/>
  <c r="AJ88" i="1" a="1"/>
  <c r="AJ88" i="1" s="1"/>
  <c r="AJ89" i="1" a="1"/>
  <c r="AJ89" i="1" s="1"/>
  <c r="AJ90" i="1" a="1"/>
  <c r="AJ90" i="1" s="1"/>
  <c r="AJ91" i="1" a="1"/>
  <c r="AJ91" i="1" s="1"/>
  <c r="AJ92" i="1" a="1"/>
  <c r="AJ92" i="1" s="1"/>
  <c r="AJ93" i="1" a="1"/>
  <c r="AJ93" i="1" s="1"/>
  <c r="AJ94" i="1" a="1"/>
  <c r="AJ94" i="1" s="1"/>
  <c r="AJ95" i="1" a="1"/>
  <c r="AJ95" i="1" s="1"/>
  <c r="AJ96" i="1" a="1"/>
  <c r="AJ96" i="1" s="1"/>
  <c r="AJ97" i="1" a="1"/>
  <c r="AJ97" i="1" s="1"/>
  <c r="AJ98" i="1" a="1"/>
  <c r="AJ98" i="1" s="1"/>
  <c r="AJ99" i="1" a="1"/>
  <c r="AJ99" i="1" s="1"/>
  <c r="AJ100" i="1" a="1"/>
  <c r="AJ100" i="1" s="1"/>
  <c r="AJ101" i="1" a="1"/>
  <c r="AJ101" i="1" s="1"/>
  <c r="AJ102" i="1" a="1"/>
  <c r="AJ102" i="1" s="1"/>
  <c r="AJ103" i="1" a="1"/>
  <c r="AJ103" i="1" s="1"/>
  <c r="AJ104" i="1" a="1"/>
  <c r="AJ104" i="1" s="1"/>
  <c r="AJ105" i="1" a="1"/>
  <c r="AJ105" i="1" s="1"/>
  <c r="AJ106" i="1" a="1"/>
  <c r="AJ106" i="1" s="1"/>
  <c r="AJ107" i="1" a="1"/>
  <c r="AJ107" i="1" s="1"/>
  <c r="AJ108" i="1" a="1"/>
  <c r="AJ108" i="1" s="1"/>
  <c r="AJ109" i="1" a="1"/>
  <c r="AJ109" i="1" s="1"/>
  <c r="AJ110" i="1" a="1"/>
  <c r="AJ110" i="1" s="1"/>
  <c r="AJ111" i="1" a="1"/>
  <c r="AJ111" i="1" s="1"/>
  <c r="AJ112" i="1" a="1"/>
  <c r="AJ112" i="1" s="1"/>
  <c r="AJ113" i="1" a="1"/>
  <c r="AJ113" i="1" s="1"/>
  <c r="AJ114" i="1" a="1"/>
  <c r="AJ114" i="1" s="1"/>
  <c r="AJ115" i="1" a="1"/>
  <c r="AJ115" i="1" s="1"/>
  <c r="AJ116" i="1" a="1"/>
  <c r="AJ116" i="1" s="1"/>
  <c r="AJ117" i="1" a="1"/>
  <c r="AJ117" i="1" s="1"/>
  <c r="AJ118" i="1" a="1"/>
  <c r="AJ118" i="1" s="1"/>
  <c r="AJ119" i="1" a="1"/>
  <c r="AJ119" i="1" s="1"/>
  <c r="AJ120" i="1" a="1"/>
  <c r="AJ120" i="1" s="1"/>
  <c r="AJ121" i="1" a="1"/>
  <c r="AJ121" i="1" s="1"/>
  <c r="AJ122" i="1" a="1"/>
  <c r="AJ122" i="1" s="1"/>
  <c r="AJ123" i="1" a="1"/>
  <c r="AJ123" i="1" s="1"/>
  <c r="AJ124" i="1" a="1"/>
  <c r="AJ124" i="1" s="1"/>
  <c r="AJ125" i="1" a="1"/>
  <c r="AJ125" i="1" s="1"/>
  <c r="AJ126" i="1" a="1"/>
  <c r="AJ126" i="1" s="1"/>
  <c r="AJ127" i="1" a="1"/>
  <c r="AJ127" i="1" s="1"/>
  <c r="AJ128" i="1" a="1"/>
  <c r="AJ128" i="1" s="1"/>
  <c r="AJ129" i="1" a="1"/>
  <c r="AJ129" i="1" s="1"/>
  <c r="AJ130" i="1" a="1"/>
  <c r="AJ130" i="1" s="1"/>
  <c r="AJ131" i="1" a="1"/>
  <c r="AJ131" i="1" s="1"/>
  <c r="AJ132" i="1" a="1"/>
  <c r="AJ132" i="1" s="1"/>
  <c r="AJ133" i="1" a="1"/>
  <c r="AJ133" i="1" s="1"/>
  <c r="AJ134" i="1" a="1"/>
  <c r="AJ134" i="1" s="1"/>
  <c r="AJ135" i="1" a="1"/>
  <c r="AJ135" i="1" s="1"/>
  <c r="AJ136" i="1" a="1"/>
  <c r="AJ136" i="1" s="1"/>
  <c r="AJ137" i="1" a="1"/>
  <c r="AJ137" i="1" s="1"/>
  <c r="AJ5" i="1" a="1"/>
  <c r="AJ5" i="1" s="1"/>
  <c r="AH6" i="1" a="1"/>
  <c r="AH6" i="1" s="1"/>
  <c r="AH7" i="1" a="1"/>
  <c r="AH7" i="1" s="1"/>
  <c r="AH8" i="1" a="1"/>
  <c r="AH8" i="1" s="1"/>
  <c r="AH9" i="1" a="1"/>
  <c r="AH9" i="1" s="1"/>
  <c r="AH10" i="1" a="1"/>
  <c r="AH10" i="1" s="1"/>
  <c r="AH11" i="1" a="1"/>
  <c r="AH11" i="1" s="1"/>
  <c r="AH12" i="1" a="1"/>
  <c r="AH12" i="1" s="1"/>
  <c r="AH13" i="1" a="1"/>
  <c r="AH13" i="1" s="1"/>
  <c r="AH14" i="1" a="1"/>
  <c r="AH14" i="1" s="1"/>
  <c r="AH15" i="1" a="1"/>
  <c r="AH15" i="1" s="1"/>
  <c r="AH16" i="1" a="1"/>
  <c r="AH16" i="1" s="1"/>
  <c r="AH17" i="1" a="1"/>
  <c r="AH17" i="1" s="1"/>
  <c r="AH18" i="1" a="1"/>
  <c r="AH18" i="1" s="1"/>
  <c r="AH19" i="1" a="1"/>
  <c r="AH19" i="1" s="1"/>
  <c r="AH20" i="1" a="1"/>
  <c r="AH20" i="1" s="1"/>
  <c r="AH21" i="1" a="1"/>
  <c r="AH21" i="1" s="1"/>
  <c r="AH22" i="1" a="1"/>
  <c r="AH22" i="1" s="1"/>
  <c r="AH23" i="1" a="1"/>
  <c r="AH23" i="1" s="1"/>
  <c r="AH24" i="1" a="1"/>
  <c r="AH24" i="1" s="1"/>
  <c r="AH25" i="1" a="1"/>
  <c r="AH25" i="1" s="1"/>
  <c r="AH26" i="1" a="1"/>
  <c r="AH26" i="1" s="1"/>
  <c r="AH27" i="1" a="1"/>
  <c r="AH27" i="1" s="1"/>
  <c r="AH28" i="1" a="1"/>
  <c r="AH28" i="1" s="1"/>
  <c r="AH29" i="1" a="1"/>
  <c r="AH29" i="1" s="1"/>
  <c r="AH30" i="1" a="1"/>
  <c r="AH30" i="1" s="1"/>
  <c r="AH31" i="1" a="1"/>
  <c r="AH31" i="1" s="1"/>
  <c r="AH32" i="1" a="1"/>
  <c r="AH32" i="1" s="1"/>
  <c r="AH33" i="1" a="1"/>
  <c r="AH33" i="1" s="1"/>
  <c r="AH34" i="1" a="1"/>
  <c r="AH34" i="1" s="1"/>
  <c r="AH35" i="1" a="1"/>
  <c r="AH35" i="1" s="1"/>
  <c r="AH36" i="1" a="1"/>
  <c r="AH36" i="1" s="1"/>
  <c r="AH37" i="1" a="1"/>
  <c r="AH37" i="1" s="1"/>
  <c r="AH38" i="1" a="1"/>
  <c r="AH38" i="1" s="1"/>
  <c r="AH39" i="1" a="1"/>
  <c r="AH39" i="1" s="1"/>
  <c r="AH40" i="1" a="1"/>
  <c r="AH40" i="1" s="1"/>
  <c r="AH41" i="1" a="1"/>
  <c r="AH41" i="1"/>
  <c r="AH42" i="1" a="1"/>
  <c r="AH42" i="1" s="1"/>
  <c r="AH43" i="1" a="1"/>
  <c r="AH43" i="1" s="1"/>
  <c r="AH44" i="1" a="1"/>
  <c r="AH44" i="1" s="1"/>
  <c r="AH45" i="1" a="1"/>
  <c r="AH45" i="1" s="1"/>
  <c r="AH46" i="1" a="1"/>
  <c r="AH46" i="1" s="1"/>
  <c r="AH47" i="1" a="1"/>
  <c r="AH47" i="1" s="1"/>
  <c r="AH48" i="1" a="1"/>
  <c r="AH48" i="1" s="1"/>
  <c r="AH49" i="1" a="1"/>
  <c r="AH49" i="1" s="1"/>
  <c r="AH50" i="1" a="1"/>
  <c r="AH50" i="1" s="1"/>
  <c r="AH51" i="1" a="1"/>
  <c r="AH51" i="1" s="1"/>
  <c r="AH52" i="1" a="1"/>
  <c r="AH52" i="1" s="1"/>
  <c r="AH53" i="1" a="1"/>
  <c r="AH53" i="1" s="1"/>
  <c r="AH54" i="1" a="1"/>
  <c r="AH54" i="1" s="1"/>
  <c r="AH55" i="1" a="1"/>
  <c r="AH55" i="1" s="1"/>
  <c r="AH56" i="1" a="1"/>
  <c r="AH56" i="1" s="1"/>
  <c r="AH57" i="1" a="1"/>
  <c r="AH57" i="1" s="1"/>
  <c r="AH58" i="1" a="1"/>
  <c r="AH58" i="1" s="1"/>
  <c r="AH59" i="1" a="1"/>
  <c r="AH59" i="1" s="1"/>
  <c r="AH60" i="1" a="1"/>
  <c r="AH60" i="1" s="1"/>
  <c r="AH61" i="1" a="1"/>
  <c r="AH61" i="1" s="1"/>
  <c r="AH62" i="1" a="1"/>
  <c r="AH62" i="1" s="1"/>
  <c r="AH63" i="1" a="1"/>
  <c r="AH63" i="1" s="1"/>
  <c r="AH64" i="1" a="1"/>
  <c r="AH64" i="1" s="1"/>
  <c r="AH65" i="1" a="1"/>
  <c r="AH65" i="1" s="1"/>
  <c r="AH66" i="1" a="1"/>
  <c r="AH66" i="1" s="1"/>
  <c r="AH67" i="1" a="1"/>
  <c r="AH67" i="1" s="1"/>
  <c r="AH68" i="1" a="1"/>
  <c r="AH68" i="1" s="1"/>
  <c r="AH69" i="1" a="1"/>
  <c r="AH69" i="1" s="1"/>
  <c r="AH70" i="1" a="1"/>
  <c r="AH70" i="1" s="1"/>
  <c r="AH71" i="1" a="1"/>
  <c r="AH71" i="1" s="1"/>
  <c r="AH72" i="1" a="1"/>
  <c r="AH72" i="1" s="1"/>
  <c r="AH73" i="1" a="1"/>
  <c r="AH73" i="1" s="1"/>
  <c r="AH74" i="1" a="1"/>
  <c r="AH74" i="1" s="1"/>
  <c r="AH75" i="1" a="1"/>
  <c r="AH75" i="1" s="1"/>
  <c r="AH76" i="1" a="1"/>
  <c r="AH76" i="1" s="1"/>
  <c r="AH77" i="1" a="1"/>
  <c r="AH77" i="1" s="1"/>
  <c r="AH78" i="1" a="1"/>
  <c r="AH78" i="1" s="1"/>
  <c r="AH79" i="1" a="1"/>
  <c r="AH79" i="1" s="1"/>
  <c r="AH80" i="1" a="1"/>
  <c r="AH80" i="1" s="1"/>
  <c r="AH81" i="1" a="1"/>
  <c r="AH81" i="1" s="1"/>
  <c r="AH82" i="1" a="1"/>
  <c r="AH82" i="1" s="1"/>
  <c r="AH83" i="1" a="1"/>
  <c r="AH83" i="1" s="1"/>
  <c r="AH84" i="1" a="1"/>
  <c r="AH84" i="1" s="1"/>
  <c r="AH85" i="1" a="1"/>
  <c r="AH85" i="1" s="1"/>
  <c r="AH86" i="1" a="1"/>
  <c r="AH86" i="1" s="1"/>
  <c r="AH87" i="1" a="1"/>
  <c r="AH87" i="1" s="1"/>
  <c r="AH88" i="1" a="1"/>
  <c r="AH88" i="1" s="1"/>
  <c r="AH89" i="1" a="1"/>
  <c r="AH89" i="1" s="1"/>
  <c r="AH90" i="1" a="1"/>
  <c r="AH90" i="1" s="1"/>
  <c r="AH91" i="1" a="1"/>
  <c r="AH91" i="1" s="1"/>
  <c r="AH92" i="1" a="1"/>
  <c r="AH92" i="1" s="1"/>
  <c r="AH93" i="1" a="1"/>
  <c r="AH93" i="1" s="1"/>
  <c r="AH94" i="1" a="1"/>
  <c r="AH94" i="1" s="1"/>
  <c r="AH95" i="1" a="1"/>
  <c r="AH95" i="1" s="1"/>
  <c r="AH96" i="1" a="1"/>
  <c r="AH96" i="1" s="1"/>
  <c r="AH97" i="1" a="1"/>
  <c r="AH97" i="1" s="1"/>
  <c r="AH98" i="1" a="1"/>
  <c r="AH98" i="1" s="1"/>
  <c r="AH99" i="1" a="1"/>
  <c r="AH99" i="1" s="1"/>
  <c r="AH100" i="1" a="1"/>
  <c r="AH100" i="1" s="1"/>
  <c r="AH101" i="1" a="1"/>
  <c r="AH101" i="1" s="1"/>
  <c r="AH102" i="1" a="1"/>
  <c r="AH102" i="1" s="1"/>
  <c r="AH103" i="1" a="1"/>
  <c r="AH103" i="1" s="1"/>
  <c r="AH104" i="1" a="1"/>
  <c r="AH104" i="1" s="1"/>
  <c r="AH105" i="1" a="1"/>
  <c r="AH105" i="1" s="1"/>
  <c r="AH106" i="1" a="1"/>
  <c r="AH106" i="1" s="1"/>
  <c r="AH107" i="1" a="1"/>
  <c r="AH107" i="1" s="1"/>
  <c r="AH108" i="1" a="1"/>
  <c r="AH108" i="1" s="1"/>
  <c r="AH109" i="1" a="1"/>
  <c r="AH109" i="1" s="1"/>
  <c r="AH110" i="1" a="1"/>
  <c r="AH110" i="1" s="1"/>
  <c r="AH111" i="1" a="1"/>
  <c r="AH111" i="1" s="1"/>
  <c r="AH112" i="1" a="1"/>
  <c r="AH112" i="1" s="1"/>
  <c r="AH113" i="1" a="1"/>
  <c r="AH113" i="1" s="1"/>
  <c r="AH114" i="1" a="1"/>
  <c r="AH114" i="1" s="1"/>
  <c r="AH115" i="1" a="1"/>
  <c r="AH115" i="1" s="1"/>
  <c r="AH116" i="1" a="1"/>
  <c r="AH116" i="1" s="1"/>
  <c r="AH117" i="1" a="1"/>
  <c r="AH117" i="1" s="1"/>
  <c r="AH118" i="1" a="1"/>
  <c r="AH118" i="1" s="1"/>
  <c r="AH119" i="1" a="1"/>
  <c r="AH119" i="1" s="1"/>
  <c r="AH120" i="1" a="1"/>
  <c r="AH120" i="1" s="1"/>
  <c r="AH121" i="1" a="1"/>
  <c r="AH121" i="1" s="1"/>
  <c r="AH122" i="1" a="1"/>
  <c r="AH122" i="1" s="1"/>
  <c r="AH123" i="1" a="1"/>
  <c r="AH123" i="1" s="1"/>
  <c r="AH124" i="1" a="1"/>
  <c r="AH124" i="1" s="1"/>
  <c r="AH125" i="1" a="1"/>
  <c r="AH125" i="1" s="1"/>
  <c r="AH126" i="1" a="1"/>
  <c r="AH126" i="1" s="1"/>
  <c r="AH127" i="1" a="1"/>
  <c r="AH127" i="1" s="1"/>
  <c r="AH128" i="1" a="1"/>
  <c r="AH128" i="1" s="1"/>
  <c r="AH129" i="1" a="1"/>
  <c r="AH129" i="1" s="1"/>
  <c r="AH130" i="1" a="1"/>
  <c r="AH130" i="1" s="1"/>
  <c r="AH131" i="1" a="1"/>
  <c r="AH131" i="1" s="1"/>
  <c r="AH132" i="1" a="1"/>
  <c r="AH132" i="1" s="1"/>
  <c r="AH133" i="1" a="1"/>
  <c r="AH133" i="1" s="1"/>
  <c r="AH134" i="1" a="1"/>
  <c r="AH134" i="1" s="1"/>
  <c r="AH135" i="1" a="1"/>
  <c r="AH135" i="1" s="1"/>
  <c r="AH136" i="1" a="1"/>
  <c r="AH136" i="1" s="1"/>
  <c r="AH137" i="1" a="1"/>
  <c r="AH137" i="1" s="1"/>
  <c r="AH5" i="1" a="1"/>
  <c r="AH5" i="1" s="1"/>
  <c r="AE138" i="1"/>
  <c r="AF138" i="1"/>
  <c r="AI5" i="1"/>
  <c r="X5" i="1"/>
  <c r="AT134" i="1" a="1"/>
  <c r="AT134" i="1" s="1"/>
  <c r="D38" i="24" l="1" a="1"/>
  <c r="D38" i="24" s="1"/>
  <c r="D39" i="24" s="1"/>
  <c r="D38" i="25" a="1"/>
  <c r="D38" i="25" s="1"/>
  <c r="D39" i="25" s="1"/>
  <c r="I3" i="19" l="1"/>
  <c r="I4" i="19"/>
  <c r="I5" i="19"/>
  <c r="I6" i="19"/>
  <c r="I7" i="19"/>
  <c r="I8" i="19"/>
  <c r="I9" i="19"/>
  <c r="I10" i="19"/>
  <c r="I11" i="19"/>
  <c r="I12" i="19"/>
  <c r="I13" i="19"/>
  <c r="I14" i="19"/>
  <c r="I15" i="19"/>
  <c r="I16" i="19"/>
  <c r="I17" i="19"/>
  <c r="I18" i="19"/>
  <c r="I19" i="19"/>
  <c r="I20" i="19"/>
  <c r="I21" i="19"/>
  <c r="I22" i="19"/>
  <c r="I23" i="19"/>
  <c r="I24" i="19"/>
  <c r="I25" i="19"/>
  <c r="I26" i="19"/>
  <c r="I27" i="19"/>
  <c r="I28" i="19"/>
  <c r="I29" i="19"/>
  <c r="I30" i="19"/>
  <c r="I31" i="19"/>
  <c r="I32" i="19"/>
  <c r="I33" i="19"/>
  <c r="I34" i="19"/>
  <c r="I35" i="19"/>
  <c r="I2" i="19"/>
  <c r="E143" i="1"/>
  <c r="E142" i="1"/>
  <c r="AZ9" i="1"/>
  <c r="AZ6" i="1"/>
  <c r="BA6" i="1" s="1"/>
  <c r="AZ7" i="1"/>
  <c r="BA7" i="1" s="1"/>
  <c r="AZ8" i="1"/>
  <c r="BA8" i="1" s="1"/>
  <c r="AZ10" i="1"/>
  <c r="BA10" i="1" s="1"/>
  <c r="AZ11" i="1"/>
  <c r="BA11" i="1" s="1"/>
  <c r="AZ12" i="1"/>
  <c r="BA12" i="1" s="1"/>
  <c r="AZ13" i="1"/>
  <c r="BA13" i="1" s="1"/>
  <c r="AZ14" i="1"/>
  <c r="BA14" i="1" s="1"/>
  <c r="AZ15" i="1"/>
  <c r="BA15" i="1" s="1"/>
  <c r="AZ16" i="1"/>
  <c r="BA16" i="1" s="1"/>
  <c r="AZ17" i="1"/>
  <c r="BA17" i="1" s="1"/>
  <c r="AZ18" i="1"/>
  <c r="BA18" i="1" s="1"/>
  <c r="AZ19" i="1"/>
  <c r="BA19" i="1" s="1"/>
  <c r="AZ20" i="1"/>
  <c r="BA20" i="1" s="1"/>
  <c r="AZ21" i="1"/>
  <c r="BA21" i="1" s="1"/>
  <c r="AZ22" i="1"/>
  <c r="BA22" i="1" s="1"/>
  <c r="AZ23" i="1"/>
  <c r="BA23" i="1" s="1"/>
  <c r="AZ24" i="1"/>
  <c r="BA24" i="1" s="1"/>
  <c r="AZ25" i="1"/>
  <c r="BA25" i="1" s="1"/>
  <c r="AZ26" i="1"/>
  <c r="BA26" i="1" s="1"/>
  <c r="AZ27" i="1"/>
  <c r="BA27" i="1" s="1"/>
  <c r="AZ28" i="1"/>
  <c r="BA28" i="1" s="1"/>
  <c r="AZ29" i="1"/>
  <c r="BA29" i="1" s="1"/>
  <c r="AZ30" i="1"/>
  <c r="BA30" i="1" s="1"/>
  <c r="AZ31" i="1"/>
  <c r="BA31" i="1" s="1"/>
  <c r="AZ32" i="1"/>
  <c r="BA32" i="1" s="1"/>
  <c r="AZ33" i="1"/>
  <c r="BA33" i="1" s="1"/>
  <c r="AZ34" i="1"/>
  <c r="BA34" i="1" s="1"/>
  <c r="AZ35" i="1"/>
  <c r="BA35" i="1" s="1"/>
  <c r="AZ36" i="1"/>
  <c r="BA36" i="1" s="1"/>
  <c r="AZ37" i="1"/>
  <c r="BA37" i="1" s="1"/>
  <c r="AZ38" i="1"/>
  <c r="BA38" i="1" s="1"/>
  <c r="AZ39" i="1"/>
  <c r="BA39" i="1" s="1"/>
  <c r="AZ40" i="1"/>
  <c r="BA40" i="1" s="1"/>
  <c r="AZ41" i="1"/>
  <c r="BA41" i="1" s="1"/>
  <c r="AZ42" i="1"/>
  <c r="BA42" i="1" s="1"/>
  <c r="AZ43" i="1"/>
  <c r="BA43" i="1" s="1"/>
  <c r="AZ44" i="1"/>
  <c r="BA44" i="1" s="1"/>
  <c r="AZ45" i="1"/>
  <c r="BA45" i="1" s="1"/>
  <c r="AZ46" i="1"/>
  <c r="BA46" i="1" s="1"/>
  <c r="AZ47" i="1"/>
  <c r="BA47" i="1" s="1"/>
  <c r="AZ48" i="1"/>
  <c r="BA48" i="1" s="1"/>
  <c r="AZ49" i="1"/>
  <c r="BA49" i="1" s="1"/>
  <c r="AZ50" i="1"/>
  <c r="BA50" i="1" s="1"/>
  <c r="AZ51" i="1"/>
  <c r="BA51" i="1" s="1"/>
  <c r="AZ52" i="1"/>
  <c r="BA52" i="1" s="1"/>
  <c r="AZ53" i="1"/>
  <c r="BA53" i="1" s="1"/>
  <c r="AZ54" i="1"/>
  <c r="BA54" i="1" s="1"/>
  <c r="AZ55" i="1"/>
  <c r="BA55" i="1" s="1"/>
  <c r="AZ56" i="1"/>
  <c r="BA56" i="1" s="1"/>
  <c r="AZ57" i="1"/>
  <c r="BA57" i="1" s="1"/>
  <c r="AZ58" i="1"/>
  <c r="BA58" i="1" s="1"/>
  <c r="AZ59" i="1"/>
  <c r="BA59" i="1" s="1"/>
  <c r="AZ60" i="1"/>
  <c r="BA60" i="1" s="1"/>
  <c r="AZ61" i="1"/>
  <c r="BA61" i="1" s="1"/>
  <c r="AZ62" i="1"/>
  <c r="BA62" i="1" s="1"/>
  <c r="AZ63" i="1"/>
  <c r="BA63" i="1" s="1"/>
  <c r="AZ64" i="1"/>
  <c r="BA64" i="1" s="1"/>
  <c r="AZ65" i="1"/>
  <c r="BA65" i="1" s="1"/>
  <c r="AZ66" i="1"/>
  <c r="BA66" i="1" s="1"/>
  <c r="AZ67" i="1"/>
  <c r="BA67" i="1" s="1"/>
  <c r="AZ68" i="1"/>
  <c r="BA68" i="1" s="1"/>
  <c r="AZ69" i="1"/>
  <c r="BA69" i="1" s="1"/>
  <c r="AZ70" i="1"/>
  <c r="BA70" i="1" s="1"/>
  <c r="AZ71" i="1"/>
  <c r="BA71" i="1" s="1"/>
  <c r="AZ72" i="1"/>
  <c r="BA72" i="1" s="1"/>
  <c r="AZ73" i="1"/>
  <c r="BA73" i="1" s="1"/>
  <c r="AZ74" i="1"/>
  <c r="BA74" i="1" s="1"/>
  <c r="AZ75" i="1"/>
  <c r="BA75" i="1" s="1"/>
  <c r="AZ76" i="1"/>
  <c r="BA76" i="1" s="1"/>
  <c r="AZ77" i="1"/>
  <c r="BA77" i="1" s="1"/>
  <c r="AZ78" i="1"/>
  <c r="BA78" i="1" s="1"/>
  <c r="AZ79" i="1"/>
  <c r="BA79" i="1" s="1"/>
  <c r="AZ80" i="1"/>
  <c r="BA80" i="1" s="1"/>
  <c r="AZ81" i="1"/>
  <c r="BA81" i="1" s="1"/>
  <c r="AZ82" i="1"/>
  <c r="BA82" i="1" s="1"/>
  <c r="AZ83" i="1"/>
  <c r="BA83" i="1" s="1"/>
  <c r="AZ84" i="1"/>
  <c r="BA84" i="1" s="1"/>
  <c r="AZ85" i="1"/>
  <c r="BA85" i="1" s="1"/>
  <c r="AZ86" i="1"/>
  <c r="BA86" i="1" s="1"/>
  <c r="AZ87" i="1"/>
  <c r="BA87" i="1" s="1"/>
  <c r="AZ88" i="1"/>
  <c r="BA88" i="1" s="1"/>
  <c r="AZ89" i="1"/>
  <c r="BA89" i="1" s="1"/>
  <c r="AZ90" i="1"/>
  <c r="BA90" i="1" s="1"/>
  <c r="AZ91" i="1"/>
  <c r="BA91" i="1" s="1"/>
  <c r="AZ92" i="1"/>
  <c r="BA92" i="1" s="1"/>
  <c r="AZ93" i="1"/>
  <c r="BA93" i="1" s="1"/>
  <c r="AZ94" i="1"/>
  <c r="BA94" i="1" s="1"/>
  <c r="AZ95" i="1"/>
  <c r="BA95" i="1" s="1"/>
  <c r="AZ96" i="1"/>
  <c r="BA96" i="1" s="1"/>
  <c r="AZ97" i="1"/>
  <c r="BA97" i="1" s="1"/>
  <c r="AZ98" i="1"/>
  <c r="BA98" i="1" s="1"/>
  <c r="AZ99" i="1"/>
  <c r="BA99" i="1" s="1"/>
  <c r="AZ100" i="1"/>
  <c r="BA100" i="1" s="1"/>
  <c r="AZ101" i="1"/>
  <c r="BA101" i="1" s="1"/>
  <c r="AZ102" i="1"/>
  <c r="BA102" i="1" s="1"/>
  <c r="AZ103" i="1"/>
  <c r="BA103" i="1" s="1"/>
  <c r="AZ104" i="1"/>
  <c r="BA104" i="1" s="1"/>
  <c r="AZ105" i="1"/>
  <c r="BA105" i="1" s="1"/>
  <c r="AZ106" i="1"/>
  <c r="BA106" i="1" s="1"/>
  <c r="AZ107" i="1"/>
  <c r="BA107" i="1" s="1"/>
  <c r="AZ108" i="1"/>
  <c r="BA108" i="1" s="1"/>
  <c r="AZ109" i="1"/>
  <c r="BA109" i="1" s="1"/>
  <c r="AZ110" i="1"/>
  <c r="BA110" i="1" s="1"/>
  <c r="AZ111" i="1"/>
  <c r="BA111" i="1" s="1"/>
  <c r="AZ112" i="1"/>
  <c r="BA112" i="1" s="1"/>
  <c r="AZ113" i="1"/>
  <c r="BA113" i="1" s="1"/>
  <c r="AZ114" i="1"/>
  <c r="BA114" i="1" s="1"/>
  <c r="AZ115" i="1"/>
  <c r="BA115" i="1" s="1"/>
  <c r="AZ116" i="1"/>
  <c r="BA116" i="1" s="1"/>
  <c r="AZ117" i="1"/>
  <c r="BA117" i="1" s="1"/>
  <c r="AZ118" i="1"/>
  <c r="BA118" i="1" s="1"/>
  <c r="AZ119" i="1"/>
  <c r="BA119" i="1" s="1"/>
  <c r="AZ120" i="1"/>
  <c r="BA120" i="1" s="1"/>
  <c r="AZ121" i="1"/>
  <c r="BA121" i="1" s="1"/>
  <c r="AZ122" i="1"/>
  <c r="BA122" i="1" s="1"/>
  <c r="AZ123" i="1"/>
  <c r="BA123" i="1" s="1"/>
  <c r="AZ124" i="1"/>
  <c r="BA124" i="1" s="1"/>
  <c r="AZ125" i="1"/>
  <c r="BA125" i="1" s="1"/>
  <c r="AZ126" i="1"/>
  <c r="BA126" i="1" s="1"/>
  <c r="AZ127" i="1"/>
  <c r="BA127" i="1" s="1"/>
  <c r="AZ128" i="1"/>
  <c r="BA128" i="1" s="1"/>
  <c r="AZ129" i="1"/>
  <c r="BA129" i="1" s="1"/>
  <c r="AZ130" i="1"/>
  <c r="BA130" i="1" s="1"/>
  <c r="AZ131" i="1"/>
  <c r="BA131" i="1" s="1"/>
  <c r="AZ132" i="1"/>
  <c r="BA132" i="1" s="1"/>
  <c r="AZ133" i="1"/>
  <c r="BA133" i="1" s="1"/>
  <c r="AZ134" i="1"/>
  <c r="BA134" i="1" s="1"/>
  <c r="AZ135" i="1"/>
  <c r="BA135" i="1" s="1"/>
  <c r="AZ136" i="1"/>
  <c r="BA136" i="1" s="1"/>
  <c r="AZ137" i="1"/>
  <c r="BA137" i="1" s="1"/>
  <c r="AZ5" i="1"/>
  <c r="BA5" i="1" s="1"/>
  <c r="AG5" i="1"/>
  <c r="F80" i="15"/>
  <c r="O79" i="15"/>
  <c r="O78" i="15"/>
  <c r="O77" i="15"/>
  <c r="O76" i="15"/>
  <c r="O75" i="15"/>
  <c r="O74" i="15"/>
  <c r="O73" i="15"/>
  <c r="O72" i="15"/>
  <c r="O71" i="15"/>
  <c r="O70" i="15"/>
  <c r="O69" i="15"/>
  <c r="O68" i="15"/>
  <c r="O67" i="15"/>
  <c r="O66" i="15"/>
  <c r="O65" i="15"/>
  <c r="O64" i="15"/>
  <c r="O63" i="15"/>
  <c r="O62" i="15"/>
  <c r="O61" i="15"/>
  <c r="O60" i="15"/>
  <c r="O59" i="15"/>
  <c r="O58" i="15"/>
  <c r="O57" i="15"/>
  <c r="O56" i="15"/>
  <c r="O55" i="15"/>
  <c r="O54" i="15"/>
  <c r="O53" i="15"/>
  <c r="O52" i="15"/>
  <c r="O51" i="15"/>
  <c r="O50" i="15"/>
  <c r="O49" i="15"/>
  <c r="O48" i="15"/>
  <c r="O47" i="15"/>
  <c r="O46" i="15"/>
  <c r="F38" i="15"/>
  <c r="O37" i="15"/>
  <c r="F37" i="15"/>
  <c r="O36" i="15"/>
  <c r="F36" i="15"/>
  <c r="O35" i="15"/>
  <c r="F35" i="15"/>
  <c r="O34" i="15"/>
  <c r="F34" i="15"/>
  <c r="AA33" i="15"/>
  <c r="O33" i="15"/>
  <c r="F33" i="15"/>
  <c r="O32" i="15"/>
  <c r="F32" i="15"/>
  <c r="O31" i="15"/>
  <c r="F31" i="15"/>
  <c r="O30" i="15"/>
  <c r="F30" i="15"/>
  <c r="O29" i="15"/>
  <c r="F29" i="15"/>
  <c r="O28" i="15"/>
  <c r="F28" i="15"/>
  <c r="O27" i="15"/>
  <c r="F27" i="15"/>
  <c r="O26" i="15"/>
  <c r="F26" i="15"/>
  <c r="O25" i="15"/>
  <c r="F25" i="15"/>
  <c r="O24" i="15"/>
  <c r="F24" i="15"/>
  <c r="O23" i="15"/>
  <c r="F23" i="15"/>
  <c r="O22" i="15"/>
  <c r="F22" i="15"/>
  <c r="O21" i="15"/>
  <c r="F21" i="15"/>
  <c r="O20" i="15"/>
  <c r="F20" i="15"/>
  <c r="O19" i="15"/>
  <c r="F19" i="15"/>
  <c r="O18" i="15"/>
  <c r="F18" i="15"/>
  <c r="O17" i="15"/>
  <c r="F17" i="15"/>
  <c r="O16" i="15"/>
  <c r="F16" i="15"/>
  <c r="O15" i="15"/>
  <c r="F15" i="15"/>
  <c r="O14" i="15"/>
  <c r="F14" i="15"/>
  <c r="O13" i="15"/>
  <c r="F13" i="15"/>
  <c r="O12" i="15"/>
  <c r="F12" i="15"/>
  <c r="O11" i="15"/>
  <c r="F11" i="15"/>
  <c r="O10" i="15"/>
  <c r="F10" i="15"/>
  <c r="O9" i="15"/>
  <c r="F9" i="15"/>
  <c r="O8" i="15"/>
  <c r="F8" i="15"/>
  <c r="O7" i="15"/>
  <c r="F7" i="15"/>
  <c r="O6" i="15"/>
  <c r="F6" i="15"/>
  <c r="O5" i="15"/>
  <c r="F5" i="15"/>
  <c r="O4" i="15"/>
  <c r="F4" i="15"/>
  <c r="BA9" i="1" l="1"/>
  <c r="E144" i="1"/>
  <c r="AG6" i="1"/>
  <c r="AG7" i="1" s="1"/>
  <c r="AG8" i="1" s="1"/>
  <c r="AI6" i="1"/>
  <c r="AI7" i="1" s="1"/>
  <c r="AI8" i="1" s="1"/>
  <c r="AI9" i="1" l="1"/>
  <c r="N2" i="18"/>
  <c r="AG9" i="1"/>
  <c r="E2" i="18"/>
  <c r="AQ6" i="1"/>
  <c r="AQ5" i="1"/>
  <c r="AQ4" i="1"/>
  <c r="AG10" i="1"/>
  <c r="AG11" i="1" s="1"/>
  <c r="AG12" i="1" s="1"/>
  <c r="AI10" i="1"/>
  <c r="AI11" i="1" s="1"/>
  <c r="AI12" i="1" s="1"/>
  <c r="T8" i="9"/>
  <c r="T7" i="9"/>
  <c r="T6" i="9"/>
  <c r="T5" i="9"/>
  <c r="T4" i="9"/>
  <c r="T3" i="9"/>
  <c r="T2" i="9"/>
  <c r="S8" i="9"/>
  <c r="S7" i="9"/>
  <c r="S6" i="9"/>
  <c r="S5" i="9"/>
  <c r="S4" i="9"/>
  <c r="S3" i="9"/>
  <c r="S2" i="9"/>
  <c r="D103" i="1"/>
  <c r="V8" i="9"/>
  <c r="W8" i="9"/>
  <c r="W7" i="9"/>
  <c r="V7" i="9"/>
  <c r="X2" i="9"/>
  <c r="AG13" i="1" l="1"/>
  <c r="AG14" i="1" s="1"/>
  <c r="AG15" i="1" s="1"/>
  <c r="AG16" i="1" s="1"/>
  <c r="E3" i="18"/>
  <c r="AI13" i="1"/>
  <c r="N3" i="18"/>
  <c r="AI14" i="1"/>
  <c r="AI15" i="1" s="1"/>
  <c r="AI16" i="1" s="1"/>
  <c r="F11" i="13" a="1"/>
  <c r="F11" i="13" s="1"/>
  <c r="F10" i="13" a="1"/>
  <c r="F10" i="13" s="1"/>
  <c r="F9" i="13" a="1"/>
  <c r="F9" i="13" s="1"/>
  <c r="F8" i="13" a="1"/>
  <c r="F8" i="13" s="1"/>
  <c r="F7" i="13" a="1"/>
  <c r="F7" i="13" s="1"/>
  <c r="F6" i="13" a="1"/>
  <c r="F6" i="13" s="1"/>
  <c r="F5" i="13" a="1"/>
  <c r="F5" i="13" s="1"/>
  <c r="F4" i="13" a="1"/>
  <c r="F4" i="13" s="1"/>
  <c r="F3" i="13" a="1"/>
  <c r="F3" i="13" s="1"/>
  <c r="F2" i="13" a="1"/>
  <c r="F2" i="13" s="1"/>
  <c r="X81" i="13"/>
  <c r="X80" i="13"/>
  <c r="X77" i="13"/>
  <c r="X76" i="13"/>
  <c r="X73" i="13"/>
  <c r="X72" i="13"/>
  <c r="X69" i="13"/>
  <c r="X68" i="13"/>
  <c r="X65" i="13"/>
  <c r="X64" i="13"/>
  <c r="X61" i="13"/>
  <c r="X60" i="13"/>
  <c r="X57" i="13"/>
  <c r="X56" i="13"/>
  <c r="X53" i="13"/>
  <c r="X52" i="13"/>
  <c r="X51" i="13"/>
  <c r="X48" i="13"/>
  <c r="X47" i="13"/>
  <c r="X44" i="13"/>
  <c r="X43" i="13"/>
  <c r="X79" i="13"/>
  <c r="X75" i="13"/>
  <c r="X71" i="13"/>
  <c r="X67" i="13"/>
  <c r="X63" i="13"/>
  <c r="X59" i="13"/>
  <c r="X55" i="13"/>
  <c r="X50" i="13"/>
  <c r="X46" i="13"/>
  <c r="X42" i="13"/>
  <c r="S81" i="13" a="1"/>
  <c r="S81" i="13" s="1"/>
  <c r="S80" i="13" a="1"/>
  <c r="S80" i="13" s="1"/>
  <c r="S79" i="13" a="1"/>
  <c r="S79" i="13" s="1"/>
  <c r="S77" i="13" a="1"/>
  <c r="S77" i="13" s="1"/>
  <c r="S76" i="13" a="1"/>
  <c r="S76" i="13" s="1"/>
  <c r="S75" i="13" a="1"/>
  <c r="S75" i="13" s="1"/>
  <c r="S73" i="13" a="1"/>
  <c r="S73" i="13" s="1"/>
  <c r="S72" i="13" a="1"/>
  <c r="S72" i="13" s="1"/>
  <c r="S71" i="13" a="1"/>
  <c r="S71" i="13" s="1"/>
  <c r="S69" i="13" a="1"/>
  <c r="S69" i="13" s="1"/>
  <c r="S68" i="13" a="1"/>
  <c r="S68" i="13" s="1"/>
  <c r="S67" i="13" a="1"/>
  <c r="S67" i="13" s="1"/>
  <c r="S65" i="13" a="1"/>
  <c r="S65" i="13" s="1"/>
  <c r="S64" i="13" a="1"/>
  <c r="S64" i="13" s="1"/>
  <c r="S63" i="13" a="1"/>
  <c r="S63" i="13" s="1"/>
  <c r="S61" i="13" a="1"/>
  <c r="S61" i="13" s="1"/>
  <c r="S60" i="13" a="1"/>
  <c r="S60" i="13" s="1"/>
  <c r="S59" i="13" a="1"/>
  <c r="S59" i="13" s="1"/>
  <c r="S57" i="13" a="1"/>
  <c r="S57" i="13" s="1"/>
  <c r="S56" i="13" a="1"/>
  <c r="S56" i="13" s="1"/>
  <c r="S55" i="13" a="1"/>
  <c r="S55" i="13" s="1"/>
  <c r="S53" i="13" a="1"/>
  <c r="S53" i="13" s="1"/>
  <c r="S52" i="13" a="1"/>
  <c r="S52" i="13" s="1"/>
  <c r="S51" i="13" a="1"/>
  <c r="S51" i="13" s="1"/>
  <c r="S50" i="13" a="1"/>
  <c r="S50" i="13" s="1"/>
  <c r="S48" i="13" a="1"/>
  <c r="S48" i="13" s="1"/>
  <c r="S47" i="13" a="1"/>
  <c r="S47" i="13" s="1"/>
  <c r="S46" i="13" a="1"/>
  <c r="S46" i="13" s="1"/>
  <c r="S44" i="13" a="1"/>
  <c r="S44" i="13" s="1"/>
  <c r="S43" i="13" a="1"/>
  <c r="S43" i="13" s="1"/>
  <c r="S42" i="13" a="1"/>
  <c r="S42" i="13" s="1"/>
  <c r="R42" i="13"/>
  <c r="R43" i="13" s="1"/>
  <c r="R44" i="13" s="1"/>
  <c r="R46" i="13" s="1"/>
  <c r="R47" i="13" s="1"/>
  <c r="R48" i="13" s="1"/>
  <c r="R50" i="13" s="1"/>
  <c r="R51" i="13" s="1"/>
  <c r="R52" i="13" s="1"/>
  <c r="R53" i="13" s="1"/>
  <c r="R55" i="13" s="1"/>
  <c r="R56" i="13" s="1"/>
  <c r="R57" i="13" s="1"/>
  <c r="R59" i="13" s="1"/>
  <c r="R60" i="13" s="1"/>
  <c r="R61" i="13" s="1"/>
  <c r="R63" i="13" s="1"/>
  <c r="R64" i="13" s="1"/>
  <c r="R65" i="13" s="1"/>
  <c r="R67" i="13" s="1"/>
  <c r="R68" i="13" s="1"/>
  <c r="R69" i="13" s="1"/>
  <c r="R71" i="13" s="1"/>
  <c r="R72" i="13" s="1"/>
  <c r="R73" i="13" s="1"/>
  <c r="R75" i="13" s="1"/>
  <c r="R76" i="13" s="1"/>
  <c r="R77" i="13" s="1"/>
  <c r="R79" i="13" s="1"/>
  <c r="R80" i="13" s="1"/>
  <c r="R81" i="13" s="1"/>
  <c r="Q42" i="13"/>
  <c r="Q43" i="13" s="1"/>
  <c r="Q44" i="13" s="1"/>
  <c r="Q46" i="13" s="1"/>
  <c r="Q47" i="13" s="1"/>
  <c r="Q48" i="13" s="1"/>
  <c r="Q50" i="13" s="1"/>
  <c r="Q51" i="13" s="1"/>
  <c r="Q52" i="13" s="1"/>
  <c r="Q53" i="13" s="1"/>
  <c r="Q55" i="13" s="1"/>
  <c r="Q56" i="13" s="1"/>
  <c r="Q57" i="13" s="1"/>
  <c r="Q59" i="13" s="1"/>
  <c r="Q60" i="13" s="1"/>
  <c r="Q61" i="13" s="1"/>
  <c r="Q63" i="13" s="1"/>
  <c r="Q64" i="13" s="1"/>
  <c r="Q65" i="13" s="1"/>
  <c r="Q67" i="13" s="1"/>
  <c r="Q68" i="13" s="1"/>
  <c r="Q69" i="13" s="1"/>
  <c r="Q71" i="13" s="1"/>
  <c r="Q72" i="13" s="1"/>
  <c r="Q73" i="13" s="1"/>
  <c r="Q75" i="13" s="1"/>
  <c r="Q76" i="13" s="1"/>
  <c r="Q77" i="13" s="1"/>
  <c r="Q79" i="13" s="1"/>
  <c r="Q80" i="13" s="1"/>
  <c r="Q81" i="13" s="1"/>
  <c r="Y81" i="13" s="1"/>
  <c r="K137" i="1"/>
  <c r="K136" i="1"/>
  <c r="K135" i="1"/>
  <c r="K134" i="1"/>
  <c r="K133" i="1"/>
  <c r="K132" i="1"/>
  <c r="K131" i="1"/>
  <c r="K130" i="1"/>
  <c r="K129" i="1"/>
  <c r="K128" i="1"/>
  <c r="K127" i="1"/>
  <c r="K126" i="1"/>
  <c r="K125" i="1"/>
  <c r="K124" i="1"/>
  <c r="K123" i="1"/>
  <c r="K122" i="1"/>
  <c r="D122" i="1" s="1"/>
  <c r="I122" i="1" s="1"/>
  <c r="L122" i="1" s="1"/>
  <c r="K121" i="1"/>
  <c r="K120" i="1"/>
  <c r="K119" i="1"/>
  <c r="K118" i="1"/>
  <c r="K117" i="1"/>
  <c r="K116" i="1"/>
  <c r="K115" i="1"/>
  <c r="K114" i="1"/>
  <c r="K113" i="1"/>
  <c r="K112" i="1"/>
  <c r="K111" i="1"/>
  <c r="K110" i="1"/>
  <c r="K109" i="1"/>
  <c r="K108" i="1"/>
  <c r="K107" i="1"/>
  <c r="K106" i="1"/>
  <c r="K105" i="1"/>
  <c r="K104" i="1"/>
  <c r="K103" i="1"/>
  <c r="K102" i="1"/>
  <c r="K101" i="1"/>
  <c r="K100" i="1"/>
  <c r="K99" i="1"/>
  <c r="K98" i="1"/>
  <c r="K97" i="1"/>
  <c r="K96" i="1"/>
  <c r="K95" i="1"/>
  <c r="K94" i="1"/>
  <c r="K93" i="1"/>
  <c r="K92" i="1"/>
  <c r="K91" i="1"/>
  <c r="K90" i="1"/>
  <c r="K89" i="1"/>
  <c r="K88" i="1"/>
  <c r="K87" i="1"/>
  <c r="K86" i="1"/>
  <c r="K85" i="1"/>
  <c r="K84" i="1"/>
  <c r="K83" i="1"/>
  <c r="K82" i="1"/>
  <c r="K81" i="1"/>
  <c r="K80" i="1"/>
  <c r="K79" i="1"/>
  <c r="K78" i="1"/>
  <c r="K77" i="1"/>
  <c r="K76" i="1"/>
  <c r="K75" i="1"/>
  <c r="K74" i="1"/>
  <c r="K73" i="1"/>
  <c r="K72" i="1"/>
  <c r="K71" i="1"/>
  <c r="K70" i="1"/>
  <c r="K69" i="1"/>
  <c r="K68" i="1"/>
  <c r="K67" i="1"/>
  <c r="K66" i="1"/>
  <c r="K65" i="1"/>
  <c r="K64" i="1"/>
  <c r="K63" i="1"/>
  <c r="K62" i="1"/>
  <c r="K61" i="1"/>
  <c r="K60" i="1"/>
  <c r="K59" i="1"/>
  <c r="K58" i="1"/>
  <c r="K57" i="1"/>
  <c r="K56" i="1"/>
  <c r="K55" i="1"/>
  <c r="K54" i="1"/>
  <c r="K53" i="1"/>
  <c r="K52" i="1"/>
  <c r="K51" i="1"/>
  <c r="K50" i="1"/>
  <c r="K49" i="1"/>
  <c r="K48" i="1"/>
  <c r="K47" i="1"/>
  <c r="K46" i="1"/>
  <c r="K45"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K5" i="1"/>
  <c r="K4" i="1"/>
  <c r="AG33" i="10"/>
  <c r="AI17" i="1" l="1"/>
  <c r="N4" i="18"/>
  <c r="AG17" i="1"/>
  <c r="AG18" i="1" s="1"/>
  <c r="AG19" i="1" s="1"/>
  <c r="AG20" i="1" s="1"/>
  <c r="E4" i="18"/>
  <c r="AI18" i="1"/>
  <c r="AI19" i="1" s="1"/>
  <c r="AI20" i="1" s="1"/>
  <c r="Y75" i="13"/>
  <c r="Y79" i="13"/>
  <c r="Y76" i="13"/>
  <c r="Y68" i="13"/>
  <c r="Y60" i="13"/>
  <c r="Y52" i="13"/>
  <c r="Y46" i="13"/>
  <c r="Y44" i="13"/>
  <c r="Y50" i="13"/>
  <c r="Y55" i="13"/>
  <c r="Y47" i="13"/>
  <c r="Y53" i="13"/>
  <c r="Y61" i="13"/>
  <c r="Y69" i="13"/>
  <c r="Y77" i="13"/>
  <c r="Y59" i="13"/>
  <c r="Y63" i="13"/>
  <c r="Y48" i="13"/>
  <c r="Y56" i="13"/>
  <c r="Y64" i="13"/>
  <c r="Y72" i="13"/>
  <c r="Y80" i="13"/>
  <c r="Y67" i="13"/>
  <c r="Y71" i="13"/>
  <c r="Y51" i="13"/>
  <c r="Y57" i="13"/>
  <c r="Y65" i="13"/>
  <c r="Y73" i="13"/>
  <c r="Y42" i="13"/>
  <c r="Y43" i="13"/>
  <c r="AI21" i="1" l="1"/>
  <c r="N5" i="18"/>
  <c r="AG21" i="1"/>
  <c r="AG22" i="1" s="1"/>
  <c r="AG23" i="1" s="1"/>
  <c r="AG24" i="1" s="1"/>
  <c r="E5" i="18"/>
  <c r="AI22" i="1"/>
  <c r="AI23" i="1" s="1"/>
  <c r="AI24" i="1" s="1"/>
  <c r="AA5" i="1"/>
  <c r="Y5" i="1"/>
  <c r="Y135" i="1"/>
  <c r="X135" i="1"/>
  <c r="Y133" i="1"/>
  <c r="X133" i="1"/>
  <c r="Y130" i="1"/>
  <c r="X130" i="1"/>
  <c r="Y121" i="1"/>
  <c r="X121" i="1"/>
  <c r="Y59" i="1"/>
  <c r="X59" i="1"/>
  <c r="Y38" i="1"/>
  <c r="X38" i="1"/>
  <c r="Y33" i="1"/>
  <c r="X33" i="1"/>
  <c r="Y126" i="1"/>
  <c r="X126" i="1"/>
  <c r="Y117" i="1"/>
  <c r="X117" i="1"/>
  <c r="Y113" i="1"/>
  <c r="X113" i="1"/>
  <c r="Y109" i="1"/>
  <c r="X109" i="1"/>
  <c r="Y105" i="1"/>
  <c r="X105" i="1"/>
  <c r="Y101" i="1"/>
  <c r="X101" i="1"/>
  <c r="Y97" i="1"/>
  <c r="X97" i="1"/>
  <c r="Y93" i="1"/>
  <c r="X93" i="1"/>
  <c r="Y89" i="1"/>
  <c r="X89" i="1"/>
  <c r="Y85" i="1"/>
  <c r="X85" i="1"/>
  <c r="Y81" i="1"/>
  <c r="X81" i="1"/>
  <c r="Y77" i="1"/>
  <c r="X77" i="1"/>
  <c r="Y73" i="1"/>
  <c r="X73" i="1"/>
  <c r="Y69" i="1"/>
  <c r="X69" i="1"/>
  <c r="Y65" i="1"/>
  <c r="X65" i="1"/>
  <c r="Y61" i="1"/>
  <c r="X61" i="1"/>
  <c r="Y55" i="1"/>
  <c r="X55" i="1"/>
  <c r="Y51" i="1"/>
  <c r="X51" i="1"/>
  <c r="Y47" i="1"/>
  <c r="X47" i="1"/>
  <c r="Y43" i="1"/>
  <c r="X43" i="1"/>
  <c r="Y29" i="1"/>
  <c r="X29" i="1"/>
  <c r="Y25" i="1"/>
  <c r="X25" i="1"/>
  <c r="Y21" i="1"/>
  <c r="X21" i="1"/>
  <c r="Y17" i="1"/>
  <c r="X17" i="1"/>
  <c r="Y13" i="1"/>
  <c r="X13" i="1"/>
  <c r="Y9" i="1"/>
  <c r="X9" i="1"/>
  <c r="P7" i="13"/>
  <c r="X4" i="9"/>
  <c r="X5" i="9" s="1"/>
  <c r="Y4" i="9"/>
  <c r="Y6" i="9"/>
  <c r="X6" i="9"/>
  <c r="D144" i="1"/>
  <c r="C144" i="1"/>
  <c r="N6" i="13"/>
  <c r="H11" i="13"/>
  <c r="K11" i="13" s="1"/>
  <c r="H10" i="13"/>
  <c r="K10" i="13" s="1"/>
  <c r="H9" i="13"/>
  <c r="K9" i="13" s="1"/>
  <c r="H8" i="13"/>
  <c r="K8" i="13" s="1"/>
  <c r="H7" i="13"/>
  <c r="K7" i="13" s="1"/>
  <c r="H6" i="13"/>
  <c r="K6" i="13" s="1"/>
  <c r="H5" i="13"/>
  <c r="K5" i="13" s="1"/>
  <c r="H4" i="13"/>
  <c r="K4" i="13" s="1"/>
  <c r="H3" i="13"/>
  <c r="K3" i="13" s="1"/>
  <c r="H2" i="13"/>
  <c r="K2" i="13" s="1"/>
  <c r="N11" i="13"/>
  <c r="E11" i="13"/>
  <c r="N10" i="13"/>
  <c r="E10" i="13"/>
  <c r="N9" i="13"/>
  <c r="E9" i="13"/>
  <c r="N8" i="13"/>
  <c r="E8" i="13"/>
  <c r="N7" i="13"/>
  <c r="E7" i="13"/>
  <c r="E6" i="13"/>
  <c r="N5" i="13"/>
  <c r="E5" i="13"/>
  <c r="N4" i="13"/>
  <c r="E4" i="13"/>
  <c r="N3" i="13"/>
  <c r="E3" i="13"/>
  <c r="N2" i="13"/>
  <c r="E2" i="13"/>
  <c r="Y2" i="9"/>
  <c r="Y5" i="9" s="1"/>
  <c r="F38" i="10"/>
  <c r="AI25" i="1" l="1"/>
  <c r="N6" i="18"/>
  <c r="AG25" i="1"/>
  <c r="AG26" i="1" s="1"/>
  <c r="AG27" i="1" s="1"/>
  <c r="AG28" i="1" s="1"/>
  <c r="E6" i="18"/>
  <c r="AA55" i="1"/>
  <c r="AA121" i="1"/>
  <c r="AA130" i="1"/>
  <c r="AA89" i="1"/>
  <c r="AA61" i="1"/>
  <c r="AA65" i="1"/>
  <c r="AA81" i="1"/>
  <c r="AA97" i="1"/>
  <c r="AA38" i="1"/>
  <c r="AA133" i="1"/>
  <c r="AA29" i="1"/>
  <c r="AA105" i="1"/>
  <c r="AA93" i="1"/>
  <c r="AA13" i="1"/>
  <c r="AA126" i="1"/>
  <c r="AA21" i="1"/>
  <c r="AA9" i="1"/>
  <c r="AA25" i="1"/>
  <c r="AA69" i="1"/>
  <c r="AA85" i="1"/>
  <c r="AA101" i="1"/>
  <c r="AA117" i="1"/>
  <c r="AA59" i="1"/>
  <c r="AA135" i="1"/>
  <c r="AA73" i="1"/>
  <c r="AI26" i="1"/>
  <c r="AI27" i="1" s="1"/>
  <c r="AI28" i="1" s="1"/>
  <c r="T138" i="1"/>
  <c r="AH138" i="1"/>
  <c r="AH139" i="1" s="1" a="1"/>
  <c r="AH139" i="1" s="1"/>
  <c r="R138" i="1"/>
  <c r="D38" i="10" a="1"/>
  <c r="D38" i="10" s="1"/>
  <c r="S138" i="1"/>
  <c r="Q138" i="1"/>
  <c r="AG138" i="1"/>
  <c r="AB13" i="1"/>
  <c r="AB29" i="1"/>
  <c r="AB105" i="1"/>
  <c r="AB73" i="1"/>
  <c r="AB89" i="1"/>
  <c r="AB126" i="1"/>
  <c r="AB65" i="1"/>
  <c r="AB55" i="1"/>
  <c r="AB51" i="1"/>
  <c r="AB43" i="1"/>
  <c r="AB61" i="1"/>
  <c r="AB77" i="1"/>
  <c r="AB93" i="1"/>
  <c r="AB109" i="1"/>
  <c r="AB21" i="1"/>
  <c r="AB47" i="1"/>
  <c r="AB81" i="1"/>
  <c r="AB97" i="1"/>
  <c r="AB113" i="1"/>
  <c r="AB38" i="1"/>
  <c r="AB133" i="1"/>
  <c r="AB9" i="1"/>
  <c r="AB25" i="1"/>
  <c r="AB69" i="1"/>
  <c r="AB85" i="1"/>
  <c r="AB101" i="1"/>
  <c r="AB117" i="1"/>
  <c r="AB59" i="1"/>
  <c r="AB135" i="1"/>
  <c r="AB5" i="1"/>
  <c r="AB121" i="1"/>
  <c r="AA43" i="1"/>
  <c r="AB33" i="1"/>
  <c r="AB130" i="1"/>
  <c r="AA47" i="1"/>
  <c r="AA77" i="1"/>
  <c r="AA109" i="1"/>
  <c r="AB17" i="1"/>
  <c r="AA17" i="1"/>
  <c r="AA33" i="1"/>
  <c r="AA51" i="1"/>
  <c r="AA113" i="1"/>
  <c r="AG29" i="1" l="1"/>
  <c r="AG30" i="1" s="1"/>
  <c r="AG31" i="1" s="1"/>
  <c r="AG32" i="1" s="1"/>
  <c r="E7" i="18"/>
  <c r="AI29" i="1"/>
  <c r="AI30" i="1" s="1"/>
  <c r="AI31" i="1" s="1"/>
  <c r="AI32" i="1" s="1"/>
  <c r="N7" i="18"/>
  <c r="D80" i="25"/>
  <c r="D80" i="24"/>
  <c r="D80" i="15"/>
  <c r="D38" i="15" a="1"/>
  <c r="D38" i="15" s="1"/>
  <c r="D39" i="15" s="1"/>
  <c r="AQ130" i="1"/>
  <c r="AQ122" i="1"/>
  <c r="AQ114" i="1"/>
  <c r="AQ106" i="1"/>
  <c r="AQ98" i="1"/>
  <c r="AQ90" i="1"/>
  <c r="AQ82" i="1"/>
  <c r="AQ74" i="1"/>
  <c r="AQ66" i="1"/>
  <c r="AQ58" i="1"/>
  <c r="AQ50" i="1"/>
  <c r="AQ42" i="1"/>
  <c r="AQ34" i="1"/>
  <c r="AQ26" i="1"/>
  <c r="AQ18" i="1"/>
  <c r="AQ10" i="1"/>
  <c r="AQ132" i="1"/>
  <c r="AQ100" i="1"/>
  <c r="AQ68" i="1"/>
  <c r="AQ137" i="1"/>
  <c r="AQ129" i="1"/>
  <c r="AQ121" i="1"/>
  <c r="AQ113" i="1"/>
  <c r="AQ105" i="1"/>
  <c r="AQ97" i="1"/>
  <c r="AQ89" i="1"/>
  <c r="AQ81" i="1"/>
  <c r="AQ73" i="1"/>
  <c r="AQ65" i="1"/>
  <c r="AQ57" i="1"/>
  <c r="AQ49" i="1"/>
  <c r="AQ41" i="1"/>
  <c r="AQ33" i="1"/>
  <c r="AQ25" i="1"/>
  <c r="AQ17" i="1"/>
  <c r="AQ9" i="1"/>
  <c r="AQ92" i="1"/>
  <c r="AQ44" i="1"/>
  <c r="AQ136" i="1"/>
  <c r="AQ128" i="1"/>
  <c r="AQ120" i="1"/>
  <c r="AQ112" i="1"/>
  <c r="AQ104" i="1"/>
  <c r="AQ96" i="1"/>
  <c r="AQ88" i="1"/>
  <c r="AQ80" i="1"/>
  <c r="AQ72" i="1"/>
  <c r="AQ64" i="1"/>
  <c r="AQ56" i="1"/>
  <c r="AQ48" i="1"/>
  <c r="AQ40" i="1"/>
  <c r="AQ32" i="1"/>
  <c r="AQ24" i="1"/>
  <c r="AQ16" i="1"/>
  <c r="AQ8" i="1"/>
  <c r="AQ108" i="1"/>
  <c r="AQ60" i="1"/>
  <c r="AQ12" i="1"/>
  <c r="AQ135" i="1"/>
  <c r="AQ127" i="1"/>
  <c r="AQ119" i="1"/>
  <c r="AQ111" i="1"/>
  <c r="AQ103" i="1"/>
  <c r="AQ95" i="1"/>
  <c r="AQ87" i="1"/>
  <c r="AQ79" i="1"/>
  <c r="AQ71" i="1"/>
  <c r="AQ63" i="1"/>
  <c r="AQ55" i="1"/>
  <c r="AQ47" i="1"/>
  <c r="AQ39" i="1"/>
  <c r="AQ31" i="1"/>
  <c r="AQ23" i="1"/>
  <c r="AQ15" i="1"/>
  <c r="AQ7" i="1"/>
  <c r="AQ116" i="1"/>
  <c r="AQ36" i="1"/>
  <c r="AQ134" i="1"/>
  <c r="AQ126" i="1"/>
  <c r="AQ118" i="1"/>
  <c r="AQ110" i="1"/>
  <c r="AQ102" i="1"/>
  <c r="AQ94" i="1"/>
  <c r="AQ86" i="1"/>
  <c r="AQ78" i="1"/>
  <c r="AQ70" i="1"/>
  <c r="AQ62" i="1"/>
  <c r="AQ54" i="1"/>
  <c r="AQ46" i="1"/>
  <c r="AQ38" i="1"/>
  <c r="AQ30" i="1"/>
  <c r="AQ22" i="1"/>
  <c r="AQ14" i="1"/>
  <c r="AQ84" i="1"/>
  <c r="AQ28" i="1"/>
  <c r="AQ133" i="1"/>
  <c r="AQ125" i="1"/>
  <c r="AQ117" i="1"/>
  <c r="AQ109" i="1"/>
  <c r="AQ101" i="1"/>
  <c r="AQ93" i="1"/>
  <c r="AQ85" i="1"/>
  <c r="AQ77" i="1"/>
  <c r="AQ69" i="1"/>
  <c r="AQ61" i="1"/>
  <c r="AQ53" i="1"/>
  <c r="AQ45" i="1"/>
  <c r="AQ37" i="1"/>
  <c r="AQ29" i="1"/>
  <c r="AQ21" i="1"/>
  <c r="AQ13" i="1"/>
  <c r="BF5" i="1"/>
  <c r="BL5" i="1" s="1"/>
  <c r="AQ124" i="1"/>
  <c r="AQ76" i="1"/>
  <c r="AQ52" i="1"/>
  <c r="AQ20" i="1"/>
  <c r="AQ75" i="1"/>
  <c r="AQ11" i="1"/>
  <c r="AQ131" i="1"/>
  <c r="AQ67" i="1"/>
  <c r="AQ51" i="1"/>
  <c r="AQ43" i="1"/>
  <c r="BF43" i="1" s="1"/>
  <c r="AQ123" i="1"/>
  <c r="AQ59" i="1"/>
  <c r="BF59" i="1" s="1"/>
  <c r="BL59" i="1" s="1"/>
  <c r="AQ115" i="1"/>
  <c r="AQ107" i="1"/>
  <c r="AQ99" i="1"/>
  <c r="AQ35" i="1"/>
  <c r="AQ91" i="1"/>
  <c r="AQ27" i="1"/>
  <c r="AQ83" i="1"/>
  <c r="AQ19" i="1"/>
  <c r="AI33" i="1" l="1"/>
  <c r="N8" i="18"/>
  <c r="AG33" i="1"/>
  <c r="AG34" i="1" s="1"/>
  <c r="AG35" i="1" s="1"/>
  <c r="AG36" i="1" s="1"/>
  <c r="AG37" i="1" s="1"/>
  <c r="E8" i="18"/>
  <c r="BL43" i="1"/>
  <c r="BM43" i="1" s="1"/>
  <c r="BG43" i="1"/>
  <c r="BE43" i="1" s="1"/>
  <c r="BG5" i="1"/>
  <c r="BE5" i="1" s="1"/>
  <c r="BF81" i="1"/>
  <c r="BL81" i="1" s="1"/>
  <c r="BC81" i="1"/>
  <c r="BD81" i="1" s="1"/>
  <c r="BF77" i="1"/>
  <c r="BL77" i="1" s="1"/>
  <c r="BC77" i="1"/>
  <c r="BD77" i="1" s="1"/>
  <c r="AI34" i="1"/>
  <c r="AI35" i="1" s="1"/>
  <c r="AI36" i="1" s="1"/>
  <c r="AI37" i="1" s="1"/>
  <c r="BC5" i="1"/>
  <c r="BD5" i="1" s="1"/>
  <c r="BB5" i="1" s="1"/>
  <c r="BF65" i="1"/>
  <c r="BL65" i="1" s="1"/>
  <c r="BC65" i="1"/>
  <c r="BD65" i="1" s="1"/>
  <c r="BB65" i="1" s="1"/>
  <c r="F17" i="18" s="1"/>
  <c r="BC59" i="1"/>
  <c r="BD59" i="1" s="1"/>
  <c r="BB59" i="1" s="1"/>
  <c r="F15" i="18" s="1"/>
  <c r="BG59" i="1"/>
  <c r="BF101" i="1"/>
  <c r="BL101" i="1" s="1"/>
  <c r="BC101" i="1"/>
  <c r="BD101" i="1" s="1"/>
  <c r="BB101" i="1" s="1"/>
  <c r="F26" i="18" s="1"/>
  <c r="BF121" i="1"/>
  <c r="BL121" i="1" s="1"/>
  <c r="BC121" i="1"/>
  <c r="BD121" i="1" s="1"/>
  <c r="BB121" i="1" s="1"/>
  <c r="F31" i="18" s="1"/>
  <c r="BF109" i="1"/>
  <c r="BL109" i="1" s="1"/>
  <c r="BC109" i="1"/>
  <c r="BD109" i="1" s="1"/>
  <c r="BB109" i="1" s="1"/>
  <c r="F28" i="18" s="1"/>
  <c r="BC73" i="1"/>
  <c r="BD73" i="1" s="1"/>
  <c r="BB73" i="1" s="1"/>
  <c r="F19" i="18" s="1"/>
  <c r="BF73" i="1"/>
  <c r="BL73" i="1" s="1"/>
  <c r="BF51" i="1"/>
  <c r="BL51" i="1" s="1"/>
  <c r="BC51" i="1"/>
  <c r="BD51" i="1" s="1"/>
  <c r="BB51" i="1" s="1"/>
  <c r="F13" i="18" s="1"/>
  <c r="BF61" i="1"/>
  <c r="BL61" i="1" s="1"/>
  <c r="BC61" i="1"/>
  <c r="BD61" i="1" s="1"/>
  <c r="BB61" i="1" s="1"/>
  <c r="F16" i="18" s="1"/>
  <c r="BF38" i="1"/>
  <c r="BC38" i="1"/>
  <c r="BD38" i="1" s="1"/>
  <c r="BB38" i="1" s="1"/>
  <c r="F10" i="18" s="1"/>
  <c r="BF133" i="1"/>
  <c r="BL133" i="1" s="1"/>
  <c r="BC133" i="1"/>
  <c r="BD133" i="1" s="1"/>
  <c r="BB133" i="1" s="1"/>
  <c r="F34" i="18" s="1"/>
  <c r="BC89" i="1"/>
  <c r="BD89" i="1" s="1"/>
  <c r="BB89" i="1" s="1"/>
  <c r="F23" i="18" s="1"/>
  <c r="BF89" i="1"/>
  <c r="BL89" i="1" s="1"/>
  <c r="BF13" i="1"/>
  <c r="BL13" i="1" s="1"/>
  <c r="BC13" i="1"/>
  <c r="BD13" i="1" s="1"/>
  <c r="BB13" i="1" s="1"/>
  <c r="F4" i="18" s="1"/>
  <c r="G5" i="18" s="1"/>
  <c r="BF33" i="1"/>
  <c r="BL33" i="1" s="1"/>
  <c r="BC33" i="1"/>
  <c r="BD33" i="1" s="1"/>
  <c r="BB33" i="1" s="1"/>
  <c r="F9" i="18" s="1"/>
  <c r="BF85" i="1"/>
  <c r="BL85" i="1" s="1"/>
  <c r="BC85" i="1"/>
  <c r="BD85" i="1" s="1"/>
  <c r="BB85" i="1" s="1"/>
  <c r="F22" i="18" s="1"/>
  <c r="BF126" i="1"/>
  <c r="BL126" i="1" s="1"/>
  <c r="BC126" i="1"/>
  <c r="BD126" i="1" s="1"/>
  <c r="BB126" i="1" s="1"/>
  <c r="F32" i="18" s="1"/>
  <c r="BC105" i="1"/>
  <c r="BD105" i="1" s="1"/>
  <c r="BB105" i="1" s="1"/>
  <c r="F27" i="18" s="1"/>
  <c r="BF105" i="1"/>
  <c r="BL105" i="1" s="1"/>
  <c r="BF55" i="1"/>
  <c r="BL55" i="1" s="1"/>
  <c r="BC55" i="1"/>
  <c r="BD55" i="1" s="1"/>
  <c r="BB55" i="1" s="1"/>
  <c r="F14" i="18" s="1"/>
  <c r="BC43" i="1"/>
  <c r="BF117" i="1"/>
  <c r="BL117" i="1" s="1"/>
  <c r="BC117" i="1"/>
  <c r="BD117" i="1" s="1"/>
  <c r="BB117" i="1" s="1"/>
  <c r="F30" i="18" s="1"/>
  <c r="BF135" i="1"/>
  <c r="BL135" i="1" s="1"/>
  <c r="BC135" i="1"/>
  <c r="BD135" i="1" s="1"/>
  <c r="BB135" i="1" s="1"/>
  <c r="F35" i="18" s="1"/>
  <c r="H35" i="18" s="1"/>
  <c r="BF9" i="1"/>
  <c r="BL9" i="1" s="1"/>
  <c r="BC9" i="1"/>
  <c r="BD9" i="1" s="1"/>
  <c r="BB9" i="1" s="1"/>
  <c r="BF17" i="1"/>
  <c r="BL17" i="1" s="1"/>
  <c r="BC17" i="1"/>
  <c r="BD17" i="1" s="1"/>
  <c r="BB17" i="1" s="1"/>
  <c r="BF69" i="1"/>
  <c r="BL69" i="1" s="1"/>
  <c r="BC69" i="1"/>
  <c r="BD69" i="1" s="1"/>
  <c r="BB69" i="1" s="1"/>
  <c r="F18" i="18" s="1"/>
  <c r="BF25" i="1"/>
  <c r="BL25" i="1" s="1"/>
  <c r="BC25" i="1"/>
  <c r="BD25" i="1" s="1"/>
  <c r="BB25" i="1" s="1"/>
  <c r="F7" i="18" s="1"/>
  <c r="BC97" i="1"/>
  <c r="BD97" i="1" s="1"/>
  <c r="BB97" i="1" s="1"/>
  <c r="F25" i="18" s="1"/>
  <c r="BF97" i="1"/>
  <c r="BL97" i="1" s="1"/>
  <c r="BF130" i="1"/>
  <c r="BL130" i="1" s="1"/>
  <c r="BC130" i="1"/>
  <c r="BD130" i="1" s="1"/>
  <c r="BB130" i="1" s="1"/>
  <c r="F33" i="18" s="1"/>
  <c r="BF21" i="1"/>
  <c r="BL21" i="1" s="1"/>
  <c r="BC21" i="1"/>
  <c r="BD21" i="1" s="1"/>
  <c r="BB21" i="1" s="1"/>
  <c r="F6" i="18" s="1"/>
  <c r="BF29" i="1"/>
  <c r="BL29" i="1" s="1"/>
  <c r="BC29" i="1"/>
  <c r="BD29" i="1" s="1"/>
  <c r="BB29" i="1" s="1"/>
  <c r="F8" i="18" s="1"/>
  <c r="BF93" i="1"/>
  <c r="BL93" i="1" s="1"/>
  <c r="BC93" i="1"/>
  <c r="BD93" i="1" s="1"/>
  <c r="BB93" i="1" s="1"/>
  <c r="F24" i="18" s="1"/>
  <c r="BF47" i="1"/>
  <c r="BL47" i="1" s="1"/>
  <c r="BC47" i="1"/>
  <c r="BD47" i="1" s="1"/>
  <c r="BB47" i="1" s="1"/>
  <c r="F12" i="18" s="1"/>
  <c r="BF113" i="1"/>
  <c r="BL113" i="1" s="1"/>
  <c r="BC113" i="1"/>
  <c r="BD113" i="1" s="1"/>
  <c r="BB113" i="1" s="1"/>
  <c r="F29" i="18" s="1"/>
  <c r="J7" i="13"/>
  <c r="J4" i="13"/>
  <c r="J8" i="13"/>
  <c r="J11" i="13"/>
  <c r="J6" i="13"/>
  <c r="J9" i="13"/>
  <c r="J3" i="13"/>
  <c r="J10" i="13"/>
  <c r="J2" i="13"/>
  <c r="J5" i="13"/>
  <c r="BB77" i="1" l="1"/>
  <c r="F20" i="18" s="1"/>
  <c r="H32" i="18"/>
  <c r="G33" i="18"/>
  <c r="G7" i="18"/>
  <c r="H6" i="18"/>
  <c r="G35" i="18"/>
  <c r="H34" i="18"/>
  <c r="BI17" i="1"/>
  <c r="F5" i="18"/>
  <c r="G31" i="18"/>
  <c r="H30" i="18"/>
  <c r="H33" i="18"/>
  <c r="G34" i="18"/>
  <c r="G20" i="18"/>
  <c r="H19" i="18"/>
  <c r="G15" i="18"/>
  <c r="H14" i="18"/>
  <c r="G10" i="18"/>
  <c r="H9" i="18"/>
  <c r="G11" i="18"/>
  <c r="H10" i="18"/>
  <c r="G29" i="18"/>
  <c r="H28" i="18"/>
  <c r="G18" i="18"/>
  <c r="H17" i="18"/>
  <c r="G27" i="18"/>
  <c r="H26" i="18"/>
  <c r="H29" i="18"/>
  <c r="G30" i="18"/>
  <c r="AG38" i="1"/>
  <c r="AG39" i="1" s="1"/>
  <c r="AG40" i="1" s="1"/>
  <c r="AG41" i="1" s="1"/>
  <c r="AG42" i="1" s="1"/>
  <c r="E9" i="18"/>
  <c r="G13" i="18"/>
  <c r="H12" i="18"/>
  <c r="H15" i="18"/>
  <c r="G16" i="18"/>
  <c r="G25" i="18"/>
  <c r="H24" i="18"/>
  <c r="G14" i="18"/>
  <c r="H13" i="18"/>
  <c r="G19" i="18"/>
  <c r="H18" i="18"/>
  <c r="G23" i="18"/>
  <c r="H22" i="18"/>
  <c r="G17" i="18"/>
  <c r="H16" i="18"/>
  <c r="G21" i="18"/>
  <c r="H20" i="18"/>
  <c r="G24" i="18"/>
  <c r="H23" i="18"/>
  <c r="H25" i="18"/>
  <c r="G26" i="18"/>
  <c r="G32" i="18"/>
  <c r="H31" i="18"/>
  <c r="E55" i="24"/>
  <c r="E55" i="25"/>
  <c r="O11" i="18"/>
  <c r="E55" i="15"/>
  <c r="H8" i="18"/>
  <c r="G9" i="18"/>
  <c r="H7" i="18"/>
  <c r="G8" i="18"/>
  <c r="G28" i="18"/>
  <c r="H27" i="18"/>
  <c r="AI38" i="1"/>
  <c r="AI39" i="1" s="1"/>
  <c r="AI40" i="1" s="1"/>
  <c r="AI41" i="1" s="1"/>
  <c r="AI42" i="1" s="1"/>
  <c r="N9" i="18"/>
  <c r="BL38" i="1"/>
  <c r="BM38" i="1" s="1"/>
  <c r="BG85" i="1"/>
  <c r="BE85" i="1" s="1"/>
  <c r="BM85" i="1"/>
  <c r="BG133" i="1"/>
  <c r="BE133" i="1" s="1"/>
  <c r="BM133" i="1"/>
  <c r="BG135" i="1"/>
  <c r="BE135" i="1" s="1"/>
  <c r="BM135" i="1"/>
  <c r="BG101" i="1"/>
  <c r="BE101" i="1" s="1"/>
  <c r="BM101" i="1"/>
  <c r="BG117" i="1"/>
  <c r="BE117" i="1" s="1"/>
  <c r="BM117" i="1"/>
  <c r="BG73" i="1"/>
  <c r="BE73" i="1" s="1"/>
  <c r="BM73" i="1"/>
  <c r="BM77" i="1" s="1"/>
  <c r="BG130" i="1"/>
  <c r="BE130" i="1" s="1"/>
  <c r="BM130" i="1"/>
  <c r="BG97" i="1"/>
  <c r="BE97" i="1" s="1"/>
  <c r="BM97" i="1"/>
  <c r="BG55" i="1"/>
  <c r="BE55" i="1" s="1"/>
  <c r="BE59" i="1" s="1"/>
  <c r="BM55" i="1"/>
  <c r="BM59" i="1" s="1"/>
  <c r="BG109" i="1"/>
  <c r="BE109" i="1" s="1"/>
  <c r="BM109" i="1"/>
  <c r="BG65" i="1"/>
  <c r="BE65" i="1" s="1"/>
  <c r="BM65" i="1"/>
  <c r="BG126" i="1"/>
  <c r="BE126" i="1" s="1"/>
  <c r="BM126" i="1"/>
  <c r="BG113" i="1"/>
  <c r="BE113" i="1" s="1"/>
  <c r="BM113" i="1"/>
  <c r="BG69" i="1"/>
  <c r="BE69" i="1" s="1"/>
  <c r="BM69" i="1"/>
  <c r="BG93" i="1"/>
  <c r="BE93" i="1" s="1"/>
  <c r="BM93" i="1"/>
  <c r="BG105" i="1"/>
  <c r="BE105" i="1" s="1"/>
  <c r="BM105" i="1"/>
  <c r="BG77" i="1"/>
  <c r="BG89" i="1"/>
  <c r="BE89" i="1" s="1"/>
  <c r="BM89" i="1"/>
  <c r="BG81" i="1"/>
  <c r="BG51" i="1"/>
  <c r="BE51" i="1" s="1"/>
  <c r="BM51" i="1"/>
  <c r="BG61" i="1"/>
  <c r="BE61" i="1" s="1"/>
  <c r="BM61" i="1"/>
  <c r="BG121" i="1"/>
  <c r="BE121" i="1" s="1"/>
  <c r="BM121" i="1"/>
  <c r="BG21" i="1"/>
  <c r="BE21" i="1" s="1"/>
  <c r="BM21" i="1"/>
  <c r="BG47" i="1"/>
  <c r="BE47" i="1" s="1"/>
  <c r="BM47" i="1"/>
  <c r="BG17" i="1"/>
  <c r="BE17" i="1" s="1"/>
  <c r="BM17" i="1"/>
  <c r="BG29" i="1"/>
  <c r="BE29" i="1" s="1"/>
  <c r="BM29" i="1"/>
  <c r="BG33" i="1"/>
  <c r="BE33" i="1" s="1"/>
  <c r="BM33" i="1"/>
  <c r="BG38" i="1"/>
  <c r="BE38" i="1" s="1"/>
  <c r="BG25" i="1"/>
  <c r="BE25" i="1" s="1"/>
  <c r="BM25" i="1"/>
  <c r="BG9" i="1"/>
  <c r="BE9" i="1" s="1"/>
  <c r="BG13" i="1"/>
  <c r="BB81" i="1"/>
  <c r="F21" i="18" s="1"/>
  <c r="BH73" i="1"/>
  <c r="BI69" i="1"/>
  <c r="BH121" i="1"/>
  <c r="BI117" i="1"/>
  <c r="BH55" i="1"/>
  <c r="BI51" i="1"/>
  <c r="BI47" i="1"/>
  <c r="BH51" i="1"/>
  <c r="BI73" i="1"/>
  <c r="BH77" i="1"/>
  <c r="BI97" i="1"/>
  <c r="BH101" i="1"/>
  <c r="BH17" i="1"/>
  <c r="BH43" i="1"/>
  <c r="BI38" i="1"/>
  <c r="BI109" i="1"/>
  <c r="BH113" i="1"/>
  <c r="BH69" i="1"/>
  <c r="BI65" i="1"/>
  <c r="BI113" i="1"/>
  <c r="BH117" i="1"/>
  <c r="BI89" i="1"/>
  <c r="BH93" i="1"/>
  <c r="BH135" i="1"/>
  <c r="BI133" i="1"/>
  <c r="BH21" i="1"/>
  <c r="BH38" i="1"/>
  <c r="BI33" i="1"/>
  <c r="BI29" i="1"/>
  <c r="BH33" i="1"/>
  <c r="BH29" i="1"/>
  <c r="BI25" i="1"/>
  <c r="BI135" i="1"/>
  <c r="BH109" i="1"/>
  <c r="BI105" i="1"/>
  <c r="BI21" i="1"/>
  <c r="BH25" i="1"/>
  <c r="BI85" i="1"/>
  <c r="BH89" i="1"/>
  <c r="BH105" i="1"/>
  <c r="BI101" i="1"/>
  <c r="BI130" i="1"/>
  <c r="BH133" i="1"/>
  <c r="BD43" i="1"/>
  <c r="BB43" i="1" s="1"/>
  <c r="F11" i="18" s="1"/>
  <c r="BH59" i="1"/>
  <c r="BI55" i="1"/>
  <c r="BI93" i="1"/>
  <c r="BH97" i="1"/>
  <c r="BI126" i="1"/>
  <c r="BH130" i="1"/>
  <c r="BI61" i="1"/>
  <c r="BH65" i="1"/>
  <c r="BH126" i="1"/>
  <c r="BI121" i="1"/>
  <c r="U2" i="13" a="1"/>
  <c r="H11" i="18" l="1"/>
  <c r="G12" i="18"/>
  <c r="O16" i="18"/>
  <c r="E60" i="25"/>
  <c r="E60" i="24"/>
  <c r="E60" i="15"/>
  <c r="O25" i="18"/>
  <c r="E69" i="24"/>
  <c r="E69" i="25"/>
  <c r="E69" i="15"/>
  <c r="O26" i="18"/>
  <c r="E70" i="24"/>
  <c r="E70" i="25"/>
  <c r="E70" i="15"/>
  <c r="AG43" i="1"/>
  <c r="AG44" i="1" s="1"/>
  <c r="AG45" i="1" s="1"/>
  <c r="AG46" i="1" s="1"/>
  <c r="E10" i="18"/>
  <c r="E51" i="24"/>
  <c r="E51" i="25"/>
  <c r="O7" i="18"/>
  <c r="E51" i="15"/>
  <c r="E54" i="24"/>
  <c r="E54" i="25"/>
  <c r="O10" i="18"/>
  <c r="E54" i="15"/>
  <c r="O12" i="18"/>
  <c r="E56" i="25"/>
  <c r="E56" i="24"/>
  <c r="E56" i="15"/>
  <c r="O13" i="18"/>
  <c r="E57" i="25"/>
  <c r="E57" i="24"/>
  <c r="E57" i="15"/>
  <c r="O24" i="18"/>
  <c r="E68" i="25"/>
  <c r="E68" i="24"/>
  <c r="E68" i="15"/>
  <c r="O17" i="18"/>
  <c r="E61" i="24"/>
  <c r="E61" i="25"/>
  <c r="E61" i="15"/>
  <c r="E77" i="25"/>
  <c r="O33" i="18"/>
  <c r="E77" i="24"/>
  <c r="E77" i="15"/>
  <c r="O35" i="18"/>
  <c r="Q35" i="18" s="1"/>
  <c r="E79" i="24"/>
  <c r="E79" i="25"/>
  <c r="E79" i="15"/>
  <c r="O32" i="18"/>
  <c r="E76" i="25"/>
  <c r="E76" i="24"/>
  <c r="E76" i="15"/>
  <c r="AI43" i="1"/>
  <c r="AI44" i="1" s="1"/>
  <c r="AI45" i="1" s="1"/>
  <c r="AI46" i="1" s="1"/>
  <c r="N10" i="18"/>
  <c r="O9" i="18"/>
  <c r="E53" i="24"/>
  <c r="E53" i="25"/>
  <c r="E53" i="15"/>
  <c r="O6" i="18"/>
  <c r="E50" i="24"/>
  <c r="E50" i="25"/>
  <c r="E50" i="15"/>
  <c r="E62" i="24"/>
  <c r="O18" i="18"/>
  <c r="E62" i="25"/>
  <c r="E62" i="15"/>
  <c r="O28" i="18"/>
  <c r="E72" i="25"/>
  <c r="E72" i="24"/>
  <c r="E72" i="15"/>
  <c r="E63" i="24"/>
  <c r="O19" i="18"/>
  <c r="E63" i="25"/>
  <c r="E63" i="15"/>
  <c r="O34" i="18"/>
  <c r="E78" i="24"/>
  <c r="E78" i="25"/>
  <c r="E78" i="15"/>
  <c r="P12" i="18"/>
  <c r="Q11" i="18"/>
  <c r="E59" i="24"/>
  <c r="E59" i="25"/>
  <c r="G6" i="18"/>
  <c r="H5" i="18"/>
  <c r="O5" i="18"/>
  <c r="E49" i="25"/>
  <c r="E49" i="24"/>
  <c r="E49" i="15"/>
  <c r="O27" i="18"/>
  <c r="E71" i="24"/>
  <c r="E71" i="25"/>
  <c r="E71" i="15"/>
  <c r="O23" i="18"/>
  <c r="E67" i="24"/>
  <c r="E67" i="25"/>
  <c r="E67" i="15"/>
  <c r="BE13" i="1"/>
  <c r="O4" i="18" s="1"/>
  <c r="O8" i="18"/>
  <c r="E52" i="25"/>
  <c r="E52" i="24"/>
  <c r="E52" i="15"/>
  <c r="O31" i="18"/>
  <c r="E75" i="24"/>
  <c r="E75" i="25"/>
  <c r="E75" i="15"/>
  <c r="BE77" i="1"/>
  <c r="BE81" i="1" s="1"/>
  <c r="O29" i="18"/>
  <c r="E73" i="25"/>
  <c r="E73" i="24"/>
  <c r="E73" i="15"/>
  <c r="O14" i="18"/>
  <c r="E58" i="24"/>
  <c r="E58" i="25"/>
  <c r="E58" i="15"/>
  <c r="E74" i="24"/>
  <c r="O30" i="18"/>
  <c r="E74" i="25"/>
  <c r="E74" i="15"/>
  <c r="O22" i="18"/>
  <c r="E66" i="24"/>
  <c r="E66" i="25"/>
  <c r="E66" i="15"/>
  <c r="E6" i="25" a="1"/>
  <c r="E6" i="24" a="1"/>
  <c r="E6" i="15" a="1"/>
  <c r="G22" i="18"/>
  <c r="H21" i="18"/>
  <c r="BJ93" i="1"/>
  <c r="BK89" i="1"/>
  <c r="BJ77" i="1"/>
  <c r="BK73" i="1"/>
  <c r="BK133" i="1"/>
  <c r="BJ135" i="1"/>
  <c r="BJ126" i="1"/>
  <c r="BK121" i="1"/>
  <c r="BK17" i="1"/>
  <c r="BJ21" i="1"/>
  <c r="BJ59" i="1"/>
  <c r="BK55" i="1"/>
  <c r="BK25" i="1"/>
  <c r="BJ29" i="1"/>
  <c r="BK43" i="1"/>
  <c r="BJ47" i="1"/>
  <c r="BK135" i="1"/>
  <c r="BI77" i="1"/>
  <c r="BM81" i="1"/>
  <c r="BH81" i="1"/>
  <c r="BI43" i="1"/>
  <c r="BH47" i="1"/>
  <c r="BH61" i="1"/>
  <c r="BI59" i="1"/>
  <c r="BI81" i="1"/>
  <c r="BH85" i="1"/>
  <c r="U2" i="13"/>
  <c r="W2" i="13" s="1"/>
  <c r="Y4" i="13"/>
  <c r="X2" i="13"/>
  <c r="AM22" i="1"/>
  <c r="AM128" i="1"/>
  <c r="AM131" i="1"/>
  <c r="AM40" i="1"/>
  <c r="AM123" i="1"/>
  <c r="AM23" i="1"/>
  <c r="AM26" i="1"/>
  <c r="AM127" i="1"/>
  <c r="AM15" i="1"/>
  <c r="AM129" i="1"/>
  <c r="AM78" i="1"/>
  <c r="AM18" i="1"/>
  <c r="AM53" i="1"/>
  <c r="AM96" i="1"/>
  <c r="AM54" i="1"/>
  <c r="AM100" i="1"/>
  <c r="AM30" i="1"/>
  <c r="AM67" i="1"/>
  <c r="AM119" i="1"/>
  <c r="AM88" i="1"/>
  <c r="AM32" i="1"/>
  <c r="AM34" i="1"/>
  <c r="AM19" i="1"/>
  <c r="AM132" i="1"/>
  <c r="AM31" i="1"/>
  <c r="AM72" i="1"/>
  <c r="AM106" i="1"/>
  <c r="AM36" i="1"/>
  <c r="AM20" i="1"/>
  <c r="AM124" i="1"/>
  <c r="AM8" i="1"/>
  <c r="AM49" i="1"/>
  <c r="AM112" i="1"/>
  <c r="AM11" i="1"/>
  <c r="AM76" i="1"/>
  <c r="AM35" i="1"/>
  <c r="AM58" i="1"/>
  <c r="AM91" i="1"/>
  <c r="AM111" i="1"/>
  <c r="AM28" i="1"/>
  <c r="AM122" i="1"/>
  <c r="AM114" i="1"/>
  <c r="AM41" i="1"/>
  <c r="AM27" i="1"/>
  <c r="AM62" i="1"/>
  <c r="AM37" i="1"/>
  <c r="AM102" i="1"/>
  <c r="AM10" i="1"/>
  <c r="AM71" i="1"/>
  <c r="AM103" i="1"/>
  <c r="AM24" i="1"/>
  <c r="AM116" i="1"/>
  <c r="AM104" i="1"/>
  <c r="AM16" i="1"/>
  <c r="AM84" i="1"/>
  <c r="AM134" i="1"/>
  <c r="AM99" i="1"/>
  <c r="AM75" i="1"/>
  <c r="AM46" i="1"/>
  <c r="AM98" i="1"/>
  <c r="AM108" i="1"/>
  <c r="AM52" i="1"/>
  <c r="AM14" i="1"/>
  <c r="AM94" i="1"/>
  <c r="AM107" i="1"/>
  <c r="AM70" i="1"/>
  <c r="AM68" i="1"/>
  <c r="AM50" i="1"/>
  <c r="AM74" i="1"/>
  <c r="AM4" i="1"/>
  <c r="AM120" i="1"/>
  <c r="AM83" i="1"/>
  <c r="AM90" i="1"/>
  <c r="AM64" i="1"/>
  <c r="AM80" i="1"/>
  <c r="AM63" i="1"/>
  <c r="AM66" i="1"/>
  <c r="AM82" i="1"/>
  <c r="AM44" i="1"/>
  <c r="AM39" i="1"/>
  <c r="AM56" i="1"/>
  <c r="AM137" i="1"/>
  <c r="AM48" i="1"/>
  <c r="AM12" i="1"/>
  <c r="AM79" i="1"/>
  <c r="AM110" i="1"/>
  <c r="AM42" i="1"/>
  <c r="AM115" i="1"/>
  <c r="AM87" i="1"/>
  <c r="AM57" i="1"/>
  <c r="AM136" i="1"/>
  <c r="AM125" i="1"/>
  <c r="AM7" i="1"/>
  <c r="AM118" i="1"/>
  <c r="AM95" i="1"/>
  <c r="AM6" i="1"/>
  <c r="AM45" i="1"/>
  <c r="AM86" i="1"/>
  <c r="AM60" i="1"/>
  <c r="AM92" i="1"/>
  <c r="U30" i="13" l="1"/>
  <c r="U29" i="13"/>
  <c r="U25" i="13"/>
  <c r="T25" i="13"/>
  <c r="U24" i="13"/>
  <c r="T24" i="13"/>
  <c r="AI47" i="1"/>
  <c r="N11" i="18"/>
  <c r="E65" i="25"/>
  <c r="E65" i="24"/>
  <c r="P28" i="18"/>
  <c r="Q27" i="18"/>
  <c r="P34" i="18"/>
  <c r="Q33" i="18"/>
  <c r="P18" i="18"/>
  <c r="Q17" i="18"/>
  <c r="P8" i="18"/>
  <c r="Q7" i="18"/>
  <c r="Q6" i="18"/>
  <c r="P7" i="18"/>
  <c r="Q22" i="18"/>
  <c r="P23" i="18"/>
  <c r="P24" i="18"/>
  <c r="Q23" i="18"/>
  <c r="Q34" i="18"/>
  <c r="P35" i="18"/>
  <c r="Q10" i="18"/>
  <c r="P11" i="18"/>
  <c r="P17" i="18"/>
  <c r="Q16" i="18"/>
  <c r="P19" i="18"/>
  <c r="Q18" i="18"/>
  <c r="Q32" i="18"/>
  <c r="P33" i="18"/>
  <c r="Q12" i="18"/>
  <c r="P13" i="18"/>
  <c r="Q13" i="18"/>
  <c r="P14" i="18"/>
  <c r="P20" i="18"/>
  <c r="Q19" i="18"/>
  <c r="P26" i="18"/>
  <c r="Q25" i="18"/>
  <c r="E48" i="25"/>
  <c r="E48" i="15"/>
  <c r="P5" i="18"/>
  <c r="E48" i="24"/>
  <c r="P6" i="18"/>
  <c r="Q5" i="18"/>
  <c r="Q29" i="18"/>
  <c r="P30" i="18"/>
  <c r="Q30" i="18"/>
  <c r="P31" i="18"/>
  <c r="P15" i="18"/>
  <c r="Q14" i="18"/>
  <c r="P10" i="18"/>
  <c r="Q9" i="18"/>
  <c r="P27" i="18"/>
  <c r="Q26" i="18"/>
  <c r="P32" i="18"/>
  <c r="Q31" i="18"/>
  <c r="BJ17" i="1"/>
  <c r="E64" i="25"/>
  <c r="E64" i="24"/>
  <c r="Q28" i="18"/>
  <c r="P29" i="18"/>
  <c r="Q24" i="18"/>
  <c r="P25" i="18"/>
  <c r="P9" i="18"/>
  <c r="Q8" i="18"/>
  <c r="AG47" i="1"/>
  <c r="AG48" i="1" s="1"/>
  <c r="AG49" i="1" s="1"/>
  <c r="AG50" i="1" s="1"/>
  <c r="E11" i="18"/>
  <c r="E6" i="15"/>
  <c r="E6" i="24"/>
  <c r="E6" i="25"/>
  <c r="BJ81" i="1"/>
  <c r="O20" i="18"/>
  <c r="E64" i="15"/>
  <c r="O15" i="18"/>
  <c r="E59" i="15"/>
  <c r="BK77" i="1"/>
  <c r="BJ61" i="1"/>
  <c r="BK59" i="1"/>
  <c r="BK130" i="1"/>
  <c r="BJ133" i="1"/>
  <c r="BJ113" i="1"/>
  <c r="BK109" i="1"/>
  <c r="BK33" i="1"/>
  <c r="BJ38" i="1"/>
  <c r="BK97" i="1"/>
  <c r="BJ101" i="1"/>
  <c r="BK51" i="1"/>
  <c r="BJ55" i="1"/>
  <c r="BK93" i="1"/>
  <c r="BJ97" i="1"/>
  <c r="BK105" i="1"/>
  <c r="BJ109" i="1"/>
  <c r="BK113" i="1"/>
  <c r="BJ117" i="1"/>
  <c r="BJ33" i="1"/>
  <c r="BK29" i="1"/>
  <c r="BK38" i="1"/>
  <c r="BJ43" i="1"/>
  <c r="BJ121" i="1"/>
  <c r="BK117" i="1"/>
  <c r="BJ69" i="1"/>
  <c r="BK65" i="1"/>
  <c r="BK69" i="1"/>
  <c r="BJ73" i="1"/>
  <c r="BK126" i="1"/>
  <c r="BJ130" i="1"/>
  <c r="BK61" i="1"/>
  <c r="BJ65" i="1"/>
  <c r="BJ25" i="1"/>
  <c r="BK21" i="1"/>
  <c r="BK101" i="1"/>
  <c r="BJ105" i="1"/>
  <c r="BK47" i="1"/>
  <c r="BJ51" i="1"/>
  <c r="BK85" i="1"/>
  <c r="BJ89" i="1"/>
  <c r="AI48" i="1"/>
  <c r="AI49" i="1" s="1"/>
  <c r="AI50" i="1" s="1"/>
  <c r="AL23" i="1"/>
  <c r="AN23" i="1" s="1"/>
  <c r="AP23" i="1" s="1"/>
  <c r="AL22" i="1"/>
  <c r="AN22" i="1" s="1"/>
  <c r="AP22" i="1" s="1"/>
  <c r="AL42" i="1"/>
  <c r="AN42" i="1" s="1"/>
  <c r="AP42" i="1" s="1"/>
  <c r="AL67" i="1"/>
  <c r="AN67" i="1" s="1"/>
  <c r="AP67" i="1" s="1"/>
  <c r="AL50" i="1"/>
  <c r="AN50" i="1" s="1"/>
  <c r="AP50" i="1" s="1"/>
  <c r="AL119" i="1"/>
  <c r="AN119" i="1" s="1"/>
  <c r="AP119" i="1" s="1"/>
  <c r="AL131" i="1"/>
  <c r="AN131" i="1" s="1"/>
  <c r="AP131" i="1" s="1"/>
  <c r="AL72" i="1"/>
  <c r="AN72" i="1" s="1"/>
  <c r="AP72" i="1" s="1"/>
  <c r="AL102" i="1"/>
  <c r="AN102" i="1" s="1"/>
  <c r="AP102" i="1" s="1"/>
  <c r="AL83" i="1"/>
  <c r="AN83" i="1" s="1"/>
  <c r="AP83" i="1" s="1"/>
  <c r="AL41" i="1"/>
  <c r="AN41" i="1" s="1"/>
  <c r="AP41" i="1" s="1"/>
  <c r="AL114" i="1"/>
  <c r="AN114" i="1" s="1"/>
  <c r="AP114" i="1" s="1"/>
  <c r="AL80" i="1"/>
  <c r="AN80" i="1" s="1"/>
  <c r="AP80" i="1" s="1"/>
  <c r="AL110" i="1"/>
  <c r="AN110" i="1" s="1"/>
  <c r="AP110" i="1" s="1"/>
  <c r="AL46" i="1"/>
  <c r="AN46" i="1" s="1"/>
  <c r="AP46" i="1" s="1"/>
  <c r="AL120" i="1"/>
  <c r="AN120" i="1" s="1"/>
  <c r="AP120" i="1" s="1"/>
  <c r="AL35" i="1"/>
  <c r="AN35" i="1" s="1"/>
  <c r="AP35" i="1" s="1"/>
  <c r="AL12" i="1"/>
  <c r="AN12" i="1" s="1"/>
  <c r="AP12" i="1" s="1"/>
  <c r="AL26" i="1"/>
  <c r="AN26" i="1" s="1"/>
  <c r="AP26" i="1" s="1"/>
  <c r="AL127" i="1"/>
  <c r="AN127" i="1" s="1"/>
  <c r="AP127" i="1" s="1"/>
  <c r="AL52" i="1"/>
  <c r="AN52" i="1" s="1"/>
  <c r="AP52" i="1" s="1"/>
  <c r="AL27" i="1"/>
  <c r="AN27" i="1" s="1"/>
  <c r="AP27" i="1" s="1"/>
  <c r="AL31" i="1"/>
  <c r="AN31" i="1" s="1"/>
  <c r="AP31" i="1" s="1"/>
  <c r="AL18" i="1"/>
  <c r="AN18" i="1" s="1"/>
  <c r="AP18" i="1" s="1"/>
  <c r="AL71" i="1"/>
  <c r="AN71" i="1" s="1"/>
  <c r="AP71" i="1" s="1"/>
  <c r="AL116" i="1"/>
  <c r="AN116" i="1" s="1"/>
  <c r="AP116" i="1" s="1"/>
  <c r="AL39" i="1"/>
  <c r="AN39" i="1" s="1"/>
  <c r="AP39" i="1" s="1"/>
  <c r="AL36" i="1"/>
  <c r="AN36" i="1" s="1"/>
  <c r="AP36" i="1" s="1"/>
  <c r="AL132" i="1"/>
  <c r="AN132" i="1" s="1"/>
  <c r="AP132" i="1" s="1"/>
  <c r="AL88" i="1"/>
  <c r="AN88" i="1" s="1"/>
  <c r="AP88" i="1" s="1"/>
  <c r="AL37" i="1"/>
  <c r="AN37" i="1" s="1"/>
  <c r="AP37" i="1" s="1"/>
  <c r="AL19" i="1"/>
  <c r="AN19" i="1" s="1"/>
  <c r="AP19" i="1" s="1"/>
  <c r="AL76" i="1"/>
  <c r="AN76" i="1" s="1"/>
  <c r="AP76" i="1" s="1"/>
  <c r="AL48" i="1"/>
  <c r="AN48" i="1" s="1"/>
  <c r="AP48" i="1" s="1"/>
  <c r="AL136" i="1"/>
  <c r="AN136" i="1" s="1"/>
  <c r="AP136" i="1" s="1"/>
  <c r="AL66" i="1"/>
  <c r="AN66" i="1" s="1"/>
  <c r="AP66" i="1" s="1"/>
  <c r="AL53" i="1"/>
  <c r="AN53" i="1" s="1"/>
  <c r="AP53" i="1" s="1"/>
  <c r="AL44" i="1"/>
  <c r="AN44" i="1" s="1"/>
  <c r="AP44" i="1" s="1"/>
  <c r="AL58" i="1"/>
  <c r="AN58" i="1" s="1"/>
  <c r="AP58" i="1" s="1"/>
  <c r="AL104" i="1"/>
  <c r="AN104" i="1" s="1"/>
  <c r="AP104" i="1" s="1"/>
  <c r="AL7" i="1"/>
  <c r="AN7" i="1" s="1"/>
  <c r="AP7" i="1" s="1"/>
  <c r="AL91" i="1"/>
  <c r="AN91" i="1" s="1"/>
  <c r="AP91" i="1" s="1"/>
  <c r="AL82" i="1"/>
  <c r="AN82" i="1" s="1"/>
  <c r="AP82" i="1" s="1"/>
  <c r="AL107" i="1"/>
  <c r="AN107" i="1" s="1"/>
  <c r="AP107" i="1" s="1"/>
  <c r="AL20" i="1"/>
  <c r="AN20" i="1" s="1"/>
  <c r="AP20" i="1" s="1"/>
  <c r="AL134" i="1"/>
  <c r="AN134" i="1" s="1"/>
  <c r="AP134" i="1" s="1"/>
  <c r="AL103" i="1"/>
  <c r="AN103" i="1" s="1"/>
  <c r="AP103" i="1" s="1"/>
  <c r="AL124" i="1"/>
  <c r="AN124" i="1" s="1"/>
  <c r="AP124" i="1" s="1"/>
  <c r="AL4" i="1"/>
  <c r="AN4" i="1" s="1"/>
  <c r="AP4" i="1" s="1"/>
  <c r="AL54" i="1"/>
  <c r="AN54" i="1" s="1"/>
  <c r="AP54" i="1" s="1"/>
  <c r="AL74" i="1"/>
  <c r="AN74" i="1" s="1"/>
  <c r="AP74" i="1" s="1"/>
  <c r="AL125" i="1"/>
  <c r="AN125" i="1" s="1"/>
  <c r="AP125" i="1" s="1"/>
  <c r="AL45" i="1"/>
  <c r="AN45" i="1" s="1"/>
  <c r="AP45" i="1" s="1"/>
  <c r="AL16" i="1"/>
  <c r="AN16" i="1" s="1"/>
  <c r="AP16" i="1" s="1"/>
  <c r="AL56" i="1"/>
  <c r="AN56" i="1" s="1"/>
  <c r="AP56" i="1" s="1"/>
  <c r="AL96" i="1"/>
  <c r="AN96" i="1" s="1"/>
  <c r="AP96" i="1" s="1"/>
  <c r="AL24" i="1"/>
  <c r="AN24" i="1" s="1"/>
  <c r="AP24" i="1" s="1"/>
  <c r="AL108" i="1"/>
  <c r="AN108" i="1" s="1"/>
  <c r="AP108" i="1" s="1"/>
  <c r="AL94" i="1"/>
  <c r="AN94" i="1" s="1"/>
  <c r="AP94" i="1" s="1"/>
  <c r="AL84" i="1"/>
  <c r="AN84" i="1" s="1"/>
  <c r="AP84" i="1" s="1"/>
  <c r="AL75" i="1"/>
  <c r="AN75" i="1" s="1"/>
  <c r="AP75" i="1" s="1"/>
  <c r="AL60" i="1"/>
  <c r="AN60" i="1" s="1"/>
  <c r="AP60" i="1" s="1"/>
  <c r="AL70" i="1"/>
  <c r="AN70" i="1" s="1"/>
  <c r="AP70" i="1" s="1"/>
  <c r="AL10" i="1"/>
  <c r="AN10" i="1" s="1"/>
  <c r="AP10" i="1" s="1"/>
  <c r="AL28" i="1"/>
  <c r="AN28" i="1" s="1"/>
  <c r="AP28" i="1" s="1"/>
  <c r="AL137" i="1"/>
  <c r="AN137" i="1" s="1"/>
  <c r="AP137" i="1" s="1"/>
  <c r="AL64" i="1"/>
  <c r="AN64" i="1" s="1"/>
  <c r="AP64" i="1" s="1"/>
  <c r="AL68" i="1"/>
  <c r="AN68" i="1" s="1"/>
  <c r="AP68" i="1" s="1"/>
  <c r="AL11" i="1"/>
  <c r="AN11" i="1" s="1"/>
  <c r="AP11" i="1" s="1"/>
  <c r="AL122" i="1"/>
  <c r="AN122" i="1" s="1"/>
  <c r="AP122" i="1" s="1"/>
  <c r="AL49" i="1"/>
  <c r="AN49" i="1" s="1"/>
  <c r="AO49" i="1" s="1"/>
  <c r="AL98" i="1"/>
  <c r="AN98" i="1" s="1"/>
  <c r="AP98" i="1" s="1"/>
  <c r="AL115" i="1"/>
  <c r="AN115" i="1" s="1"/>
  <c r="AP115" i="1" s="1"/>
  <c r="AL79" i="1"/>
  <c r="AN79" i="1" s="1"/>
  <c r="AP79" i="1" s="1"/>
  <c r="AL8" i="1"/>
  <c r="AN8" i="1" s="1"/>
  <c r="AP8" i="1" s="1"/>
  <c r="AL128" i="1"/>
  <c r="AN128" i="1" s="1"/>
  <c r="AP128" i="1" s="1"/>
  <c r="AL112" i="1"/>
  <c r="AN112" i="1" s="1"/>
  <c r="AP112" i="1" s="1"/>
  <c r="AL30" i="1"/>
  <c r="AN30" i="1" s="1"/>
  <c r="AP30" i="1" s="1"/>
  <c r="AL63" i="1"/>
  <c r="AN63" i="1" s="1"/>
  <c r="AP63" i="1" s="1"/>
  <c r="AL87" i="1"/>
  <c r="AN87" i="1" s="1"/>
  <c r="AP87" i="1" s="1"/>
  <c r="AL95" i="1"/>
  <c r="AN95" i="1" s="1"/>
  <c r="AP95" i="1" s="1"/>
  <c r="AL106" i="1"/>
  <c r="AN106" i="1" s="1"/>
  <c r="AP106" i="1" s="1"/>
  <c r="AL118" i="1"/>
  <c r="AN118" i="1" s="1"/>
  <c r="AP118" i="1" s="1"/>
  <c r="AL90" i="1"/>
  <c r="AN90" i="1" s="1"/>
  <c r="AP90" i="1" s="1"/>
  <c r="AL111" i="1"/>
  <c r="AN111" i="1" s="1"/>
  <c r="AP111" i="1" s="1"/>
  <c r="AL129" i="1"/>
  <c r="AN129" i="1" s="1"/>
  <c r="AP129" i="1" s="1"/>
  <c r="AL32" i="1"/>
  <c r="AN32" i="1" s="1"/>
  <c r="AP32" i="1" s="1"/>
  <c r="AL100" i="1"/>
  <c r="AN100" i="1" s="1"/>
  <c r="AP100" i="1" s="1"/>
  <c r="AL78" i="1"/>
  <c r="AN78" i="1" s="1"/>
  <c r="AP78" i="1" s="1"/>
  <c r="AL40" i="1"/>
  <c r="AN40" i="1" s="1"/>
  <c r="AP40" i="1" s="1"/>
  <c r="AL86" i="1"/>
  <c r="AN86" i="1" s="1"/>
  <c r="AP86" i="1" s="1"/>
  <c r="AL14" i="1"/>
  <c r="AN14" i="1" s="1"/>
  <c r="AP14" i="1" s="1"/>
  <c r="AL99" i="1"/>
  <c r="AN99" i="1" s="1"/>
  <c r="AP99" i="1" s="1"/>
  <c r="AL57" i="1"/>
  <c r="AN57" i="1" s="1"/>
  <c r="AP57" i="1" s="1"/>
  <c r="AL15" i="1"/>
  <c r="AN15" i="1" s="1"/>
  <c r="AP15" i="1" s="1"/>
  <c r="AL6" i="1"/>
  <c r="AL123" i="1"/>
  <c r="AN123" i="1" s="1"/>
  <c r="AP123" i="1" s="1"/>
  <c r="AL62" i="1"/>
  <c r="AN62" i="1" s="1"/>
  <c r="AP62" i="1" s="1"/>
  <c r="AL34" i="1"/>
  <c r="AN34" i="1" s="1"/>
  <c r="AP34" i="1" s="1"/>
  <c r="AL92" i="1"/>
  <c r="AN92" i="1" s="1"/>
  <c r="AP92" i="1" s="1"/>
  <c r="AO42" i="1"/>
  <c r="AG51" i="1" l="1"/>
  <c r="AG52" i="1" s="1"/>
  <c r="AG53" i="1" s="1"/>
  <c r="AG54" i="1" s="1"/>
  <c r="E12" i="18"/>
  <c r="AI51" i="1"/>
  <c r="N12" i="18"/>
  <c r="Q20" i="18"/>
  <c r="P21" i="18"/>
  <c r="Q15" i="18"/>
  <c r="P16" i="18"/>
  <c r="O21" i="18"/>
  <c r="E65" i="15"/>
  <c r="BJ85" i="1"/>
  <c r="BK81" i="1"/>
  <c r="AO23" i="1"/>
  <c r="AO86" i="1"/>
  <c r="AO58" i="1"/>
  <c r="AO112" i="1"/>
  <c r="AO54" i="1"/>
  <c r="AO71" i="1"/>
  <c r="AN6" i="1"/>
  <c r="AP6" i="1" s="1"/>
  <c r="AP49" i="1"/>
  <c r="AI52" i="1"/>
  <c r="AI53" i="1" s="1"/>
  <c r="AI54" i="1" s="1"/>
  <c r="AO94" i="1"/>
  <c r="AO41" i="1"/>
  <c r="AO67" i="1"/>
  <c r="AO114" i="1"/>
  <c r="AO106" i="1"/>
  <c r="AO119" i="1"/>
  <c r="AO53" i="1"/>
  <c r="AO88" i="1"/>
  <c r="AO72" i="1"/>
  <c r="AO128" i="1"/>
  <c r="AO46" i="1"/>
  <c r="AO50" i="1"/>
  <c r="AO92" i="1"/>
  <c r="AO22" i="1"/>
  <c r="AO27" i="1"/>
  <c r="AO45" i="1"/>
  <c r="AO110" i="1"/>
  <c r="AO107" i="1"/>
  <c r="AO82" i="1"/>
  <c r="AO62" i="1"/>
  <c r="AO87" i="1"/>
  <c r="AO66" i="1"/>
  <c r="AO79" i="1"/>
  <c r="AO37" i="1"/>
  <c r="AO131" i="1"/>
  <c r="AO14" i="1"/>
  <c r="AO31" i="1"/>
  <c r="AO120" i="1"/>
  <c r="AO32" i="1"/>
  <c r="AO96" i="1"/>
  <c r="AO15" i="1"/>
  <c r="AO102" i="1"/>
  <c r="AO11" i="1"/>
  <c r="AO39" i="1"/>
  <c r="AO68" i="1"/>
  <c r="AO63" i="1"/>
  <c r="AO44" i="1"/>
  <c r="AO57" i="1"/>
  <c r="AO30" i="1"/>
  <c r="AO4" i="1"/>
  <c r="AO7" i="1"/>
  <c r="AO26" i="1"/>
  <c r="AO116" i="1"/>
  <c r="AO10" i="1"/>
  <c r="AO18" i="1"/>
  <c r="AO129" i="1"/>
  <c r="AO134" i="1"/>
  <c r="AO75" i="1"/>
  <c r="AO36" i="1"/>
  <c r="AO12" i="1"/>
  <c r="AO111" i="1"/>
  <c r="AO132" i="1"/>
  <c r="AO122" i="1"/>
  <c r="AO136" i="1"/>
  <c r="AO115" i="1"/>
  <c r="AO52" i="1"/>
  <c r="AO123" i="1"/>
  <c r="AO108" i="1"/>
  <c r="AO48" i="1"/>
  <c r="AO35" i="1"/>
  <c r="AO137" i="1"/>
  <c r="AO56" i="1"/>
  <c r="AO19" i="1"/>
  <c r="AO83" i="1"/>
  <c r="AO80" i="1"/>
  <c r="AO124" i="1"/>
  <c r="AO104" i="1"/>
  <c r="AO127" i="1"/>
  <c r="AO70" i="1"/>
  <c r="AO76" i="1"/>
  <c r="AO8" i="1"/>
  <c r="AO28" i="1"/>
  <c r="AO118" i="1"/>
  <c r="AO34" i="1"/>
  <c r="AO99" i="1"/>
  <c r="AO74" i="1"/>
  <c r="AO20" i="1"/>
  <c r="AO103" i="1"/>
  <c r="AO24" i="1"/>
  <c r="AO125" i="1"/>
  <c r="AO90" i="1"/>
  <c r="AO84" i="1"/>
  <c r="AO78" i="1"/>
  <c r="AO16" i="1"/>
  <c r="AO64" i="1"/>
  <c r="AO40" i="1"/>
  <c r="AO98" i="1"/>
  <c r="AO95" i="1"/>
  <c r="AO100" i="1"/>
  <c r="AO91" i="1"/>
  <c r="AO60" i="1"/>
  <c r="L15" i="1"/>
  <c r="D48" i="1"/>
  <c r="L137" i="1"/>
  <c r="L136" i="1"/>
  <c r="L135" i="1"/>
  <c r="L134" i="1"/>
  <c r="L133" i="1"/>
  <c r="L132" i="1"/>
  <c r="L131" i="1"/>
  <c r="L130" i="1"/>
  <c r="L129" i="1"/>
  <c r="L128" i="1"/>
  <c r="L127" i="1"/>
  <c r="L126" i="1"/>
  <c r="L125" i="1"/>
  <c r="L124" i="1"/>
  <c r="L123" i="1"/>
  <c r="L121" i="1"/>
  <c r="L120" i="1"/>
  <c r="L119" i="1"/>
  <c r="L118" i="1"/>
  <c r="L117" i="1"/>
  <c r="L116" i="1"/>
  <c r="L115" i="1"/>
  <c r="L114" i="1"/>
  <c r="L113" i="1"/>
  <c r="L112" i="1"/>
  <c r="L111" i="1"/>
  <c r="L110" i="1"/>
  <c r="L109" i="1"/>
  <c r="L108" i="1"/>
  <c r="L107" i="1"/>
  <c r="L106" i="1"/>
  <c r="L105" i="1"/>
  <c r="L104" i="1"/>
  <c r="L103" i="1"/>
  <c r="L102" i="1"/>
  <c r="L101" i="1"/>
  <c r="L100" i="1"/>
  <c r="L99" i="1"/>
  <c r="L98" i="1"/>
  <c r="L97" i="1"/>
  <c r="L96" i="1"/>
  <c r="L95" i="1"/>
  <c r="L94" i="1"/>
  <c r="L93" i="1"/>
  <c r="L92" i="1"/>
  <c r="L91" i="1"/>
  <c r="L90" i="1"/>
  <c r="L89" i="1"/>
  <c r="L88" i="1"/>
  <c r="L87" i="1"/>
  <c r="L86" i="1"/>
  <c r="L85" i="1"/>
  <c r="L84" i="1"/>
  <c r="L83" i="1"/>
  <c r="L82" i="1"/>
  <c r="L81" i="1"/>
  <c r="L80" i="1"/>
  <c r="L79" i="1"/>
  <c r="L78" i="1"/>
  <c r="L77" i="1"/>
  <c r="L76" i="1"/>
  <c r="L75" i="1"/>
  <c r="L74" i="1"/>
  <c r="L73" i="1"/>
  <c r="L72" i="1"/>
  <c r="L71" i="1"/>
  <c r="L70" i="1"/>
  <c r="L69" i="1"/>
  <c r="L68" i="1"/>
  <c r="L67" i="1"/>
  <c r="L66" i="1"/>
  <c r="L65" i="1"/>
  <c r="L64" i="1"/>
  <c r="L63" i="1"/>
  <c r="L62" i="1"/>
  <c r="L61" i="1"/>
  <c r="L60" i="1"/>
  <c r="L59" i="1"/>
  <c r="L58" i="1"/>
  <c r="L57" i="1"/>
  <c r="L56" i="1"/>
  <c r="L55" i="1"/>
  <c r="L54" i="1"/>
  <c r="L53" i="1"/>
  <c r="L52" i="1"/>
  <c r="L51" i="1"/>
  <c r="L50" i="1"/>
  <c r="L49" i="1"/>
  <c r="L47" i="1"/>
  <c r="L46" i="1"/>
  <c r="L45" i="1"/>
  <c r="L44" i="1"/>
  <c r="L43" i="1"/>
  <c r="L42" i="1"/>
  <c r="L41" i="1"/>
  <c r="L40" i="1"/>
  <c r="L39" i="1"/>
  <c r="L38" i="1"/>
  <c r="L37" i="1"/>
  <c r="L36" i="1"/>
  <c r="L35" i="1"/>
  <c r="L34" i="1"/>
  <c r="L33" i="1"/>
  <c r="L32" i="1"/>
  <c r="L31" i="1"/>
  <c r="L30" i="1"/>
  <c r="L29" i="1"/>
  <c r="L28" i="1"/>
  <c r="L27" i="1"/>
  <c r="L26" i="1"/>
  <c r="L25" i="1"/>
  <c r="L24" i="1"/>
  <c r="L23" i="1"/>
  <c r="L22" i="1"/>
  <c r="L21" i="1"/>
  <c r="L20" i="1"/>
  <c r="L19" i="1"/>
  <c r="L18" i="1"/>
  <c r="L17" i="1"/>
  <c r="L16" i="1"/>
  <c r="L14" i="1"/>
  <c r="L13" i="1"/>
  <c r="L12" i="1"/>
  <c r="L11" i="1"/>
  <c r="L10" i="1"/>
  <c r="L9" i="1"/>
  <c r="L8" i="1"/>
  <c r="L7" i="1"/>
  <c r="L6" i="1"/>
  <c r="L5" i="1"/>
  <c r="L4" i="1"/>
  <c r="D137" i="1"/>
  <c r="D136" i="1"/>
  <c r="AR136" i="1" s="1"/>
  <c r="D135" i="1"/>
  <c r="D134" i="1"/>
  <c r="D133" i="1"/>
  <c r="D132" i="1"/>
  <c r="D131" i="1"/>
  <c r="D130" i="1"/>
  <c r="D129" i="1"/>
  <c r="D128" i="1"/>
  <c r="D127" i="1"/>
  <c r="D126" i="1"/>
  <c r="D125" i="1"/>
  <c r="D124" i="1"/>
  <c r="D123" i="1"/>
  <c r="D121" i="1"/>
  <c r="D120" i="1"/>
  <c r="D119" i="1"/>
  <c r="D118" i="1"/>
  <c r="D117" i="1"/>
  <c r="D116" i="1"/>
  <c r="D115" i="1"/>
  <c r="D114" i="1"/>
  <c r="D113" i="1"/>
  <c r="D112" i="1"/>
  <c r="D111" i="1"/>
  <c r="D110" i="1"/>
  <c r="D109" i="1"/>
  <c r="D108" i="1"/>
  <c r="D107" i="1"/>
  <c r="D106" i="1"/>
  <c r="D105" i="1"/>
  <c r="D104" i="1"/>
  <c r="D102" i="1"/>
  <c r="D101" i="1"/>
  <c r="D100" i="1"/>
  <c r="D99" i="1"/>
  <c r="D98" i="1"/>
  <c r="D97" i="1"/>
  <c r="D96" i="1"/>
  <c r="D95" i="1"/>
  <c r="D94" i="1"/>
  <c r="D93" i="1"/>
  <c r="D92" i="1"/>
  <c r="D91" i="1"/>
  <c r="D90" i="1"/>
  <c r="D89" i="1"/>
  <c r="D88" i="1"/>
  <c r="D87" i="1"/>
  <c r="D86" i="1"/>
  <c r="D85" i="1"/>
  <c r="D84" i="1"/>
  <c r="D83" i="1"/>
  <c r="D82" i="1"/>
  <c r="D81" i="1"/>
  <c r="D80" i="1"/>
  <c r="D79" i="1"/>
  <c r="D78" i="1"/>
  <c r="D77" i="1"/>
  <c r="D76" i="1"/>
  <c r="D75" i="1"/>
  <c r="D74" i="1"/>
  <c r="D73" i="1"/>
  <c r="D72" i="1"/>
  <c r="D71" i="1"/>
  <c r="D70" i="1"/>
  <c r="D69" i="1"/>
  <c r="D68" i="1"/>
  <c r="D67" i="1"/>
  <c r="D66" i="1"/>
  <c r="D65" i="1"/>
  <c r="D64" i="1"/>
  <c r="D63" i="1"/>
  <c r="D62" i="1"/>
  <c r="D61" i="1"/>
  <c r="D60" i="1"/>
  <c r="D59" i="1"/>
  <c r="D58" i="1"/>
  <c r="D57" i="1"/>
  <c r="D56" i="1"/>
  <c r="D55" i="1"/>
  <c r="D54" i="1"/>
  <c r="D53" i="1"/>
  <c r="D52" i="1"/>
  <c r="D51" i="1"/>
  <c r="D50" i="1"/>
  <c r="D49" i="1"/>
  <c r="D47" i="1"/>
  <c r="D46" i="1"/>
  <c r="D45" i="1"/>
  <c r="D44" i="1"/>
  <c r="D43" i="1"/>
  <c r="D42" i="1"/>
  <c r="D41" i="1"/>
  <c r="D40" i="1"/>
  <c r="D39" i="1"/>
  <c r="D38" i="1"/>
  <c r="D37" i="1"/>
  <c r="D36" i="1"/>
  <c r="D35" i="1"/>
  <c r="D34" i="1"/>
  <c r="D33" i="1"/>
  <c r="D32" i="1"/>
  <c r="D31" i="1"/>
  <c r="D30" i="1"/>
  <c r="D29" i="1"/>
  <c r="D28" i="1"/>
  <c r="D27" i="1"/>
  <c r="D26" i="1"/>
  <c r="D25" i="1"/>
  <c r="D24" i="1"/>
  <c r="D23" i="1"/>
  <c r="D22" i="1"/>
  <c r="D21" i="1"/>
  <c r="D20" i="1"/>
  <c r="D19" i="1"/>
  <c r="D18" i="1"/>
  <c r="D17" i="1"/>
  <c r="D16" i="1"/>
  <c r="D15" i="1"/>
  <c r="D14" i="1"/>
  <c r="D13" i="1"/>
  <c r="D12" i="1"/>
  <c r="D11" i="1"/>
  <c r="D10" i="1"/>
  <c r="D9" i="1"/>
  <c r="D8" i="1"/>
  <c r="D7" i="1"/>
  <c r="D6" i="1"/>
  <c r="D5" i="1"/>
  <c r="D4" i="1"/>
  <c r="AG55" i="1" l="1"/>
  <c r="AG56" i="1" s="1"/>
  <c r="AG57" i="1" s="1"/>
  <c r="AG58" i="1" s="1"/>
  <c r="E13" i="18"/>
  <c r="AI55" i="1"/>
  <c r="AI56" i="1" s="1"/>
  <c r="AI57" i="1" s="1"/>
  <c r="AI58" i="1" s="1"/>
  <c r="N13" i="18"/>
  <c r="Q21" i="18"/>
  <c r="P22" i="18"/>
  <c r="AU135" i="1"/>
  <c r="AT135" i="1"/>
  <c r="AO6" i="1"/>
  <c r="AS6" i="1" s="1"/>
  <c r="AU6" i="1" s="1"/>
  <c r="I48" i="1"/>
  <c r="L48" i="1" s="1"/>
  <c r="AR52" i="1"/>
  <c r="AS30" i="1"/>
  <c r="AR63" i="1"/>
  <c r="AS63" i="1"/>
  <c r="AS111" i="1"/>
  <c r="AS7" i="1"/>
  <c r="AS31" i="1"/>
  <c r="AS64" i="1"/>
  <c r="AS96" i="1"/>
  <c r="AS128" i="1"/>
  <c r="AS24" i="1"/>
  <c r="AS41" i="1"/>
  <c r="AS82" i="1"/>
  <c r="AS90" i="1"/>
  <c r="AS122" i="1"/>
  <c r="AS10" i="1"/>
  <c r="AS18" i="1"/>
  <c r="AS26" i="1"/>
  <c r="AS34" i="1"/>
  <c r="AS42" i="1"/>
  <c r="AS67" i="1"/>
  <c r="AS75" i="1"/>
  <c r="AS83" i="1"/>
  <c r="AS91" i="1"/>
  <c r="AS99" i="1"/>
  <c r="AS107" i="1"/>
  <c r="AS115" i="1"/>
  <c r="AR123" i="1"/>
  <c r="AS123" i="1"/>
  <c r="AS131" i="1"/>
  <c r="AS46" i="1"/>
  <c r="AS79" i="1"/>
  <c r="AS95" i="1"/>
  <c r="AS119" i="1"/>
  <c r="AS23" i="1"/>
  <c r="AS56" i="1"/>
  <c r="AS88" i="1"/>
  <c r="AS104" i="1"/>
  <c r="AS136" i="1"/>
  <c r="AT136" i="1" s="1" a="1"/>
  <c r="AS32" i="1"/>
  <c r="AS129" i="1"/>
  <c r="AR66" i="1"/>
  <c r="AS66" i="1"/>
  <c r="AS106" i="1"/>
  <c r="AS11" i="1"/>
  <c r="AU11" i="1" s="1"/>
  <c r="AS27" i="1"/>
  <c r="AS35" i="1"/>
  <c r="AS52" i="1"/>
  <c r="AS60" i="1"/>
  <c r="AS68" i="1"/>
  <c r="AS76" i="1"/>
  <c r="AS84" i="1"/>
  <c r="AS92" i="1"/>
  <c r="AS100" i="1"/>
  <c r="AS108" i="1"/>
  <c r="AS116" i="1"/>
  <c r="AS124" i="1"/>
  <c r="AS132" i="1"/>
  <c r="AS22" i="1"/>
  <c r="AS87" i="1"/>
  <c r="AS127" i="1"/>
  <c r="AS39" i="1"/>
  <c r="AS80" i="1"/>
  <c r="AS120" i="1"/>
  <c r="AR8" i="1"/>
  <c r="AS8" i="1"/>
  <c r="AS49" i="1"/>
  <c r="AS58" i="1"/>
  <c r="AS114" i="1"/>
  <c r="AS20" i="1"/>
  <c r="AS36" i="1"/>
  <c r="AS53" i="1"/>
  <c r="AS125" i="1"/>
  <c r="AS48" i="1"/>
  <c r="AS14" i="1"/>
  <c r="AU14" i="1" s="1"/>
  <c r="AU15" i="1" s="1"/>
  <c r="AS71" i="1"/>
  <c r="AR103" i="1"/>
  <c r="AS103" i="1"/>
  <c r="AS15" i="1"/>
  <c r="AS72" i="1"/>
  <c r="AR112" i="1"/>
  <c r="AS112" i="1"/>
  <c r="AS16" i="1"/>
  <c r="AS40" i="1"/>
  <c r="AS57" i="1"/>
  <c r="AS137" i="1"/>
  <c r="AS50" i="1"/>
  <c r="AS74" i="1"/>
  <c r="AS98" i="1"/>
  <c r="AS19" i="1"/>
  <c r="AS12" i="1"/>
  <c r="AS28" i="1"/>
  <c r="AS44" i="1"/>
  <c r="AS37" i="1"/>
  <c r="AS45" i="1"/>
  <c r="AS54" i="1"/>
  <c r="AS62" i="1"/>
  <c r="AS70" i="1"/>
  <c r="AS78" i="1"/>
  <c r="AS86" i="1"/>
  <c r="AS94" i="1"/>
  <c r="AS102" i="1"/>
  <c r="AS110" i="1"/>
  <c r="AS118" i="1"/>
  <c r="AR134" i="1"/>
  <c r="AS134" i="1"/>
  <c r="AR6" i="1"/>
  <c r="AT6" i="1" s="1"/>
  <c r="AR23" i="1"/>
  <c r="AR64" i="1"/>
  <c r="AR96" i="1"/>
  <c r="AR120" i="1"/>
  <c r="AR14" i="1"/>
  <c r="AR22" i="1"/>
  <c r="AR30" i="1"/>
  <c r="AR46" i="1"/>
  <c r="AR71" i="1"/>
  <c r="AR79" i="1"/>
  <c r="AR87" i="1"/>
  <c r="AR95" i="1"/>
  <c r="AR111" i="1"/>
  <c r="AR119" i="1"/>
  <c r="AR127" i="1"/>
  <c r="AR31" i="1"/>
  <c r="AR72" i="1"/>
  <c r="AR16" i="1"/>
  <c r="AR24" i="1"/>
  <c r="AR32" i="1"/>
  <c r="AR40" i="1"/>
  <c r="AR49" i="1"/>
  <c r="AR57" i="1"/>
  <c r="AR129" i="1"/>
  <c r="AR137" i="1"/>
  <c r="AR15" i="1"/>
  <c r="AR80" i="1"/>
  <c r="AR48" i="1"/>
  <c r="AR41" i="1"/>
  <c r="AR50" i="1"/>
  <c r="AR58" i="1"/>
  <c r="AR74" i="1"/>
  <c r="AR82" i="1"/>
  <c r="AR90" i="1"/>
  <c r="AR98" i="1"/>
  <c r="AR106" i="1"/>
  <c r="AR114" i="1"/>
  <c r="AR122" i="1"/>
  <c r="AR26" i="1"/>
  <c r="AR42" i="1"/>
  <c r="AR67" i="1"/>
  <c r="AR75" i="1"/>
  <c r="AR83" i="1"/>
  <c r="AR91" i="1"/>
  <c r="AR99" i="1"/>
  <c r="AR107" i="1"/>
  <c r="AR115" i="1"/>
  <c r="AR131" i="1"/>
  <c r="AR104" i="1"/>
  <c r="AR18" i="1"/>
  <c r="AR11" i="1"/>
  <c r="AR19" i="1"/>
  <c r="AR27" i="1"/>
  <c r="AR35" i="1"/>
  <c r="AR60" i="1"/>
  <c r="AR68" i="1"/>
  <c r="AR76" i="1"/>
  <c r="AR84" i="1"/>
  <c r="AR92" i="1"/>
  <c r="AR100" i="1"/>
  <c r="AR108" i="1"/>
  <c r="AR116" i="1"/>
  <c r="AR124" i="1"/>
  <c r="AR132" i="1"/>
  <c r="AR39" i="1"/>
  <c r="AR88" i="1"/>
  <c r="AR34" i="1"/>
  <c r="AR12" i="1"/>
  <c r="AR20" i="1"/>
  <c r="AR28" i="1"/>
  <c r="AR36" i="1"/>
  <c r="AR44" i="1"/>
  <c r="AR53" i="1"/>
  <c r="AR125" i="1"/>
  <c r="AR7" i="1"/>
  <c r="AR56" i="1"/>
  <c r="AR128" i="1"/>
  <c r="AR10" i="1"/>
  <c r="AR37" i="1"/>
  <c r="AR45" i="1"/>
  <c r="AR54" i="1"/>
  <c r="AR62" i="1"/>
  <c r="AR70" i="1"/>
  <c r="AR78" i="1"/>
  <c r="AR86" i="1"/>
  <c r="AR94" i="1"/>
  <c r="AR102" i="1"/>
  <c r="AR110" i="1"/>
  <c r="AR118" i="1"/>
  <c r="AT102" i="1" l="1" a="1"/>
  <c r="AT102" i="1" s="1"/>
  <c r="AG59" i="1"/>
  <c r="AG60" i="1" s="1"/>
  <c r="E14" i="18"/>
  <c r="AI59" i="1"/>
  <c r="AI60" i="1" s="1"/>
  <c r="N14" i="18"/>
  <c r="AU7" i="1"/>
  <c r="AT136" i="1"/>
  <c r="AV135" i="1" s="1"/>
  <c r="AU137" i="1"/>
  <c r="AU10" i="1"/>
  <c r="AT63" i="1" a="1"/>
  <c r="AT56" i="1" a="1"/>
  <c r="AT56" i="1" s="1"/>
  <c r="AU57" i="1" s="1"/>
  <c r="AT112" i="1" a="1"/>
  <c r="AT66" i="1" a="1"/>
  <c r="AA59" i="13" a="1"/>
  <c r="AA59" i="13" s="1"/>
  <c r="AT7" i="1"/>
  <c r="AA50" i="13" a="1"/>
  <c r="AA50" i="13" s="1"/>
  <c r="AT49" i="1" a="1"/>
  <c r="AU48" i="1" s="1"/>
  <c r="AA46" i="13" a="1"/>
  <c r="AA46" i="13" s="1"/>
  <c r="AA75" i="13" a="1"/>
  <c r="AA75" i="13" s="1"/>
  <c r="AA63" i="13" a="1"/>
  <c r="AA63" i="13" s="1"/>
  <c r="AA71" i="13" a="1"/>
  <c r="AA71" i="13" s="1"/>
  <c r="AA79" i="13" a="1"/>
  <c r="AA79" i="13" s="1"/>
  <c r="AA55" i="13" a="1"/>
  <c r="AA55" i="13" s="1"/>
  <c r="AA42" i="13" a="1"/>
  <c r="AA42" i="13" s="1"/>
  <c r="AA67" i="13" a="1"/>
  <c r="AA67" i="13" s="1"/>
  <c r="AT26" i="1" a="1"/>
  <c r="AT118" i="1" a="1"/>
  <c r="AT32" i="1" a="1"/>
  <c r="AU31" i="1" s="1"/>
  <c r="AU30" i="1" s="1"/>
  <c r="AT114" i="1" a="1"/>
  <c r="AT131" i="1" a="1"/>
  <c r="AT106" i="1" a="1"/>
  <c r="AT41" i="1" a="1"/>
  <c r="AU40" i="1" s="1"/>
  <c r="AU39" i="1" s="1"/>
  <c r="AT127" i="1" a="1"/>
  <c r="AT123" i="1" a="1"/>
  <c r="AU122" i="1" s="1"/>
  <c r="AT86" i="1" a="1"/>
  <c r="AT18" i="1" a="1"/>
  <c r="AT90" i="1" a="1"/>
  <c r="AT11" i="1"/>
  <c r="AT10" i="1" s="1"/>
  <c r="AT78" i="1" a="1"/>
  <c r="AT45" i="1" a="1"/>
  <c r="AU44" i="1" s="1"/>
  <c r="AT99" i="1" a="1"/>
  <c r="AU98" i="1" s="1"/>
  <c r="AT82" i="1" a="1"/>
  <c r="AT94" i="1" a="1"/>
  <c r="AT70" i="1" a="1"/>
  <c r="AT34" i="1" a="1"/>
  <c r="AT60" i="1" a="1"/>
  <c r="AT22" i="1" a="1"/>
  <c r="AT52" i="1" a="1"/>
  <c r="AT74" i="1" a="1"/>
  <c r="AT14" i="1"/>
  <c r="AU103" i="1" l="1"/>
  <c r="AU104" i="1" s="1"/>
  <c r="AU105" i="1" s="1"/>
  <c r="AI61" i="1"/>
  <c r="N15" i="18"/>
  <c r="AG61" i="1"/>
  <c r="AG62" i="1" s="1"/>
  <c r="AG63" i="1" s="1"/>
  <c r="AG64" i="1" s="1"/>
  <c r="E15" i="18"/>
  <c r="AU12" i="1"/>
  <c r="AT66" i="1"/>
  <c r="AU67" i="1"/>
  <c r="AU68" i="1" s="1"/>
  <c r="AU69" i="1" s="1"/>
  <c r="AU8" i="1"/>
  <c r="AU9" i="1" s="1"/>
  <c r="AT112" i="1"/>
  <c r="AU111" i="1"/>
  <c r="AU110" i="1" s="1"/>
  <c r="AU113" i="1"/>
  <c r="AT63" i="1"/>
  <c r="AU62" i="1"/>
  <c r="AU64" i="1"/>
  <c r="AU65" i="1" s="1"/>
  <c r="AI62" i="1"/>
  <c r="AI63" i="1" s="1"/>
  <c r="AI64" i="1" s="1"/>
  <c r="AT49" i="1"/>
  <c r="AT15" i="1"/>
  <c r="AU16" i="1" s="1"/>
  <c r="AT137" i="1"/>
  <c r="AT26" i="1"/>
  <c r="AU27" i="1" s="1"/>
  <c r="AU28" i="1" s="1"/>
  <c r="AT41" i="1"/>
  <c r="AU42" i="1" s="1"/>
  <c r="AT32" i="1"/>
  <c r="AU33" i="1" s="1"/>
  <c r="AT114" i="1"/>
  <c r="AU115" i="1" s="1"/>
  <c r="AT123" i="1"/>
  <c r="AT127" i="1"/>
  <c r="AU128" i="1" s="1"/>
  <c r="AT106" i="1"/>
  <c r="AU107" i="1" s="1"/>
  <c r="AT131" i="1"/>
  <c r="AU132" i="1" s="1"/>
  <c r="AT118" i="1"/>
  <c r="AU119" i="1" s="1"/>
  <c r="AT52" i="1"/>
  <c r="AU53" i="1" s="1"/>
  <c r="AT78" i="1"/>
  <c r="AU79" i="1" s="1"/>
  <c r="AU80" i="1" s="1"/>
  <c r="AU81" i="1" s="1"/>
  <c r="AT74" i="1"/>
  <c r="AU75" i="1" s="1"/>
  <c r="AU76" i="1" s="1"/>
  <c r="AU77" i="1" s="1"/>
  <c r="AT45" i="1"/>
  <c r="AU46" i="1" s="1"/>
  <c r="AT90" i="1"/>
  <c r="AU91" i="1" s="1"/>
  <c r="AT82" i="1"/>
  <c r="AU83" i="1" s="1"/>
  <c r="AT22" i="1"/>
  <c r="AU23" i="1" s="1"/>
  <c r="AT70" i="1"/>
  <c r="AU71" i="1" s="1"/>
  <c r="AT99" i="1"/>
  <c r="AU100" i="1" s="1"/>
  <c r="AT12" i="1"/>
  <c r="AT18" i="1"/>
  <c r="AU19" i="1" s="1"/>
  <c r="AT34" i="1"/>
  <c r="AU35" i="1" s="1"/>
  <c r="AW5" i="1"/>
  <c r="AF5" i="1" s="1" a="1"/>
  <c r="AF5" i="1" s="1"/>
  <c r="AT60" i="1"/>
  <c r="AU61" i="1" s="1"/>
  <c r="AT86" i="1"/>
  <c r="AU87" i="1" s="1"/>
  <c r="AT94" i="1"/>
  <c r="AU95" i="1" s="1"/>
  <c r="AU13" i="1" l="1"/>
  <c r="AG65" i="1"/>
  <c r="AG66" i="1" s="1"/>
  <c r="AG67" i="1" s="1"/>
  <c r="AG68" i="1" s="1"/>
  <c r="E16" i="18"/>
  <c r="AI65" i="1"/>
  <c r="AI66" i="1" s="1"/>
  <c r="AI67" i="1" s="1"/>
  <c r="AI68" i="1" s="1"/>
  <c r="N16" i="18"/>
  <c r="AT122" i="1"/>
  <c r="AU124" i="1"/>
  <c r="AU125" i="1" s="1"/>
  <c r="AU126" i="1" s="1"/>
  <c r="AT48" i="1"/>
  <c r="AU50" i="1"/>
  <c r="AF6" i="1" a="1"/>
  <c r="AF6" i="1" s="1"/>
  <c r="AF7" i="1" a="1"/>
  <c r="AF7" i="1" s="1"/>
  <c r="AF8" i="1" a="1"/>
  <c r="AF8" i="1" s="1"/>
  <c r="AT31" i="1"/>
  <c r="AT30" i="1" s="1"/>
  <c r="AT27" i="1"/>
  <c r="AV5" i="1"/>
  <c r="D4" i="10" s="1" a="1"/>
  <c r="D4" i="10" s="1"/>
  <c r="AT33" i="1"/>
  <c r="AV33" i="1" s="1"/>
  <c r="AT40" i="1"/>
  <c r="AT42" i="1"/>
  <c r="AU43" i="1" s="1"/>
  <c r="AT13" i="1"/>
  <c r="AT16" i="1"/>
  <c r="AU17" i="1" s="1"/>
  <c r="AT8" i="1"/>
  <c r="AT9" i="1" s="1"/>
  <c r="AV9" i="1" s="1"/>
  <c r="AT79" i="1"/>
  <c r="AT19" i="1"/>
  <c r="AT20" i="1" s="1"/>
  <c r="AT61" i="1"/>
  <c r="AT53" i="1"/>
  <c r="AU54" i="1" s="1"/>
  <c r="AT132" i="1"/>
  <c r="AU133" i="1" s="1"/>
  <c r="AT107" i="1"/>
  <c r="AU108" i="1" s="1"/>
  <c r="AT75" i="1"/>
  <c r="AT95" i="1"/>
  <c r="AU96" i="1" s="1"/>
  <c r="AT71" i="1"/>
  <c r="AU72" i="1" s="1"/>
  <c r="AT119" i="1"/>
  <c r="AU120" i="1" s="1"/>
  <c r="AT23" i="1"/>
  <c r="AU24" i="1" s="1"/>
  <c r="AT35" i="1"/>
  <c r="AU36" i="1" s="1"/>
  <c r="AT57" i="1"/>
  <c r="AU58" i="1" s="1"/>
  <c r="AT128" i="1"/>
  <c r="AU129" i="1" s="1"/>
  <c r="AT91" i="1"/>
  <c r="AU92" i="1" s="1"/>
  <c r="AT87" i="1"/>
  <c r="AU88" i="1" s="1"/>
  <c r="AT83" i="1"/>
  <c r="AU84" i="1" s="1"/>
  <c r="AT124" i="1"/>
  <c r="AT125" i="1" s="1"/>
  <c r="AT126" i="1" s="1"/>
  <c r="AT115" i="1"/>
  <c r="AU116" i="1" s="1"/>
  <c r="AT100" i="1"/>
  <c r="AU101" i="1" s="1"/>
  <c r="AT98" i="1"/>
  <c r="AT46" i="1"/>
  <c r="AU47" i="1" s="1"/>
  <c r="AT44" i="1"/>
  <c r="AI69" i="1" l="1"/>
  <c r="N17" i="18"/>
  <c r="AG69" i="1"/>
  <c r="AG70" i="1" s="1"/>
  <c r="AG71" i="1" s="1"/>
  <c r="AG72" i="1" s="1"/>
  <c r="E17" i="18"/>
  <c r="AU20" i="1"/>
  <c r="AU21" i="1" s="1"/>
  <c r="AX33" i="1"/>
  <c r="AE11" i="1"/>
  <c r="AI70" i="1"/>
  <c r="AI71" i="1" s="1"/>
  <c r="AI72" i="1" s="1"/>
  <c r="AX5" i="1"/>
  <c r="AE5" i="1"/>
  <c r="AE7" i="1"/>
  <c r="AE6" i="1"/>
  <c r="AE8" i="1"/>
  <c r="AT39" i="1"/>
  <c r="AT43" i="1"/>
  <c r="AV43" i="1" s="1"/>
  <c r="AT80" i="1"/>
  <c r="AT81" i="1" s="1"/>
  <c r="AT28" i="1"/>
  <c r="AU29" i="1" s="1"/>
  <c r="AT76" i="1"/>
  <c r="AT77" i="1" s="1"/>
  <c r="AT24" i="1"/>
  <c r="AU25" i="1" s="1"/>
  <c r="AT108" i="1"/>
  <c r="AU109" i="1" s="1"/>
  <c r="AW33" i="1"/>
  <c r="D11" i="10" s="1" a="1"/>
  <c r="D11" i="10" s="1"/>
  <c r="AT88" i="1"/>
  <c r="AU89" i="1" s="1"/>
  <c r="AT84" i="1"/>
  <c r="AU85" i="1" s="1"/>
  <c r="AW13" i="1"/>
  <c r="AT120" i="1"/>
  <c r="AU121" i="1" s="1"/>
  <c r="AT54" i="1"/>
  <c r="AT55" i="1" s="1"/>
  <c r="AT133" i="1"/>
  <c r="AV133" i="1" s="1"/>
  <c r="AT17" i="1"/>
  <c r="AT116" i="1"/>
  <c r="AU117" i="1" s="1"/>
  <c r="AT58" i="1"/>
  <c r="AU59" i="1" s="1"/>
  <c r="AT47" i="1"/>
  <c r="AT129" i="1"/>
  <c r="AU130" i="1" s="1"/>
  <c r="AT36" i="1"/>
  <c r="AU37" i="1" s="1"/>
  <c r="AT96" i="1"/>
  <c r="AU97" i="1" s="1"/>
  <c r="AT92" i="1"/>
  <c r="AU93" i="1" s="1"/>
  <c r="AT72" i="1"/>
  <c r="AU73" i="1" s="1"/>
  <c r="AT101" i="1"/>
  <c r="AW135" i="1"/>
  <c r="D37" i="10" s="1" a="1"/>
  <c r="D37" i="10" s="1"/>
  <c r="AX135" i="1"/>
  <c r="AV13" i="1"/>
  <c r="D6" i="10" l="1" a="1"/>
  <c r="D6" i="10" s="1"/>
  <c r="AI73" i="1"/>
  <c r="AI74" i="1" s="1"/>
  <c r="AI75" i="1" s="1"/>
  <c r="AI76" i="1" s="1"/>
  <c r="N18" i="18"/>
  <c r="AG73" i="1"/>
  <c r="AG74" i="1" s="1"/>
  <c r="AG75" i="1" s="1"/>
  <c r="AG76" i="1" s="1"/>
  <c r="E18" i="18"/>
  <c r="AU55" i="1"/>
  <c r="AX13" i="1"/>
  <c r="AX43" i="1"/>
  <c r="G4" i="10" a="1"/>
  <c r="G4" i="10" s="1"/>
  <c r="AW43" i="1"/>
  <c r="D13" i="10" s="1" a="1"/>
  <c r="D13" i="10" s="1"/>
  <c r="AT93" i="1"/>
  <c r="AX133" i="1"/>
  <c r="AT85" i="1"/>
  <c r="AW17" i="1"/>
  <c r="AW133" i="1"/>
  <c r="D36" i="10" s="1" a="1"/>
  <c r="D36" i="10" s="1"/>
  <c r="AT97" i="1"/>
  <c r="AW9" i="1"/>
  <c r="D5" i="10" s="1" a="1"/>
  <c r="D5" i="10" s="1"/>
  <c r="AT29" i="1"/>
  <c r="AT121" i="1"/>
  <c r="AT109" i="1"/>
  <c r="AW47" i="1"/>
  <c r="AT21" i="1"/>
  <c r="AT37" i="1"/>
  <c r="AU38" i="1" s="1"/>
  <c r="AT59" i="1"/>
  <c r="AV17" i="1"/>
  <c r="D7" i="10" s="1" a="1"/>
  <c r="D7" i="10" s="1"/>
  <c r="AT89" i="1"/>
  <c r="AT25" i="1"/>
  <c r="AT73" i="1"/>
  <c r="AT130" i="1"/>
  <c r="AT117" i="1"/>
  <c r="AI77" i="1" l="1"/>
  <c r="N19" i="18"/>
  <c r="AG77" i="1"/>
  <c r="AG78" i="1" s="1"/>
  <c r="AG79" i="1" s="1"/>
  <c r="AG80" i="1" s="1"/>
  <c r="E19" i="18"/>
  <c r="AX17" i="1"/>
  <c r="AI78" i="1"/>
  <c r="AI79" i="1" s="1"/>
  <c r="AI80" i="1" s="1"/>
  <c r="AX9" i="1"/>
  <c r="AE20" i="1"/>
  <c r="AE15" i="1"/>
  <c r="AE17" i="1"/>
  <c r="AE19" i="1"/>
  <c r="AE13" i="1"/>
  <c r="AE18" i="1"/>
  <c r="AE14" i="1"/>
  <c r="AE10" i="1"/>
  <c r="AE12" i="1"/>
  <c r="AE9" i="1"/>
  <c r="AE16" i="1"/>
  <c r="AF18" i="1" a="1"/>
  <c r="AF18" i="1" s="1"/>
  <c r="AF9" i="1" a="1"/>
  <c r="AF9" i="1" s="1"/>
  <c r="AF15" i="1" a="1"/>
  <c r="AF15" i="1" s="1"/>
  <c r="AF16" i="1" a="1"/>
  <c r="AF16" i="1" s="1"/>
  <c r="AF10" i="1" a="1"/>
  <c r="AF10" i="1" s="1"/>
  <c r="AF11" i="1" a="1"/>
  <c r="AF11" i="1" s="1"/>
  <c r="AF17" i="1" a="1"/>
  <c r="AF17" i="1" s="1"/>
  <c r="AF20" i="1" a="1"/>
  <c r="AF20" i="1" s="1"/>
  <c r="AF14" i="1" a="1"/>
  <c r="AF14" i="1" s="1"/>
  <c r="AF19" i="1" a="1"/>
  <c r="AF19" i="1" s="1"/>
  <c r="AF12" i="1" a="1"/>
  <c r="AF12" i="1" s="1"/>
  <c r="AF13" i="1" a="1"/>
  <c r="AF13" i="1" s="1"/>
  <c r="AV130" i="1"/>
  <c r="AW117" i="1"/>
  <c r="AT38" i="1"/>
  <c r="AW121" i="1"/>
  <c r="AW73" i="1"/>
  <c r="AV121" i="1"/>
  <c r="D33" i="10" s="1" a="1"/>
  <c r="D33" i="10" s="1"/>
  <c r="AV97" i="1"/>
  <c r="AW89" i="1"/>
  <c r="AV55" i="1"/>
  <c r="AV93" i="1"/>
  <c r="AV73" i="1"/>
  <c r="AW126" i="1"/>
  <c r="AV21" i="1"/>
  <c r="D8" i="10" s="1" a="1"/>
  <c r="D8" i="10" s="1"/>
  <c r="AW97" i="1"/>
  <c r="AW25" i="1"/>
  <c r="AV29" i="1"/>
  <c r="AW77" i="1"/>
  <c r="AW81" i="1"/>
  <c r="AW93" i="1"/>
  <c r="AW21" i="1"/>
  <c r="AF24" i="1" s="1" a="1"/>
  <c r="AF24" i="1" s="1"/>
  <c r="AV25" i="1"/>
  <c r="AW85" i="1"/>
  <c r="AV77" i="1"/>
  <c r="AV126" i="1"/>
  <c r="AV117" i="1"/>
  <c r="AW130" i="1"/>
  <c r="AV89" i="1"/>
  <c r="AV59" i="1"/>
  <c r="AW55" i="1"/>
  <c r="AW59" i="1"/>
  <c r="AV85" i="1"/>
  <c r="AV81" i="1"/>
  <c r="AW29" i="1"/>
  <c r="D27" i="10" l="1" a="1"/>
  <c r="D27" i="10" s="1"/>
  <c r="D23" i="10" a="1"/>
  <c r="D23" i="10" s="1"/>
  <c r="D22" i="10" a="1"/>
  <c r="D22" i="10" s="1"/>
  <c r="D32" i="10" a="1"/>
  <c r="D32" i="10" s="1"/>
  <c r="D9" i="10" a="1"/>
  <c r="D9" i="10" s="1"/>
  <c r="D25" i="10" a="1"/>
  <c r="D25" i="10" s="1"/>
  <c r="D24" i="10" a="1"/>
  <c r="D24" i="10" s="1"/>
  <c r="D17" i="10" a="1"/>
  <c r="D17" i="10" s="1"/>
  <c r="D21" i="10" a="1"/>
  <c r="D21" i="10" s="1"/>
  <c r="AG81" i="1"/>
  <c r="AG82" i="1" s="1"/>
  <c r="AG83" i="1" s="1"/>
  <c r="AG84" i="1" s="1"/>
  <c r="E20" i="18"/>
  <c r="D26" i="10" a="1"/>
  <c r="D26" i="10" s="1"/>
  <c r="D35" i="10" a="1"/>
  <c r="D35" i="10" s="1"/>
  <c r="D16" i="10" a="1"/>
  <c r="D16" i="10" s="1"/>
  <c r="D34" i="10" a="1"/>
  <c r="D34" i="10" s="1"/>
  <c r="D10" i="10" a="1"/>
  <c r="D10" i="10" s="1"/>
  <c r="AI81" i="1"/>
  <c r="AI82" i="1" s="1"/>
  <c r="AI83" i="1" s="1"/>
  <c r="AI84" i="1" s="1"/>
  <c r="N20" i="18"/>
  <c r="AX85" i="1"/>
  <c r="AX77" i="1"/>
  <c r="AX29" i="1"/>
  <c r="AX121" i="1"/>
  <c r="AX81" i="1"/>
  <c r="AX126" i="1"/>
  <c r="AX130" i="1"/>
  <c r="AX97" i="1"/>
  <c r="AX59" i="1"/>
  <c r="AX89" i="1"/>
  <c r="AX25" i="1"/>
  <c r="AX73" i="1"/>
  <c r="AX117" i="1"/>
  <c r="AX93" i="1"/>
  <c r="AX55" i="1"/>
  <c r="AE23" i="1"/>
  <c r="AX21" i="1"/>
  <c r="AE29" i="1"/>
  <c r="AF22" i="1" a="1"/>
  <c r="AF22" i="1" s="1"/>
  <c r="AE22" i="1"/>
  <c r="AE35" i="1"/>
  <c r="AF27" i="1" a="1"/>
  <c r="AF27" i="1" s="1"/>
  <c r="AF35" i="1" a="1"/>
  <c r="AF35" i="1" s="1"/>
  <c r="AF34" i="1" a="1"/>
  <c r="AF34" i="1" s="1"/>
  <c r="AE28" i="1"/>
  <c r="AE27" i="1"/>
  <c r="AE31" i="1"/>
  <c r="AF26" i="1" a="1"/>
  <c r="AF26" i="1" s="1"/>
  <c r="AE26" i="1"/>
  <c r="AE24" i="1"/>
  <c r="AF30" i="1" a="1"/>
  <c r="AF30" i="1" s="1"/>
  <c r="AF29" i="1" a="1"/>
  <c r="AF29" i="1" s="1"/>
  <c r="AF36" i="1" a="1"/>
  <c r="AF36" i="1" s="1"/>
  <c r="AE34" i="1"/>
  <c r="AE25" i="1"/>
  <c r="AF25" i="1" a="1"/>
  <c r="AF25" i="1" s="1"/>
  <c r="AF31" i="1" a="1"/>
  <c r="AF31" i="1" s="1"/>
  <c r="AF21" i="1" a="1"/>
  <c r="AF21" i="1" s="1"/>
  <c r="AE37" i="1"/>
  <c r="AE33" i="1"/>
  <c r="G6" i="10" a="1"/>
  <c r="AE21" i="1"/>
  <c r="AF32" i="1" a="1"/>
  <c r="AF32" i="1" s="1"/>
  <c r="AF23" i="1" a="1"/>
  <c r="AF23" i="1" s="1"/>
  <c r="G5" i="10" a="1"/>
  <c r="AE36" i="1"/>
  <c r="G7" i="10" a="1"/>
  <c r="AF28" i="1" a="1"/>
  <c r="AF28" i="1" s="1"/>
  <c r="AF33" i="1" a="1"/>
  <c r="AF33" i="1" s="1"/>
  <c r="AF37" i="1" a="1"/>
  <c r="AF37" i="1" s="1"/>
  <c r="AE32" i="1"/>
  <c r="AE30" i="1"/>
  <c r="AW38" i="1"/>
  <c r="AF41" i="1" s="1" a="1"/>
  <c r="AF41" i="1" s="1"/>
  <c r="AV38" i="1"/>
  <c r="D12" i="10" s="1" a="1"/>
  <c r="D12" i="10" s="1"/>
  <c r="AI85" i="1" l="1"/>
  <c r="AI86" i="1" s="1"/>
  <c r="AI87" i="1" s="1"/>
  <c r="AI88" i="1" s="1"/>
  <c r="N21" i="18"/>
  <c r="AG85" i="1"/>
  <c r="AG86" i="1" s="1"/>
  <c r="AG87" i="1" s="1"/>
  <c r="AG88" i="1" s="1"/>
  <c r="E21" i="18"/>
  <c r="AX38" i="1"/>
  <c r="G10" i="10" a="1"/>
  <c r="G10" i="10" s="1"/>
  <c r="G8" i="10" a="1"/>
  <c r="G8" i="10" s="1"/>
  <c r="AE44" i="1"/>
  <c r="AF40" i="1" a="1"/>
  <c r="AF40" i="1" s="1"/>
  <c r="AE39" i="1"/>
  <c r="AF46" i="1" a="1"/>
  <c r="AF46" i="1" s="1"/>
  <c r="G7" i="10"/>
  <c r="AF49" i="1" a="1"/>
  <c r="AF49" i="1" s="1"/>
  <c r="AE40" i="1"/>
  <c r="AF43" i="1" a="1"/>
  <c r="AF43" i="1" s="1"/>
  <c r="AF47" i="1" a="1"/>
  <c r="AF47" i="1" s="1"/>
  <c r="AE38" i="1"/>
  <c r="AF50" i="1" a="1"/>
  <c r="AF50" i="1" s="1"/>
  <c r="AF38" i="1" a="1"/>
  <c r="AF38" i="1" s="1"/>
  <c r="G5" i="10"/>
  <c r="G9" i="10" a="1"/>
  <c r="AE46" i="1"/>
  <c r="AE42" i="1"/>
  <c r="AF48" i="1" a="1"/>
  <c r="AF48" i="1" s="1"/>
  <c r="AF39" i="1" a="1"/>
  <c r="AF39" i="1" s="1"/>
  <c r="G6" i="10"/>
  <c r="G11" i="10" a="1"/>
  <c r="AF44" i="1" a="1"/>
  <c r="AF44" i="1" s="1"/>
  <c r="AF45" i="1" a="1"/>
  <c r="AF45" i="1" s="1"/>
  <c r="AE43" i="1"/>
  <c r="AF42" i="1" a="1"/>
  <c r="AF42" i="1" s="1"/>
  <c r="AE45" i="1"/>
  <c r="AE41" i="1"/>
  <c r="AI89" i="1" l="1"/>
  <c r="N22" i="18"/>
  <c r="AG89" i="1"/>
  <c r="AG90" i="1" s="1"/>
  <c r="AG91" i="1" s="1"/>
  <c r="AG92" i="1" s="1"/>
  <c r="E22" i="18"/>
  <c r="AI90" i="1"/>
  <c r="AI91" i="1" s="1"/>
  <c r="AI92" i="1" s="1"/>
  <c r="G12" i="10" a="1"/>
  <c r="G13" i="10" a="1"/>
  <c r="G11" i="10"/>
  <c r="G9" i="10"/>
  <c r="AG93" i="1" l="1"/>
  <c r="AG94" i="1" s="1"/>
  <c r="AG95" i="1" s="1"/>
  <c r="AG96" i="1" s="1"/>
  <c r="E23" i="18"/>
  <c r="AI93" i="1"/>
  <c r="AI94" i="1" s="1"/>
  <c r="AI95" i="1" s="1"/>
  <c r="AI96" i="1" s="1"/>
  <c r="N23" i="18"/>
  <c r="G13" i="10"/>
  <c r="G12" i="10"/>
  <c r="AG97" i="1" l="1"/>
  <c r="AG98" i="1" s="1"/>
  <c r="AG99" i="1" s="1"/>
  <c r="AG100" i="1" s="1"/>
  <c r="E24" i="18"/>
  <c r="AI97" i="1"/>
  <c r="AI98" i="1" s="1"/>
  <c r="AI99" i="1" s="1"/>
  <c r="AI100" i="1" s="1"/>
  <c r="N24" i="18"/>
  <c r="AI101" i="1" l="1"/>
  <c r="N25" i="18"/>
  <c r="AG101" i="1"/>
  <c r="AG102" i="1" s="1"/>
  <c r="AG103" i="1" s="1"/>
  <c r="AG104" i="1" s="1"/>
  <c r="E25" i="18"/>
  <c r="AI102" i="1"/>
  <c r="AI103" i="1" s="1"/>
  <c r="AI104" i="1" s="1"/>
  <c r="AI105" i="1" l="1"/>
  <c r="N26" i="18"/>
  <c r="AG105" i="1"/>
  <c r="AG106" i="1" s="1"/>
  <c r="AG107" i="1" s="1"/>
  <c r="AG108" i="1" s="1"/>
  <c r="E26" i="18"/>
  <c r="AI106" i="1"/>
  <c r="AI107" i="1" s="1"/>
  <c r="AI108" i="1" s="1"/>
  <c r="F19" i="10"/>
  <c r="F8" i="10"/>
  <c r="F15" i="10"/>
  <c r="F10" i="10"/>
  <c r="F18" i="10"/>
  <c r="F7" i="10"/>
  <c r="F30" i="10"/>
  <c r="F25" i="10"/>
  <c r="F24" i="10"/>
  <c r="F12" i="10"/>
  <c r="F27" i="10"/>
  <c r="F26" i="10"/>
  <c r="F33" i="10"/>
  <c r="F9" i="10"/>
  <c r="F14" i="10"/>
  <c r="F17" i="10"/>
  <c r="F32" i="10"/>
  <c r="F22" i="10"/>
  <c r="F4" i="10"/>
  <c r="F28" i="10"/>
  <c r="F31" i="10"/>
  <c r="F21" i="10"/>
  <c r="F37" i="10"/>
  <c r="AI109" i="1" l="1"/>
  <c r="AI110" i="1" s="1"/>
  <c r="AI111" i="1" s="1"/>
  <c r="AI112" i="1" s="1"/>
  <c r="N27" i="18"/>
  <c r="AG109" i="1"/>
  <c r="AG110" i="1" s="1"/>
  <c r="AG111" i="1" s="1"/>
  <c r="AG112" i="1" s="1"/>
  <c r="E27" i="18"/>
  <c r="F23" i="10"/>
  <c r="F5" i="10"/>
  <c r="F29" i="10"/>
  <c r="F34" i="10"/>
  <c r="F11" i="10"/>
  <c r="F20" i="10"/>
  <c r="F35" i="10"/>
  <c r="F13" i="10"/>
  <c r="F16" i="10"/>
  <c r="F6" i="10"/>
  <c r="AI113" i="1" l="1"/>
  <c r="N28" i="18"/>
  <c r="AG113" i="1"/>
  <c r="AG114" i="1" s="1"/>
  <c r="AG115" i="1" s="1"/>
  <c r="AG116" i="1" s="1"/>
  <c r="E28" i="18"/>
  <c r="AI114" i="1"/>
  <c r="AI115" i="1" s="1"/>
  <c r="AI116" i="1" s="1"/>
  <c r="F36" i="10"/>
  <c r="AI117" i="1" l="1"/>
  <c r="N29" i="18"/>
  <c r="AG117" i="1"/>
  <c r="AG118" i="1" s="1"/>
  <c r="AG119" i="1" s="1"/>
  <c r="AG120" i="1" s="1"/>
  <c r="E29" i="18"/>
  <c r="AI118" i="1"/>
  <c r="AI119" i="1" s="1"/>
  <c r="AI120" i="1" s="1"/>
  <c r="T4" i="10"/>
  <c r="AI121" i="1" l="1"/>
  <c r="N30" i="18"/>
  <c r="AG121" i="1"/>
  <c r="AG122" i="1" s="1"/>
  <c r="AG123" i="1" s="1"/>
  <c r="AG124" i="1" s="1"/>
  <c r="AG125" i="1" s="1"/>
  <c r="E30" i="18"/>
  <c r="AI122" i="1"/>
  <c r="AI123" i="1" s="1"/>
  <c r="AI124" i="1" s="1"/>
  <c r="AI125" i="1" s="1"/>
  <c r="T13" i="10"/>
  <c r="T9" i="10"/>
  <c r="T26" i="10"/>
  <c r="T25" i="10"/>
  <c r="T24" i="10"/>
  <c r="T32" i="10"/>
  <c r="T35" i="10"/>
  <c r="T18" i="10"/>
  <c r="T10" i="10"/>
  <c r="T17" i="10"/>
  <c r="T19" i="10"/>
  <c r="T5" i="10"/>
  <c r="T16" i="10"/>
  <c r="T28" i="10"/>
  <c r="T27" i="10"/>
  <c r="T36" i="10"/>
  <c r="T14" i="10"/>
  <c r="T7" i="10"/>
  <c r="T37" i="10"/>
  <c r="T11" i="10"/>
  <c r="T23" i="10"/>
  <c r="T29" i="10"/>
  <c r="T6" i="10"/>
  <c r="T20" i="10"/>
  <c r="T31" i="10"/>
  <c r="T30" i="10"/>
  <c r="T22" i="10"/>
  <c r="T8" i="10"/>
  <c r="T34" i="10"/>
  <c r="T15" i="10"/>
  <c r="T33" i="10"/>
  <c r="T21" i="10"/>
  <c r="T12" i="10"/>
  <c r="AT50" i="1"/>
  <c r="AG126" i="1" l="1"/>
  <c r="AG127" i="1" s="1"/>
  <c r="AG128" i="1" s="1"/>
  <c r="AG129" i="1" s="1"/>
  <c r="E31" i="18"/>
  <c r="AI126" i="1"/>
  <c r="N31" i="18"/>
  <c r="AT51" i="1"/>
  <c r="AV51" i="1" s="1"/>
  <c r="AU51" i="1"/>
  <c r="AW51" i="1" s="1"/>
  <c r="AI127" i="1"/>
  <c r="AI128" i="1" s="1"/>
  <c r="AI129" i="1" s="1"/>
  <c r="AV47" i="1"/>
  <c r="D14" i="10" s="1" a="1"/>
  <c r="D14" i="10" s="1"/>
  <c r="D15" i="10" l="1" a="1"/>
  <c r="D15" i="10" s="1"/>
  <c r="AI130" i="1"/>
  <c r="N32" i="18"/>
  <c r="AG130" i="1"/>
  <c r="AG131" i="1" s="1"/>
  <c r="AG132" i="1" s="1"/>
  <c r="E32" i="18"/>
  <c r="AI131" i="1"/>
  <c r="AI132" i="1" s="1"/>
  <c r="AE48" i="1"/>
  <c r="AE50" i="1"/>
  <c r="AF57" i="1" a="1"/>
  <c r="AF57" i="1" s="1"/>
  <c r="AF55" i="1" a="1"/>
  <c r="AF55" i="1" s="1"/>
  <c r="AF56" i="1" a="1"/>
  <c r="AF56" i="1" s="1"/>
  <c r="AF58" i="1" a="1"/>
  <c r="AF58" i="1" s="1"/>
  <c r="AF54" i="1" a="1"/>
  <c r="AF54" i="1" s="1"/>
  <c r="AF59" i="1" a="1"/>
  <c r="AF59" i="1" s="1"/>
  <c r="AF51" i="1" a="1"/>
  <c r="AF51" i="1" s="1"/>
  <c r="AF60" i="1" a="1"/>
  <c r="AF60" i="1" s="1"/>
  <c r="AF53" i="1" a="1"/>
  <c r="AF53" i="1" s="1"/>
  <c r="AF52" i="1" a="1"/>
  <c r="AF52" i="1" s="1"/>
  <c r="AE49" i="1"/>
  <c r="AE55" i="1"/>
  <c r="AX51" i="1"/>
  <c r="AE51" i="1"/>
  <c r="AE59" i="1"/>
  <c r="AE57" i="1"/>
  <c r="AX47" i="1"/>
  <c r="AE56" i="1"/>
  <c r="AE58" i="1"/>
  <c r="AE53" i="1"/>
  <c r="AE47" i="1"/>
  <c r="AE52" i="1"/>
  <c r="AE54" i="1"/>
  <c r="AE60" i="1"/>
  <c r="AI133" i="1" l="1"/>
  <c r="N33" i="18"/>
  <c r="AG133" i="1"/>
  <c r="AG134" i="1" s="1"/>
  <c r="E33" i="18"/>
  <c r="AI134" i="1"/>
  <c r="G14" i="10" a="1"/>
  <c r="G14" i="10" s="1"/>
  <c r="G16" i="10" a="1"/>
  <c r="G16" i="10" s="1"/>
  <c r="G17" i="10" a="1"/>
  <c r="G17" i="10" s="1"/>
  <c r="G15" i="10" a="1"/>
  <c r="G15" i="10" s="1"/>
  <c r="AI135" i="1" l="1"/>
  <c r="AI136" i="1" s="1"/>
  <c r="AI137" i="1" s="1"/>
  <c r="N34" i="18"/>
  <c r="AG135" i="1"/>
  <c r="AG136" i="1" s="1"/>
  <c r="AG137" i="1" s="1"/>
  <c r="E34" i="18"/>
  <c r="AW113" i="1"/>
  <c r="AV101" i="1"/>
  <c r="AE139" i="1" l="1"/>
  <c r="E35" i="18"/>
  <c r="D28" i="10" a="1"/>
  <c r="D28" i="10" s="1"/>
  <c r="AG139" i="1"/>
  <c r="N35" i="18"/>
  <c r="AW109" i="1"/>
  <c r="AT67" i="1"/>
  <c r="AT68" i="1" s="1"/>
  <c r="AT69" i="1" s="1"/>
  <c r="AV69" i="1" s="1"/>
  <c r="AW69" i="1"/>
  <c r="AW101" i="1"/>
  <c r="AW65" i="1"/>
  <c r="AW105" i="1"/>
  <c r="AT103" i="1"/>
  <c r="AT104" i="1" s="1"/>
  <c r="AT105" i="1" s="1"/>
  <c r="AV105" i="1" s="1"/>
  <c r="D29" i="10" l="1" a="1"/>
  <c r="D29" i="10" s="1"/>
  <c r="G46" i="15" a="1"/>
  <c r="G46" i="25" a="1"/>
  <c r="G46" i="24" a="1"/>
  <c r="D20" i="10" a="1"/>
  <c r="D20" i="10" s="1"/>
  <c r="G4" i="24" a="1"/>
  <c r="G4" i="25" a="1"/>
  <c r="G4" i="15" a="1"/>
  <c r="AE140" i="1"/>
  <c r="N36" i="18"/>
  <c r="G80" i="24"/>
  <c r="G80" i="25"/>
  <c r="G80" i="15"/>
  <c r="G38" i="24"/>
  <c r="I38" i="24" s="1"/>
  <c r="G38" i="25"/>
  <c r="I38" i="25" s="1"/>
  <c r="E36" i="18"/>
  <c r="G38" i="15"/>
  <c r="AX101" i="1"/>
  <c r="AT113" i="1"/>
  <c r="AV113" i="1" s="1"/>
  <c r="D31" i="10" s="1" a="1"/>
  <c r="D31" i="10" s="1"/>
  <c r="AT111" i="1"/>
  <c r="AT110" i="1" s="1"/>
  <c r="AW61" i="1"/>
  <c r="AT62" i="1"/>
  <c r="AT64" i="1"/>
  <c r="AT65" i="1" s="1"/>
  <c r="AV65" i="1" s="1"/>
  <c r="D19" i="10" s="1" a="1"/>
  <c r="D19" i="10" s="1"/>
  <c r="AX69" i="1"/>
  <c r="AX105" i="1"/>
  <c r="H31" i="25" l="1"/>
  <c r="H30" i="25"/>
  <c r="H14" i="25"/>
  <c r="H7" i="25"/>
  <c r="H24" i="25"/>
  <c r="H21" i="25"/>
  <c r="H35" i="25"/>
  <c r="H28" i="25"/>
  <c r="M29" i="25" s="1"/>
  <c r="H13" i="25"/>
  <c r="H19" i="25"/>
  <c r="H20" i="25"/>
  <c r="H34" i="25"/>
  <c r="G4" i="25"/>
  <c r="H23" i="25"/>
  <c r="H11" i="25"/>
  <c r="M12" i="25" s="1"/>
  <c r="H33" i="25"/>
  <c r="M34" i="25" s="1"/>
  <c r="H5" i="25"/>
  <c r="H12" i="25"/>
  <c r="H36" i="25"/>
  <c r="H8" i="25"/>
  <c r="H15" i="25"/>
  <c r="I5" i="25"/>
  <c r="H37" i="25"/>
  <c r="H32" i="25"/>
  <c r="H16" i="25"/>
  <c r="H26" i="25"/>
  <c r="H6" i="25"/>
  <c r="H29" i="25"/>
  <c r="H25" i="25"/>
  <c r="H18" i="25"/>
  <c r="H9" i="25"/>
  <c r="H22" i="25"/>
  <c r="M23" i="25" s="1"/>
  <c r="H27" i="25"/>
  <c r="H10" i="25"/>
  <c r="H17" i="25"/>
  <c r="I7" i="25"/>
  <c r="I23" i="25"/>
  <c r="I21" i="25"/>
  <c r="I10" i="25"/>
  <c r="I33" i="25"/>
  <c r="I11" i="25"/>
  <c r="I16" i="25"/>
  <c r="I12" i="25"/>
  <c r="I35" i="25"/>
  <c r="I34" i="25"/>
  <c r="I15" i="25"/>
  <c r="I9" i="25"/>
  <c r="I36" i="25"/>
  <c r="I22" i="25"/>
  <c r="I26" i="25"/>
  <c r="I14" i="25"/>
  <c r="I25" i="25"/>
  <c r="I28" i="25"/>
  <c r="I20" i="25"/>
  <c r="I17" i="25"/>
  <c r="I30" i="25"/>
  <c r="I24" i="25"/>
  <c r="I32" i="25"/>
  <c r="I18" i="25"/>
  <c r="I29" i="25"/>
  <c r="I19" i="25"/>
  <c r="I8" i="25"/>
  <c r="I13" i="25"/>
  <c r="I31" i="25"/>
  <c r="I37" i="25"/>
  <c r="I27" i="25"/>
  <c r="I6" i="25"/>
  <c r="BO43" i="1"/>
  <c r="BO135" i="1"/>
  <c r="BO126" i="1"/>
  <c r="BO133" i="1"/>
  <c r="BO61" i="1"/>
  <c r="BO38" i="1"/>
  <c r="BO47" i="1"/>
  <c r="BP43" i="1"/>
  <c r="BN43" i="1"/>
  <c r="BP61" i="1"/>
  <c r="BP25" i="1"/>
  <c r="BO97" i="1"/>
  <c r="BN109" i="1"/>
  <c r="BO77" i="1"/>
  <c r="BN133" i="1"/>
  <c r="BP105" i="1"/>
  <c r="BP89" i="1"/>
  <c r="BP55" i="1"/>
  <c r="BP117" i="1"/>
  <c r="BO89" i="1"/>
  <c r="BP97" i="1"/>
  <c r="BN126" i="1"/>
  <c r="BN38" i="1"/>
  <c r="BP130" i="1"/>
  <c r="BN135" i="1"/>
  <c r="BP33" i="1"/>
  <c r="BO101" i="1"/>
  <c r="BP133" i="1"/>
  <c r="BN85" i="1"/>
  <c r="BN61" i="1"/>
  <c r="BO55" i="1"/>
  <c r="BP93" i="1"/>
  <c r="BN65" i="1"/>
  <c r="BN69" i="1"/>
  <c r="BP73" i="1"/>
  <c r="BN55" i="1"/>
  <c r="BN117" i="1"/>
  <c r="BN73" i="1"/>
  <c r="BN105" i="1"/>
  <c r="BN121" i="1"/>
  <c r="BO121" i="1"/>
  <c r="BO29" i="1"/>
  <c r="BN101" i="1"/>
  <c r="BP65" i="1"/>
  <c r="BN47" i="1"/>
  <c r="BP51" i="1"/>
  <c r="BO69" i="1"/>
  <c r="BO130" i="1"/>
  <c r="BP21" i="1"/>
  <c r="BO113" i="1"/>
  <c r="BO21" i="1"/>
  <c r="BO117" i="1"/>
  <c r="BP38" i="1"/>
  <c r="BN89" i="1"/>
  <c r="BO93" i="1"/>
  <c r="BO51" i="1"/>
  <c r="BN93" i="1"/>
  <c r="BP126" i="1"/>
  <c r="BN21" i="1"/>
  <c r="BO73" i="1"/>
  <c r="BP109" i="1"/>
  <c r="BO33" i="1"/>
  <c r="BP121" i="1"/>
  <c r="BP113" i="1"/>
  <c r="BO59" i="1"/>
  <c r="BP29" i="1"/>
  <c r="BN113" i="1"/>
  <c r="BN29" i="1"/>
  <c r="BN25" i="1"/>
  <c r="BN130" i="1"/>
  <c r="BO105" i="1"/>
  <c r="BP47" i="1"/>
  <c r="BN51" i="1"/>
  <c r="BP135" i="1"/>
  <c r="BN33" i="1"/>
  <c r="BO25" i="1"/>
  <c r="BP69" i="1"/>
  <c r="BO109" i="1"/>
  <c r="BO65" i="1"/>
  <c r="BN97" i="1"/>
  <c r="BP101" i="1"/>
  <c r="BP77" i="1"/>
  <c r="BO81" i="1"/>
  <c r="BN77" i="1"/>
  <c r="BP59" i="1"/>
  <c r="BN59" i="1"/>
  <c r="BP81" i="1"/>
  <c r="BN81" i="1"/>
  <c r="BP85" i="1"/>
  <c r="BO85" i="1"/>
  <c r="AC21" i="1"/>
  <c r="AC73" i="1"/>
  <c r="AC9" i="1"/>
  <c r="AC85" i="1"/>
  <c r="AC33" i="1"/>
  <c r="AC130" i="1"/>
  <c r="AC97" i="1"/>
  <c r="AC38" i="1"/>
  <c r="AC113" i="1"/>
  <c r="AC89" i="1"/>
  <c r="AC69" i="1"/>
  <c r="AC25" i="1"/>
  <c r="AC109" i="1"/>
  <c r="AC133" i="1"/>
  <c r="AC29" i="1"/>
  <c r="AC55" i="1"/>
  <c r="AC117" i="1"/>
  <c r="AC59" i="1"/>
  <c r="AC17" i="1"/>
  <c r="AC47" i="1"/>
  <c r="AC51" i="1"/>
  <c r="AC13" i="1"/>
  <c r="AC81" i="1"/>
  <c r="AC5" i="1"/>
  <c r="AC101" i="1"/>
  <c r="AC77" i="1"/>
  <c r="AC105" i="1"/>
  <c r="AC121" i="1"/>
  <c r="AC65" i="1"/>
  <c r="AC61" i="1"/>
  <c r="AC135" i="1"/>
  <c r="AC93" i="1"/>
  <c r="AC126" i="1"/>
  <c r="AC43" i="1"/>
  <c r="U5" i="18"/>
  <c r="U6" i="18"/>
  <c r="U7" i="18"/>
  <c r="U8" i="18"/>
  <c r="U9" i="18"/>
  <c r="U10" i="18"/>
  <c r="U11" i="18"/>
  <c r="U12" i="18"/>
  <c r="U13" i="18"/>
  <c r="U14" i="18"/>
  <c r="U15" i="18"/>
  <c r="U16" i="18"/>
  <c r="U17" i="18"/>
  <c r="U18" i="18"/>
  <c r="U19" i="18"/>
  <c r="U20" i="18"/>
  <c r="U21" i="18"/>
  <c r="U22" i="18"/>
  <c r="U23" i="18"/>
  <c r="U24" i="18"/>
  <c r="U25" i="18"/>
  <c r="U26" i="18"/>
  <c r="U27" i="18"/>
  <c r="U28" i="18"/>
  <c r="U29" i="18"/>
  <c r="U30" i="18"/>
  <c r="U31" i="18"/>
  <c r="U32" i="18"/>
  <c r="U33" i="18"/>
  <c r="U34" i="18"/>
  <c r="U35" i="18"/>
  <c r="H14" i="24"/>
  <c r="H24" i="24"/>
  <c r="H18" i="24"/>
  <c r="H12" i="24"/>
  <c r="H36" i="24"/>
  <c r="H37" i="24"/>
  <c r="H6" i="24"/>
  <c r="H10" i="24"/>
  <c r="H31" i="24"/>
  <c r="H13" i="24"/>
  <c r="H9" i="24"/>
  <c r="H21" i="24"/>
  <c r="H25" i="24"/>
  <c r="H29" i="24"/>
  <c r="H22" i="24"/>
  <c r="H34" i="24"/>
  <c r="H8" i="24"/>
  <c r="I5" i="24"/>
  <c r="H20" i="24"/>
  <c r="H7" i="24"/>
  <c r="H27" i="24"/>
  <c r="H30" i="24"/>
  <c r="H11" i="24"/>
  <c r="H28" i="24"/>
  <c r="H23" i="24"/>
  <c r="H19" i="24"/>
  <c r="H15" i="24"/>
  <c r="H5" i="24"/>
  <c r="H16" i="24"/>
  <c r="H33" i="24"/>
  <c r="H26" i="24"/>
  <c r="G4" i="24"/>
  <c r="H17" i="24"/>
  <c r="H35" i="24"/>
  <c r="H32" i="24"/>
  <c r="I26" i="24"/>
  <c r="I29" i="24"/>
  <c r="I28" i="24"/>
  <c r="I23" i="24"/>
  <c r="I24" i="24"/>
  <c r="I25" i="24"/>
  <c r="I20" i="24"/>
  <c r="I17" i="24"/>
  <c r="I16" i="24"/>
  <c r="I30" i="24"/>
  <c r="I10" i="24"/>
  <c r="I22" i="24"/>
  <c r="I19" i="24"/>
  <c r="I32" i="24"/>
  <c r="I8" i="24"/>
  <c r="I18" i="24"/>
  <c r="I12" i="24"/>
  <c r="I21" i="24"/>
  <c r="I27" i="24"/>
  <c r="I36" i="24"/>
  <c r="I35" i="24"/>
  <c r="I34" i="24"/>
  <c r="I33" i="24"/>
  <c r="I14" i="24"/>
  <c r="I37" i="24"/>
  <c r="I15" i="24"/>
  <c r="I31" i="24"/>
  <c r="I7" i="24"/>
  <c r="I9" i="24"/>
  <c r="I13" i="24"/>
  <c r="I11" i="24"/>
  <c r="I6" i="24"/>
  <c r="H24" i="15"/>
  <c r="H7" i="15"/>
  <c r="H21" i="15"/>
  <c r="H20" i="15"/>
  <c r="H22" i="15"/>
  <c r="H10" i="15"/>
  <c r="H9" i="15"/>
  <c r="H33" i="15"/>
  <c r="H16" i="15"/>
  <c r="H30" i="15"/>
  <c r="H13" i="15"/>
  <c r="H12" i="15"/>
  <c r="H8" i="15"/>
  <c r="K8" i="15" s="1"/>
  <c r="H34" i="15"/>
  <c r="H31" i="15"/>
  <c r="H5" i="15"/>
  <c r="H17" i="15"/>
  <c r="H25" i="15"/>
  <c r="H14" i="15"/>
  <c r="H26" i="15"/>
  <c r="H6" i="15"/>
  <c r="H18" i="15"/>
  <c r="H23" i="15"/>
  <c r="I5" i="15"/>
  <c r="H36" i="15"/>
  <c r="H32" i="15"/>
  <c r="H15" i="15"/>
  <c r="H29" i="15"/>
  <c r="H28" i="15"/>
  <c r="G4" i="15"/>
  <c r="H11" i="15"/>
  <c r="H19" i="15"/>
  <c r="H27" i="15"/>
  <c r="H35" i="15"/>
  <c r="H37" i="15"/>
  <c r="I23" i="15"/>
  <c r="I14" i="15"/>
  <c r="I35" i="15"/>
  <c r="I33" i="15"/>
  <c r="I8" i="15"/>
  <c r="I30" i="15"/>
  <c r="I31" i="15"/>
  <c r="I37" i="15"/>
  <c r="I22" i="15"/>
  <c r="I20" i="15"/>
  <c r="I21" i="15"/>
  <c r="I36" i="15"/>
  <c r="I7" i="15"/>
  <c r="I11" i="15"/>
  <c r="I28" i="15"/>
  <c r="I10" i="15"/>
  <c r="I17" i="15"/>
  <c r="I9" i="15"/>
  <c r="I19" i="15"/>
  <c r="I34" i="15"/>
  <c r="I25" i="15"/>
  <c r="I16" i="15"/>
  <c r="I13" i="15"/>
  <c r="I27" i="15"/>
  <c r="I24" i="15"/>
  <c r="I12" i="15"/>
  <c r="I18" i="15"/>
  <c r="I32" i="15"/>
  <c r="I15" i="15"/>
  <c r="I29" i="15"/>
  <c r="I26" i="15"/>
  <c r="I6" i="15"/>
  <c r="I47" i="24"/>
  <c r="H67" i="24"/>
  <c r="H73" i="24"/>
  <c r="H64" i="24"/>
  <c r="H54" i="24"/>
  <c r="H78" i="24"/>
  <c r="H59" i="24"/>
  <c r="H70" i="24"/>
  <c r="H74" i="24"/>
  <c r="H49" i="24"/>
  <c r="H76" i="24"/>
  <c r="H71" i="24"/>
  <c r="H58" i="24"/>
  <c r="H66" i="24"/>
  <c r="H65" i="24"/>
  <c r="H68" i="24"/>
  <c r="H63" i="24"/>
  <c r="H77" i="24"/>
  <c r="H75" i="24"/>
  <c r="H50" i="24"/>
  <c r="H55" i="24"/>
  <c r="H62" i="24"/>
  <c r="H56" i="24"/>
  <c r="H79" i="24"/>
  <c r="H60" i="24"/>
  <c r="H47" i="24"/>
  <c r="H53" i="24"/>
  <c r="H57" i="24"/>
  <c r="H52" i="24"/>
  <c r="H72" i="24"/>
  <c r="H69" i="24"/>
  <c r="H51" i="24"/>
  <c r="H48" i="24"/>
  <c r="H61" i="24"/>
  <c r="G46" i="24"/>
  <c r="I55" i="24"/>
  <c r="I52" i="24"/>
  <c r="I50" i="24"/>
  <c r="I66" i="24"/>
  <c r="I58" i="24"/>
  <c r="I74" i="24"/>
  <c r="I57" i="24"/>
  <c r="I63" i="24"/>
  <c r="I54" i="24"/>
  <c r="I69" i="24"/>
  <c r="I51" i="24"/>
  <c r="I77" i="24"/>
  <c r="I72" i="24"/>
  <c r="I56" i="24"/>
  <c r="I78" i="24"/>
  <c r="I70" i="24"/>
  <c r="I76" i="24"/>
  <c r="I68" i="24"/>
  <c r="I60" i="24"/>
  <c r="I62" i="24"/>
  <c r="I53" i="24"/>
  <c r="I71" i="24"/>
  <c r="I49" i="24"/>
  <c r="I73" i="24"/>
  <c r="I67" i="24"/>
  <c r="I59" i="24"/>
  <c r="I79" i="24"/>
  <c r="I61" i="24"/>
  <c r="I75" i="24"/>
  <c r="I65" i="24"/>
  <c r="I48" i="24"/>
  <c r="I64" i="24"/>
  <c r="H58" i="25"/>
  <c r="M59" i="25" s="1"/>
  <c r="H65" i="25"/>
  <c r="H68" i="25"/>
  <c r="H77" i="25"/>
  <c r="H66" i="25"/>
  <c r="H70" i="25"/>
  <c r="H56" i="25"/>
  <c r="I47" i="25"/>
  <c r="H57" i="25"/>
  <c r="M58" i="25" s="1"/>
  <c r="H60" i="25"/>
  <c r="H79" i="25"/>
  <c r="H54" i="25"/>
  <c r="H49" i="25"/>
  <c r="H64" i="25"/>
  <c r="H61" i="25"/>
  <c r="H62" i="25"/>
  <c r="H52" i="25"/>
  <c r="H59" i="25"/>
  <c r="H74" i="25"/>
  <c r="H72" i="25"/>
  <c r="H75" i="25"/>
  <c r="H47" i="25"/>
  <c r="H67" i="25"/>
  <c r="G46" i="25"/>
  <c r="H48" i="25"/>
  <c r="M49" i="25" s="1"/>
  <c r="H51" i="25"/>
  <c r="H63" i="25"/>
  <c r="H73" i="25"/>
  <c r="H76" i="25"/>
  <c r="H50" i="25"/>
  <c r="H55" i="25"/>
  <c r="H78" i="25"/>
  <c r="H69" i="25"/>
  <c r="M70" i="25" s="1"/>
  <c r="H71" i="25"/>
  <c r="H53" i="25"/>
  <c r="I55" i="25"/>
  <c r="I57" i="25"/>
  <c r="I51" i="25"/>
  <c r="I68" i="25"/>
  <c r="I50" i="25"/>
  <c r="I78" i="25"/>
  <c r="I69" i="25"/>
  <c r="I70" i="25"/>
  <c r="I66" i="25"/>
  <c r="I54" i="25"/>
  <c r="I74" i="25"/>
  <c r="I59" i="25"/>
  <c r="I72" i="25"/>
  <c r="I53" i="25"/>
  <c r="I75" i="25"/>
  <c r="I49" i="25"/>
  <c r="I56" i="25"/>
  <c r="I71" i="25"/>
  <c r="I61" i="25"/>
  <c r="I79" i="25"/>
  <c r="I52" i="25"/>
  <c r="I62" i="25"/>
  <c r="I77" i="25"/>
  <c r="I67" i="25"/>
  <c r="I63" i="25"/>
  <c r="I60" i="25"/>
  <c r="I76" i="25"/>
  <c r="I58" i="25"/>
  <c r="I73" i="25"/>
  <c r="I65" i="25"/>
  <c r="I64" i="25"/>
  <c r="I48" i="25"/>
  <c r="H71" i="15"/>
  <c r="H51" i="15"/>
  <c r="I47" i="15"/>
  <c r="H65" i="15"/>
  <c r="G46" i="15"/>
  <c r="H53" i="15"/>
  <c r="H64" i="15"/>
  <c r="H50" i="15"/>
  <c r="H66" i="15"/>
  <c r="H63" i="15"/>
  <c r="H60" i="15"/>
  <c r="H52" i="15"/>
  <c r="H59" i="15"/>
  <c r="H67" i="15"/>
  <c r="H79" i="15"/>
  <c r="H78" i="15"/>
  <c r="H70" i="15"/>
  <c r="H47" i="15"/>
  <c r="H61" i="15"/>
  <c r="H77" i="15"/>
  <c r="H74" i="15"/>
  <c r="H58" i="15"/>
  <c r="H49" i="15"/>
  <c r="H62" i="15"/>
  <c r="H54" i="15"/>
  <c r="H75" i="15"/>
  <c r="H55" i="15"/>
  <c r="H72" i="15"/>
  <c r="H68" i="15"/>
  <c r="H73" i="15"/>
  <c r="H76" i="15"/>
  <c r="H48" i="15"/>
  <c r="H56" i="15"/>
  <c r="H57" i="15"/>
  <c r="H69" i="15"/>
  <c r="I55" i="15"/>
  <c r="I70" i="15"/>
  <c r="I68" i="15"/>
  <c r="I61" i="15"/>
  <c r="I58" i="15"/>
  <c r="I66" i="15"/>
  <c r="I73" i="15"/>
  <c r="I51" i="15"/>
  <c r="I54" i="15"/>
  <c r="I60" i="15"/>
  <c r="I71" i="15"/>
  <c r="I69" i="15"/>
  <c r="I56" i="15"/>
  <c r="I52" i="15"/>
  <c r="I67" i="15"/>
  <c r="I76" i="15"/>
  <c r="I50" i="15"/>
  <c r="I57" i="15"/>
  <c r="I74" i="15"/>
  <c r="I62" i="15"/>
  <c r="I75" i="15"/>
  <c r="I53" i="15"/>
  <c r="I49" i="15"/>
  <c r="I63" i="15"/>
  <c r="I79" i="15"/>
  <c r="I78" i="15"/>
  <c r="I72" i="15"/>
  <c r="I77" i="15"/>
  <c r="I64" i="15"/>
  <c r="I48" i="15"/>
  <c r="I59" i="15"/>
  <c r="I65" i="15"/>
  <c r="AV109" i="1"/>
  <c r="D30" i="10" s="1" a="1"/>
  <c r="D30" i="10" s="1"/>
  <c r="AX113" i="1"/>
  <c r="AX65" i="1"/>
  <c r="AF110" i="1" a="1"/>
  <c r="AF110" i="1" s="1"/>
  <c r="AF70" i="1" a="1"/>
  <c r="AF70" i="1" s="1"/>
  <c r="AF118" i="1" a="1"/>
  <c r="AF118" i="1" s="1"/>
  <c r="AF75" i="1" a="1"/>
  <c r="AF75" i="1" s="1"/>
  <c r="AF74" i="1" a="1"/>
  <c r="AF74" i="1" s="1"/>
  <c r="AF79" i="1" a="1"/>
  <c r="AF79" i="1" s="1"/>
  <c r="AF98" i="1" a="1"/>
  <c r="AF98" i="1" s="1"/>
  <c r="AF83" i="1" a="1"/>
  <c r="AF83" i="1" s="1"/>
  <c r="AF87" i="1" a="1"/>
  <c r="AF87" i="1" s="1"/>
  <c r="AF117" i="1" a="1"/>
  <c r="AF117" i="1" s="1"/>
  <c r="AF137" i="1" a="1"/>
  <c r="AF137" i="1" s="1"/>
  <c r="AF139" i="1" s="1" a="1"/>
  <c r="AF139" i="1" s="1"/>
  <c r="AF140" i="1" s="1"/>
  <c r="AD5" i="1" s="1"/>
  <c r="AF134" i="1" a="1"/>
  <c r="AF134" i="1" s="1"/>
  <c r="AF94" i="1" a="1"/>
  <c r="AF94" i="1" s="1"/>
  <c r="AF90" i="1" a="1"/>
  <c r="AF90" i="1" s="1"/>
  <c r="AF107" i="1" a="1"/>
  <c r="AF107" i="1" s="1"/>
  <c r="AF109" i="1" a="1"/>
  <c r="AF109" i="1" s="1"/>
  <c r="AF61" i="1" a="1"/>
  <c r="AF61" i="1" s="1"/>
  <c r="AF103" i="1" a="1"/>
  <c r="AF103" i="1" s="1"/>
  <c r="AF125" i="1" a="1"/>
  <c r="AF125" i="1" s="1"/>
  <c r="AF88" i="1" a="1"/>
  <c r="AF88" i="1" s="1"/>
  <c r="AF97" i="1" a="1"/>
  <c r="AF97" i="1" s="1"/>
  <c r="AF76" i="1" a="1"/>
  <c r="AF76" i="1" s="1"/>
  <c r="AF82" i="1" a="1"/>
  <c r="AF82" i="1" s="1"/>
  <c r="AF73" i="1" a="1"/>
  <c r="AF73" i="1" s="1"/>
  <c r="AF114" i="1" a="1"/>
  <c r="AF114" i="1" s="1"/>
  <c r="AF85" i="1" a="1"/>
  <c r="AF85" i="1" s="1"/>
  <c r="AF132" i="1" a="1"/>
  <c r="AF132" i="1" s="1"/>
  <c r="AF81" i="1" a="1"/>
  <c r="AF81" i="1" s="1"/>
  <c r="AF86" i="1" a="1"/>
  <c r="AF86" i="1" s="1"/>
  <c r="AF135" i="1" a="1"/>
  <c r="AF135" i="1" s="1"/>
  <c r="AF96" i="1" a="1"/>
  <c r="AF96" i="1" s="1"/>
  <c r="AF128" i="1" a="1"/>
  <c r="AF128" i="1" s="1"/>
  <c r="AF127" i="1" a="1"/>
  <c r="AF127" i="1" s="1"/>
  <c r="AF112" i="1" a="1"/>
  <c r="AF112" i="1" s="1"/>
  <c r="AF104" i="1" a="1"/>
  <c r="AF104" i="1" s="1"/>
  <c r="AF108" i="1" a="1"/>
  <c r="AF108" i="1" s="1"/>
  <c r="AF78" i="1" a="1"/>
  <c r="AF78" i="1" s="1"/>
  <c r="AF106" i="1" a="1"/>
  <c r="AF106" i="1" s="1"/>
  <c r="AF80" i="1" a="1"/>
  <c r="AF80" i="1" s="1"/>
  <c r="AF93" i="1" a="1"/>
  <c r="AF93" i="1" s="1"/>
  <c r="AF89" i="1" a="1"/>
  <c r="AF89" i="1" s="1"/>
  <c r="AF62" i="1" a="1"/>
  <c r="AF62" i="1" s="1"/>
  <c r="AF129" i="1" a="1"/>
  <c r="AF129" i="1" s="1"/>
  <c r="AF71" i="1" a="1"/>
  <c r="AF71" i="1" s="1"/>
  <c r="AF66" i="1" a="1"/>
  <c r="AF66" i="1" s="1"/>
  <c r="AF69" i="1" a="1"/>
  <c r="AF69" i="1" s="1"/>
  <c r="AF63" i="1" a="1"/>
  <c r="AF63" i="1" s="1"/>
  <c r="AF105" i="1" a="1"/>
  <c r="AF105" i="1" s="1"/>
  <c r="AF102" i="1" a="1"/>
  <c r="AF102" i="1" s="1"/>
  <c r="AF131" i="1" a="1"/>
  <c r="AF131" i="1" s="1"/>
  <c r="AF92" i="1" a="1"/>
  <c r="AF92" i="1" s="1"/>
  <c r="AF67" i="1" a="1"/>
  <c r="AF67" i="1" s="1"/>
  <c r="AF119" i="1" a="1"/>
  <c r="AF119" i="1" s="1"/>
  <c r="AF136" i="1" a="1"/>
  <c r="AF136" i="1" s="1"/>
  <c r="AF122" i="1" a="1"/>
  <c r="AF122" i="1" s="1"/>
  <c r="AF101" i="1" a="1"/>
  <c r="AF101" i="1" s="1"/>
  <c r="AF124" i="1" a="1"/>
  <c r="AF124" i="1" s="1"/>
  <c r="AF65" i="1" a="1"/>
  <c r="AF65" i="1" s="1"/>
  <c r="AF77" i="1" a="1"/>
  <c r="AF77" i="1" s="1"/>
  <c r="AF115" i="1" a="1"/>
  <c r="AF115" i="1" s="1"/>
  <c r="AF113" i="1" a="1"/>
  <c r="AF113" i="1" s="1"/>
  <c r="AF100" i="1" a="1"/>
  <c r="AF100" i="1" s="1"/>
  <c r="AF99" i="1" a="1"/>
  <c r="AF99" i="1" s="1"/>
  <c r="AF116" i="1" a="1"/>
  <c r="AF116" i="1" s="1"/>
  <c r="AF121" i="1" a="1"/>
  <c r="AF121" i="1" s="1"/>
  <c r="AF126" i="1" a="1"/>
  <c r="AF126" i="1" s="1"/>
  <c r="AF111" i="1" a="1"/>
  <c r="AF111" i="1" s="1"/>
  <c r="AF84" i="1" a="1"/>
  <c r="AF84" i="1" s="1"/>
  <c r="AF72" i="1" a="1"/>
  <c r="AF72" i="1" s="1"/>
  <c r="AF91" i="1" a="1"/>
  <c r="AF91" i="1" s="1"/>
  <c r="AF64" i="1" a="1"/>
  <c r="AF64" i="1" s="1"/>
  <c r="AF95" i="1" a="1"/>
  <c r="AF95" i="1" s="1"/>
  <c r="AF123" i="1" a="1"/>
  <c r="AF123" i="1" s="1"/>
  <c r="AF120" i="1" a="1"/>
  <c r="AF120" i="1" s="1"/>
  <c r="AF130" i="1" a="1"/>
  <c r="AF130" i="1" s="1"/>
  <c r="AF133" i="1" a="1"/>
  <c r="AF133" i="1" s="1"/>
  <c r="AF68" i="1" a="1"/>
  <c r="AF68" i="1" s="1"/>
  <c r="AV61" i="1"/>
  <c r="D18" i="10" s="1" a="1"/>
  <c r="D18" i="10" s="1"/>
  <c r="M53" i="25" l="1"/>
  <c r="M33" i="25"/>
  <c r="M79" i="25"/>
  <c r="M63" i="25"/>
  <c r="BS21" i="1"/>
  <c r="M8" i="25"/>
  <c r="M66" i="25"/>
  <c r="M20" i="25"/>
  <c r="M28" i="25"/>
  <c r="M6" i="25"/>
  <c r="M14" i="25"/>
  <c r="W78" i="25"/>
  <c r="U78" i="25"/>
  <c r="K78" i="25"/>
  <c r="V78" i="25"/>
  <c r="L78" i="25"/>
  <c r="L13" i="24"/>
  <c r="K13" i="24"/>
  <c r="BQ85" i="1"/>
  <c r="BS85" i="1"/>
  <c r="W72" i="25"/>
  <c r="U72" i="25"/>
  <c r="V72" i="25"/>
  <c r="L72" i="25"/>
  <c r="K72" i="25"/>
  <c r="U47" i="25"/>
  <c r="W47" i="25"/>
  <c r="V47" i="25"/>
  <c r="M74" i="24"/>
  <c r="U73" i="24"/>
  <c r="W73" i="24"/>
  <c r="V73" i="24"/>
  <c r="V63" i="24"/>
  <c r="M64" i="24"/>
  <c r="U63" i="24"/>
  <c r="W63" i="24"/>
  <c r="H46" i="24"/>
  <c r="I46" i="24"/>
  <c r="K53" i="24"/>
  <c r="L53" i="24"/>
  <c r="K75" i="24"/>
  <c r="L75" i="24"/>
  <c r="K76" i="24"/>
  <c r="L76" i="24"/>
  <c r="L73" i="24"/>
  <c r="K73" i="24"/>
  <c r="H4" i="15"/>
  <c r="K4" i="15" s="1"/>
  <c r="I4" i="15"/>
  <c r="V13" i="24"/>
  <c r="U13" i="24"/>
  <c r="W13" i="24"/>
  <c r="M14" i="24"/>
  <c r="V34" i="24"/>
  <c r="U34" i="24"/>
  <c r="M35" i="24"/>
  <c r="W34" i="24"/>
  <c r="U32" i="24"/>
  <c r="M33" i="24"/>
  <c r="W32" i="24"/>
  <c r="V32" i="24"/>
  <c r="V25" i="24"/>
  <c r="M26" i="24"/>
  <c r="W25" i="24"/>
  <c r="U25" i="24"/>
  <c r="K17" i="24"/>
  <c r="L17" i="24"/>
  <c r="K23" i="24"/>
  <c r="L23" i="24"/>
  <c r="N23" i="24" s="1"/>
  <c r="L8" i="24"/>
  <c r="K8" i="24"/>
  <c r="L31" i="24"/>
  <c r="K31" i="24"/>
  <c r="L14" i="24"/>
  <c r="K14" i="24"/>
  <c r="BQ77" i="1"/>
  <c r="BS77" i="1"/>
  <c r="BQ29" i="1"/>
  <c r="BS29" i="1"/>
  <c r="BS55" i="1"/>
  <c r="BQ55" i="1"/>
  <c r="K13" i="25"/>
  <c r="L13" i="25"/>
  <c r="V13" i="25"/>
  <c r="U13" i="25"/>
  <c r="W13" i="25"/>
  <c r="K17" i="25"/>
  <c r="U17" i="25"/>
  <c r="W17" i="25"/>
  <c r="V17" i="25"/>
  <c r="L17" i="25"/>
  <c r="U9" i="25"/>
  <c r="L9" i="25"/>
  <c r="K9" i="25"/>
  <c r="V9" i="25"/>
  <c r="W9" i="25"/>
  <c r="W10" i="25"/>
  <c r="L10" i="25"/>
  <c r="V10" i="25"/>
  <c r="K10" i="25"/>
  <c r="U10" i="25"/>
  <c r="M10" i="25"/>
  <c r="M36" i="25"/>
  <c r="K58" i="25"/>
  <c r="N58" i="25" s="1"/>
  <c r="W58" i="25"/>
  <c r="U58" i="25"/>
  <c r="L58" i="25"/>
  <c r="V58" i="25"/>
  <c r="U79" i="25"/>
  <c r="V79" i="25"/>
  <c r="W79" i="25"/>
  <c r="L79" i="25"/>
  <c r="K79" i="25"/>
  <c r="U59" i="25"/>
  <c r="W59" i="25"/>
  <c r="L59" i="25"/>
  <c r="V59" i="25"/>
  <c r="K59" i="25"/>
  <c r="N59" i="25" s="1"/>
  <c r="U68" i="25"/>
  <c r="V68" i="25"/>
  <c r="W68" i="25"/>
  <c r="K68" i="25"/>
  <c r="L68" i="25"/>
  <c r="M56" i="25"/>
  <c r="M68" i="25"/>
  <c r="M62" i="25"/>
  <c r="M57" i="25"/>
  <c r="K49" i="24"/>
  <c r="W48" i="24"/>
  <c r="V48" i="24"/>
  <c r="U48" i="24"/>
  <c r="M49" i="24"/>
  <c r="V49" i="24"/>
  <c r="W49" i="24"/>
  <c r="U49" i="24"/>
  <c r="M50" i="24"/>
  <c r="M79" i="24"/>
  <c r="W78" i="24"/>
  <c r="V78" i="24"/>
  <c r="U78" i="24"/>
  <c r="V57" i="24"/>
  <c r="U57" i="24"/>
  <c r="W57" i="24"/>
  <c r="M58" i="24"/>
  <c r="K61" i="24"/>
  <c r="L61" i="24"/>
  <c r="L77" i="24"/>
  <c r="K77" i="24"/>
  <c r="L49" i="24"/>
  <c r="L67" i="24"/>
  <c r="K67" i="24"/>
  <c r="M10" i="24"/>
  <c r="W9" i="24"/>
  <c r="U9" i="24"/>
  <c r="V9" i="24"/>
  <c r="U35" i="24"/>
  <c r="W35" i="24"/>
  <c r="M36" i="24"/>
  <c r="V35" i="24"/>
  <c r="M20" i="24"/>
  <c r="U19" i="24"/>
  <c r="V19" i="24"/>
  <c r="W19" i="24"/>
  <c r="M25" i="24"/>
  <c r="W24" i="24"/>
  <c r="U24" i="24"/>
  <c r="V24" i="24"/>
  <c r="I4" i="24"/>
  <c r="K5" i="24" s="1"/>
  <c r="H4" i="24"/>
  <c r="K28" i="24"/>
  <c r="L28" i="24"/>
  <c r="K34" i="24"/>
  <c r="L34" i="24"/>
  <c r="L10" i="24"/>
  <c r="K10" i="24"/>
  <c r="BQ33" i="1"/>
  <c r="BS33" i="1"/>
  <c r="BQ113" i="1"/>
  <c r="BS113" i="1"/>
  <c r="BQ21" i="1"/>
  <c r="BQ101" i="1"/>
  <c r="BS101" i="1"/>
  <c r="V8" i="25"/>
  <c r="U8" i="25"/>
  <c r="K8" i="25"/>
  <c r="L8" i="25"/>
  <c r="W8" i="25"/>
  <c r="V20" i="25"/>
  <c r="U20" i="25"/>
  <c r="L20" i="25"/>
  <c r="W20" i="25"/>
  <c r="K20" i="25"/>
  <c r="K15" i="25"/>
  <c r="U15" i="25"/>
  <c r="V15" i="25"/>
  <c r="W15" i="25"/>
  <c r="L15" i="25"/>
  <c r="K21" i="25"/>
  <c r="L21" i="25"/>
  <c r="V21" i="25"/>
  <c r="W21" i="25"/>
  <c r="U21" i="25"/>
  <c r="M19" i="25"/>
  <c r="V5" i="25"/>
  <c r="U5" i="25"/>
  <c r="W5" i="25"/>
  <c r="M24" i="25"/>
  <c r="M22" i="25"/>
  <c r="V62" i="25"/>
  <c r="W62" i="25"/>
  <c r="U62" i="25"/>
  <c r="K62" i="25"/>
  <c r="L62" i="25"/>
  <c r="W67" i="24"/>
  <c r="U67" i="24"/>
  <c r="M68" i="24"/>
  <c r="V67" i="24"/>
  <c r="M55" i="24"/>
  <c r="U54" i="24"/>
  <c r="W54" i="24"/>
  <c r="V54" i="24"/>
  <c r="U55" i="24"/>
  <c r="W55" i="24"/>
  <c r="V55" i="24"/>
  <c r="M56" i="24"/>
  <c r="L57" i="24"/>
  <c r="K57" i="24"/>
  <c r="K64" i="24"/>
  <c r="L64" i="24"/>
  <c r="K19" i="24"/>
  <c r="L19" i="24"/>
  <c r="H46" i="15"/>
  <c r="L47" i="15" s="1"/>
  <c r="I46" i="15"/>
  <c r="V52" i="25"/>
  <c r="U52" i="25"/>
  <c r="W52" i="25"/>
  <c r="L52" i="25"/>
  <c r="K52" i="25"/>
  <c r="W70" i="24"/>
  <c r="V70" i="24"/>
  <c r="U70" i="24"/>
  <c r="M71" i="24"/>
  <c r="K76" i="25"/>
  <c r="L76" i="25"/>
  <c r="V76" i="25"/>
  <c r="U76" i="25"/>
  <c r="W76" i="25"/>
  <c r="K61" i="25"/>
  <c r="L61" i="25"/>
  <c r="W61" i="25"/>
  <c r="V61" i="25"/>
  <c r="U61" i="25"/>
  <c r="L74" i="25"/>
  <c r="W74" i="25"/>
  <c r="U74" i="25"/>
  <c r="K74" i="25"/>
  <c r="V74" i="25"/>
  <c r="W51" i="25"/>
  <c r="L51" i="25"/>
  <c r="V51" i="25"/>
  <c r="U51" i="25"/>
  <c r="K51" i="25"/>
  <c r="M51" i="25"/>
  <c r="M48" i="25"/>
  <c r="M65" i="25"/>
  <c r="M71" i="25"/>
  <c r="M66" i="24"/>
  <c r="V65" i="24"/>
  <c r="W65" i="24"/>
  <c r="U65" i="24"/>
  <c r="W71" i="24"/>
  <c r="U71" i="24"/>
  <c r="V71" i="24"/>
  <c r="M72" i="24"/>
  <c r="V56" i="24"/>
  <c r="W56" i="24"/>
  <c r="U56" i="24"/>
  <c r="M57" i="24"/>
  <c r="U74" i="24"/>
  <c r="M75" i="24"/>
  <c r="W74" i="24"/>
  <c r="V74" i="24"/>
  <c r="K48" i="24"/>
  <c r="L48" i="24"/>
  <c r="L60" i="24"/>
  <c r="K60" i="24"/>
  <c r="L63" i="24"/>
  <c r="K63" i="24"/>
  <c r="L74" i="24"/>
  <c r="K74" i="24"/>
  <c r="W47" i="24"/>
  <c r="U47" i="24"/>
  <c r="V47" i="24"/>
  <c r="M48" i="24"/>
  <c r="M8" i="24"/>
  <c r="V7" i="24"/>
  <c r="U7" i="24"/>
  <c r="W7" i="24"/>
  <c r="W36" i="24"/>
  <c r="M37" i="24"/>
  <c r="U36" i="24"/>
  <c r="V36" i="24"/>
  <c r="V22" i="24"/>
  <c r="W22" i="24"/>
  <c r="U22" i="24"/>
  <c r="M23" i="24"/>
  <c r="V23" i="24"/>
  <c r="M24" i="24"/>
  <c r="U23" i="24"/>
  <c r="W23" i="24"/>
  <c r="L26" i="24"/>
  <c r="K26" i="24"/>
  <c r="K11" i="24"/>
  <c r="L11" i="24"/>
  <c r="L22" i="24"/>
  <c r="K22" i="24"/>
  <c r="L6" i="24"/>
  <c r="K6" i="24"/>
  <c r="BQ69" i="1"/>
  <c r="BS69" i="1"/>
  <c r="K19" i="25"/>
  <c r="U19" i="25"/>
  <c r="L19" i="25"/>
  <c r="V19" i="25"/>
  <c r="W19" i="25"/>
  <c r="V28" i="25"/>
  <c r="K28" i="25"/>
  <c r="L28" i="25"/>
  <c r="W28" i="25"/>
  <c r="U28" i="25"/>
  <c r="V34" i="25"/>
  <c r="K34" i="25"/>
  <c r="W34" i="25"/>
  <c r="U34" i="25"/>
  <c r="L34" i="25"/>
  <c r="L23" i="25"/>
  <c r="V23" i="25"/>
  <c r="K23" i="25"/>
  <c r="U23" i="25"/>
  <c r="W23" i="25"/>
  <c r="M26" i="25"/>
  <c r="M16" i="25"/>
  <c r="I4" i="25"/>
  <c r="H4" i="25"/>
  <c r="M5" i="25" s="1"/>
  <c r="M25" i="25"/>
  <c r="K50" i="24"/>
  <c r="L50" i="24"/>
  <c r="L35" i="24"/>
  <c r="K35" i="24"/>
  <c r="V60" i="25"/>
  <c r="U60" i="25"/>
  <c r="K60" i="25"/>
  <c r="L60" i="25"/>
  <c r="W60" i="25"/>
  <c r="K71" i="25"/>
  <c r="L71" i="25"/>
  <c r="W71" i="25"/>
  <c r="V71" i="25"/>
  <c r="U71" i="25"/>
  <c r="L54" i="25"/>
  <c r="V54" i="25"/>
  <c r="W54" i="25"/>
  <c r="U54" i="25"/>
  <c r="K54" i="25"/>
  <c r="W57" i="25"/>
  <c r="L57" i="25"/>
  <c r="U57" i="25"/>
  <c r="K57" i="25"/>
  <c r="V57" i="25"/>
  <c r="M77" i="25"/>
  <c r="M76" i="25"/>
  <c r="M50" i="25"/>
  <c r="M67" i="25"/>
  <c r="U75" i="24"/>
  <c r="M76" i="24"/>
  <c r="W75" i="24"/>
  <c r="V75" i="24"/>
  <c r="W53" i="24"/>
  <c r="V53" i="24"/>
  <c r="U53" i="24"/>
  <c r="M54" i="24"/>
  <c r="M73" i="24"/>
  <c r="W72" i="24"/>
  <c r="U72" i="24"/>
  <c r="V72" i="24"/>
  <c r="M59" i="24"/>
  <c r="U58" i="24"/>
  <c r="W58" i="24"/>
  <c r="V58" i="24"/>
  <c r="L51" i="24"/>
  <c r="K51" i="24"/>
  <c r="L79" i="24"/>
  <c r="K79" i="24"/>
  <c r="L68" i="24"/>
  <c r="K68" i="24"/>
  <c r="K70" i="24"/>
  <c r="L70" i="24"/>
  <c r="M32" i="24"/>
  <c r="U31" i="24"/>
  <c r="V31" i="24"/>
  <c r="W31" i="24"/>
  <c r="V27" i="24"/>
  <c r="U27" i="24"/>
  <c r="M28" i="24"/>
  <c r="W27" i="24"/>
  <c r="W10" i="24"/>
  <c r="U10" i="24"/>
  <c r="M11" i="24"/>
  <c r="V10" i="24"/>
  <c r="W28" i="24"/>
  <c r="V28" i="24"/>
  <c r="U28" i="24"/>
  <c r="M29" i="24"/>
  <c r="L33" i="24"/>
  <c r="K33" i="24"/>
  <c r="L30" i="24"/>
  <c r="K30" i="24"/>
  <c r="K29" i="24"/>
  <c r="L29" i="24"/>
  <c r="K37" i="24"/>
  <c r="L37" i="24"/>
  <c r="BQ51" i="1"/>
  <c r="BS51" i="1"/>
  <c r="BQ93" i="1"/>
  <c r="BS93" i="1"/>
  <c r="BS65" i="1"/>
  <c r="BQ65" i="1"/>
  <c r="BS135" i="1"/>
  <c r="BQ135" i="1"/>
  <c r="BS43" i="1"/>
  <c r="BQ43" i="1"/>
  <c r="L29" i="25"/>
  <c r="V29" i="25"/>
  <c r="U29" i="25"/>
  <c r="W29" i="25"/>
  <c r="K29" i="25"/>
  <c r="L25" i="25"/>
  <c r="U25" i="25"/>
  <c r="K25" i="25"/>
  <c r="W25" i="25"/>
  <c r="V25" i="25"/>
  <c r="K35" i="25"/>
  <c r="V35" i="25"/>
  <c r="W35" i="25"/>
  <c r="U35" i="25"/>
  <c r="L35" i="25"/>
  <c r="K7" i="25"/>
  <c r="W7" i="25"/>
  <c r="V7" i="25"/>
  <c r="U7" i="25"/>
  <c r="L7" i="25"/>
  <c r="M30" i="25"/>
  <c r="M9" i="25"/>
  <c r="M35" i="25"/>
  <c r="BQ47" i="1"/>
  <c r="BS47" i="1"/>
  <c r="BS109" i="1"/>
  <c r="BQ109" i="1"/>
  <c r="L31" i="25"/>
  <c r="K31" i="25"/>
  <c r="W31" i="25"/>
  <c r="V31" i="25"/>
  <c r="U31" i="25"/>
  <c r="U30" i="25"/>
  <c r="K30" i="25"/>
  <c r="W30" i="25"/>
  <c r="L30" i="25"/>
  <c r="V30" i="25"/>
  <c r="U36" i="25"/>
  <c r="V36" i="25"/>
  <c r="W36" i="25"/>
  <c r="K36" i="25"/>
  <c r="L36" i="25"/>
  <c r="L33" i="25"/>
  <c r="K33" i="25"/>
  <c r="N33" i="25" s="1"/>
  <c r="W33" i="25"/>
  <c r="U33" i="25"/>
  <c r="V33" i="25"/>
  <c r="W73" i="25"/>
  <c r="U73" i="25"/>
  <c r="V73" i="25"/>
  <c r="K73" i="25"/>
  <c r="L73" i="25"/>
  <c r="K50" i="25"/>
  <c r="W50" i="25"/>
  <c r="L50" i="25"/>
  <c r="V50" i="25"/>
  <c r="U50" i="25"/>
  <c r="H46" i="25"/>
  <c r="M47" i="25" s="1"/>
  <c r="I46" i="25"/>
  <c r="W64" i="24"/>
  <c r="V64" i="24"/>
  <c r="M65" i="24"/>
  <c r="U64" i="24"/>
  <c r="W63" i="25"/>
  <c r="K63" i="25"/>
  <c r="L63" i="25"/>
  <c r="U63" i="25"/>
  <c r="V63" i="25"/>
  <c r="V56" i="25"/>
  <c r="U56" i="25"/>
  <c r="K56" i="25"/>
  <c r="W56" i="25"/>
  <c r="L56" i="25"/>
  <c r="K66" i="25"/>
  <c r="V66" i="25"/>
  <c r="W66" i="25"/>
  <c r="L66" i="25"/>
  <c r="U66" i="25"/>
  <c r="K55" i="25"/>
  <c r="L55" i="25"/>
  <c r="V55" i="25"/>
  <c r="U55" i="25"/>
  <c r="W55" i="25"/>
  <c r="M74" i="25"/>
  <c r="M73" i="25"/>
  <c r="M55" i="25"/>
  <c r="M78" i="25"/>
  <c r="W61" i="24"/>
  <c r="V61" i="24"/>
  <c r="U61" i="24"/>
  <c r="M63" i="24"/>
  <c r="W62" i="24"/>
  <c r="V62" i="24"/>
  <c r="U62" i="24"/>
  <c r="V77" i="24"/>
  <c r="M78" i="24"/>
  <c r="W77" i="24"/>
  <c r="U77" i="24"/>
  <c r="V66" i="24"/>
  <c r="U66" i="24"/>
  <c r="M67" i="24"/>
  <c r="W66" i="24"/>
  <c r="K69" i="24"/>
  <c r="L69" i="24"/>
  <c r="L56" i="24"/>
  <c r="N56" i="24" s="1"/>
  <c r="K56" i="24"/>
  <c r="K65" i="24"/>
  <c r="L65" i="24"/>
  <c r="K59" i="24"/>
  <c r="L59" i="24"/>
  <c r="M16" i="24"/>
  <c r="W15" i="24"/>
  <c r="U15" i="24"/>
  <c r="V15" i="24"/>
  <c r="M22" i="24"/>
  <c r="V21" i="24"/>
  <c r="U21" i="24"/>
  <c r="W21" i="24"/>
  <c r="W30" i="24"/>
  <c r="V30" i="24"/>
  <c r="M31" i="24"/>
  <c r="U30" i="24"/>
  <c r="V29" i="24"/>
  <c r="M30" i="24"/>
  <c r="W29" i="24"/>
  <c r="U29" i="24"/>
  <c r="K16" i="24"/>
  <c r="L16" i="24"/>
  <c r="L27" i="24"/>
  <c r="K27" i="24"/>
  <c r="K25" i="24"/>
  <c r="L25" i="24"/>
  <c r="K36" i="24"/>
  <c r="L36" i="24"/>
  <c r="BQ81" i="1"/>
  <c r="BS81" i="1"/>
  <c r="BQ97" i="1"/>
  <c r="BS97" i="1"/>
  <c r="BQ121" i="1"/>
  <c r="BS121" i="1"/>
  <c r="K6" i="25"/>
  <c r="V6" i="25"/>
  <c r="L6" i="25"/>
  <c r="U6" i="25"/>
  <c r="W6" i="25"/>
  <c r="U18" i="25"/>
  <c r="V18" i="25"/>
  <c r="K18" i="25"/>
  <c r="L18" i="25"/>
  <c r="W18" i="25"/>
  <c r="K14" i="25"/>
  <c r="L14" i="25"/>
  <c r="U14" i="25"/>
  <c r="W14" i="25"/>
  <c r="V14" i="25"/>
  <c r="W12" i="25"/>
  <c r="V12" i="25"/>
  <c r="K12" i="25"/>
  <c r="U12" i="25"/>
  <c r="L12" i="25"/>
  <c r="M18" i="25"/>
  <c r="M7" i="25"/>
  <c r="M37" i="25"/>
  <c r="M21" i="25"/>
  <c r="M15" i="25"/>
  <c r="K65" i="25"/>
  <c r="W65" i="25"/>
  <c r="V65" i="25"/>
  <c r="L65" i="25"/>
  <c r="U65" i="25"/>
  <c r="U53" i="25"/>
  <c r="K53" i="25"/>
  <c r="V53" i="25"/>
  <c r="L53" i="25"/>
  <c r="W53" i="25"/>
  <c r="M77" i="24"/>
  <c r="U76" i="24"/>
  <c r="V76" i="24"/>
  <c r="W76" i="24"/>
  <c r="L71" i="24"/>
  <c r="K71" i="24"/>
  <c r="V11" i="24"/>
  <c r="M12" i="24"/>
  <c r="W11" i="24"/>
  <c r="U11" i="24"/>
  <c r="W33" i="24"/>
  <c r="M34" i="24"/>
  <c r="V33" i="24"/>
  <c r="U33" i="24"/>
  <c r="U8" i="24"/>
  <c r="W8" i="24"/>
  <c r="M9" i="24"/>
  <c r="V8" i="24"/>
  <c r="V20" i="24"/>
  <c r="M21" i="24"/>
  <c r="W20" i="24"/>
  <c r="U20" i="24"/>
  <c r="K24" i="24"/>
  <c r="L24" i="24"/>
  <c r="BS117" i="1"/>
  <c r="BQ117" i="1"/>
  <c r="K48" i="25"/>
  <c r="L48" i="25"/>
  <c r="W48" i="25"/>
  <c r="U48" i="25"/>
  <c r="V48" i="25"/>
  <c r="U67" i="25"/>
  <c r="L67" i="25"/>
  <c r="V67" i="25"/>
  <c r="W67" i="25"/>
  <c r="K67" i="25"/>
  <c r="W49" i="25"/>
  <c r="K49" i="25"/>
  <c r="V49" i="25"/>
  <c r="L49" i="25"/>
  <c r="U49" i="25"/>
  <c r="K70" i="25"/>
  <c r="L70" i="25"/>
  <c r="W70" i="25"/>
  <c r="V70" i="25"/>
  <c r="U70" i="25"/>
  <c r="M54" i="25"/>
  <c r="M64" i="25"/>
  <c r="M75" i="25"/>
  <c r="M69" i="25"/>
  <c r="U79" i="24"/>
  <c r="V79" i="24"/>
  <c r="W79" i="24"/>
  <c r="U60" i="24"/>
  <c r="W60" i="24"/>
  <c r="V60" i="24"/>
  <c r="M61" i="24"/>
  <c r="W51" i="24"/>
  <c r="U51" i="24"/>
  <c r="V51" i="24"/>
  <c r="M52" i="24"/>
  <c r="V50" i="24"/>
  <c r="W50" i="24"/>
  <c r="U50" i="24"/>
  <c r="M51" i="24"/>
  <c r="K72" i="24"/>
  <c r="L72" i="24"/>
  <c r="M62" i="24"/>
  <c r="K62" i="24"/>
  <c r="L62" i="24"/>
  <c r="L66" i="24"/>
  <c r="K66" i="24"/>
  <c r="L78" i="24"/>
  <c r="K78" i="24"/>
  <c r="W37" i="24"/>
  <c r="U37" i="24"/>
  <c r="V37" i="24"/>
  <c r="V12" i="24"/>
  <c r="U12" i="24"/>
  <c r="W12" i="24"/>
  <c r="M13" i="24"/>
  <c r="M17" i="24"/>
  <c r="W16" i="24"/>
  <c r="V16" i="24"/>
  <c r="U16" i="24"/>
  <c r="V26" i="24"/>
  <c r="M27" i="24"/>
  <c r="W26" i="24"/>
  <c r="U26" i="24"/>
  <c r="L5" i="24"/>
  <c r="L7" i="24"/>
  <c r="K7" i="24"/>
  <c r="K21" i="24"/>
  <c r="L21" i="24"/>
  <c r="K12" i="24"/>
  <c r="L12" i="24"/>
  <c r="BS105" i="1"/>
  <c r="BQ105" i="1"/>
  <c r="BS38" i="1"/>
  <c r="BQ38" i="1"/>
  <c r="BS133" i="1"/>
  <c r="BQ133" i="1"/>
  <c r="W27" i="25"/>
  <c r="V27" i="25"/>
  <c r="L27" i="25"/>
  <c r="K27" i="25"/>
  <c r="U27" i="25"/>
  <c r="K32" i="25"/>
  <c r="L32" i="25"/>
  <c r="W32" i="25"/>
  <c r="U32" i="25"/>
  <c r="V32" i="25"/>
  <c r="W26" i="25"/>
  <c r="K26" i="25"/>
  <c r="U26" i="25"/>
  <c r="V26" i="25"/>
  <c r="L26" i="25"/>
  <c r="U16" i="25"/>
  <c r="K16" i="25"/>
  <c r="V16" i="25"/>
  <c r="W16" i="25"/>
  <c r="L16" i="25"/>
  <c r="M11" i="25"/>
  <c r="M27" i="25"/>
  <c r="M13" i="25"/>
  <c r="M31" i="25"/>
  <c r="V5" i="24"/>
  <c r="W5" i="24"/>
  <c r="M6" i="24"/>
  <c r="U5" i="24"/>
  <c r="BQ25" i="1"/>
  <c r="BS25" i="1"/>
  <c r="L64" i="25"/>
  <c r="V64" i="25"/>
  <c r="W64" i="25"/>
  <c r="K64" i="25"/>
  <c r="U64" i="25"/>
  <c r="W77" i="25"/>
  <c r="V77" i="25"/>
  <c r="L77" i="25"/>
  <c r="K77" i="25"/>
  <c r="U77" i="25"/>
  <c r="W75" i="25"/>
  <c r="V75" i="25"/>
  <c r="U75" i="25"/>
  <c r="L75" i="25"/>
  <c r="K75" i="25"/>
  <c r="V69" i="25"/>
  <c r="K69" i="25"/>
  <c r="W69" i="25"/>
  <c r="L69" i="25"/>
  <c r="U69" i="25"/>
  <c r="M72" i="25"/>
  <c r="M52" i="25"/>
  <c r="M60" i="25"/>
  <c r="M61" i="25"/>
  <c r="U59" i="24"/>
  <c r="M60" i="24"/>
  <c r="V59" i="24"/>
  <c r="W59" i="24"/>
  <c r="U68" i="24"/>
  <c r="M69" i="24"/>
  <c r="W68" i="24"/>
  <c r="V68" i="24"/>
  <c r="M70" i="24"/>
  <c r="U69" i="24"/>
  <c r="W69" i="24"/>
  <c r="V69" i="24"/>
  <c r="M53" i="24"/>
  <c r="V52" i="24"/>
  <c r="W52" i="24"/>
  <c r="U52" i="24"/>
  <c r="L52" i="24"/>
  <c r="K52" i="24"/>
  <c r="K55" i="24"/>
  <c r="L55" i="24"/>
  <c r="K58" i="24"/>
  <c r="L58" i="24"/>
  <c r="L54" i="24"/>
  <c r="K54" i="24"/>
  <c r="U6" i="24"/>
  <c r="M7" i="24"/>
  <c r="W6" i="24"/>
  <c r="V6" i="24"/>
  <c r="W14" i="24"/>
  <c r="U14" i="24"/>
  <c r="V14" i="24"/>
  <c r="M15" i="24"/>
  <c r="V18" i="24"/>
  <c r="W18" i="24"/>
  <c r="M19" i="24"/>
  <c r="U18" i="24"/>
  <c r="M18" i="24"/>
  <c r="V17" i="24"/>
  <c r="U17" i="24"/>
  <c r="W17" i="24"/>
  <c r="K32" i="24"/>
  <c r="L32" i="24"/>
  <c r="L15" i="24"/>
  <c r="K15" i="24"/>
  <c r="K20" i="24"/>
  <c r="L20" i="24"/>
  <c r="K9" i="24"/>
  <c r="L9" i="24"/>
  <c r="K18" i="24"/>
  <c r="L18" i="24"/>
  <c r="BQ59" i="1"/>
  <c r="BS59" i="1"/>
  <c r="BS130" i="1"/>
  <c r="BQ130" i="1"/>
  <c r="BS89" i="1"/>
  <c r="BQ89" i="1"/>
  <c r="BQ73" i="1"/>
  <c r="BS73" i="1"/>
  <c r="BQ61" i="1"/>
  <c r="BS61" i="1"/>
  <c r="BQ126" i="1"/>
  <c r="BS126" i="1"/>
  <c r="K37" i="25"/>
  <c r="L37" i="25"/>
  <c r="W37" i="25"/>
  <c r="V37" i="25"/>
  <c r="U37" i="25"/>
  <c r="L24" i="25"/>
  <c r="V24" i="25"/>
  <c r="W24" i="25"/>
  <c r="U24" i="25"/>
  <c r="K24" i="25"/>
  <c r="U22" i="25"/>
  <c r="W22" i="25"/>
  <c r="K22" i="25"/>
  <c r="L22" i="25"/>
  <c r="V22" i="25"/>
  <c r="K11" i="25"/>
  <c r="V11" i="25"/>
  <c r="L11" i="25"/>
  <c r="W11" i="25"/>
  <c r="U11" i="25"/>
  <c r="M17" i="25"/>
  <c r="M32" i="25"/>
  <c r="AE63" i="1"/>
  <c r="AX109" i="1"/>
  <c r="AX61" i="1"/>
  <c r="AE109" i="1"/>
  <c r="AE69" i="1"/>
  <c r="AE112" i="1"/>
  <c r="AE131" i="1"/>
  <c r="AE82" i="1"/>
  <c r="AE107" i="1"/>
  <c r="AE99" i="1"/>
  <c r="AE101" i="1"/>
  <c r="AE75" i="1"/>
  <c r="AE133" i="1"/>
  <c r="AE73" i="1"/>
  <c r="AE67" i="1"/>
  <c r="AE135" i="1"/>
  <c r="AE126" i="1"/>
  <c r="AE91" i="1"/>
  <c r="AE88" i="1"/>
  <c r="AE115" i="1"/>
  <c r="AE95" i="1"/>
  <c r="AE122" i="1"/>
  <c r="AE134" i="1"/>
  <c r="AE66" i="1"/>
  <c r="AE72" i="1"/>
  <c r="AE78" i="1"/>
  <c r="AE87" i="1"/>
  <c r="AE77" i="1"/>
  <c r="AE137" i="1"/>
  <c r="AE68" i="1"/>
  <c r="AE124" i="1"/>
  <c r="AE118" i="1"/>
  <c r="AE61" i="1"/>
  <c r="AE106" i="1"/>
  <c r="AE86" i="1"/>
  <c r="AE62" i="1"/>
  <c r="AE114" i="1"/>
  <c r="AE71" i="1"/>
  <c r="AE94" i="1"/>
  <c r="AE105" i="1"/>
  <c r="AE110" i="1"/>
  <c r="AE113" i="1"/>
  <c r="AE123" i="1"/>
  <c r="AE121" i="1"/>
  <c r="AE104" i="1"/>
  <c r="AE130" i="1"/>
  <c r="AE111" i="1"/>
  <c r="AE102" i="1"/>
  <c r="AE103" i="1"/>
  <c r="AE132" i="1"/>
  <c r="AE83" i="1"/>
  <c r="AE98" i="1"/>
  <c r="AE128" i="1"/>
  <c r="AE89" i="1"/>
  <c r="AE100" i="1"/>
  <c r="AE125" i="1"/>
  <c r="AE96" i="1"/>
  <c r="AE119" i="1"/>
  <c r="AE81" i="1"/>
  <c r="AE74" i="1"/>
  <c r="AE97" i="1"/>
  <c r="AE108" i="1"/>
  <c r="AE127" i="1"/>
  <c r="AE70" i="1"/>
  <c r="AE117" i="1"/>
  <c r="AE65" i="1"/>
  <c r="AE90" i="1"/>
  <c r="AE80" i="1"/>
  <c r="AE85" i="1"/>
  <c r="AE84" i="1"/>
  <c r="AE76" i="1"/>
  <c r="AE92" i="1"/>
  <c r="AE129" i="1"/>
  <c r="AE93" i="1"/>
  <c r="AE120" i="1"/>
  <c r="AE79" i="1"/>
  <c r="AE136" i="1"/>
  <c r="AE116" i="1"/>
  <c r="AE64" i="1"/>
  <c r="N14" i="25" l="1"/>
  <c r="N66" i="25"/>
  <c r="N61" i="24"/>
  <c r="N69" i="24"/>
  <c r="N7" i="25"/>
  <c r="N55" i="24"/>
  <c r="Q55" i="24" s="1"/>
  <c r="N28" i="25"/>
  <c r="N74" i="25"/>
  <c r="P74" i="25" s="1"/>
  <c r="N16" i="24"/>
  <c r="N10" i="24"/>
  <c r="N49" i="25"/>
  <c r="Q49" i="25" s="1"/>
  <c r="N29" i="24"/>
  <c r="N77" i="25"/>
  <c r="N31" i="25"/>
  <c r="P31" i="25" s="1"/>
  <c r="N71" i="25"/>
  <c r="N50" i="24"/>
  <c r="P50" i="24" s="1"/>
  <c r="N10" i="25"/>
  <c r="N8" i="25"/>
  <c r="N48" i="25"/>
  <c r="P48" i="25" s="1"/>
  <c r="N72" i="25"/>
  <c r="N48" i="24"/>
  <c r="N64" i="24"/>
  <c r="Q64" i="24" s="1"/>
  <c r="N62" i="25"/>
  <c r="P62" i="25" s="1"/>
  <c r="N77" i="24"/>
  <c r="P77" i="24" s="1"/>
  <c r="N7" i="24"/>
  <c r="Q7" i="24" s="1"/>
  <c r="N19" i="25"/>
  <c r="P19" i="25" s="1"/>
  <c r="N74" i="24"/>
  <c r="P74" i="24" s="1"/>
  <c r="N67" i="24"/>
  <c r="Q67" i="24" s="1"/>
  <c r="N52" i="24"/>
  <c r="N63" i="25"/>
  <c r="P63" i="25" s="1"/>
  <c r="N59" i="24"/>
  <c r="Q59" i="24" s="1"/>
  <c r="K5" i="15"/>
  <c r="N53" i="25"/>
  <c r="Q53" i="25" s="1"/>
  <c r="N34" i="25"/>
  <c r="Q34" i="25" s="1"/>
  <c r="N36" i="24"/>
  <c r="P36" i="24" s="1"/>
  <c r="N51" i="24"/>
  <c r="N73" i="24"/>
  <c r="N78" i="24"/>
  <c r="P78" i="24" s="1"/>
  <c r="N72" i="24"/>
  <c r="N70" i="25"/>
  <c r="Q70" i="25" s="1"/>
  <c r="N25" i="24"/>
  <c r="P25" i="24" s="1"/>
  <c r="N37" i="24"/>
  <c r="P37" i="24" s="1"/>
  <c r="N70" i="24"/>
  <c r="Q70" i="24" s="1"/>
  <c r="N6" i="24"/>
  <c r="Q6" i="24" s="1"/>
  <c r="N61" i="25"/>
  <c r="N78" i="25"/>
  <c r="P78" i="25" s="1"/>
  <c r="N65" i="24"/>
  <c r="N54" i="24"/>
  <c r="Q54" i="24" s="1"/>
  <c r="N16" i="25"/>
  <c r="Q16" i="25" s="1"/>
  <c r="N66" i="24"/>
  <c r="P66" i="24" s="1"/>
  <c r="N73" i="25"/>
  <c r="Q73" i="25" s="1"/>
  <c r="N19" i="24"/>
  <c r="P19" i="24" s="1"/>
  <c r="N15" i="25"/>
  <c r="N68" i="25"/>
  <c r="Q68" i="25" s="1"/>
  <c r="N35" i="25"/>
  <c r="N56" i="25"/>
  <c r="Q56" i="25" s="1"/>
  <c r="N68" i="24"/>
  <c r="N58" i="24"/>
  <c r="Q58" i="24" s="1"/>
  <c r="N34" i="24"/>
  <c r="Q34" i="24" s="1"/>
  <c r="N37" i="25"/>
  <c r="Q37" i="25" s="1"/>
  <c r="N55" i="25"/>
  <c r="Q55" i="25" s="1"/>
  <c r="N36" i="25"/>
  <c r="Q36" i="25" s="1"/>
  <c r="N30" i="24"/>
  <c r="N60" i="25"/>
  <c r="Q60" i="25" s="1"/>
  <c r="N23" i="25"/>
  <c r="Q23" i="25" s="1"/>
  <c r="K5" i="25"/>
  <c r="N75" i="24"/>
  <c r="Q75" i="24" s="1"/>
  <c r="N17" i="25"/>
  <c r="Q17" i="25" s="1"/>
  <c r="N15" i="24"/>
  <c r="P15" i="24" s="1"/>
  <c r="N57" i="25"/>
  <c r="P57" i="25" s="1"/>
  <c r="N11" i="24"/>
  <c r="Q11" i="24" s="1"/>
  <c r="N22" i="25"/>
  <c r="Q22" i="25" s="1"/>
  <c r="N67" i="25"/>
  <c r="Q67" i="25" s="1"/>
  <c r="N50" i="25"/>
  <c r="P50" i="25" s="1"/>
  <c r="N26" i="24"/>
  <c r="P26" i="24" s="1"/>
  <c r="N57" i="24"/>
  <c r="Q57" i="24" s="1"/>
  <c r="Q15" i="24"/>
  <c r="Q50" i="24"/>
  <c r="P55" i="25"/>
  <c r="P67" i="25"/>
  <c r="P67" i="24"/>
  <c r="P66" i="25"/>
  <c r="Q66" i="25"/>
  <c r="P51" i="24"/>
  <c r="Q51" i="24"/>
  <c r="Q72" i="24"/>
  <c r="P72" i="24"/>
  <c r="Q7" i="25"/>
  <c r="P7" i="25"/>
  <c r="P61" i="25"/>
  <c r="Q61" i="25"/>
  <c r="P37" i="25"/>
  <c r="P61" i="24"/>
  <c r="Q61" i="24"/>
  <c r="Q65" i="24"/>
  <c r="P65" i="24"/>
  <c r="Q33" i="25"/>
  <c r="P33" i="25"/>
  <c r="Q8" i="25"/>
  <c r="P8" i="25"/>
  <c r="P16" i="25"/>
  <c r="Q19" i="24"/>
  <c r="P15" i="25"/>
  <c r="Q15" i="25"/>
  <c r="Q63" i="25"/>
  <c r="Q31" i="25"/>
  <c r="M47" i="24"/>
  <c r="U46" i="24"/>
  <c r="V46" i="24"/>
  <c r="W46" i="24"/>
  <c r="N20" i="24"/>
  <c r="Q23" i="24"/>
  <c r="P23" i="24"/>
  <c r="N60" i="24"/>
  <c r="Q59" i="25"/>
  <c r="P59" i="25"/>
  <c r="P10" i="25"/>
  <c r="Q10" i="25"/>
  <c r="M46" i="24"/>
  <c r="L46" i="24"/>
  <c r="K46" i="24"/>
  <c r="N13" i="24"/>
  <c r="N69" i="25"/>
  <c r="N12" i="24"/>
  <c r="N24" i="24"/>
  <c r="N12" i="25"/>
  <c r="N29" i="25"/>
  <c r="N28" i="24"/>
  <c r="N22" i="24"/>
  <c r="P59" i="24"/>
  <c r="K46" i="25"/>
  <c r="W46" i="25"/>
  <c r="M46" i="25"/>
  <c r="V46" i="25"/>
  <c r="L46" i="25"/>
  <c r="U46" i="25"/>
  <c r="P35" i="25"/>
  <c r="Q35" i="25"/>
  <c r="Q48" i="25"/>
  <c r="N27" i="24"/>
  <c r="N30" i="25"/>
  <c r="N25" i="25"/>
  <c r="L5" i="25"/>
  <c r="N21" i="25"/>
  <c r="N20" i="25"/>
  <c r="L4" i="24"/>
  <c r="K4" i="24"/>
  <c r="M4" i="24"/>
  <c r="K47" i="24"/>
  <c r="N79" i="25"/>
  <c r="N14" i="24"/>
  <c r="N76" i="24"/>
  <c r="L47" i="25"/>
  <c r="Q29" i="24"/>
  <c r="P29" i="24"/>
  <c r="P73" i="24"/>
  <c r="Q73" i="24"/>
  <c r="N75" i="25"/>
  <c r="N21" i="24"/>
  <c r="N71" i="24"/>
  <c r="Q16" i="24"/>
  <c r="P16" i="24"/>
  <c r="Q56" i="24"/>
  <c r="P56" i="24"/>
  <c r="P36" i="25"/>
  <c r="P68" i="24"/>
  <c r="Q68" i="24"/>
  <c r="K46" i="15"/>
  <c r="M46" i="15"/>
  <c r="L46" i="15"/>
  <c r="M47" i="15"/>
  <c r="M5" i="24"/>
  <c r="N5" i="24" s="1"/>
  <c r="U4" i="24"/>
  <c r="V4" i="24"/>
  <c r="W4" i="24"/>
  <c r="L47" i="24"/>
  <c r="N13" i="25"/>
  <c r="N17" i="24"/>
  <c r="K47" i="25"/>
  <c r="Q52" i="24"/>
  <c r="P52" i="24"/>
  <c r="Q14" i="25"/>
  <c r="P14" i="25"/>
  <c r="P58" i="25"/>
  <c r="Q58" i="25"/>
  <c r="Q72" i="25"/>
  <c r="P72" i="25"/>
  <c r="Q28" i="25"/>
  <c r="P28" i="25"/>
  <c r="P30" i="24"/>
  <c r="Q30" i="24"/>
  <c r="N79" i="24"/>
  <c r="N54" i="25"/>
  <c r="P71" i="25"/>
  <c r="Q71" i="25"/>
  <c r="K4" i="25"/>
  <c r="M4" i="25"/>
  <c r="L4" i="25"/>
  <c r="V4" i="25"/>
  <c r="W4" i="25"/>
  <c r="U4" i="25"/>
  <c r="Q10" i="24"/>
  <c r="P10" i="24"/>
  <c r="N49" i="24"/>
  <c r="N24" i="25"/>
  <c r="N32" i="24"/>
  <c r="Q69" i="24"/>
  <c r="P69" i="24"/>
  <c r="N11" i="25"/>
  <c r="N9" i="24"/>
  <c r="N62" i="24"/>
  <c r="N18" i="25"/>
  <c r="N6" i="25"/>
  <c r="K47" i="15"/>
  <c r="Q26" i="24"/>
  <c r="N51" i="25"/>
  <c r="N52" i="25"/>
  <c r="N31" i="24"/>
  <c r="N35" i="24"/>
  <c r="N53" i="24"/>
  <c r="P48" i="24"/>
  <c r="Q48" i="24"/>
  <c r="N65" i="25"/>
  <c r="N18" i="24"/>
  <c r="P77" i="25"/>
  <c r="Q77" i="25"/>
  <c r="N64" i="25"/>
  <c r="N32" i="25"/>
  <c r="N27" i="25"/>
  <c r="N33" i="24"/>
  <c r="N26" i="25"/>
  <c r="N63" i="24"/>
  <c r="N76" i="25"/>
  <c r="N9" i="25"/>
  <c r="N8" i="24"/>
  <c r="G29" i="10" a="1"/>
  <c r="G29" i="10" s="1"/>
  <c r="G37" i="10" a="1"/>
  <c r="G37" i="10" s="1"/>
  <c r="G23" i="10" a="1"/>
  <c r="G23" i="10" s="1"/>
  <c r="G22" i="10" a="1"/>
  <c r="G22" i="10" s="1"/>
  <c r="G30" i="10" a="1"/>
  <c r="G30" i="10" s="1"/>
  <c r="G34" i="10" a="1"/>
  <c r="G34" i="10" s="1"/>
  <c r="G24" i="10" a="1"/>
  <c r="G24" i="10" s="1"/>
  <c r="G35" i="10" a="1"/>
  <c r="G35" i="10" s="1"/>
  <c r="G27" i="10" a="1"/>
  <c r="G27" i="10" s="1"/>
  <c r="G21" i="10" a="1"/>
  <c r="G21" i="10" s="1"/>
  <c r="G33" i="10" a="1"/>
  <c r="G33" i="10" s="1"/>
  <c r="G36" i="10" a="1"/>
  <c r="G36" i="10" s="1"/>
  <c r="G19" i="10" a="1"/>
  <c r="G19" i="10" s="1"/>
  <c r="G31" i="10" a="1"/>
  <c r="G31" i="10" s="1"/>
  <c r="G28" i="10" a="1"/>
  <c r="G28" i="10" s="1"/>
  <c r="G18" i="10" a="1"/>
  <c r="G18" i="10" s="1"/>
  <c r="G25" i="10" a="1"/>
  <c r="G25" i="10" s="1"/>
  <c r="G26" i="10" a="1"/>
  <c r="G26" i="10" s="1"/>
  <c r="G20" i="10" a="1"/>
  <c r="G20" i="10" s="1"/>
  <c r="G32" i="10" a="1"/>
  <c r="G32" i="10" s="1"/>
  <c r="P70" i="25" l="1"/>
  <c r="Q74" i="25"/>
  <c r="Q78" i="25"/>
  <c r="P68" i="25"/>
  <c r="Q78" i="24"/>
  <c r="P64" i="24"/>
  <c r="P55" i="24"/>
  <c r="P56" i="25"/>
  <c r="Q57" i="25"/>
  <c r="P60" i="25"/>
  <c r="P23" i="25"/>
  <c r="P73" i="25"/>
  <c r="P49" i="25"/>
  <c r="P70" i="24"/>
  <c r="Q74" i="24"/>
  <c r="Q36" i="24"/>
  <c r="P54" i="24"/>
  <c r="P34" i="25"/>
  <c r="P7" i="24"/>
  <c r="Q19" i="25"/>
  <c r="N47" i="25"/>
  <c r="P47" i="25" s="1"/>
  <c r="Q62" i="25"/>
  <c r="P22" i="25"/>
  <c r="P11" i="24"/>
  <c r="Q37" i="24"/>
  <c r="Q25" i="24"/>
  <c r="Q77" i="24"/>
  <c r="P53" i="25"/>
  <c r="N4" i="24"/>
  <c r="P4" i="24" s="1"/>
  <c r="P58" i="24"/>
  <c r="P57" i="24"/>
  <c r="N4" i="25"/>
  <c r="P4" i="25" s="1"/>
  <c r="Q50" i="25"/>
  <c r="Q66" i="24"/>
  <c r="P75" i="24"/>
  <c r="P17" i="25"/>
  <c r="P6" i="24"/>
  <c r="P34" i="24"/>
  <c r="N5" i="25"/>
  <c r="Q5" i="25" s="1"/>
  <c r="N46" i="24"/>
  <c r="P46" i="24" s="1"/>
  <c r="Q5" i="24"/>
  <c r="P5" i="24"/>
  <c r="Q4" i="24"/>
  <c r="Q12" i="25"/>
  <c r="P12" i="25"/>
  <c r="P32" i="25"/>
  <c r="Q32" i="25"/>
  <c r="Q21" i="24"/>
  <c r="P21" i="24"/>
  <c r="Q24" i="24"/>
  <c r="P24" i="24"/>
  <c r="P9" i="25"/>
  <c r="Q9" i="25"/>
  <c r="P64" i="25"/>
  <c r="Q64" i="25"/>
  <c r="Q32" i="24"/>
  <c r="P32" i="24"/>
  <c r="Q17" i="24"/>
  <c r="P17" i="24"/>
  <c r="Q75" i="25"/>
  <c r="P75" i="25"/>
  <c r="P76" i="24"/>
  <c r="Q76" i="24"/>
  <c r="Q21" i="25"/>
  <c r="P21" i="25"/>
  <c r="P12" i="24"/>
  <c r="Q12" i="24"/>
  <c r="P8" i="24"/>
  <c r="Q8" i="24"/>
  <c r="P20" i="25"/>
  <c r="Q20" i="25"/>
  <c r="P20" i="24"/>
  <c r="Q20" i="24"/>
  <c r="P76" i="25"/>
  <c r="Q76" i="25"/>
  <c r="Q53" i="24"/>
  <c r="P53" i="24"/>
  <c r="P6" i="25"/>
  <c r="Q6" i="25"/>
  <c r="Q24" i="25"/>
  <c r="P24" i="25"/>
  <c r="Q54" i="25"/>
  <c r="P54" i="25"/>
  <c r="P13" i="25"/>
  <c r="Q13" i="25"/>
  <c r="Q14" i="24"/>
  <c r="P14" i="24"/>
  <c r="Q69" i="25"/>
  <c r="P69" i="25"/>
  <c r="P27" i="25"/>
  <c r="Q27" i="25"/>
  <c r="Q63" i="24"/>
  <c r="P63" i="24"/>
  <c r="Q25" i="25"/>
  <c r="P25" i="25"/>
  <c r="P13" i="24"/>
  <c r="Q13" i="24"/>
  <c r="Q65" i="25"/>
  <c r="P65" i="25"/>
  <c r="Q35" i="24"/>
  <c r="P35" i="24"/>
  <c r="P31" i="24"/>
  <c r="Q31" i="24"/>
  <c r="N47" i="24"/>
  <c r="P30" i="25"/>
  <c r="Q30" i="25"/>
  <c r="P22" i="24"/>
  <c r="Q22" i="24"/>
  <c r="P33" i="24"/>
  <c r="Q33" i="24"/>
  <c r="Q52" i="25"/>
  <c r="P52" i="25"/>
  <c r="P9" i="24"/>
  <c r="Q9" i="24"/>
  <c r="P49" i="24"/>
  <c r="Q49" i="24"/>
  <c r="Q27" i="24"/>
  <c r="P27" i="24"/>
  <c r="N46" i="25"/>
  <c r="Q28" i="24"/>
  <c r="P28" i="24"/>
  <c r="P60" i="24"/>
  <c r="Q60" i="24"/>
  <c r="P71" i="24"/>
  <c r="Q71" i="24"/>
  <c r="Q18" i="25"/>
  <c r="P18" i="25"/>
  <c r="Q79" i="24"/>
  <c r="P79" i="24"/>
  <c r="P79" i="25"/>
  <c r="Q79" i="25"/>
  <c r="Q26" i="25"/>
  <c r="P26" i="25"/>
  <c r="P62" i="24"/>
  <c r="Q62" i="24"/>
  <c r="P18" i="24"/>
  <c r="Q18" i="24"/>
  <c r="Q51" i="25"/>
  <c r="P51" i="25"/>
  <c r="P11" i="25"/>
  <c r="Q11" i="25"/>
  <c r="Q29" i="25"/>
  <c r="P29" i="25"/>
  <c r="AD126" i="1"/>
  <c r="AD109" i="1"/>
  <c r="AD85" i="1"/>
  <c r="AD73" i="1"/>
  <c r="AD38" i="1"/>
  <c r="AD121" i="1"/>
  <c r="AD51" i="1"/>
  <c r="AD33" i="1"/>
  <c r="AD21" i="1"/>
  <c r="AD29" i="1"/>
  <c r="AD97" i="1"/>
  <c r="AD89" i="1"/>
  <c r="AD25" i="1"/>
  <c r="AD101" i="1"/>
  <c r="AD61" i="1"/>
  <c r="AD43" i="1"/>
  <c r="AD65" i="1"/>
  <c r="AD59" i="1"/>
  <c r="AD81" i="1"/>
  <c r="AD47" i="1"/>
  <c r="AD77" i="1"/>
  <c r="AD135" i="1"/>
  <c r="AD133" i="1"/>
  <c r="AD9" i="1"/>
  <c r="AD55" i="1"/>
  <c r="AD130" i="1"/>
  <c r="AD113" i="1"/>
  <c r="AD17" i="1"/>
  <c r="AD69" i="1"/>
  <c r="AD117" i="1"/>
  <c r="AD105" i="1"/>
  <c r="AD93" i="1"/>
  <c r="AD13" i="1"/>
  <c r="I38" i="15"/>
  <c r="Q47" i="25" l="1"/>
  <c r="Q46" i="24"/>
  <c r="Q4" i="25"/>
  <c r="P5" i="25"/>
  <c r="AH2" i="25" a="1"/>
  <c r="AA31" i="25" s="1"/>
  <c r="T5" i="18" a="1"/>
  <c r="T5" i="18" s="1"/>
  <c r="R5" i="18" a="1"/>
  <c r="R5" i="18" s="1"/>
  <c r="Q46" i="25"/>
  <c r="P46" i="25"/>
  <c r="AH2" i="24" a="1"/>
  <c r="P47" i="24"/>
  <c r="Q47" i="24"/>
  <c r="AH2" i="25" l="1"/>
  <c r="AA26" i="25" s="1"/>
  <c r="AB27" i="25"/>
  <c r="R9" i="25"/>
  <c r="S9" i="25" s="1"/>
  <c r="R73" i="25"/>
  <c r="S73" i="25" s="1"/>
  <c r="R56" i="25"/>
  <c r="S56" i="25" s="1"/>
  <c r="AA27" i="25"/>
  <c r="R68" i="25"/>
  <c r="S68" i="25" s="1"/>
  <c r="AB26" i="25"/>
  <c r="AD26" i="25" s="1"/>
  <c r="R8" i="25"/>
  <c r="S8" i="25" s="1"/>
  <c r="R26" i="25"/>
  <c r="S26" i="25" s="1"/>
  <c r="R46" i="25"/>
  <c r="S46" i="25" s="1"/>
  <c r="R34" i="25"/>
  <c r="S34" i="25" s="1"/>
  <c r="R4" i="25"/>
  <c r="S4" i="25" s="1"/>
  <c r="R71" i="25"/>
  <c r="S71" i="25" s="1"/>
  <c r="R33" i="25"/>
  <c r="S33" i="25" s="1"/>
  <c r="R51" i="25"/>
  <c r="S51" i="25" s="1"/>
  <c r="R16" i="25"/>
  <c r="S16" i="25" s="1"/>
  <c r="R15" i="25"/>
  <c r="S15" i="25" s="1"/>
  <c r="R48" i="25"/>
  <c r="S48" i="25" s="1"/>
  <c r="R31" i="25"/>
  <c r="S31" i="25" s="1"/>
  <c r="R60" i="25"/>
  <c r="S60" i="25" s="1"/>
  <c r="R30" i="25"/>
  <c r="S30" i="25" s="1"/>
  <c r="R23" i="25"/>
  <c r="S23" i="25" s="1"/>
  <c r="R24" i="25"/>
  <c r="S24" i="25" s="1"/>
  <c r="R35" i="25"/>
  <c r="S35" i="25" s="1"/>
  <c r="R36" i="25"/>
  <c r="S36" i="25" s="1"/>
  <c r="R6" i="25"/>
  <c r="S6" i="25" s="1"/>
  <c r="R29" i="25"/>
  <c r="S29" i="25" s="1"/>
  <c r="R76" i="25"/>
  <c r="S76" i="25" s="1"/>
  <c r="R67" i="25"/>
  <c r="S67" i="25" s="1"/>
  <c r="R70" i="25"/>
  <c r="S70" i="25" s="1"/>
  <c r="R54" i="25"/>
  <c r="S54" i="25" s="1"/>
  <c r="R25" i="25"/>
  <c r="S25" i="25" s="1"/>
  <c r="R12" i="25"/>
  <c r="S12" i="25" s="1"/>
  <c r="R28" i="25"/>
  <c r="S28" i="25" s="1"/>
  <c r="R55" i="25"/>
  <c r="S55" i="25" s="1"/>
  <c r="R62" i="25"/>
  <c r="S62" i="25" s="1"/>
  <c r="R57" i="25"/>
  <c r="S57" i="25" s="1"/>
  <c r="R64" i="25"/>
  <c r="S64" i="25" s="1"/>
  <c r="R21" i="25"/>
  <c r="S21" i="25" s="1"/>
  <c r="R10" i="25"/>
  <c r="S10" i="25" s="1"/>
  <c r="R63" i="25"/>
  <c r="S63" i="25" s="1"/>
  <c r="R19" i="25"/>
  <c r="S19" i="25" s="1"/>
  <c r="R79" i="25"/>
  <c r="S79" i="25" s="1"/>
  <c r="R59" i="25"/>
  <c r="S59" i="25" s="1"/>
  <c r="R66" i="25"/>
  <c r="S66" i="25" s="1"/>
  <c r="R27" i="25"/>
  <c r="S27" i="25" s="1"/>
  <c r="R7" i="25"/>
  <c r="S7" i="25" s="1"/>
  <c r="R53" i="25"/>
  <c r="S53" i="25" s="1"/>
  <c r="R11" i="25"/>
  <c r="S11" i="25" s="1"/>
  <c r="R22" i="25"/>
  <c r="S22" i="25" s="1"/>
  <c r="R61" i="25"/>
  <c r="S61" i="25" s="1"/>
  <c r="R77" i="25"/>
  <c r="S77" i="25" s="1"/>
  <c r="R58" i="25"/>
  <c r="S58" i="25" s="1"/>
  <c r="R50" i="25"/>
  <c r="S50" i="25" s="1"/>
  <c r="R14" i="25"/>
  <c r="S14" i="25" s="1"/>
  <c r="R5" i="25"/>
  <c r="S5" i="25" s="1"/>
  <c r="R32" i="25"/>
  <c r="S32" i="25" s="1"/>
  <c r="R47" i="25"/>
  <c r="S47" i="25" s="1"/>
  <c r="R52" i="25"/>
  <c r="S52" i="25" s="1"/>
  <c r="R74" i="25"/>
  <c r="S74" i="25" s="1"/>
  <c r="R65" i="25"/>
  <c r="S65" i="25" s="1"/>
  <c r="R20" i="25"/>
  <c r="S20" i="25" s="1"/>
  <c r="R69" i="25"/>
  <c r="S69" i="25" s="1"/>
  <c r="R18" i="25"/>
  <c r="S18" i="25" s="1"/>
  <c r="R49" i="25"/>
  <c r="S49" i="25" s="1"/>
  <c r="R72" i="25"/>
  <c r="S72" i="25" s="1"/>
  <c r="R37" i="25"/>
  <c r="S37" i="25" s="1"/>
  <c r="AC26" i="25"/>
  <c r="AA32" i="25"/>
  <c r="R13" i="25"/>
  <c r="S13" i="25" s="1"/>
  <c r="AB26" i="24"/>
  <c r="AD26" i="24" s="1"/>
  <c r="AB27" i="24"/>
  <c r="AA31" i="24"/>
  <c r="AH2" i="24"/>
  <c r="AA26" i="24" s="1"/>
  <c r="AA27" i="24"/>
  <c r="M59" i="15"/>
  <c r="K58" i="15"/>
  <c r="L58" i="15"/>
  <c r="M70" i="15"/>
  <c r="K69" i="15"/>
  <c r="L69" i="15"/>
  <c r="M75" i="15"/>
  <c r="K74" i="15"/>
  <c r="L74" i="15"/>
  <c r="K52" i="15"/>
  <c r="L52" i="15"/>
  <c r="M53" i="15"/>
  <c r="K79" i="15"/>
  <c r="L79" i="15"/>
  <c r="K71" i="15"/>
  <c r="L71" i="15"/>
  <c r="M72" i="15"/>
  <c r="L57" i="15"/>
  <c r="M58" i="15"/>
  <c r="K57" i="15"/>
  <c r="L70" i="15"/>
  <c r="K70" i="15"/>
  <c r="M71" i="15"/>
  <c r="L65" i="15"/>
  <c r="K65" i="15"/>
  <c r="M66" i="15"/>
  <c r="K66" i="15"/>
  <c r="L66" i="15"/>
  <c r="M67" i="15"/>
  <c r="M49" i="15"/>
  <c r="K48" i="15"/>
  <c r="L48" i="15"/>
  <c r="M48" i="15"/>
  <c r="M76" i="15"/>
  <c r="K75" i="15"/>
  <c r="L75" i="15"/>
  <c r="K76" i="15"/>
  <c r="L76" i="15"/>
  <c r="M77" i="15"/>
  <c r="M68" i="15"/>
  <c r="L67" i="15"/>
  <c r="K67" i="15"/>
  <c r="M54" i="15"/>
  <c r="K53" i="15"/>
  <c r="L53" i="15"/>
  <c r="K68" i="15"/>
  <c r="L68" i="15"/>
  <c r="M69" i="15"/>
  <c r="K63" i="15"/>
  <c r="L63" i="15"/>
  <c r="M64" i="15"/>
  <c r="M62" i="15"/>
  <c r="K61" i="15"/>
  <c r="L61" i="15"/>
  <c r="M51" i="15"/>
  <c r="K50" i="15"/>
  <c r="L50" i="15"/>
  <c r="L49" i="15"/>
  <c r="K49" i="15"/>
  <c r="M50" i="15"/>
  <c r="M65" i="15"/>
  <c r="K64" i="15"/>
  <c r="L64" i="15"/>
  <c r="M79" i="15"/>
  <c r="K78" i="15"/>
  <c r="L78" i="15"/>
  <c r="L59" i="15"/>
  <c r="M60" i="15"/>
  <c r="K59" i="15"/>
  <c r="M55" i="15"/>
  <c r="K54" i="15"/>
  <c r="L54" i="15"/>
  <c r="M78" i="15"/>
  <c r="K77" i="15"/>
  <c r="L77" i="15"/>
  <c r="K60" i="15"/>
  <c r="L60" i="15"/>
  <c r="M61" i="15"/>
  <c r="K62" i="15"/>
  <c r="M63" i="15"/>
  <c r="L62" i="15"/>
  <c r="K55" i="15"/>
  <c r="L55" i="15"/>
  <c r="M56" i="15"/>
  <c r="M73" i="15"/>
  <c r="K72" i="15"/>
  <c r="L72" i="15"/>
  <c r="L73" i="15"/>
  <c r="K73" i="15"/>
  <c r="M74" i="15"/>
  <c r="M57" i="15"/>
  <c r="K56" i="15"/>
  <c r="L56" i="15"/>
  <c r="M52" i="15"/>
  <c r="K51" i="15"/>
  <c r="L51" i="15"/>
  <c r="R5" i="24" l="1"/>
  <c r="S5" i="24" s="1"/>
  <c r="R17" i="25"/>
  <c r="S17" i="25" s="1"/>
  <c r="R26" i="24"/>
  <c r="S26" i="24" s="1"/>
  <c r="R32" i="24"/>
  <c r="S32" i="24" s="1"/>
  <c r="R57" i="24"/>
  <c r="S57" i="24" s="1"/>
  <c r="R56" i="24"/>
  <c r="S56" i="24" s="1"/>
  <c r="R7" i="24"/>
  <c r="S7" i="24" s="1"/>
  <c r="R49" i="24"/>
  <c r="S49" i="24" s="1"/>
  <c r="R51" i="24"/>
  <c r="S51" i="24" s="1"/>
  <c r="R68" i="24"/>
  <c r="S68" i="24" s="1"/>
  <c r="R79" i="24"/>
  <c r="S79" i="24" s="1"/>
  <c r="R12" i="24"/>
  <c r="S12" i="24" s="1"/>
  <c r="R29" i="24"/>
  <c r="S29" i="24" s="1"/>
  <c r="R28" i="24"/>
  <c r="S28" i="24" s="1"/>
  <c r="R48" i="24"/>
  <c r="S48" i="24" s="1"/>
  <c r="R75" i="24"/>
  <c r="S75" i="24" s="1"/>
  <c r="R53" i="24"/>
  <c r="S53" i="24" s="1"/>
  <c r="R71" i="24"/>
  <c r="S71" i="24" s="1"/>
  <c r="R65" i="24"/>
  <c r="S65" i="24" s="1"/>
  <c r="R10" i="24"/>
  <c r="S10" i="24" s="1"/>
  <c r="R60" i="24"/>
  <c r="S60" i="24" s="1"/>
  <c r="R18" i="24"/>
  <c r="S18" i="24" s="1"/>
  <c r="R66" i="24"/>
  <c r="S66" i="24" s="1"/>
  <c r="R52" i="24"/>
  <c r="S52" i="24" s="1"/>
  <c r="R34" i="24"/>
  <c r="S34" i="24" s="1"/>
  <c r="R31" i="24"/>
  <c r="S31" i="24" s="1"/>
  <c r="R13" i="24"/>
  <c r="S13" i="24" s="1"/>
  <c r="R77" i="24"/>
  <c r="S77" i="24" s="1"/>
  <c r="R70" i="24"/>
  <c r="S70" i="24" s="1"/>
  <c r="R22" i="24"/>
  <c r="S22" i="24" s="1"/>
  <c r="R63" i="24"/>
  <c r="S63" i="24" s="1"/>
  <c r="R47" i="24"/>
  <c r="S47" i="24" s="1"/>
  <c r="R8" i="24"/>
  <c r="S8" i="24" s="1"/>
  <c r="R54" i="24"/>
  <c r="S54" i="24" s="1"/>
  <c r="R76" i="24"/>
  <c r="S76" i="24" s="1"/>
  <c r="R15" i="24"/>
  <c r="S15" i="24" s="1"/>
  <c r="R21" i="24"/>
  <c r="S21" i="24" s="1"/>
  <c r="R74" i="24"/>
  <c r="S74" i="24" s="1"/>
  <c r="R50" i="24"/>
  <c r="S50" i="24" s="1"/>
  <c r="R37" i="24"/>
  <c r="S37" i="24" s="1"/>
  <c r="R46" i="24"/>
  <c r="S46" i="24" s="1"/>
  <c r="R25" i="24"/>
  <c r="S25" i="24" s="1"/>
  <c r="R75" i="25"/>
  <c r="S75" i="25" s="1"/>
  <c r="R78" i="25"/>
  <c r="S78" i="25" s="1"/>
  <c r="R14" i="24"/>
  <c r="S14" i="24" s="1"/>
  <c r="R33" i="24"/>
  <c r="S33" i="24" s="1"/>
  <c r="R24" i="24"/>
  <c r="S24" i="24" s="1"/>
  <c r="R78" i="24"/>
  <c r="S78" i="24" s="1"/>
  <c r="R67" i="24"/>
  <c r="S67" i="24" s="1"/>
  <c r="R19" i="24"/>
  <c r="S19" i="24" s="1"/>
  <c r="R11" i="24"/>
  <c r="S11" i="24" s="1"/>
  <c r="R69" i="24"/>
  <c r="S69" i="24" s="1"/>
  <c r="R55" i="24"/>
  <c r="S55" i="24" s="1"/>
  <c r="R27" i="24"/>
  <c r="S27" i="24" s="1"/>
  <c r="R64" i="24"/>
  <c r="S64" i="24" s="1"/>
  <c r="R23" i="24"/>
  <c r="S23" i="24" s="1"/>
  <c r="R16" i="24"/>
  <c r="S16" i="24" s="1"/>
  <c r="AA32" i="24"/>
  <c r="AC26" i="24"/>
  <c r="R59" i="24"/>
  <c r="S59" i="24" s="1"/>
  <c r="R35" i="24"/>
  <c r="S35" i="24" s="1"/>
  <c r="R72" i="24"/>
  <c r="S72" i="24" s="1"/>
  <c r="R30" i="24"/>
  <c r="S30" i="24" s="1"/>
  <c r="R61" i="24"/>
  <c r="S61" i="24" s="1"/>
  <c r="R20" i="24"/>
  <c r="S20" i="24" s="1"/>
  <c r="AB34" i="25"/>
  <c r="AC31" i="25"/>
  <c r="AB32" i="25" s="1"/>
  <c r="AC32" i="25" s="1"/>
  <c r="AD32" i="25" s="1"/>
  <c r="R6" i="24"/>
  <c r="S6" i="24" s="1"/>
  <c r="R36" i="24"/>
  <c r="S36" i="24" s="1"/>
  <c r="R58" i="24"/>
  <c r="S58" i="24" s="1"/>
  <c r="R73" i="24"/>
  <c r="S73" i="24" s="1"/>
  <c r="R4" i="24"/>
  <c r="S4" i="24" s="1"/>
  <c r="R17" i="24"/>
  <c r="S17" i="24" s="1"/>
  <c r="R62" i="24"/>
  <c r="S62" i="24" s="1"/>
  <c r="R9" i="24"/>
  <c r="S9" i="24" s="1"/>
  <c r="AB34" i="24" l="1"/>
  <c r="AC31" i="24"/>
  <c r="AB32" i="24" s="1"/>
  <c r="AC32" i="24" s="1"/>
  <c r="AD32" i="24" s="1"/>
  <c r="AE32" i="25"/>
  <c r="AA28" i="25"/>
  <c r="AE32" i="24" l="1"/>
  <c r="AA28" i="24"/>
  <c r="V5" i="1" l="1"/>
  <c r="D39" i="10"/>
  <c r="G38" i="10" s="1"/>
  <c r="I4" i="10" l="1"/>
  <c r="I38" i="10"/>
  <c r="I15" i="10"/>
  <c r="I30" i="10"/>
  <c r="I19" i="10"/>
  <c r="I28" i="10"/>
  <c r="I18" i="10"/>
  <c r="J35" i="10"/>
  <c r="J21" i="10"/>
  <c r="J7" i="10"/>
  <c r="I8" i="10"/>
  <c r="J12" i="10"/>
  <c r="J14" i="10"/>
  <c r="J17" i="10"/>
  <c r="I36" i="10"/>
  <c r="I24" i="10"/>
  <c r="I35" i="10"/>
  <c r="J34" i="10"/>
  <c r="I32" i="10"/>
  <c r="I11" i="10"/>
  <c r="J16" i="10"/>
  <c r="I22" i="10"/>
  <c r="I37" i="10"/>
  <c r="I20" i="10"/>
  <c r="J20" i="10"/>
  <c r="J37" i="10"/>
  <c r="J36" i="10"/>
  <c r="I14" i="10"/>
  <c r="J10" i="10"/>
  <c r="J19" i="10"/>
  <c r="J25" i="10"/>
  <c r="J32" i="10"/>
  <c r="J27" i="10"/>
  <c r="J23" i="10"/>
  <c r="I26" i="10"/>
  <c r="J26" i="10"/>
  <c r="I33" i="10"/>
  <c r="I31" i="10"/>
  <c r="J4" i="10"/>
  <c r="I16" i="10"/>
  <c r="J9" i="10"/>
  <c r="J15" i="10"/>
  <c r="J8" i="10"/>
  <c r="J24" i="10"/>
  <c r="J30" i="10"/>
  <c r="I6" i="10"/>
  <c r="J22" i="10"/>
  <c r="I5" i="10"/>
  <c r="I29" i="10"/>
  <c r="I21" i="10"/>
  <c r="J5" i="10"/>
  <c r="I23" i="10"/>
  <c r="I17" i="10"/>
  <c r="I13" i="10"/>
  <c r="J28" i="10"/>
  <c r="I10" i="10"/>
  <c r="J11" i="10"/>
  <c r="I34" i="10"/>
  <c r="I25" i="10"/>
  <c r="I9" i="10"/>
  <c r="I27" i="10"/>
  <c r="I7" i="10"/>
  <c r="J13" i="10"/>
  <c r="I12" i="10"/>
  <c r="J18" i="10"/>
  <c r="J31" i="10"/>
  <c r="J29" i="10"/>
  <c r="J6" i="10"/>
  <c r="J33" i="10"/>
  <c r="U46" i="15"/>
  <c r="W46" i="15"/>
  <c r="V46" i="15"/>
  <c r="N4" i="10" l="1"/>
  <c r="AC4" i="10"/>
  <c r="Q4" i="10" s="1"/>
  <c r="L4" i="10"/>
  <c r="AA4" i="10"/>
  <c r="M4" i="10" s="1"/>
  <c r="P5" i="10"/>
  <c r="P4" i="10"/>
  <c r="AB4" i="10"/>
  <c r="O4" i="10" s="1"/>
  <c r="AA37" i="10"/>
  <c r="AC37" i="10"/>
  <c r="L37" i="10"/>
  <c r="AB37" i="10"/>
  <c r="N37" i="10"/>
  <c r="AC36" i="10"/>
  <c r="L36" i="10"/>
  <c r="P37" i="10"/>
  <c r="AA36" i="10"/>
  <c r="AB36" i="10"/>
  <c r="N36" i="10"/>
  <c r="AC18" i="10"/>
  <c r="AB18" i="10"/>
  <c r="N18" i="10"/>
  <c r="AA18" i="10"/>
  <c r="P19" i="10"/>
  <c r="L18" i="10"/>
  <c r="P13" i="10"/>
  <c r="AC12" i="10"/>
  <c r="L12" i="10"/>
  <c r="N12" i="10"/>
  <c r="AB12" i="10"/>
  <c r="AA12" i="10"/>
  <c r="AB10" i="10"/>
  <c r="AC10" i="10"/>
  <c r="AA10" i="10"/>
  <c r="L10" i="10"/>
  <c r="P11" i="10"/>
  <c r="N10" i="10"/>
  <c r="AA5" i="10"/>
  <c r="AC5" i="10"/>
  <c r="N5" i="10"/>
  <c r="AB5" i="10"/>
  <c r="P6" i="10"/>
  <c r="L5" i="10"/>
  <c r="AA16" i="10"/>
  <c r="N16" i="10"/>
  <c r="AC16" i="10"/>
  <c r="AB16" i="10"/>
  <c r="L16" i="10"/>
  <c r="P17" i="10"/>
  <c r="N20" i="10"/>
  <c r="AC20" i="10"/>
  <c r="AA20" i="10"/>
  <c r="AB20" i="10"/>
  <c r="P21" i="10"/>
  <c r="L20" i="10"/>
  <c r="AA24" i="10"/>
  <c r="P25" i="10"/>
  <c r="L24" i="10"/>
  <c r="N24" i="10"/>
  <c r="AC24" i="10"/>
  <c r="AB24" i="10"/>
  <c r="AA7" i="10"/>
  <c r="P8" i="10"/>
  <c r="N7" i="10"/>
  <c r="AB7" i="10"/>
  <c r="L7" i="10"/>
  <c r="AC7" i="10"/>
  <c r="AA6" i="10"/>
  <c r="AC6" i="10"/>
  <c r="L6" i="10"/>
  <c r="AB6" i="10"/>
  <c r="P7" i="10"/>
  <c r="N6" i="10"/>
  <c r="AB22" i="10"/>
  <c r="L22" i="10"/>
  <c r="N22" i="10"/>
  <c r="AC22" i="10"/>
  <c r="AA22" i="10"/>
  <c r="P23" i="10"/>
  <c r="AC33" i="10"/>
  <c r="P34" i="10"/>
  <c r="L33" i="10"/>
  <c r="AA33" i="10"/>
  <c r="N33" i="10"/>
  <c r="AB33" i="10"/>
  <c r="AC19" i="10"/>
  <c r="L19" i="10"/>
  <c r="AA19" i="10"/>
  <c r="N19" i="10"/>
  <c r="AB19" i="10"/>
  <c r="O19" i="10" s="1"/>
  <c r="P20" i="10"/>
  <c r="AA35" i="10"/>
  <c r="N35" i="10"/>
  <c r="P36" i="10"/>
  <c r="AB35" i="10"/>
  <c r="L35" i="10"/>
  <c r="AC35" i="10"/>
  <c r="Q36" i="10" s="1"/>
  <c r="AB13" i="10"/>
  <c r="O13" i="10" s="1"/>
  <c r="N13" i="10"/>
  <c r="AA13" i="10"/>
  <c r="L13" i="10"/>
  <c r="P14" i="10"/>
  <c r="AC13" i="10"/>
  <c r="AC31" i="10"/>
  <c r="P32" i="10"/>
  <c r="AA31" i="10"/>
  <c r="L31" i="10"/>
  <c r="N31" i="10"/>
  <c r="AB31" i="10"/>
  <c r="AA28" i="10"/>
  <c r="AC28" i="10"/>
  <c r="L28" i="10"/>
  <c r="AB28" i="10"/>
  <c r="P29" i="10"/>
  <c r="N28" i="10"/>
  <c r="AA27" i="10"/>
  <c r="AB27" i="10"/>
  <c r="P28" i="10"/>
  <c r="AC27" i="10"/>
  <c r="L27" i="10"/>
  <c r="N27" i="10"/>
  <c r="AA17" i="10"/>
  <c r="N17" i="10"/>
  <c r="L17" i="10"/>
  <c r="AC17" i="10"/>
  <c r="Q17" i="10" s="1"/>
  <c r="P18" i="10"/>
  <c r="AB17" i="10"/>
  <c r="AC9" i="10"/>
  <c r="AB9" i="10"/>
  <c r="AA9" i="10"/>
  <c r="P10" i="10"/>
  <c r="N9" i="10"/>
  <c r="L9" i="10"/>
  <c r="AB23" i="10"/>
  <c r="N23" i="10"/>
  <c r="P24" i="10"/>
  <c r="L23" i="10"/>
  <c r="AA23" i="10"/>
  <c r="M23" i="10" s="1"/>
  <c r="AC23" i="10"/>
  <c r="AB14" i="10"/>
  <c r="P15" i="10"/>
  <c r="AA14" i="10"/>
  <c r="M14" i="10" s="1"/>
  <c r="AC14" i="10"/>
  <c r="L14" i="10"/>
  <c r="N14" i="10"/>
  <c r="AB11" i="10"/>
  <c r="AC11" i="10"/>
  <c r="L11" i="10"/>
  <c r="AA11" i="10"/>
  <c r="P12" i="10"/>
  <c r="N11" i="10"/>
  <c r="AA30" i="10"/>
  <c r="L30" i="10"/>
  <c r="AC30" i="10"/>
  <c r="N30" i="10"/>
  <c r="P31" i="10"/>
  <c r="AB30" i="10"/>
  <c r="AA29" i="10"/>
  <c r="M29" i="10" s="1"/>
  <c r="L29" i="10"/>
  <c r="AB29" i="10"/>
  <c r="N29" i="10"/>
  <c r="P30" i="10"/>
  <c r="AC29" i="10"/>
  <c r="AA25" i="10"/>
  <c r="AB25" i="10"/>
  <c r="N25" i="10"/>
  <c r="P26" i="10"/>
  <c r="L25" i="10"/>
  <c r="AC25" i="10"/>
  <c r="AC26" i="10"/>
  <c r="AB26" i="10"/>
  <c r="P27" i="10"/>
  <c r="AA26" i="10"/>
  <c r="N26" i="10"/>
  <c r="L26" i="10"/>
  <c r="AC32" i="10"/>
  <c r="AB32" i="10"/>
  <c r="O32" i="10" s="1"/>
  <c r="AA32" i="10"/>
  <c r="M32" i="10" s="1"/>
  <c r="N32" i="10"/>
  <c r="L32" i="10"/>
  <c r="P33" i="10"/>
  <c r="L8" i="10"/>
  <c r="P9" i="10"/>
  <c r="AB8" i="10"/>
  <c r="AC8" i="10"/>
  <c r="Q9" i="10" s="1"/>
  <c r="AA8" i="10"/>
  <c r="M8" i="10" s="1"/>
  <c r="N8" i="10"/>
  <c r="AC15" i="10"/>
  <c r="N15" i="10"/>
  <c r="P16" i="10"/>
  <c r="AB15" i="10"/>
  <c r="L15" i="10"/>
  <c r="AA15" i="10"/>
  <c r="M16" i="10" s="1"/>
  <c r="AB34" i="10"/>
  <c r="AC34" i="10"/>
  <c r="L34" i="10"/>
  <c r="P35" i="10"/>
  <c r="N34" i="10"/>
  <c r="AA34" i="10"/>
  <c r="AB21" i="10"/>
  <c r="P22" i="10"/>
  <c r="L21" i="10"/>
  <c r="N21" i="10"/>
  <c r="AA21" i="10"/>
  <c r="AC21" i="10"/>
  <c r="V52" i="15"/>
  <c r="U76" i="15"/>
  <c r="V59" i="15"/>
  <c r="N46" i="15"/>
  <c r="U61" i="15"/>
  <c r="W61" i="15"/>
  <c r="V61" i="15"/>
  <c r="U47" i="15"/>
  <c r="W47" i="15"/>
  <c r="V47" i="15"/>
  <c r="U55" i="15"/>
  <c r="V55" i="15"/>
  <c r="W55" i="15"/>
  <c r="V75" i="15"/>
  <c r="W75" i="15"/>
  <c r="U75" i="15"/>
  <c r="V93" i="1"/>
  <c r="V135" i="1"/>
  <c r="V47" i="1"/>
  <c r="V61" i="1"/>
  <c r="V59" i="1"/>
  <c r="V25" i="1"/>
  <c r="V101" i="1"/>
  <c r="V126" i="1"/>
  <c r="V113" i="1"/>
  <c r="V73" i="1"/>
  <c r="V77" i="1"/>
  <c r="V43" i="1"/>
  <c r="V133" i="1"/>
  <c r="V13" i="1"/>
  <c r="V65" i="1"/>
  <c r="V33" i="1"/>
  <c r="V130" i="1"/>
  <c r="V69" i="1"/>
  <c r="V51" i="1"/>
  <c r="V97" i="1"/>
  <c r="V85" i="1"/>
  <c r="V55" i="1"/>
  <c r="V89" i="1"/>
  <c r="V117" i="1"/>
  <c r="V121" i="1"/>
  <c r="V81" i="1"/>
  <c r="V21" i="1"/>
  <c r="V29" i="1"/>
  <c r="V38" i="1"/>
  <c r="V109" i="1"/>
  <c r="V9" i="1"/>
  <c r="V17" i="1"/>
  <c r="V105" i="1"/>
  <c r="M34" i="10" l="1"/>
  <c r="Q13" i="10"/>
  <c r="Q5" i="10"/>
  <c r="Q21" i="10"/>
  <c r="M37" i="10"/>
  <c r="O18" i="10"/>
  <c r="Q31" i="10"/>
  <c r="O23" i="10"/>
  <c r="O14" i="10"/>
  <c r="O8" i="10"/>
  <c r="Q34" i="10"/>
  <c r="M25" i="10"/>
  <c r="O27" i="10"/>
  <c r="M24" i="10"/>
  <c r="O29" i="10"/>
  <c r="R32" i="10"/>
  <c r="W32" i="10" s="1"/>
  <c r="R27" i="10"/>
  <c r="U27" i="10" s="1"/>
  <c r="R11" i="10"/>
  <c r="U11" i="10" s="1"/>
  <c r="R17" i="10"/>
  <c r="W17" i="10" s="1"/>
  <c r="M6" i="10"/>
  <c r="O37" i="10"/>
  <c r="O6" i="10"/>
  <c r="Q29" i="10"/>
  <c r="Q11" i="10"/>
  <c r="R8" i="10"/>
  <c r="U8" i="10" s="1"/>
  <c r="M30" i="10"/>
  <c r="R28" i="10"/>
  <c r="O7" i="10"/>
  <c r="M19" i="10"/>
  <c r="R21" i="10"/>
  <c r="U21" i="10" s="1"/>
  <c r="O30" i="10"/>
  <c r="R36" i="10"/>
  <c r="W36" i="10" s="1"/>
  <c r="M22" i="10"/>
  <c r="M27" i="10"/>
  <c r="Q22" i="10"/>
  <c r="Q6" i="10"/>
  <c r="R12" i="10"/>
  <c r="U12" i="10" s="1"/>
  <c r="M13" i="10"/>
  <c r="M20" i="10"/>
  <c r="R15" i="10"/>
  <c r="U15" i="10" s="1"/>
  <c r="R25" i="10"/>
  <c r="U25" i="10" s="1"/>
  <c r="Q20" i="10"/>
  <c r="R5" i="10"/>
  <c r="U5" i="10" s="1"/>
  <c r="R23" i="10"/>
  <c r="U23" i="10" s="1"/>
  <c r="O9" i="10"/>
  <c r="R7" i="10"/>
  <c r="U7" i="10" s="1"/>
  <c r="R24" i="10"/>
  <c r="W24" i="10" s="1"/>
  <c r="Q37" i="10"/>
  <c r="Q23" i="10"/>
  <c r="Q25" i="10"/>
  <c r="Q32" i="10"/>
  <c r="S32" i="10" s="1"/>
  <c r="Q30" i="10"/>
  <c r="M9" i="10"/>
  <c r="Q18" i="10"/>
  <c r="R33" i="10"/>
  <c r="U33" i="10" s="1"/>
  <c r="R22" i="10"/>
  <c r="U22" i="10" s="1"/>
  <c r="R10" i="10"/>
  <c r="W10" i="10" s="1"/>
  <c r="R31" i="10"/>
  <c r="U31" i="10" s="1"/>
  <c r="Q28" i="10"/>
  <c r="M15" i="10"/>
  <c r="R30" i="10"/>
  <c r="W30" i="10" s="1"/>
  <c r="R20" i="10"/>
  <c r="U20" i="10" s="1"/>
  <c r="O36" i="10"/>
  <c r="R16" i="10"/>
  <c r="U16" i="10" s="1"/>
  <c r="R26" i="10"/>
  <c r="W26" i="10" s="1"/>
  <c r="R14" i="10"/>
  <c r="U14" i="10" s="1"/>
  <c r="R19" i="10"/>
  <c r="W19" i="10" s="1"/>
  <c r="R18" i="10"/>
  <c r="W18" i="10" s="1"/>
  <c r="R4" i="10"/>
  <c r="U4" i="10" s="1"/>
  <c r="M33" i="10"/>
  <c r="Q7" i="10"/>
  <c r="M21" i="10"/>
  <c r="R34" i="10"/>
  <c r="U34" i="10" s="1"/>
  <c r="O25" i="10"/>
  <c r="R29" i="10"/>
  <c r="U29" i="10" s="1"/>
  <c r="Q15" i="10"/>
  <c r="M17" i="10"/>
  <c r="Q19" i="10"/>
  <c r="R37" i="10"/>
  <c r="U37" i="10" s="1"/>
  <c r="O15" i="10"/>
  <c r="M7" i="10"/>
  <c r="S29" i="10"/>
  <c r="O31" i="10"/>
  <c r="R13" i="10"/>
  <c r="U13" i="10" s="1"/>
  <c r="R35" i="10"/>
  <c r="W35" i="10" s="1"/>
  <c r="M12" i="10"/>
  <c r="M11" i="10"/>
  <c r="R9" i="10"/>
  <c r="W9" i="10" s="1"/>
  <c r="O28" i="10"/>
  <c r="M35" i="10"/>
  <c r="O34" i="10"/>
  <c r="R6" i="10"/>
  <c r="U6" i="10" s="1"/>
  <c r="O17" i="10"/>
  <c r="Q14" i="10"/>
  <c r="O21" i="10"/>
  <c r="O12" i="10"/>
  <c r="M36" i="10"/>
  <c r="M28" i="10"/>
  <c r="W28" i="10"/>
  <c r="U28" i="10"/>
  <c r="O35" i="10"/>
  <c r="O33" i="10"/>
  <c r="O20" i="10"/>
  <c r="Q12" i="10"/>
  <c r="M31" i="10"/>
  <c r="O16" i="10"/>
  <c r="Q33" i="10"/>
  <c r="O22" i="10"/>
  <c r="M5" i="10"/>
  <c r="Q8" i="10"/>
  <c r="O26" i="10"/>
  <c r="O10" i="10"/>
  <c r="Q35" i="10"/>
  <c r="Q16" i="10"/>
  <c r="Q10" i="10"/>
  <c r="O5" i="10"/>
  <c r="Q24" i="10"/>
  <c r="Q27" i="10"/>
  <c r="M10" i="10"/>
  <c r="O11" i="10"/>
  <c r="S4" i="10"/>
  <c r="M26" i="10"/>
  <c r="Q26" i="10"/>
  <c r="M18" i="10"/>
  <c r="O24" i="10"/>
  <c r="V76" i="15"/>
  <c r="W72" i="15"/>
  <c r="V62" i="15"/>
  <c r="W64" i="15"/>
  <c r="U70" i="15"/>
  <c r="W68" i="15"/>
  <c r="V56" i="15"/>
  <c r="U59" i="15"/>
  <c r="V51" i="15"/>
  <c r="W69" i="15"/>
  <c r="U54" i="15"/>
  <c r="W52" i="15"/>
  <c r="U77" i="15"/>
  <c r="U73" i="15"/>
  <c r="V65" i="15"/>
  <c r="V67" i="15"/>
  <c r="W57" i="15"/>
  <c r="W76" i="15"/>
  <c r="W67" i="15"/>
  <c r="U51" i="15"/>
  <c r="W70" i="15"/>
  <c r="U67" i="15"/>
  <c r="W59" i="15"/>
  <c r="V77" i="15"/>
  <c r="U52" i="15"/>
  <c r="W77" i="15"/>
  <c r="U66" i="15"/>
  <c r="V68" i="15"/>
  <c r="W66" i="15"/>
  <c r="V66" i="15"/>
  <c r="U48" i="15"/>
  <c r="U68" i="15"/>
  <c r="U69" i="15"/>
  <c r="V69" i="15"/>
  <c r="V54" i="15"/>
  <c r="N55" i="15"/>
  <c r="Q55" i="15" s="1"/>
  <c r="W54" i="15"/>
  <c r="V70" i="15"/>
  <c r="W48" i="15"/>
  <c r="V48" i="15"/>
  <c r="U53" i="15"/>
  <c r="U56" i="15"/>
  <c r="V78" i="15"/>
  <c r="W51" i="15"/>
  <c r="V73" i="15"/>
  <c r="U57" i="15"/>
  <c r="U78" i="15"/>
  <c r="W60" i="15"/>
  <c r="V74" i="15"/>
  <c r="W73" i="15"/>
  <c r="V58" i="15"/>
  <c r="V50" i="15"/>
  <c r="U74" i="15"/>
  <c r="V53" i="15"/>
  <c r="U72" i="15"/>
  <c r="V72" i="15"/>
  <c r="V57" i="15"/>
  <c r="V60" i="15"/>
  <c r="U50" i="15"/>
  <c r="W78" i="15"/>
  <c r="W56" i="15"/>
  <c r="W74" i="15"/>
  <c r="W63" i="15"/>
  <c r="V64" i="15"/>
  <c r="W53" i="15"/>
  <c r="U60" i="15"/>
  <c r="U71" i="15"/>
  <c r="W62" i="15"/>
  <c r="V71" i="15"/>
  <c r="U65" i="15"/>
  <c r="W71" i="15"/>
  <c r="U79" i="15"/>
  <c r="U58" i="15"/>
  <c r="W50" i="15"/>
  <c r="W65" i="15"/>
  <c r="V79" i="15"/>
  <c r="W79" i="15"/>
  <c r="U63" i="15"/>
  <c r="U64" i="15"/>
  <c r="U62" i="15"/>
  <c r="V63" i="15"/>
  <c r="W58" i="15"/>
  <c r="N47" i="15"/>
  <c r="Q47" i="15" s="1"/>
  <c r="Q46" i="15"/>
  <c r="P46" i="15"/>
  <c r="S21" i="10" l="1"/>
  <c r="W11" i="10"/>
  <c r="S30" i="10"/>
  <c r="V30" i="10" s="1"/>
  <c r="S8" i="10"/>
  <c r="V8" i="10" s="1"/>
  <c r="S13" i="10"/>
  <c r="V13" i="10" s="1"/>
  <c r="W25" i="10"/>
  <c r="S34" i="10"/>
  <c r="V34" i="10" s="1"/>
  <c r="S14" i="10"/>
  <c r="V14" i="10" s="1"/>
  <c r="S27" i="10"/>
  <c r="V27" i="10" s="1"/>
  <c r="U9" i="10"/>
  <c r="S23" i="10"/>
  <c r="V4" i="10"/>
  <c r="W34" i="10"/>
  <c r="U10" i="10"/>
  <c r="W16" i="10"/>
  <c r="S17" i="10"/>
  <c r="V17" i="10" s="1"/>
  <c r="W22" i="10"/>
  <c r="U17" i="10"/>
  <c r="S25" i="10"/>
  <c r="V25" i="10" s="1"/>
  <c r="W5" i="10"/>
  <c r="S19" i="10"/>
  <c r="V19" i="10" s="1"/>
  <c r="S37" i="10"/>
  <c r="V37" i="10" s="1"/>
  <c r="W14" i="10"/>
  <c r="V32" i="10"/>
  <c r="U35" i="10"/>
  <c r="W15" i="10"/>
  <c r="S5" i="10"/>
  <c r="V5" i="10" s="1"/>
  <c r="S22" i="10"/>
  <c r="V22" i="10" s="1"/>
  <c r="W33" i="10"/>
  <c r="W37" i="10"/>
  <c r="W27" i="10"/>
  <c r="S15" i="10"/>
  <c r="V15" i="10" s="1"/>
  <c r="U32" i="10"/>
  <c r="W7" i="10"/>
  <c r="W20" i="10"/>
  <c r="S11" i="10"/>
  <c r="V11" i="10" s="1"/>
  <c r="W8" i="10"/>
  <c r="W23" i="10"/>
  <c r="S7" i="10"/>
  <c r="V7" i="10" s="1"/>
  <c r="S36" i="10"/>
  <c r="V36" i="10" s="1"/>
  <c r="V23" i="10"/>
  <c r="S6" i="10"/>
  <c r="V6" i="10" s="1"/>
  <c r="W21" i="10"/>
  <c r="W12" i="10"/>
  <c r="W13" i="10"/>
  <c r="S12" i="10"/>
  <c r="V12" i="10" s="1"/>
  <c r="V21" i="10"/>
  <c r="W31" i="10"/>
  <c r="U26" i="10"/>
  <c r="S9" i="10"/>
  <c r="V9" i="10" s="1"/>
  <c r="U24" i="10"/>
  <c r="V29" i="10"/>
  <c r="U36" i="10"/>
  <c r="U18" i="10"/>
  <c r="W6" i="10"/>
  <c r="S31" i="10"/>
  <c r="V31" i="10" s="1"/>
  <c r="W29" i="10"/>
  <c r="U19" i="10"/>
  <c r="S28" i="10"/>
  <c r="V28" i="10" s="1"/>
  <c r="S20" i="10"/>
  <c r="V20" i="10" s="1"/>
  <c r="S10" i="10"/>
  <c r="V10" i="10" s="1"/>
  <c r="S26" i="10"/>
  <c r="V26" i="10" s="1"/>
  <c r="S16" i="10"/>
  <c r="V16" i="10" s="1"/>
  <c r="S33" i="10"/>
  <c r="V33" i="10" s="1"/>
  <c r="S18" i="10"/>
  <c r="V18" i="10" s="1"/>
  <c r="S35" i="10"/>
  <c r="V35" i="10" s="1"/>
  <c r="W4" i="10"/>
  <c r="U30" i="10"/>
  <c r="AN2" i="10" s="1" a="1"/>
  <c r="S24" i="10"/>
  <c r="V24" i="10" s="1"/>
  <c r="N76" i="15"/>
  <c r="Q76" i="15" s="1"/>
  <c r="N77" i="15"/>
  <c r="P77" i="15" s="1"/>
  <c r="N48" i="15"/>
  <c r="P48" i="15" s="1"/>
  <c r="N67" i="15"/>
  <c r="Q67" i="15" s="1"/>
  <c r="N69" i="15"/>
  <c r="P69" i="15" s="1"/>
  <c r="N71" i="15"/>
  <c r="P71" i="15" s="1"/>
  <c r="N68" i="15"/>
  <c r="P68" i="15" s="1"/>
  <c r="N52" i="15"/>
  <c r="P52" i="15" s="1"/>
  <c r="N56" i="15"/>
  <c r="P56" i="15" s="1"/>
  <c r="N64" i="15"/>
  <c r="Q64" i="15" s="1"/>
  <c r="N70" i="15"/>
  <c r="Q70" i="15" s="1"/>
  <c r="N61" i="15"/>
  <c r="P61" i="15" s="1"/>
  <c r="N79" i="15"/>
  <c r="Q79" i="15" s="1"/>
  <c r="N58" i="15"/>
  <c r="P58" i="15" s="1"/>
  <c r="N72" i="15"/>
  <c r="Q72" i="15" s="1"/>
  <c r="N59" i="15"/>
  <c r="P59" i="15" s="1"/>
  <c r="N74" i="15"/>
  <c r="P74" i="15" s="1"/>
  <c r="N75" i="15"/>
  <c r="Q75" i="15" s="1"/>
  <c r="N60" i="15"/>
  <c r="Q60" i="15" s="1"/>
  <c r="N78" i="15"/>
  <c r="Q78" i="15" s="1"/>
  <c r="N53" i="15"/>
  <c r="Q53" i="15" s="1"/>
  <c r="N62" i="15"/>
  <c r="P62" i="15" s="1"/>
  <c r="N54" i="15"/>
  <c r="Q54" i="15" s="1"/>
  <c r="N63" i="15"/>
  <c r="Q63" i="15" s="1"/>
  <c r="N51" i="15"/>
  <c r="P51" i="15" s="1"/>
  <c r="N57" i="15"/>
  <c r="N73" i="15"/>
  <c r="Q73" i="15" s="1"/>
  <c r="N65" i="15"/>
  <c r="Q65" i="15" s="1"/>
  <c r="N66" i="15"/>
  <c r="P66" i="15" s="1"/>
  <c r="P55" i="15"/>
  <c r="P47" i="15"/>
  <c r="AG31" i="10" l="1"/>
  <c r="AH27" i="10"/>
  <c r="AG27" i="10"/>
  <c r="AN2" i="10"/>
  <c r="X6" i="10" s="1"/>
  <c r="Y6" i="10" s="1"/>
  <c r="AH26" i="10"/>
  <c r="AJ26" i="10" s="1"/>
  <c r="X24" i="10"/>
  <c r="Y24" i="10" s="1"/>
  <c r="Q48" i="15"/>
  <c r="P76" i="15"/>
  <c r="P57" i="15"/>
  <c r="Q57" i="15"/>
  <c r="P67" i="15"/>
  <c r="Q69" i="15"/>
  <c r="Q77" i="15"/>
  <c r="Q52" i="15"/>
  <c r="Q68" i="15"/>
  <c r="Q58" i="15"/>
  <c r="Q71" i="15"/>
  <c r="Q59" i="15"/>
  <c r="P70" i="15"/>
  <c r="P64" i="15"/>
  <c r="P79" i="15"/>
  <c r="Q56" i="15"/>
  <c r="Q61" i="15"/>
  <c r="Q62" i="15"/>
  <c r="P72" i="15"/>
  <c r="Q74" i="15"/>
  <c r="P78" i="15"/>
  <c r="P60" i="15"/>
  <c r="P75" i="15"/>
  <c r="Q51" i="15"/>
  <c r="P53" i="15"/>
  <c r="Q66" i="15"/>
  <c r="P63" i="15"/>
  <c r="P54" i="15"/>
  <c r="P73" i="15"/>
  <c r="P65" i="15"/>
  <c r="N49" i="15"/>
  <c r="X16" i="10" l="1"/>
  <c r="Y16" i="10" s="1"/>
  <c r="X28" i="10"/>
  <c r="Y28" i="10" s="1"/>
  <c r="X32" i="10"/>
  <c r="Y32" i="10" s="1"/>
  <c r="X10" i="10"/>
  <c r="Y10" i="10" s="1"/>
  <c r="X25" i="10"/>
  <c r="Y25" i="10" s="1"/>
  <c r="X29" i="10"/>
  <c r="Y29" i="10" s="1"/>
  <c r="X20" i="10"/>
  <c r="Y20" i="10" s="1"/>
  <c r="X23" i="10"/>
  <c r="Y23" i="10" s="1"/>
  <c r="X7" i="10"/>
  <c r="Y7" i="10" s="1"/>
  <c r="X27" i="10"/>
  <c r="Y27" i="10" s="1"/>
  <c r="X14" i="10"/>
  <c r="Y14" i="10" s="1"/>
  <c r="X22" i="10"/>
  <c r="Y22" i="10" s="1"/>
  <c r="X17" i="10"/>
  <c r="Y17" i="10" s="1"/>
  <c r="X5" i="10"/>
  <c r="Y5" i="10" s="1"/>
  <c r="X8" i="10"/>
  <c r="Y8" i="10" s="1"/>
  <c r="X26" i="10"/>
  <c r="Y26" i="10" s="1"/>
  <c r="X21" i="10"/>
  <c r="Y21" i="10" s="1"/>
  <c r="X9" i="10"/>
  <c r="Y9" i="10" s="1"/>
  <c r="X19" i="10"/>
  <c r="Y19" i="10" s="1"/>
  <c r="X36" i="10"/>
  <c r="Y36" i="10" s="1"/>
  <c r="X30" i="10"/>
  <c r="Y30" i="10" s="1"/>
  <c r="X12" i="10"/>
  <c r="Y12" i="10" s="1"/>
  <c r="X4" i="10"/>
  <c r="Y4" i="10" s="1"/>
  <c r="X34" i="10"/>
  <c r="Y34" i="10" s="1"/>
  <c r="X13" i="10"/>
  <c r="Y13" i="10" s="1"/>
  <c r="X33" i="10"/>
  <c r="Y33" i="10" s="1"/>
  <c r="X37" i="10"/>
  <c r="Y37" i="10" s="1"/>
  <c r="X31" i="10"/>
  <c r="Y31" i="10" s="1"/>
  <c r="AG26" i="10"/>
  <c r="X11" i="10"/>
  <c r="Y11" i="10" s="1"/>
  <c r="X18" i="10"/>
  <c r="Y18" i="10" s="1"/>
  <c r="X35" i="10"/>
  <c r="Y35" i="10" s="1"/>
  <c r="X15" i="10"/>
  <c r="Y15" i="10" s="1"/>
  <c r="Q49" i="15"/>
  <c r="P49" i="15"/>
  <c r="U49" i="15"/>
  <c r="W49" i="15"/>
  <c r="V49" i="15"/>
  <c r="AG32" i="10" l="1"/>
  <c r="AI26" i="10"/>
  <c r="N50" i="15"/>
  <c r="AH34" i="10" l="1"/>
  <c r="AI31" i="10"/>
  <c r="AH32" i="10" s="1"/>
  <c r="AI32" i="10" s="1"/>
  <c r="AJ32" i="10" s="1"/>
  <c r="P50" i="15"/>
  <c r="S5" i="18" s="1" a="1"/>
  <c r="S5" i="18" s="1"/>
  <c r="Q50" i="15"/>
  <c r="AG28" i="10" l="1"/>
  <c r="AK32" i="10"/>
  <c r="V37" i="15"/>
  <c r="W37" i="15"/>
  <c r="U37" i="15"/>
  <c r="L31" i="15" l="1"/>
  <c r="K31" i="15"/>
  <c r="M32" i="15"/>
  <c r="M37" i="15"/>
  <c r="L36" i="15"/>
  <c r="K36" i="15"/>
  <c r="L16" i="15"/>
  <c r="M17" i="15"/>
  <c r="K16" i="15"/>
  <c r="M6" i="15"/>
  <c r="K15" i="15"/>
  <c r="L15" i="15"/>
  <c r="M16" i="15"/>
  <c r="W18" i="15"/>
  <c r="U18" i="15"/>
  <c r="V18" i="15"/>
  <c r="M25" i="15"/>
  <c r="L24" i="15"/>
  <c r="K24" i="15"/>
  <c r="M9" i="15"/>
  <c r="L8" i="15"/>
  <c r="M27" i="15"/>
  <c r="K26" i="15"/>
  <c r="L26" i="15"/>
  <c r="K33" i="15"/>
  <c r="M34" i="15"/>
  <c r="L33" i="15"/>
  <c r="W31" i="15"/>
  <c r="V31" i="15"/>
  <c r="U31" i="15"/>
  <c r="K10" i="15"/>
  <c r="L10" i="15"/>
  <c r="M11" i="15"/>
  <c r="W16" i="15"/>
  <c r="U16" i="15"/>
  <c r="V16" i="15"/>
  <c r="V13" i="15"/>
  <c r="W13" i="15"/>
  <c r="U13" i="15"/>
  <c r="V32" i="15"/>
  <c r="U32" i="15"/>
  <c r="W32" i="15"/>
  <c r="M21" i="15"/>
  <c r="L20" i="15"/>
  <c r="K20" i="15"/>
  <c r="K35" i="15"/>
  <c r="M36" i="15"/>
  <c r="L35" i="15"/>
  <c r="U19" i="15"/>
  <c r="V19" i="15"/>
  <c r="W19" i="15"/>
  <c r="W20" i="15"/>
  <c r="U20" i="15"/>
  <c r="V20" i="15"/>
  <c r="V24" i="15"/>
  <c r="U24" i="15"/>
  <c r="W24" i="15"/>
  <c r="M14" i="15"/>
  <c r="K13" i="15"/>
  <c r="L13" i="15"/>
  <c r="W35" i="15"/>
  <c r="U35" i="15"/>
  <c r="V35" i="15"/>
  <c r="L25" i="15"/>
  <c r="K25" i="15"/>
  <c r="M26" i="15"/>
  <c r="K14" i="15"/>
  <c r="L14" i="15"/>
  <c r="M15" i="15"/>
  <c r="W14" i="15"/>
  <c r="V14" i="15"/>
  <c r="U14" i="15"/>
  <c r="M33" i="15"/>
  <c r="L32" i="15"/>
  <c r="K32" i="15"/>
  <c r="U22" i="15"/>
  <c r="V22" i="15"/>
  <c r="W22" i="15"/>
  <c r="W6" i="15"/>
  <c r="U6" i="15"/>
  <c r="V6" i="15"/>
  <c r="U11" i="15"/>
  <c r="V11" i="15"/>
  <c r="W11" i="15"/>
  <c r="L18" i="15"/>
  <c r="K18" i="15"/>
  <c r="M19" i="15"/>
  <c r="K17" i="15"/>
  <c r="M18" i="15"/>
  <c r="L17" i="15"/>
  <c r="U23" i="15"/>
  <c r="W23" i="15"/>
  <c r="V23" i="15"/>
  <c r="U33" i="15"/>
  <c r="V33" i="15"/>
  <c r="W33" i="15"/>
  <c r="U25" i="15"/>
  <c r="W25" i="15"/>
  <c r="V25" i="15"/>
  <c r="L37" i="15"/>
  <c r="K37" i="15"/>
  <c r="K27" i="15"/>
  <c r="L27" i="15"/>
  <c r="M28" i="15"/>
  <c r="V9" i="15"/>
  <c r="U9" i="15"/>
  <c r="W9" i="15"/>
  <c r="M23" i="15"/>
  <c r="K22" i="15"/>
  <c r="L22" i="15"/>
  <c r="V29" i="15"/>
  <c r="U29" i="15"/>
  <c r="W29" i="15"/>
  <c r="V28" i="15"/>
  <c r="U28" i="15"/>
  <c r="W28" i="15"/>
  <c r="W8" i="15"/>
  <c r="V8" i="15"/>
  <c r="U8" i="15"/>
  <c r="L34" i="15"/>
  <c r="M35" i="15"/>
  <c r="K34" i="15"/>
  <c r="V7" i="15"/>
  <c r="W7" i="15"/>
  <c r="U7" i="15"/>
  <c r="K28" i="15"/>
  <c r="M29" i="15"/>
  <c r="L28" i="15"/>
  <c r="U21" i="15"/>
  <c r="W21" i="15"/>
  <c r="V21" i="15"/>
  <c r="U36" i="15"/>
  <c r="W36" i="15"/>
  <c r="V36" i="15"/>
  <c r="L6" i="15"/>
  <c r="K6" i="15"/>
  <c r="M7" i="15"/>
  <c r="M12" i="15"/>
  <c r="K11" i="15"/>
  <c r="L11" i="15"/>
  <c r="U15" i="15"/>
  <c r="W15" i="15"/>
  <c r="V15" i="15"/>
  <c r="M31" i="15"/>
  <c r="L30" i="15"/>
  <c r="K30" i="15"/>
  <c r="U34" i="15"/>
  <c r="W34" i="15"/>
  <c r="V34" i="15"/>
  <c r="W10" i="15"/>
  <c r="U10" i="15"/>
  <c r="V10" i="15"/>
  <c r="L29" i="15"/>
  <c r="K29" i="15"/>
  <c r="M30" i="15"/>
  <c r="V27" i="15"/>
  <c r="W27" i="15"/>
  <c r="U27" i="15"/>
  <c r="W26" i="15"/>
  <c r="U26" i="15"/>
  <c r="V26" i="15"/>
  <c r="W30" i="15"/>
  <c r="V30" i="15"/>
  <c r="U30" i="15"/>
  <c r="M8" i="15"/>
  <c r="K7" i="15"/>
  <c r="L7" i="15"/>
  <c r="W5" i="15"/>
  <c r="U5" i="15"/>
  <c r="V5" i="15"/>
  <c r="V12" i="15"/>
  <c r="W12" i="15"/>
  <c r="U12" i="15"/>
  <c r="W17" i="15"/>
  <c r="U17" i="15"/>
  <c r="V17" i="15"/>
  <c r="L23" i="15"/>
  <c r="M24" i="15"/>
  <c r="K23" i="15"/>
  <c r="L21" i="15"/>
  <c r="K21" i="15"/>
  <c r="M22" i="15"/>
  <c r="M20" i="15"/>
  <c r="K19" i="15"/>
  <c r="L19" i="15"/>
  <c r="L9" i="15"/>
  <c r="M10" i="15"/>
  <c r="K9" i="15"/>
  <c r="L12" i="15"/>
  <c r="M13" i="15"/>
  <c r="K12" i="15"/>
  <c r="N16" i="15" l="1"/>
  <c r="N24" i="15"/>
  <c r="P24" i="15" s="1"/>
  <c r="N15" i="15"/>
  <c r="P15" i="15" s="1"/>
  <c r="N30" i="15"/>
  <c r="Q30" i="15" s="1"/>
  <c r="N21" i="15"/>
  <c r="Q21" i="15" s="1"/>
  <c r="N6" i="15"/>
  <c r="P6" i="15" s="1"/>
  <c r="N35" i="15"/>
  <c r="Q35" i="15" s="1"/>
  <c r="N10" i="15"/>
  <c r="P10" i="15" s="1"/>
  <c r="N11" i="15"/>
  <c r="P11" i="15" s="1"/>
  <c r="N13" i="15"/>
  <c r="Q13" i="15" s="1"/>
  <c r="N33" i="15"/>
  <c r="P33" i="15" s="1"/>
  <c r="N32" i="15"/>
  <c r="Q32" i="15" s="1"/>
  <c r="N26" i="15"/>
  <c r="P26" i="15" s="1"/>
  <c r="N34" i="15"/>
  <c r="P34" i="15" s="1"/>
  <c r="N27" i="15"/>
  <c r="Q27" i="15" s="1"/>
  <c r="N12" i="15"/>
  <c r="Q12" i="15" s="1"/>
  <c r="N28" i="15"/>
  <c r="Q28" i="15" s="1"/>
  <c r="N17" i="15"/>
  <c r="P17" i="15" s="1"/>
  <c r="N29" i="15"/>
  <c r="P29" i="15" s="1"/>
  <c r="N18" i="15"/>
  <c r="Q18" i="15" s="1"/>
  <c r="N25" i="15"/>
  <c r="P25" i="15" s="1"/>
  <c r="N36" i="15"/>
  <c r="P36" i="15" s="1"/>
  <c r="N9" i="15"/>
  <c r="P9" i="15" s="1"/>
  <c r="N23" i="15"/>
  <c r="P23" i="15" s="1"/>
  <c r="N7" i="15"/>
  <c r="P7" i="15" s="1"/>
  <c r="N22" i="15"/>
  <c r="P22" i="15" s="1"/>
  <c r="N20" i="15"/>
  <c r="P20" i="15" s="1"/>
  <c r="N31" i="15"/>
  <c r="P31" i="15" s="1"/>
  <c r="N19" i="15"/>
  <c r="Q19" i="15" s="1"/>
  <c r="N14" i="15"/>
  <c r="Q14" i="15" s="1"/>
  <c r="N8" i="15"/>
  <c r="P8" i="15" s="1"/>
  <c r="Q24" i="15"/>
  <c r="N37" i="15"/>
  <c r="L4" i="15"/>
  <c r="M5" i="15"/>
  <c r="M4" i="15"/>
  <c r="P16" i="15"/>
  <c r="Q16" i="15"/>
  <c r="W4" i="15"/>
  <c r="U4" i="15"/>
  <c r="V4" i="15"/>
  <c r="L5" i="15"/>
  <c r="P30" i="15" l="1"/>
  <c r="P13" i="15"/>
  <c r="Q15" i="15"/>
  <c r="Q26" i="15"/>
  <c r="Q33" i="15"/>
  <c r="P35" i="15"/>
  <c r="P21" i="15"/>
  <c r="Q10" i="15"/>
  <c r="Q34" i="15"/>
  <c r="P27" i="15"/>
  <c r="P32" i="15"/>
  <c r="Q6" i="15"/>
  <c r="Q29" i="15"/>
  <c r="P28" i="15"/>
  <c r="P19" i="15"/>
  <c r="Q25" i="15"/>
  <c r="Q20" i="15"/>
  <c r="P14" i="15"/>
  <c r="Q8" i="15"/>
  <c r="Q22" i="15"/>
  <c r="Q11" i="15"/>
  <c r="Q9" i="15"/>
  <c r="P18" i="15"/>
  <c r="Q7" i="15"/>
  <c r="Q23" i="15"/>
  <c r="P12" i="15"/>
  <c r="Q17" i="15"/>
  <c r="Q31" i="15"/>
  <c r="Q36" i="15"/>
  <c r="N4" i="15"/>
  <c r="Q4" i="15" s="1"/>
  <c r="Q37" i="15"/>
  <c r="P37" i="15"/>
  <c r="N5" i="15"/>
  <c r="P4" i="15" l="1"/>
  <c r="Q5" i="15"/>
  <c r="P5" i="15"/>
  <c r="AH2" i="15" a="1"/>
  <c r="AB26" i="15" l="1"/>
  <c r="AD26" i="15" s="1"/>
  <c r="AA27" i="15"/>
  <c r="AH2" i="15"/>
  <c r="AA26" i="15" s="1"/>
  <c r="AB27" i="15"/>
  <c r="AA31" i="15"/>
  <c r="R75" i="15" l="1"/>
  <c r="S75" i="15" s="1"/>
  <c r="R32" i="15"/>
  <c r="S32" i="15" s="1"/>
  <c r="R6" i="15"/>
  <c r="S6" i="15" s="1"/>
  <c r="R76" i="15"/>
  <c r="S76" i="15" s="1"/>
  <c r="R33" i="15"/>
  <c r="S33" i="15" s="1"/>
  <c r="R63" i="15"/>
  <c r="S63" i="15" s="1"/>
  <c r="R12" i="15"/>
  <c r="S12" i="15" s="1"/>
  <c r="R50" i="15"/>
  <c r="S50" i="15" s="1"/>
  <c r="R37" i="15"/>
  <c r="S37" i="15" s="1"/>
  <c r="R73" i="15"/>
  <c r="S73" i="15" s="1"/>
  <c r="R59" i="15"/>
  <c r="S59" i="15" s="1"/>
  <c r="R51" i="15"/>
  <c r="S51" i="15" s="1"/>
  <c r="R65" i="15"/>
  <c r="S65" i="15" s="1"/>
  <c r="R23" i="15"/>
  <c r="S23" i="15" s="1"/>
  <c r="R36" i="15"/>
  <c r="S36" i="15" s="1"/>
  <c r="R68" i="15"/>
  <c r="S68" i="15" s="1"/>
  <c r="R64" i="15"/>
  <c r="S64" i="15" s="1"/>
  <c r="R4" i="15"/>
  <c r="S4" i="15" s="1"/>
  <c r="R69" i="15"/>
  <c r="S69" i="15" s="1"/>
  <c r="R30" i="15"/>
  <c r="S30" i="15" s="1"/>
  <c r="R67" i="15"/>
  <c r="S67" i="15" s="1"/>
  <c r="R25" i="15"/>
  <c r="S25" i="15" s="1"/>
  <c r="R29" i="15"/>
  <c r="S29" i="15" s="1"/>
  <c r="R66" i="15"/>
  <c r="S66" i="15" s="1"/>
  <c r="R72" i="15"/>
  <c r="S72" i="15" s="1"/>
  <c r="R22" i="15"/>
  <c r="S22" i="15" s="1"/>
  <c r="R18" i="15"/>
  <c r="S18" i="15" s="1"/>
  <c r="R7" i="15"/>
  <c r="S7" i="15" s="1"/>
  <c r="R54" i="15"/>
  <c r="S54" i="15" s="1"/>
  <c r="R71" i="15"/>
  <c r="S71" i="15" s="1"/>
  <c r="R10" i="15"/>
  <c r="S10" i="15" s="1"/>
  <c r="R11" i="15"/>
  <c r="S11" i="15" s="1"/>
  <c r="R24" i="15"/>
  <c r="S24" i="15" s="1"/>
  <c r="R8" i="15"/>
  <c r="S8" i="15" s="1"/>
  <c r="R53" i="15"/>
  <c r="S53" i="15" s="1"/>
  <c r="R60" i="15"/>
  <c r="S60" i="15" s="1"/>
  <c r="R58" i="15"/>
  <c r="S58" i="15" s="1"/>
  <c r="R77" i="15"/>
  <c r="S77" i="15" s="1"/>
  <c r="R27" i="15"/>
  <c r="S27" i="15" s="1"/>
  <c r="R28" i="15"/>
  <c r="S28" i="15" s="1"/>
  <c r="R19" i="15"/>
  <c r="S19" i="15" s="1"/>
  <c r="R26" i="15"/>
  <c r="S26" i="15" s="1"/>
  <c r="R17" i="15"/>
  <c r="S17" i="15" s="1"/>
  <c r="R78" i="15"/>
  <c r="S78" i="15" s="1"/>
  <c r="R62" i="15"/>
  <c r="S62" i="15" s="1"/>
  <c r="R48" i="15"/>
  <c r="S48" i="15" s="1"/>
  <c r="AC26" i="15"/>
  <c r="AA32" i="15"/>
  <c r="R20" i="15"/>
  <c r="S20" i="15" s="1"/>
  <c r="R9" i="15"/>
  <c r="S9" i="15" s="1"/>
  <c r="R61" i="15"/>
  <c r="S61" i="15" s="1"/>
  <c r="R46" i="15"/>
  <c r="S46" i="15" s="1"/>
  <c r="R16" i="15"/>
  <c r="S16" i="15" s="1"/>
  <c r="R34" i="15"/>
  <c r="S34" i="15" s="1"/>
  <c r="R52" i="15"/>
  <c r="S52" i="15" s="1"/>
  <c r="R35" i="15"/>
  <c r="S35" i="15" s="1"/>
  <c r="R5" i="15"/>
  <c r="S5" i="15" s="1"/>
  <c r="R15" i="15"/>
  <c r="S15" i="15" s="1"/>
  <c r="R56" i="15"/>
  <c r="S56" i="15" s="1"/>
  <c r="R74" i="15"/>
  <c r="S74" i="15" s="1"/>
  <c r="R47" i="15"/>
  <c r="S47" i="15" s="1"/>
  <c r="R31" i="15"/>
  <c r="S31" i="15" s="1"/>
  <c r="R49" i="15"/>
  <c r="S49" i="15" s="1"/>
  <c r="R13" i="15"/>
  <c r="S13" i="15" s="1"/>
  <c r="R14" i="15"/>
  <c r="S14" i="15" s="1"/>
  <c r="R21" i="15"/>
  <c r="S21" i="15" s="1"/>
  <c r="R57" i="15"/>
  <c r="S57" i="15" s="1"/>
  <c r="R70" i="15"/>
  <c r="S70" i="15" s="1"/>
  <c r="R55" i="15"/>
  <c r="S55" i="15" s="1"/>
  <c r="R79" i="15"/>
  <c r="S79" i="15" s="1"/>
  <c r="AB34" i="15" l="1"/>
  <c r="AC31" i="15"/>
  <c r="AB32" i="15" s="1"/>
  <c r="AC32" i="15" s="1"/>
  <c r="AD32" i="15" s="1"/>
  <c r="AE32" i="15" l="1"/>
  <c r="AA28" i="1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<sst xmlns="http://schemas.openxmlformats.org/spreadsheetml/2006/main" count="1092" uniqueCount="472">
  <si>
    <t>He30287.txt</t>
  </si>
  <si>
    <t>IrrWin0601bTube012624: 4205_150.0_105.0 105.00</t>
  </si>
  <si>
    <t>He30289.txt</t>
  </si>
  <si>
    <t>IrrWin0601bTube012624: 4405_150.0_105.0 105.00</t>
  </si>
  <si>
    <t>He30292.txt</t>
  </si>
  <si>
    <t>IrrWin0601bTube012624: 4605_150.0_105.0 105.00</t>
  </si>
  <si>
    <t>He30298.txt</t>
  </si>
  <si>
    <t>IrrWin0601bTube012624: 5105_150.0_110.0 109.99</t>
  </si>
  <si>
    <t>He30301.txt</t>
  </si>
  <si>
    <t>IrrWin0601bTube012624: 5305_150.0_110.0 110.00</t>
  </si>
  <si>
    <t>He30303.txt</t>
  </si>
  <si>
    <t>IrrWin0601bTube012624: 5505_150.0_110.0 110.00</t>
  </si>
  <si>
    <t>He30328.txt</t>
  </si>
  <si>
    <t>IrrWin0601bTube012624: 7105_120.0_100.0 99.86</t>
  </si>
  <si>
    <t>He30329.txt</t>
  </si>
  <si>
    <t>IrrWin0601bTube012624: 7205_120.0_100.0 100.00</t>
  </si>
  <si>
    <t>He30332.txt</t>
  </si>
  <si>
    <t>IrrWin0601bTube012624: 7305_120.0_100.0 100.00</t>
  </si>
  <si>
    <t>He30335.txt</t>
  </si>
  <si>
    <t>IrrWin0601bTube012624: 7405_120.0_100.0 99.99</t>
  </si>
  <si>
    <t>He30571.txt</t>
  </si>
  <si>
    <t>IrrWin0601bTube012624: 1795_150.0_95.0 95.00</t>
  </si>
  <si>
    <t>He30572.txt</t>
  </si>
  <si>
    <t>IrrWin0601bTube012624: 1805_150.0_95.0 95.00</t>
  </si>
  <si>
    <t>He30577.txt</t>
  </si>
  <si>
    <t>IrrWin0601bTube012624: 1815_150.0_95.0 95.00</t>
  </si>
  <si>
    <t>He30638.txt</t>
  </si>
  <si>
    <t>IrrWin0601bTube012624: 2065_120.0_105.0 104.99</t>
  </si>
  <si>
    <t>He30641.txt</t>
  </si>
  <si>
    <t>IrrWin0601bTube012624: 2085_120.0_105.0 104.99</t>
  </si>
  <si>
    <t>He30644.txt</t>
  </si>
  <si>
    <t>IrrWin0601bTube012624: 2095_120.0_105.0 104.99</t>
  </si>
  <si>
    <t>He30652.txt</t>
  </si>
  <si>
    <t>IrrWin0601bTube012624: 2115_120.0_100.0 100.00</t>
  </si>
  <si>
    <t>He30654.txt</t>
  </si>
  <si>
    <t>IrrWin0601bTube012624: 2125_120.0_100.0 100.00</t>
  </si>
  <si>
    <t>He30657.txt</t>
  </si>
  <si>
    <t>IrrWin0601bTube012624: 2135_120.0_100.0 100.00</t>
  </si>
  <si>
    <t>He30664.txt</t>
  </si>
  <si>
    <t>IrrWin0601bTube012624: 2155_120.0_95.0 95.00</t>
  </si>
  <si>
    <t>He30665.txt</t>
  </si>
  <si>
    <t>IrrWin0601bTube012624: 2165_120.0_95.0 95.00</t>
  </si>
  <si>
    <t>He30667.txt</t>
  </si>
  <si>
    <t>IrrWin0601bTube012624: 2175_120.0_95.0 95.00</t>
  </si>
  <si>
    <t>He30680.txt</t>
  </si>
  <si>
    <t>IrrWin0601bTube012624: 2195_150.0_90.0 90.00</t>
  </si>
  <si>
    <t>He30684.txt</t>
  </si>
  <si>
    <t>IrrWin0601bTube012624: 2215_150.0_90.0 89.90</t>
  </si>
  <si>
    <t>He30687.txt</t>
  </si>
  <si>
    <t>IrrWin0601bTube012624: 2245_150.0_90.0 90.00</t>
  </si>
  <si>
    <t>He30829.txt</t>
  </si>
  <si>
    <t>IrrWin0601bTube012624: 2955_180.0_90.0 90.00</t>
  </si>
  <si>
    <t>He30830.txt</t>
  </si>
  <si>
    <t>IrrWin0601bTube012624: 2975_180.0_90.0 89.92</t>
  </si>
  <si>
    <t>He30833.txt</t>
  </si>
  <si>
    <t>IrrWin0601bTube012624: 2985_180.0_90.0 90.00</t>
  </si>
  <si>
    <t>He30857.txt</t>
  </si>
  <si>
    <t>IrrWin0601bTube012624: 3065_150.0_100.0 99.99</t>
  </si>
  <si>
    <t>He30861.txt</t>
  </si>
  <si>
    <t>IrrWin0601bTube012624: 3075_150.0_100.0 99.98</t>
  </si>
  <si>
    <t>He30864.txt</t>
  </si>
  <si>
    <t>IrrWin0601bTube012624: 3085_150.0_100.0 100.00</t>
  </si>
  <si>
    <t>Sensitivity 3He (pccSTP/cps)</t>
  </si>
  <si>
    <t>Sensitivity 4He (nccSTP/cps)</t>
  </si>
  <si>
    <t>HeRefNo</t>
  </si>
  <si>
    <t>Name</t>
  </si>
  <si>
    <t>3He cps</t>
  </si>
  <si>
    <t>4He Overspray cps</t>
  </si>
  <si>
    <t>4He fA</t>
  </si>
  <si>
    <t>Type</t>
  </si>
  <si>
    <t>Temperature (C)</t>
  </si>
  <si>
    <t>NA</t>
  </si>
  <si>
    <t>Nominal Time (Minutes)</t>
  </si>
  <si>
    <t>Nominal (Heated) Time (seconds)</t>
  </si>
  <si>
    <t>Watlow Time  (seconds)</t>
  </si>
  <si>
    <t>Total Time  (seconds)</t>
  </si>
  <si>
    <t>Cooling Time (seconds)</t>
  </si>
  <si>
    <t>3He K (atoms/(sec*cm*atm)</t>
  </si>
  <si>
    <t>1E4/T (K)</t>
  </si>
  <si>
    <t>3He Lambdas</t>
  </si>
  <si>
    <t>10000/T (K)</t>
  </si>
  <si>
    <t>Informed Bracket</t>
  </si>
  <si>
    <t>Naïve Bracket</t>
  </si>
  <si>
    <t>3He measured (pccSTP)</t>
  </si>
  <si>
    <t>D&lt;10%</t>
  </si>
  <si>
    <t>D&lt;90%</t>
  </si>
  <si>
    <t>D&gt;90%</t>
  </si>
  <si>
    <t>D/a^2</t>
  </si>
  <si>
    <t>ln(d/a^2)</t>
  </si>
  <si>
    <t>10000/TK</t>
  </si>
  <si>
    <t>Log(D/a2)</t>
  </si>
  <si>
    <t>Step</t>
  </si>
  <si>
    <t>Rest</t>
  </si>
  <si>
    <t>3He Corrected (pccSTP)</t>
  </si>
  <si>
    <t>Temp ©</t>
  </si>
  <si>
    <t>Minutes</t>
  </si>
  <si>
    <t>Seconds</t>
  </si>
  <si>
    <t>4He ncc</t>
  </si>
  <si>
    <t>3He pcc</t>
  </si>
  <si>
    <t>4He sens</t>
  </si>
  <si>
    <t>3He sens</t>
  </si>
  <si>
    <t>1xAir#11177 60.64,0.1706</t>
  </si>
  <si>
    <t>He32376.txt</t>
  </si>
  <si>
    <t>HB</t>
  </si>
  <si>
    <t>He32377.txt</t>
  </si>
  <si>
    <t>1xAir#11178 60.64,0.1706</t>
  </si>
  <si>
    <t>He32378.txt</t>
  </si>
  <si>
    <t>He32379.txt</t>
  </si>
  <si>
    <t>1p5 HB</t>
  </si>
  <si>
    <t>He32380.txt</t>
  </si>
  <si>
    <t>BJT IrrWin Fusion</t>
  </si>
  <si>
    <t>He32381.txt</t>
  </si>
  <si>
    <t>IrrWin RE</t>
  </si>
  <si>
    <t>He32382.txt</t>
  </si>
  <si>
    <t>AVERAGE</t>
  </si>
  <si>
    <t>SAMPLE ABUNDANCES</t>
  </si>
  <si>
    <t>Total Fusion</t>
  </si>
  <si>
    <t>2 sigma</t>
  </si>
  <si>
    <t>variance</t>
  </si>
  <si>
    <t>ln(K) Apparent</t>
  </si>
  <si>
    <t>Std error of of the y estimate</t>
  </si>
  <si>
    <t>ln(K) Cooling Model</t>
  </si>
  <si>
    <t>CONSTANTS</t>
  </si>
  <si>
    <t>ID (cm)</t>
  </si>
  <si>
    <t>OD (cm)</t>
  </si>
  <si>
    <t>4He Cumulative Measured</t>
  </si>
  <si>
    <t>stdev</t>
  </si>
  <si>
    <t>Cum 3He</t>
  </si>
  <si>
    <t>Fi+1</t>
  </si>
  <si>
    <t>EQ1</t>
  </si>
  <si>
    <t>EQ2</t>
  </si>
  <si>
    <t>EQ3</t>
  </si>
  <si>
    <t>dEQ1/dF</t>
  </si>
  <si>
    <t>dEQ2/dF</t>
  </si>
  <si>
    <t>dEQ3/dF</t>
  </si>
  <si>
    <t>Derivatives for Error Propagation (signs don't matter, terms are squared)</t>
  </si>
  <si>
    <t>GRT</t>
  </si>
  <si>
    <t>3He</t>
  </si>
  <si>
    <t>Cum 4He</t>
  </si>
  <si>
    <t>R_Bulk</t>
  </si>
  <si>
    <t>C/Ma</t>
  </si>
  <si>
    <t/>
  </si>
  <si>
    <t>(C/sec)</t>
  </si>
  <si>
    <t>Cool Rate</t>
  </si>
  <si>
    <t>Ea (cal)</t>
  </si>
  <si>
    <t>Do/a2</t>
  </si>
  <si>
    <t>Closure Temperature Calculation</t>
  </si>
  <si>
    <t>Linear Regression</t>
  </si>
  <si>
    <t>Ea (cal/mol)</t>
  </si>
  <si>
    <t>Reference</t>
  </si>
  <si>
    <t>Delta Regression</t>
  </si>
  <si>
    <t>Nominal (Heated) Time (Minutes)</t>
  </si>
  <si>
    <t>Time (Pump out)</t>
  </si>
  <si>
    <r>
      <t>2</t>
    </r>
    <r>
      <rPr>
        <sz val="11"/>
        <color theme="1"/>
        <rFont val="Aptos Narrow"/>
        <family val="2"/>
      </rPr>
      <t>σ</t>
    </r>
  </si>
  <si>
    <t>1σ</t>
  </si>
  <si>
    <t>4He Blank Corrected (nccSTP)</t>
  </si>
  <si>
    <t>D0/a2</t>
  </si>
  <si>
    <t>Informed/Naïve Bracket</t>
  </si>
  <si>
    <t>Complete Purge</t>
  </si>
  <si>
    <r>
      <t>2</t>
    </r>
    <r>
      <rPr>
        <b/>
        <sz val="11"/>
        <color theme="1"/>
        <rFont val="Aptos Narrow"/>
        <family val="2"/>
      </rPr>
      <t>σ</t>
    </r>
  </si>
  <si>
    <t>4He measured (nccSTP)</t>
  </si>
  <si>
    <t>R/Rbulk no 4He Blank Correction</t>
  </si>
  <si>
    <t>Blank Corrected 4He/3He</t>
  </si>
  <si>
    <t>Blank Corrected R/Rbulk</t>
  </si>
  <si>
    <t>Abundances, 4He Blank Corrections, Measured 4He/3He</t>
  </si>
  <si>
    <t>λ = (KGRT)</t>
  </si>
  <si>
    <t>3He n0 calc  (pccSTP) (m/(1-e^-λt))</t>
  </si>
  <si>
    <t>3He n0 (pccSTP)</t>
  </si>
  <si>
    <t>3He Correction %</t>
  </si>
  <si>
    <t>Cumulative time (seconds)</t>
  </si>
  <si>
    <t>Cumulative measured 3He (pccSTP)</t>
  </si>
  <si>
    <t>Variance</t>
  </si>
  <si>
    <t>Covariance</t>
  </si>
  <si>
    <t>Model Cumultive 3He with Fit Parameters (pccSTP)</t>
  </si>
  <si>
    <t>Series ID</t>
  </si>
  <si>
    <t>Fit n0 (pccSTP)</t>
  </si>
  <si>
    <r>
      <t xml:space="preserve">Fit </t>
    </r>
    <r>
      <rPr>
        <sz val="11"/>
        <color theme="1"/>
        <rFont val="Aptos Narrow"/>
        <family val="2"/>
      </rPr>
      <t>λ</t>
    </r>
    <r>
      <rPr>
        <sz val="11"/>
        <color theme="1"/>
        <rFont val="Aptos Narrow"/>
        <family val="2"/>
        <scheme val="minor"/>
      </rPr>
      <t xml:space="preserve"> (sec^-1)</t>
    </r>
  </si>
  <si>
    <t>3He K Apparent Permeability (atoms/(atm*cm*s))</t>
  </si>
  <si>
    <t>3He ln(K) Apparent Permeability (atoms/(atm*cm*s))</t>
  </si>
  <si>
    <t>He29932.txt</t>
  </si>
  <si>
    <t>STD</t>
  </si>
  <si>
    <t>He29936.txt</t>
  </si>
  <si>
    <t>He29942.txt</t>
  </si>
  <si>
    <t>He29947.txt</t>
  </si>
  <si>
    <t>He29952.txt</t>
  </si>
  <si>
    <t>He29958.txt</t>
  </si>
  <si>
    <t>He29964.txt</t>
  </si>
  <si>
    <t>He29969.txt</t>
  </si>
  <si>
    <t>He29974.txt</t>
  </si>
  <si>
    <t>He29981.txt</t>
  </si>
  <si>
    <t>He29987.txt</t>
  </si>
  <si>
    <t>He29993.txt</t>
  </si>
  <si>
    <t>He29999.txt</t>
  </si>
  <si>
    <t>He30004.txt</t>
  </si>
  <si>
    <t>He30007.txt</t>
  </si>
  <si>
    <t>He30010.txt</t>
  </si>
  <si>
    <t>He30014.txt</t>
  </si>
  <si>
    <t>He30017.txt</t>
  </si>
  <si>
    <t>He30021.txt</t>
  </si>
  <si>
    <t>He30030.txt</t>
  </si>
  <si>
    <t>He30038.txt</t>
  </si>
  <si>
    <t>He30046.txt</t>
  </si>
  <si>
    <t>He30054.txt</t>
  </si>
  <si>
    <t>He30055.txt</t>
  </si>
  <si>
    <t>He30059.txt</t>
  </si>
  <si>
    <t>He30064.txt</t>
  </si>
  <si>
    <t>He30068.txt</t>
  </si>
  <si>
    <t>He30071.txt</t>
  </si>
  <si>
    <t>He30078.txt</t>
  </si>
  <si>
    <t>He30085.txt</t>
  </si>
  <si>
    <t>He30093.txt</t>
  </si>
  <si>
    <t>He30098.txt</t>
  </si>
  <si>
    <t>He30103.txt</t>
  </si>
  <si>
    <t>He30110.txt</t>
  </si>
  <si>
    <t>He30111.txt</t>
  </si>
  <si>
    <t>He30116.txt</t>
  </si>
  <si>
    <t>He30119.txt</t>
  </si>
  <si>
    <t>He30123.txt</t>
  </si>
  <si>
    <t>He30128.txt</t>
  </si>
  <si>
    <t>He30131.txt</t>
  </si>
  <si>
    <t>He30132.txt</t>
  </si>
  <si>
    <t>He30133.txt</t>
  </si>
  <si>
    <t>He30137.txt</t>
  </si>
  <si>
    <t>He30142.txt</t>
  </si>
  <si>
    <t>He30146.txt</t>
  </si>
  <si>
    <t>He30149.txt</t>
  </si>
  <si>
    <t>He30150.txt</t>
  </si>
  <si>
    <t>He30155.txt</t>
  </si>
  <si>
    <t>He30159.txt</t>
  </si>
  <si>
    <t>He30166.txt</t>
  </si>
  <si>
    <t>He30171.txt</t>
  </si>
  <si>
    <t>He30176.txt</t>
  </si>
  <si>
    <t>He30178.txt</t>
  </si>
  <si>
    <t>He30183.txt</t>
  </si>
  <si>
    <t>He30186.txt</t>
  </si>
  <si>
    <t>He30192.txt</t>
  </si>
  <si>
    <t>He30194.txt</t>
  </si>
  <si>
    <t>He30200.txt</t>
  </si>
  <si>
    <t>He30204.txt</t>
  </si>
  <si>
    <t>He30208.txt</t>
  </si>
  <si>
    <t>He30209.txt</t>
  </si>
  <si>
    <t>He30210.txt</t>
  </si>
  <si>
    <t>He30211.txt</t>
  </si>
  <si>
    <t>He30212.txt</t>
  </si>
  <si>
    <t>He30213.txt</t>
  </si>
  <si>
    <t>He30214.txt</t>
  </si>
  <si>
    <t>He30215.txt</t>
  </si>
  <si>
    <t>He30216.txt</t>
  </si>
  <si>
    <t>He30217.txt</t>
  </si>
  <si>
    <t>He30218.txt</t>
  </si>
  <si>
    <t>He30219.txt</t>
  </si>
  <si>
    <t>He30220.txt</t>
  </si>
  <si>
    <t>He30221.txt</t>
  </si>
  <si>
    <t>He30222.txt</t>
  </si>
  <si>
    <t>He30223.txt</t>
  </si>
  <si>
    <t>He30224.txt</t>
  </si>
  <si>
    <t>He30228.txt</t>
  </si>
  <si>
    <t>He30229.txt</t>
  </si>
  <si>
    <t>He30230.txt</t>
  </si>
  <si>
    <t>He30233.txt</t>
  </si>
  <si>
    <t>He30234.txt</t>
  </si>
  <si>
    <t>He30235.txt</t>
  </si>
  <si>
    <t>He30240.txt</t>
  </si>
  <si>
    <t>He30242.txt</t>
  </si>
  <si>
    <t>He30245.txt</t>
  </si>
  <si>
    <t>He30249.txt</t>
  </si>
  <si>
    <t>He30252.txt</t>
  </si>
  <si>
    <t>He30257.txt</t>
  </si>
  <si>
    <t>He30259.txt</t>
  </si>
  <si>
    <t>He30263.txt</t>
  </si>
  <si>
    <t>He30267.txt</t>
  </si>
  <si>
    <t>He30271.txt</t>
  </si>
  <si>
    <t>He30276.txt</t>
  </si>
  <si>
    <t>He30281.txt</t>
  </si>
  <si>
    <t>He30284.txt</t>
  </si>
  <si>
    <t>He30290.txt</t>
  </si>
  <si>
    <t>He30294.txt</t>
  </si>
  <si>
    <t>He30299.txt</t>
  </si>
  <si>
    <t>He30304.txt</t>
  </si>
  <si>
    <t>He30308.txt</t>
  </si>
  <si>
    <t>He30313.txt</t>
  </si>
  <si>
    <t>He30315.txt</t>
  </si>
  <si>
    <t>He30317.txt</t>
  </si>
  <si>
    <t>He30319.txt</t>
  </si>
  <si>
    <t>He30323.txt</t>
  </si>
  <si>
    <t>He30324.txt</t>
  </si>
  <si>
    <t>He30326.txt</t>
  </si>
  <si>
    <t>He30334.txt</t>
  </si>
  <si>
    <t>He30337.txt</t>
  </si>
  <si>
    <t>He30341.txt</t>
  </si>
  <si>
    <t>He30346.txt</t>
  </si>
  <si>
    <t>He30351.txt</t>
  </si>
  <si>
    <t>He30365.txt</t>
  </si>
  <si>
    <t>He30380.txt</t>
  </si>
  <si>
    <t>He30386.txt</t>
  </si>
  <si>
    <t>He30396.txt</t>
  </si>
  <si>
    <t>He30425.txt</t>
  </si>
  <si>
    <t>He30431.txt</t>
  </si>
  <si>
    <t>He30433.txt</t>
  </si>
  <si>
    <t>He30438.txt</t>
  </si>
  <si>
    <t>He30445.txt</t>
  </si>
  <si>
    <t>He30452.txt</t>
  </si>
  <si>
    <t>He30460.txt</t>
  </si>
  <si>
    <t>He30468.txt</t>
  </si>
  <si>
    <t>He30476.txt</t>
  </si>
  <si>
    <t>He30489.txt</t>
  </si>
  <si>
    <t>He30504.txt</t>
  </si>
  <si>
    <t>He30515.txt</t>
  </si>
  <si>
    <t>He30529.txt</t>
  </si>
  <si>
    <t>He30542.txt</t>
  </si>
  <si>
    <t>He30549.txt</t>
  </si>
  <si>
    <t>He30561.txt</t>
  </si>
  <si>
    <t>He30568.txt</t>
  </si>
  <si>
    <t>He30570.txt</t>
  </si>
  <si>
    <t>He30576.txt</t>
  </si>
  <si>
    <t>He30588.txt</t>
  </si>
  <si>
    <t>He30600.txt</t>
  </si>
  <si>
    <t>He30607.txt</t>
  </si>
  <si>
    <t>He30611.txt</t>
  </si>
  <si>
    <t>He30612.txt</t>
  </si>
  <si>
    <t>He30615.txt</t>
  </si>
  <si>
    <t>He30620.txt</t>
  </si>
  <si>
    <t>He30624.txt</t>
  </si>
  <si>
    <t>He30632.txt</t>
  </si>
  <si>
    <t>He30643.txt</t>
  </si>
  <si>
    <t>He30649.txt</t>
  </si>
  <si>
    <t>He30659.txt</t>
  </si>
  <si>
    <t>He30663.txt</t>
  </si>
  <si>
    <t>He30669.txt</t>
  </si>
  <si>
    <t>He30682.txt</t>
  </si>
  <si>
    <t>He30688.txt</t>
  </si>
  <si>
    <t>He30692.txt</t>
  </si>
  <si>
    <t>He30706.txt</t>
  </si>
  <si>
    <t>He30718.txt</t>
  </si>
  <si>
    <t>He30730.txt</t>
  </si>
  <si>
    <t>He30737.txt</t>
  </si>
  <si>
    <t>He30743.txt</t>
  </si>
  <si>
    <t>He30747.txt</t>
  </si>
  <si>
    <t>He30752.txt</t>
  </si>
  <si>
    <t>He30759.txt</t>
  </si>
  <si>
    <t>He30768.txt</t>
  </si>
  <si>
    <t>He30781.txt</t>
  </si>
  <si>
    <t>He30788.txt</t>
  </si>
  <si>
    <t>He30789.txt</t>
  </si>
  <si>
    <t>He30790.txt</t>
  </si>
  <si>
    <t>He30794.txt</t>
  </si>
  <si>
    <t>He30800.txt</t>
  </si>
  <si>
    <t>He30806.txt</t>
  </si>
  <si>
    <t>He30813.txt</t>
  </si>
  <si>
    <t>He30817.txt</t>
  </si>
  <si>
    <t>He30821.txt</t>
  </si>
  <si>
    <t>He30828.txt</t>
  </si>
  <si>
    <t>He30831.txt</t>
  </si>
  <si>
    <t>He30838.txt</t>
  </si>
  <si>
    <t>He30843.txt</t>
  </si>
  <si>
    <t>He30846.txt</t>
  </si>
  <si>
    <t>He30855.txt</t>
  </si>
  <si>
    <t>He30866.txt</t>
  </si>
  <si>
    <t>He30874.txt</t>
  </si>
  <si>
    <t>He30921.txt</t>
  </si>
  <si>
    <t>He30922.txt</t>
  </si>
  <si>
    <t>He30925.txt</t>
  </si>
  <si>
    <t>He30933.txt</t>
  </si>
  <si>
    <t>He30939.txt</t>
  </si>
  <si>
    <t>He30946.txt</t>
  </si>
  <si>
    <t>He30953.txt</t>
  </si>
  <si>
    <t>He30958.txt</t>
  </si>
  <si>
    <t>He30965.txt</t>
  </si>
  <si>
    <t>He30975.txt</t>
  </si>
  <si>
    <t>He30976.txt</t>
  </si>
  <si>
    <t>He30979.txt</t>
  </si>
  <si>
    <t>He31026.txt</t>
  </si>
  <si>
    <t>He31028.txt</t>
  </si>
  <si>
    <t>He31029.txt</t>
  </si>
  <si>
    <t>He31032.txt</t>
  </si>
  <si>
    <t>He31035.txt</t>
  </si>
  <si>
    <t>He31037.txt</t>
  </si>
  <si>
    <t>He31041.txt</t>
  </si>
  <si>
    <t>He31042.txt</t>
  </si>
  <si>
    <t>He31043.txt</t>
  </si>
  <si>
    <t>RECALC STD</t>
  </si>
  <si>
    <t xml:space="preserve"> </t>
  </si>
  <si>
    <t>Activation energy (cal/mol)</t>
  </si>
  <si>
    <t>2 se</t>
  </si>
  <si>
    <t>LB</t>
  </si>
  <si>
    <t>UB</t>
  </si>
  <si>
    <r>
      <t>Tc (</t>
    </r>
    <r>
      <rPr>
        <sz val="11"/>
        <color theme="1"/>
        <rFont val="Aptos Narrow"/>
        <family val="2"/>
      </rPr>
      <t>°</t>
    </r>
    <r>
      <rPr>
        <sz val="9.35"/>
        <color theme="1"/>
        <rFont val="Aptos Narrow"/>
        <family val="2"/>
      </rPr>
      <t>C)</t>
    </r>
  </si>
  <si>
    <t>4He</t>
  </si>
  <si>
    <t>Regression Reference ln(D/a2)</t>
  </si>
  <si>
    <t>3He pccSTP</t>
  </si>
  <si>
    <t>4He nccSTP</t>
  </si>
  <si>
    <t>R/Ra</t>
  </si>
  <si>
    <t>Split</t>
  </si>
  <si>
    <t>3He cps/pcc</t>
  </si>
  <si>
    <t>4He mV/ncc</t>
  </si>
  <si>
    <t>4He mV</t>
  </si>
  <si>
    <t>Tc (°C)</t>
  </si>
  <si>
    <t>kJ/mol</t>
  </si>
  <si>
    <t>Anhydrous Tube Cooling Model AppK</t>
  </si>
  <si>
    <t>Regression Statistics</t>
  </si>
  <si>
    <t>K 4He Swets</t>
  </si>
  <si>
    <t>K 3He Jones and Swets</t>
  </si>
  <si>
    <t>lambdat 3He</t>
  </si>
  <si>
    <t>lambdat 4He</t>
  </si>
  <si>
    <t xml:space="preserve">4He ωLB </t>
  </si>
  <si>
    <t xml:space="preserve">3He ωLB </t>
  </si>
  <si>
    <t xml:space="preserve">4He ωUB </t>
  </si>
  <si>
    <t xml:space="preserve">3He ωUB </t>
  </si>
  <si>
    <t>Fi</t>
  </si>
  <si>
    <t>3He Cumulative Measured</t>
  </si>
  <si>
    <t>3He Measured (pccSTP)</t>
  </si>
  <si>
    <r>
      <t>3He ω</t>
    </r>
    <r>
      <rPr>
        <vertAlign val="superscript"/>
        <sz val="11"/>
        <color theme="1"/>
        <rFont val="Aptos Narrow"/>
        <family val="2"/>
        <scheme val="minor"/>
      </rPr>
      <t>LB</t>
    </r>
    <r>
      <rPr>
        <sz val="11"/>
        <color theme="1"/>
        <rFont val="Aptos Narrow"/>
        <family val="2"/>
        <scheme val="minor"/>
      </rPr>
      <t xml:space="preserve"> (pccSTP)</t>
    </r>
  </si>
  <si>
    <r>
      <t>3He ω</t>
    </r>
    <r>
      <rPr>
        <vertAlign val="superscript"/>
        <sz val="11"/>
        <color theme="1"/>
        <rFont val="Aptos Narrow"/>
        <family val="2"/>
        <scheme val="minor"/>
      </rPr>
      <t>UB</t>
    </r>
    <r>
      <rPr>
        <sz val="11"/>
        <color theme="1"/>
        <rFont val="Aptos Narrow"/>
        <family val="2"/>
        <scheme val="minor"/>
      </rPr>
      <t xml:space="preserve"> (pccSTP)</t>
    </r>
  </si>
  <si>
    <t>--</t>
  </si>
  <si>
    <r>
      <t>nt</t>
    </r>
    <r>
      <rPr>
        <vertAlign val="superscript"/>
        <sz val="11"/>
        <color theme="1"/>
        <rFont val="Aptos Narrow"/>
        <family val="2"/>
        <scheme val="minor"/>
      </rPr>
      <t xml:space="preserve">UB </t>
    </r>
    <r>
      <rPr>
        <sz val="11"/>
        <color theme="1"/>
        <rFont val="Aptos Narrow"/>
        <family val="2"/>
        <scheme val="minor"/>
      </rPr>
      <t>3He (pccSTP)</t>
    </r>
  </si>
  <si>
    <t>4He ntUB/m</t>
  </si>
  <si>
    <t>4He ntUB</t>
  </si>
  <si>
    <t>3He ntUB</t>
  </si>
  <si>
    <t>ntUB/m</t>
  </si>
  <si>
    <r>
      <t>3He ln(d/a^2)</t>
    </r>
    <r>
      <rPr>
        <vertAlign val="superscript"/>
        <sz val="11"/>
        <color theme="1"/>
        <rFont val="Aptos Narrow"/>
        <family val="2"/>
        <scheme val="minor"/>
      </rPr>
      <t>LB</t>
    </r>
  </si>
  <si>
    <t>4He Measured (nccSTP)</t>
  </si>
  <si>
    <r>
      <t>nt</t>
    </r>
    <r>
      <rPr>
        <vertAlign val="superscript"/>
        <sz val="11"/>
        <color theme="1"/>
        <rFont val="Aptos Narrow"/>
        <family val="2"/>
        <scheme val="minor"/>
      </rPr>
      <t>UB 4</t>
    </r>
    <r>
      <rPr>
        <sz val="11"/>
        <color theme="1"/>
        <rFont val="Aptos Narrow"/>
        <family val="2"/>
        <scheme val="minor"/>
      </rPr>
      <t>He (nccSTP)</t>
    </r>
  </si>
  <si>
    <r>
      <t>4He ω</t>
    </r>
    <r>
      <rPr>
        <vertAlign val="superscript"/>
        <sz val="11"/>
        <color theme="1"/>
        <rFont val="Aptos Narrow"/>
        <family val="2"/>
        <scheme val="minor"/>
      </rPr>
      <t>LB</t>
    </r>
    <r>
      <rPr>
        <sz val="11"/>
        <color theme="1"/>
        <rFont val="Aptos Narrow"/>
        <family val="2"/>
        <scheme val="minor"/>
      </rPr>
      <t xml:space="preserve"> (nccSTP)</t>
    </r>
  </si>
  <si>
    <r>
      <t>4He ln(d/a^2)</t>
    </r>
    <r>
      <rPr>
        <vertAlign val="superscript"/>
        <sz val="11"/>
        <color theme="1"/>
        <rFont val="Aptos Narrow"/>
        <family val="2"/>
        <scheme val="minor"/>
      </rPr>
      <t>LB</t>
    </r>
  </si>
  <si>
    <r>
      <t>4He ln(d/a^2)</t>
    </r>
    <r>
      <rPr>
        <i/>
        <vertAlign val="superscript"/>
        <sz val="11"/>
        <color theme="1"/>
        <rFont val="Aptos Narrow"/>
        <family val="2"/>
        <scheme val="minor"/>
      </rPr>
      <t>m</t>
    </r>
  </si>
  <si>
    <r>
      <t>4He ln(d/a^2)</t>
    </r>
    <r>
      <rPr>
        <vertAlign val="superscript"/>
        <sz val="11"/>
        <color theme="1"/>
        <rFont val="Aptos Narrow"/>
        <family val="2"/>
        <scheme val="minor"/>
      </rPr>
      <t>UB</t>
    </r>
  </si>
  <si>
    <r>
      <t>3He ln(d/a^2)</t>
    </r>
    <r>
      <rPr>
        <i/>
        <vertAlign val="superscript"/>
        <sz val="11"/>
        <color theme="1"/>
        <rFont val="Aptos Narrow"/>
        <family val="2"/>
        <scheme val="minor"/>
      </rPr>
      <t>m</t>
    </r>
  </si>
  <si>
    <r>
      <t>3He ln(d/a^2)</t>
    </r>
    <r>
      <rPr>
        <vertAlign val="superscript"/>
        <sz val="11"/>
        <color theme="1"/>
        <rFont val="Aptos Narrow"/>
        <family val="2"/>
        <scheme val="minor"/>
      </rPr>
      <t>UB</t>
    </r>
  </si>
  <si>
    <r>
      <t>4He ω</t>
    </r>
    <r>
      <rPr>
        <vertAlign val="superscript"/>
        <sz val="11"/>
        <color theme="1"/>
        <rFont val="Aptos Narrow"/>
        <family val="2"/>
        <scheme val="minor"/>
      </rPr>
      <t>UB</t>
    </r>
    <r>
      <rPr>
        <sz val="11"/>
        <color theme="1"/>
        <rFont val="Aptos Narrow"/>
        <family val="2"/>
        <scheme val="minor"/>
      </rPr>
      <t xml:space="preserve"> (nccSTP)</t>
    </r>
  </si>
  <si>
    <t>Total</t>
  </si>
  <si>
    <t>F 3He</t>
  </si>
  <si>
    <r>
      <t>4/3 He</t>
    </r>
    <r>
      <rPr>
        <vertAlign val="superscript"/>
        <sz val="11"/>
        <color theme="1"/>
        <rFont val="Aptos Narrow"/>
        <family val="2"/>
        <scheme val="minor"/>
      </rPr>
      <t>LB</t>
    </r>
    <r>
      <rPr>
        <sz val="11"/>
        <color theme="1"/>
        <rFont val="Aptos Narrow"/>
        <family val="2"/>
        <scheme val="minor"/>
      </rPr>
      <t xml:space="preserve"> / 4/3 bulk</t>
    </r>
  </si>
  <si>
    <r>
      <t>4/3 He</t>
    </r>
    <r>
      <rPr>
        <i/>
        <vertAlign val="superscript"/>
        <sz val="11"/>
        <color theme="1"/>
        <rFont val="Aptos Narrow"/>
        <family val="2"/>
        <scheme val="minor"/>
      </rPr>
      <t>m</t>
    </r>
    <r>
      <rPr>
        <sz val="11"/>
        <color theme="1"/>
        <rFont val="Aptos Narrow"/>
        <family val="2"/>
        <scheme val="minor"/>
      </rPr>
      <t xml:space="preserve"> / 4/3 bulk</t>
    </r>
  </si>
  <si>
    <r>
      <t>4/3He</t>
    </r>
    <r>
      <rPr>
        <vertAlign val="superscript"/>
        <sz val="11"/>
        <color theme="1"/>
        <rFont val="Aptos Narrow"/>
        <family val="2"/>
        <scheme val="minor"/>
      </rPr>
      <t>UB</t>
    </r>
    <r>
      <rPr>
        <sz val="11"/>
        <color theme="1"/>
        <rFont val="Aptos Narrow"/>
        <family val="2"/>
        <scheme val="minor"/>
      </rPr>
      <t xml:space="preserve"> / 4/3 bulk</t>
    </r>
  </si>
  <si>
    <r>
      <t>n0</t>
    </r>
    <r>
      <rPr>
        <vertAlign val="superscript"/>
        <sz val="11"/>
        <color theme="1"/>
        <rFont val="Aptos Narrow"/>
        <family val="2"/>
        <scheme val="minor"/>
      </rPr>
      <t xml:space="preserve"> </t>
    </r>
    <r>
      <rPr>
        <sz val="11"/>
        <color theme="1"/>
        <rFont val="Aptos Narrow"/>
        <family val="2"/>
        <scheme val="minor"/>
      </rPr>
      <t>3He (pccSTP)</t>
    </r>
  </si>
  <si>
    <t>3He ω (pccSTP)</t>
  </si>
  <si>
    <r>
      <t>nt</t>
    </r>
    <r>
      <rPr>
        <vertAlign val="superscript"/>
        <sz val="11"/>
        <color theme="1"/>
        <rFont val="Aptos Narrow"/>
        <family val="2"/>
        <scheme val="minor"/>
      </rPr>
      <t xml:space="preserve"> </t>
    </r>
    <r>
      <rPr>
        <sz val="11"/>
        <color theme="1"/>
        <rFont val="Aptos Narrow"/>
        <family val="2"/>
        <scheme val="minor"/>
      </rPr>
      <t>3He (pccSTP)</t>
    </r>
  </si>
  <si>
    <t>3He ln(d/a^2)</t>
  </si>
  <si>
    <t>± 2σ</t>
  </si>
  <si>
    <t>dTdt</t>
  </si>
  <si>
    <t>T-24</t>
  </si>
  <si>
    <t>T</t>
  </si>
  <si>
    <t>lambdat 3He maxR</t>
  </si>
  <si>
    <t>3He ntUB (for ratios)</t>
  </si>
  <si>
    <r>
      <t>nt</t>
    </r>
    <r>
      <rPr>
        <vertAlign val="superscript"/>
        <sz val="11"/>
        <color theme="1"/>
        <rFont val="Aptos Narrow"/>
        <family val="2"/>
        <scheme val="minor"/>
      </rPr>
      <t xml:space="preserve">UB </t>
    </r>
    <r>
      <rPr>
        <sz val="11"/>
        <color theme="1"/>
        <rFont val="Aptos Narrow"/>
        <family val="2"/>
        <scheme val="minor"/>
      </rPr>
      <t>4He (nccSTP)</t>
    </r>
  </si>
  <si>
    <t>FiUB</t>
  </si>
  <si>
    <t>Permeation Step</t>
  </si>
  <si>
    <t>Permeation Step; Lambda Fit</t>
  </si>
  <si>
    <t>Lambda Fit</t>
  </si>
  <si>
    <t>3He Cumulative, Corrected</t>
  </si>
  <si>
    <t>R/R_bulk nt extreme</t>
  </si>
  <si>
    <t>R/R_bulk n0 extreme</t>
  </si>
  <si>
    <t>R/R_bulk Both extreme</t>
  </si>
  <si>
    <t>R/R_bulk UB</t>
  </si>
  <si>
    <t>4/3 R measured</t>
  </si>
  <si>
    <t>Directly Quantifying Permeation Lag with Permeation Steps</t>
  </si>
  <si>
    <t>Bounding Permeation Lag with Steady State Assumption</t>
  </si>
  <si>
    <t>Notes</t>
  </si>
  <si>
    <t>Low signal; not plotted/analyzed</t>
  </si>
  <si>
    <t>Blank (experimental)</t>
  </si>
  <si>
    <t>Experimental Step</t>
  </si>
  <si>
    <t xml:space="preserve">Cum 3He </t>
  </si>
  <si>
    <r>
      <rPr>
        <sz val="11"/>
        <color theme="1"/>
        <rFont val="Aptos Narrow"/>
        <family val="2"/>
      </rPr>
      <t xml:space="preserve">Σ </t>
    </r>
    <r>
      <rPr>
        <sz val="11"/>
        <color theme="1"/>
        <rFont val="Aptos Narrow"/>
        <family val="2"/>
        <scheme val="minor"/>
      </rPr>
      <t>3He (pccSTP)</t>
    </r>
  </si>
  <si>
    <t>Σ 4He (nccSTP)</t>
  </si>
  <si>
    <t>R/R_bulk LB</t>
  </si>
  <si>
    <t>Regression Envelope</t>
  </si>
  <si>
    <r>
      <t>G (cm</t>
    </r>
    <r>
      <rPr>
        <vertAlign val="superscript"/>
        <sz val="11"/>
        <color theme="1"/>
        <rFont val="Aptos Narrow"/>
        <family val="2"/>
        <scheme val="minor"/>
      </rPr>
      <t>-1</t>
    </r>
    <r>
      <rPr>
        <sz val="11"/>
        <color theme="1"/>
        <rFont val="Aptos Narrow"/>
        <family val="2"/>
        <scheme val="minor"/>
      </rPr>
      <t>)</t>
    </r>
  </si>
  <si>
    <r>
      <t>R (cm</t>
    </r>
    <r>
      <rPr>
        <vertAlign val="superscript"/>
        <sz val="11"/>
        <color theme="1"/>
        <rFont val="Aptos Narrow"/>
        <family val="2"/>
        <scheme val="minor"/>
      </rPr>
      <t>3</t>
    </r>
    <r>
      <rPr>
        <sz val="11"/>
        <color theme="1"/>
        <rFont val="Aptos Narrow"/>
        <family val="2"/>
        <scheme val="minor"/>
      </rPr>
      <t xml:space="preserve"> * atm  * atoms</t>
    </r>
    <r>
      <rPr>
        <vertAlign val="superscript"/>
        <sz val="11"/>
        <color theme="1"/>
        <rFont val="Aptos Narrow"/>
        <family val="2"/>
        <scheme val="minor"/>
      </rPr>
      <t>-1</t>
    </r>
    <r>
      <rPr>
        <sz val="11"/>
        <color theme="1"/>
        <rFont val="Aptos Narrow"/>
        <family val="2"/>
        <scheme val="minor"/>
      </rPr>
      <t xml:space="preserve"> * K</t>
    </r>
    <r>
      <rPr>
        <vertAlign val="superscript"/>
        <sz val="11"/>
        <color theme="1"/>
        <rFont val="Aptos Narrow"/>
        <family val="2"/>
        <scheme val="minor"/>
      </rPr>
      <t>1</t>
    </r>
    <r>
      <rPr>
        <sz val="11"/>
        <color theme="1"/>
        <rFont val="Aptos Narrow"/>
        <family val="2"/>
        <scheme val="minor"/>
      </rPr>
      <t>)</t>
    </r>
  </si>
  <si>
    <t>ln(K) Swets et al 1961; Jones 1953</t>
  </si>
  <si>
    <t>Complete degas step</t>
  </si>
  <si>
    <t>Complete degas steps</t>
  </si>
  <si>
    <t>Note: This sheet is provided as an example only. In the written work, the authors used scipy to perform these fits, leading to slightly different fit parameters that were within error of those reduced 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</si>
</sst>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36"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i/>
      <sz val="11"/>
      <color theme="1"/>
      <name val="Aptos Narrow"/>
      <family val="2"/>
      <scheme val="minor"/>
    </font>
    <font>
      <sz val="10"/>
      <color theme="1"/>
      <name val="Arial Unicode MS"/>
    </font>
    <font>
      <b/>
      <sz val="10"/>
      <color indexed="10"/>
      <name val="Arial"/>
      <family val="2"/>
    </font>
    <font>
      <sz val="10"/>
      <name val="Arial"/>
      <family val="2"/>
    </font>
    <font>
      <sz val="11"/>
      <name val="Aptos Narrow"/>
      <family val="2"/>
      <scheme val="minor"/>
    </font>
    <font>
      <sz val="11"/>
      <color theme="1"/>
      <name val="Aptos Narrow"/>
      <family val="2"/>
    </font>
    <font>
      <sz val="9.35"/>
      <color theme="1"/>
      <name val="Aptos Narrow"/>
      <family val="2"/>
    </font>
    <font>
      <b/>
      <sz val="11"/>
      <color theme="1"/>
      <name val="Aptos Narrow"/>
      <family val="2"/>
    </font>
    <font>
      <sz val="11"/>
      <color theme="7" tint="-0.249977111117893"/>
      <name val="Aptos Narrow"/>
      <family val="2"/>
      <scheme val="minor"/>
    </font>
    <font>
      <sz val="20"/>
      <color theme="1"/>
      <name val="Aptos Narrow"/>
      <family val="2"/>
      <scheme val="minor"/>
    </font>
    <font>
      <b/>
      <sz val="11"/>
      <color theme="3" tint="0.499984740745262"/>
      <name val="Aptos Narrow"/>
      <family val="2"/>
      <scheme val="minor"/>
    </font>
    <font>
      <vertAlign val="superscript"/>
      <sz val="11"/>
      <color theme="1"/>
      <name val="Aptos Narrow"/>
      <family val="2"/>
      <scheme val="minor"/>
    </font>
    <font>
      <i/>
      <vertAlign val="superscript"/>
      <sz val="11"/>
      <color theme="1"/>
      <name val="Aptos Narrow"/>
      <family val="2"/>
      <scheme val="minor"/>
    </font>
    <font>
      <b/>
      <i/>
      <sz val="11"/>
      <color theme="1"/>
      <name val="Aptos Narrow"/>
      <family val="2"/>
      <scheme val="minor"/>
    </font>
    <font>
      <b/>
      <i/>
      <sz val="10"/>
      <color indexed="10"/>
      <name val="Arial"/>
      <family val="2"/>
    </font>
    <font>
      <i/>
      <sz val="11"/>
      <name val="Aptos Narrow"/>
      <family val="2"/>
      <scheme val="minor"/>
    </font>
    <font>
      <i/>
      <sz val="10"/>
      <name val="Arial"/>
      <family val="2"/>
    </font>
    <font>
      <i/>
      <sz val="16"/>
      <color theme="1"/>
      <name val="Aptos Narrow"/>
      <family val="2"/>
      <scheme val="minor"/>
    </font>
  </fonts>
  <fills count="4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39997558519241921"/>
        <bgColor indexed="64"/>
      </patternFill>
    </fill>
    <fill>
      <patternFill patternType="solid">
        <fgColor rgb="FFFFFF00"/>
        <bgColor indexed="64"/>
      </patternFill>
    </fill>
    <fill>
      <patternFill patternType="solid">
        <fgColor theme="8" tint="0.79998168889431442"/>
        <bgColor indexed="64"/>
      </patternFill>
    </fill>
    <fill>
      <patternFill patternType="solid">
        <fgColor rgb="FFFF0000"/>
        <bgColor indexed="64"/>
      </patternFill>
    </fill>
    <fill>
      <patternFill patternType="solid">
        <fgColor theme="1"/>
        <bgColor indexed="64"/>
      </patternFill>
    </fill>
    <fill>
      <patternFill patternType="solid">
        <fgColor theme="0" tint="-0.249977111117893"/>
        <bgColor indexed="64"/>
      </patternFill>
    </fill>
    <fill>
      <patternFill patternType="solid">
        <fgColor rgb="FFFFC000"/>
        <bgColor indexed="64"/>
      </patternFill>
    </fill>
  </fills>
  <borders count="2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thin">
        <color indexed="64"/>
      </left>
      <right/>
      <top/>
      <bottom/>
      <diagonal/>
    </border>
    <border>
      <left style="thin">
        <color indexed="64"/>
      </left>
      <right style="thin">
        <color indexed="64"/>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0">
    <xf numFmtId="0" fontId="0" fillId="0" borderId="0" xfId="0"/>
    <xf numFmtId="22" fontId="0" fillId="0" borderId="0" xfId="0" applyNumberFormat="1"/>
    <xf numFmtId="11" fontId="0" fillId="0" borderId="0" xfId="0" applyNumberFormat="1"/>
    <xf numFmtId="0" fontId="0" fillId="34" borderId="0" xfId="0" applyFill="1"/>
    <xf numFmtId="0" fontId="0" fillId="0" borderId="0" xfId="0" applyAlignment="1">
      <alignment wrapText="1"/>
    </xf>
    <xf numFmtId="0" fontId="20" fillId="0" borderId="0" xfId="0" applyFont="1"/>
    <xf numFmtId="0" fontId="21" fillId="0" borderId="0" xfId="0" applyFont="1"/>
    <xf numFmtId="0" fontId="22" fillId="0" borderId="0" xfId="0" applyFont="1"/>
    <xf numFmtId="0" fontId="0" fillId="33" borderId="0" xfId="0" applyFill="1"/>
    <xf numFmtId="0" fontId="18" fillId="0" borderId="0" xfId="0" applyFont="1"/>
    <xf numFmtId="2" fontId="0" fillId="0" borderId="0" xfId="0" applyNumberFormat="1"/>
    <xf numFmtId="11" fontId="22" fillId="0" borderId="0" xfId="0" applyNumberFormat="1" applyFont="1"/>
    <xf numFmtId="11" fontId="21" fillId="0" borderId="0" xfId="0" applyNumberFormat="1" applyFont="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0" xfId="0" applyBorder="1"/>
    <xf numFmtId="0" fontId="19" fillId="0" borderId="0" xfId="0" applyFont="1" applyAlignment="1">
      <alignment vertical="center"/>
    </xf>
    <xf numFmtId="0" fontId="16" fillId="0" borderId="0" xfId="0" applyFont="1"/>
    <xf numFmtId="11" fontId="16" fillId="0" borderId="0" xfId="0" applyNumberFormat="1" applyFont="1"/>
    <xf numFmtId="11" fontId="16" fillId="36" borderId="0" xfId="0" applyNumberFormat="1" applyFont="1" applyFill="1"/>
    <xf numFmtId="11" fontId="16" fillId="35" borderId="0" xfId="0" applyNumberFormat="1" applyFont="1" applyFill="1"/>
    <xf numFmtId="11" fontId="16" fillId="33" borderId="0" xfId="0" applyNumberFormat="1" applyFont="1" applyFill="1"/>
    <xf numFmtId="0" fontId="16" fillId="0" borderId="0" xfId="0" applyFont="1" applyAlignment="1">
      <alignment wrapText="1"/>
    </xf>
    <xf numFmtId="0" fontId="0" fillId="36" borderId="0" xfId="0" applyFill="1"/>
    <xf numFmtId="22" fontId="0" fillId="36" borderId="0" xfId="0" applyNumberFormat="1" applyFill="1"/>
    <xf numFmtId="11" fontId="0" fillId="36" borderId="0" xfId="0" applyNumberFormat="1" applyFill="1"/>
    <xf numFmtId="0" fontId="0" fillId="35" borderId="0" xfId="0" applyFill="1"/>
    <xf numFmtId="22" fontId="0" fillId="35" borderId="0" xfId="0" applyNumberFormat="1" applyFill="1"/>
    <xf numFmtId="11" fontId="0" fillId="35" borderId="0" xfId="0" applyNumberFormat="1" applyFill="1"/>
    <xf numFmtId="22" fontId="0" fillId="33" borderId="0" xfId="0" applyNumberFormat="1" applyFill="1"/>
    <xf numFmtId="11" fontId="0" fillId="33" borderId="0" xfId="0" applyNumberFormat="1" applyFill="1"/>
    <xf numFmtId="11" fontId="0" fillId="0" borderId="11" xfId="0" applyNumberFormat="1" applyBorder="1"/>
    <xf numFmtId="0" fontId="0" fillId="0" borderId="17" xfId="0" applyBorder="1"/>
    <xf numFmtId="0" fontId="26" fillId="0" borderId="0" xfId="0" applyFont="1"/>
    <xf numFmtId="0" fontId="0" fillId="0" borderId="18" xfId="0" applyBorder="1"/>
    <xf numFmtId="11" fontId="18" fillId="0" borderId="0" xfId="0" applyNumberFormat="1" applyFont="1"/>
    <xf numFmtId="0" fontId="27" fillId="0" borderId="0" xfId="0" applyFont="1"/>
    <xf numFmtId="11" fontId="0" fillId="0" borderId="20" xfId="0" applyNumberFormat="1" applyBorder="1"/>
    <xf numFmtId="0" fontId="23" fillId="0" borderId="0" xfId="0" applyFont="1" applyAlignment="1">
      <alignment wrapText="1"/>
    </xf>
    <xf numFmtId="11" fontId="0" fillId="0" borderId="0" xfId="0" applyNumberFormat="1" applyAlignment="1">
      <alignment wrapText="1"/>
    </xf>
    <xf numFmtId="0" fontId="0" fillId="0" borderId="15" xfId="0" applyBorder="1" applyAlignment="1">
      <alignment wrapText="1"/>
    </xf>
    <xf numFmtId="11" fontId="0" fillId="0" borderId="18" xfId="0" applyNumberFormat="1" applyBorder="1"/>
    <xf numFmtId="0" fontId="0" fillId="37" borderId="0" xfId="0" applyFill="1" applyAlignment="1">
      <alignment wrapText="1"/>
    </xf>
    <xf numFmtId="0" fontId="0" fillId="37" borderId="0" xfId="0" applyFill="1"/>
    <xf numFmtId="164" fontId="0" fillId="0" borderId="0" xfId="0" applyNumberFormat="1" applyAlignment="1">
      <alignment wrapText="1"/>
    </xf>
    <xf numFmtId="164" fontId="0" fillId="0" borderId="0" xfId="0" applyNumberFormat="1"/>
    <xf numFmtId="164" fontId="0" fillId="36" borderId="0" xfId="0" applyNumberFormat="1" applyFill="1"/>
    <xf numFmtId="164" fontId="0" fillId="35" borderId="0" xfId="0" applyNumberFormat="1" applyFill="1"/>
    <xf numFmtId="164" fontId="0" fillId="33" borderId="0" xfId="0" applyNumberFormat="1" applyFill="1"/>
    <xf numFmtId="2" fontId="18" fillId="0" borderId="0" xfId="0" applyNumberFormat="1" applyFont="1"/>
    <xf numFmtId="0" fontId="0" fillId="38" borderId="0" xfId="0" applyFill="1"/>
    <xf numFmtId="22" fontId="0" fillId="38" borderId="0" xfId="0" applyNumberFormat="1" applyFill="1"/>
    <xf numFmtId="11" fontId="0" fillId="38" borderId="0" xfId="0" applyNumberFormat="1" applyFill="1"/>
    <xf numFmtId="164" fontId="0" fillId="38" borderId="0" xfId="0" applyNumberFormat="1" applyFill="1"/>
    <xf numFmtId="0" fontId="26" fillId="38" borderId="0" xfId="0" applyFont="1" applyFill="1"/>
    <xf numFmtId="11" fontId="16" fillId="38" borderId="0" xfId="0" applyNumberFormat="1" applyFont="1" applyFill="1"/>
    <xf numFmtId="0" fontId="22" fillId="0" borderId="0" xfId="0" applyFont="1" applyAlignment="1">
      <alignment wrapText="1"/>
    </xf>
    <xf numFmtId="0" fontId="0" fillId="36" borderId="11" xfId="0" applyFill="1" applyBorder="1"/>
    <xf numFmtId="0" fontId="0" fillId="36" borderId="17" xfId="0" applyFill="1" applyBorder="1"/>
    <xf numFmtId="0" fontId="27" fillId="0" borderId="0" xfId="0" applyFont="1" applyAlignment="1">
      <alignment horizontal="center"/>
    </xf>
    <xf numFmtId="0" fontId="27" fillId="0" borderId="21" xfId="0" applyFont="1" applyBorder="1" applyAlignment="1">
      <alignment horizontal="center"/>
    </xf>
    <xf numFmtId="11" fontId="0" fillId="39" borderId="0" xfId="0" applyNumberFormat="1" applyFill="1"/>
    <xf numFmtId="0" fontId="0" fillId="0" borderId="0" xfId="0" quotePrefix="1"/>
    <xf numFmtId="0" fontId="0" fillId="0" borderId="0" xfId="0" applyAlignment="1">
      <alignment horizontal="center" wrapText="1"/>
    </xf>
    <xf numFmtId="0" fontId="28" fillId="0" borderId="0" xfId="0" applyFont="1"/>
    <xf numFmtId="11" fontId="0" fillId="0" borderId="12" xfId="0" applyNumberFormat="1" applyBorder="1"/>
    <xf numFmtId="0" fontId="18" fillId="36" borderId="0" xfId="0" applyFont="1" applyFill="1"/>
    <xf numFmtId="22" fontId="18" fillId="36" borderId="0" xfId="0" applyNumberFormat="1" applyFont="1" applyFill="1"/>
    <xf numFmtId="11" fontId="18" fillId="36" borderId="0" xfId="0" applyNumberFormat="1" applyFont="1" applyFill="1"/>
    <xf numFmtId="0" fontId="18" fillId="37" borderId="0" xfId="0" applyFont="1" applyFill="1"/>
    <xf numFmtId="11" fontId="31" fillId="36" borderId="0" xfId="0" applyNumberFormat="1" applyFont="1" applyFill="1"/>
    <xf numFmtId="164" fontId="18" fillId="36" borderId="0" xfId="0" applyNumberFormat="1" applyFont="1" applyFill="1"/>
    <xf numFmtId="11" fontId="18" fillId="39" borderId="0" xfId="0" applyNumberFormat="1" applyFont="1" applyFill="1"/>
    <xf numFmtId="165" fontId="0" fillId="0" borderId="0" xfId="0" applyNumberFormat="1" applyAlignment="1">
      <alignment wrapText="1"/>
    </xf>
    <xf numFmtId="165" fontId="0" fillId="0" borderId="0" xfId="0" applyNumberFormat="1"/>
    <xf numFmtId="165" fontId="0" fillId="0" borderId="0" xfId="0" quotePrefix="1" applyNumberFormat="1"/>
    <xf numFmtId="165" fontId="18" fillId="0" borderId="0" xfId="0" applyNumberFormat="1" applyFont="1"/>
    <xf numFmtId="0" fontId="0" fillId="0" borderId="22" xfId="0" applyBorder="1"/>
    <xf numFmtId="0" fontId="0" fillId="0" borderId="23" xfId="0" applyBorder="1"/>
    <xf numFmtId="0" fontId="0" fillId="0" borderId="24" xfId="0" applyBorder="1"/>
    <xf numFmtId="0" fontId="0" fillId="0" borderId="19" xfId="0" applyBorder="1"/>
    <xf numFmtId="0" fontId="0" fillId="0" borderId="21" xfId="0" applyBorder="1"/>
    <xf numFmtId="0" fontId="0" fillId="0" borderId="25" xfId="0" applyBorder="1"/>
    <xf numFmtId="0" fontId="0" fillId="0" borderId="26" xfId="0" applyBorder="1"/>
    <xf numFmtId="0" fontId="0" fillId="0" borderId="27" xfId="0" applyBorder="1"/>
    <xf numFmtId="11" fontId="19" fillId="0" borderId="0" xfId="0" applyNumberFormat="1" applyFont="1" applyAlignment="1">
      <alignment vertical="center"/>
    </xf>
    <xf numFmtId="0" fontId="18" fillId="38" borderId="0" xfId="0" applyFont="1" applyFill="1"/>
    <xf numFmtId="0" fontId="27" fillId="0" borderId="0" xfId="0" applyFont="1" applyAlignment="1">
      <alignment horizontal="center"/>
    </xf>
    <xf numFmtId="0" fontId="27" fillId="0" borderId="19" xfId="0" applyFont="1" applyBorder="1" applyAlignment="1">
      <alignment horizontal="center"/>
    </xf>
    <xf numFmtId="0" fontId="0" fillId="0" borderId="0" xfId="0" applyAlignment="1">
      <alignment horizontal="center" wrapText="1"/>
    </xf>
    <xf numFmtId="0" fontId="0" fillId="0" borderId="0" xfId="0" applyAlignment="1">
      <alignment horizontal="center"/>
    </xf>
    <xf numFmtId="0" fontId="32" fillId="0" borderId="0" xfId="0" applyFont="1"/>
    <xf numFmtId="0" fontId="33" fillId="0" borderId="0" xfId="0" applyFont="1"/>
    <xf numFmtId="0" fontId="34" fillId="0" borderId="0" xfId="0" applyFont="1"/>
    <xf numFmtId="11" fontId="33" fillId="0" borderId="0" xfId="0" applyNumberFormat="1" applyFont="1"/>
    <xf numFmtId="0" fontId="35" fillId="0" borderId="0" xfId="0" applyFont="1" applyAlignment="1">
      <alignment horizont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F2CEE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3" Type="http://schemas.openxmlformats.org/officeDocument/2006/relationships/themeOverride" Target="../theme/themeOverride6.xml"/><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3" Type="http://schemas.openxmlformats.org/officeDocument/2006/relationships/themeOverride" Target="../theme/themeOverride7.xml"/><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3" Type="http://schemas.openxmlformats.org/officeDocument/2006/relationships/themeOverride" Target="../theme/themeOverride8.xml"/><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3" Type="http://schemas.openxmlformats.org/officeDocument/2006/relationships/themeOverride" Target="../theme/themeOverride9.xml"/><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Win-06-01b Two Isotope Helium Arrhenius</a:t>
            </a:r>
            <a:r>
              <a:rPr lang="en-US" baseline="0"/>
              <a:t> Plot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3He</c:v>
          </c:tx>
          <c:spPr>
            <a:ln w="19050" cap="rnd">
              <a:solidFill>
                <a:schemeClr val="accent6">
                  <a:lumMod val="40000"/>
                  <a:lumOff val="60000"/>
                </a:schemeClr>
              </a:solidFill>
              <a:round/>
            </a:ln>
            <a:effectLst/>
          </c:spPr>
          <c:marker>
            <c:symbol val="circle"/>
            <c:size val="5"/>
            <c:spPr>
              <a:solidFill>
                <a:schemeClr val="accent1"/>
              </a:solidFill>
              <a:ln w="9525">
                <a:solidFill>
                  <a:schemeClr val="accent1"/>
                </a:solidFill>
              </a:ln>
              <a:effectLst/>
            </c:spPr>
          </c:marker>
          <c:xVal>
            <c:numRef>
              <c:f>diffusivitiesHTWin0601bM!$O$4:$O$37</c:f>
              <c:numCache>
                <c:formatCode>General</c:formatCode>
                <c:ptCount val="34"/>
                <c:pt idx="0">
                  <c:v>22.573363431151243</c:v>
                </c:pt>
                <c:pt idx="1">
                  <c:v>22.075055187637968</c:v>
                </c:pt>
                <c:pt idx="2">
                  <c:v>21.598272138228943</c:v>
                </c:pt>
                <c:pt idx="3">
                  <c:v>21.141649048625794</c:v>
                </c:pt>
                <c:pt idx="4">
                  <c:v>20.703933747412009</c:v>
                </c:pt>
                <c:pt idx="5">
                  <c:v>20.28397565922921</c:v>
                </c:pt>
                <c:pt idx="6">
                  <c:v>19.880715705765407</c:v>
                </c:pt>
                <c:pt idx="7">
                  <c:v>20.080321285140563</c:v>
                </c:pt>
                <c:pt idx="8">
                  <c:v>20.491803278688526</c:v>
                </c:pt>
                <c:pt idx="9">
                  <c:v>20.92050209205021</c:v>
                </c:pt>
                <c:pt idx="10">
                  <c:v>21.367521367521366</c:v>
                </c:pt>
                <c:pt idx="11">
                  <c:v>21.834061135371179</c:v>
                </c:pt>
                <c:pt idx="12">
                  <c:v>22.321428571428573</c:v>
                </c:pt>
                <c:pt idx="13">
                  <c:v>21.141649048625794</c:v>
                </c:pt>
                <c:pt idx="14">
                  <c:v>20.704362409159611</c:v>
                </c:pt>
                <c:pt idx="15">
                  <c:v>20.28479857195018</c:v>
                </c:pt>
                <c:pt idx="16">
                  <c:v>19.881110956480249</c:v>
                </c:pt>
                <c:pt idx="17">
                  <c:v>19.49317738791423</c:v>
                </c:pt>
                <c:pt idx="18">
                  <c:v>19.305019305019304</c:v>
                </c:pt>
                <c:pt idx="19">
                  <c:v>19.120824489952007</c:v>
                </c:pt>
                <c:pt idx="20">
                  <c:v>19.308374041821978</c:v>
                </c:pt>
                <c:pt idx="21">
                  <c:v>19.493557379286145</c:v>
                </c:pt>
                <c:pt idx="22">
                  <c:v>19.685039370078741</c:v>
                </c:pt>
                <c:pt idx="23">
                  <c:v>19.880715705765407</c:v>
                </c:pt>
                <c:pt idx="24">
                  <c:v>20.080321285140563</c:v>
                </c:pt>
                <c:pt idx="25">
                  <c:v>19.880715705765407</c:v>
                </c:pt>
                <c:pt idx="26">
                  <c:v>19.68891514077578</c:v>
                </c:pt>
                <c:pt idx="27">
                  <c:v>19.49317738791423</c:v>
                </c:pt>
                <c:pt idx="28">
                  <c:v>19.305019305019304</c:v>
                </c:pt>
                <c:pt idx="29">
                  <c:v>19.120458891013385</c:v>
                </c:pt>
                <c:pt idx="30">
                  <c:v>19.121555729774173</c:v>
                </c:pt>
                <c:pt idx="31">
                  <c:v>19.121190102872003</c:v>
                </c:pt>
                <c:pt idx="32">
                  <c:v>19.120458891013385</c:v>
                </c:pt>
                <c:pt idx="33">
                  <c:v>19.49317738791423</c:v>
                </c:pt>
              </c:numCache>
            </c:numRef>
          </c:xVal>
          <c:yVal>
            <c:numRef>
              <c:f>diffusivitiesHTWin0601bM!$P$4:$P$37</c:f>
              <c:numCache>
                <c:formatCode>General</c:formatCode>
                <c:ptCount val="34"/>
                <c:pt idx="0">
                  <c:v>-22.05213261503815</c:v>
                </c:pt>
                <c:pt idx="1">
                  <c:v>-22.131276695020862</c:v>
                </c:pt>
                <c:pt idx="2">
                  <c:v>-22.017373104699846</c:v>
                </c:pt>
                <c:pt idx="3">
                  <c:v>-21.682567938328461</c:v>
                </c:pt>
                <c:pt idx="4">
                  <c:v>-21.316647443149691</c:v>
                </c:pt>
                <c:pt idx="5">
                  <c:v>-20.984047820072568</c:v>
                </c:pt>
                <c:pt idx="6">
                  <c:v>-20.534731788463219</c:v>
                </c:pt>
                <c:pt idx="7">
                  <c:v>-21.198778617593469</c:v>
                </c:pt>
                <c:pt idx="8">
                  <c:v>-21.985237781051143</c:v>
                </c:pt>
                <c:pt idx="9">
                  <c:v>-22.754006884006166</c:v>
                </c:pt>
                <c:pt idx="10">
                  <c:v>-23.541912985852932</c:v>
                </c:pt>
                <c:pt idx="11">
                  <c:v>-24.304076158927465</c:v>
                </c:pt>
                <c:pt idx="12">
                  <c:v>-24.631998482199126</c:v>
                </c:pt>
                <c:pt idx="13">
                  <c:v>-23.271570701386704</c:v>
                </c:pt>
                <c:pt idx="14">
                  <c:v>-22.621800847002962</c:v>
                </c:pt>
                <c:pt idx="15">
                  <c:v>-21.517522386794546</c:v>
                </c:pt>
                <c:pt idx="16">
                  <c:v>-20.738050641338521</c:v>
                </c:pt>
                <c:pt idx="17">
                  <c:v>-19.817939083213641</c:v>
                </c:pt>
                <c:pt idx="18">
                  <c:v>-19.696803925442783</c:v>
                </c:pt>
                <c:pt idx="19">
                  <c:v>-19.224100029244727</c:v>
                </c:pt>
                <c:pt idx="20">
                  <c:v>-19.80591723026787</c:v>
                </c:pt>
                <c:pt idx="21">
                  <c:v>-20.421440352770158</c:v>
                </c:pt>
                <c:pt idx="22">
                  <c:v>-20.797640692894099</c:v>
                </c:pt>
                <c:pt idx="23">
                  <c:v>-21.327000795431729</c:v>
                </c:pt>
                <c:pt idx="24">
                  <c:v>-21.698774495457627</c:v>
                </c:pt>
                <c:pt idx="25">
                  <c:v>-21.393852004069622</c:v>
                </c:pt>
                <c:pt idx="26">
                  <c:v>-20.977483762557657</c:v>
                </c:pt>
                <c:pt idx="27">
                  <c:v>-20.662635272982637</c:v>
                </c:pt>
                <c:pt idx="28">
                  <c:v>-20.254902363478742</c:v>
                </c:pt>
                <c:pt idx="29">
                  <c:v>-19.91123393367247</c:v>
                </c:pt>
                <c:pt idx="30">
                  <c:v>-19.895423694110733</c:v>
                </c:pt>
                <c:pt idx="31">
                  <c:v>-19.922193804553547</c:v>
                </c:pt>
                <c:pt idx="32">
                  <c:v>-19.957477847058563</c:v>
                </c:pt>
                <c:pt idx="33">
                  <c:v>-20.647602616459306</c:v>
                </c:pt>
              </c:numCache>
            </c:numRef>
          </c:yVal>
          <c:smooth val="0"/>
          <c:extLst>
            <c:ext xmlns:c16="http://schemas.microsoft.com/office/drawing/2014/chart" uri="{C3380CC4-5D6E-409C-BE32-E72D297353CC}">
              <c16:uniqueId val="{00000000-B78F-4D40-9889-C1E174A1CC39}"/>
            </c:ext>
          </c:extLst>
        </c:ser>
        <c:ser>
          <c:idx val="2"/>
          <c:order val="1"/>
          <c:tx>
            <c:v>4He</c:v>
          </c:tx>
          <c:spPr>
            <a:ln w="19050" cap="rnd">
              <a:solidFill>
                <a:srgbClr val="FF0000">
                  <a:alpha val="36000"/>
                </a:srgbClr>
              </a:solidFill>
              <a:round/>
            </a:ln>
            <a:effectLst/>
          </c:spPr>
          <c:marker>
            <c:symbol val="circle"/>
            <c:size val="5"/>
            <c:spPr>
              <a:solidFill>
                <a:schemeClr val="accent5">
                  <a:lumMod val="60000"/>
                  <a:lumOff val="40000"/>
                </a:schemeClr>
              </a:solidFill>
              <a:ln w="9525">
                <a:solidFill>
                  <a:schemeClr val="accent5">
                    <a:lumMod val="75000"/>
                  </a:schemeClr>
                </a:solidFill>
              </a:ln>
              <a:effectLst/>
            </c:spPr>
          </c:marker>
          <c:xVal>
            <c:numRef>
              <c:f>diffusivitiesHTWin0601bM!$O$46:$O$79</c:f>
              <c:numCache>
                <c:formatCode>General</c:formatCode>
                <c:ptCount val="34"/>
                <c:pt idx="0">
                  <c:v>22.573363431151243</c:v>
                </c:pt>
                <c:pt idx="1">
                  <c:v>22.075055187637968</c:v>
                </c:pt>
                <c:pt idx="2">
                  <c:v>21.598272138228943</c:v>
                </c:pt>
                <c:pt idx="3">
                  <c:v>21.141649048625794</c:v>
                </c:pt>
                <c:pt idx="4">
                  <c:v>20.703933747412009</c:v>
                </c:pt>
                <c:pt idx="5">
                  <c:v>20.28397565922921</c:v>
                </c:pt>
                <c:pt idx="6">
                  <c:v>19.880715705765407</c:v>
                </c:pt>
                <c:pt idx="7">
                  <c:v>20.080321285140563</c:v>
                </c:pt>
                <c:pt idx="8">
                  <c:v>20.491803278688526</c:v>
                </c:pt>
                <c:pt idx="9">
                  <c:v>20.92050209205021</c:v>
                </c:pt>
                <c:pt idx="10">
                  <c:v>21.367521367521366</c:v>
                </c:pt>
                <c:pt idx="11">
                  <c:v>21.834061135371179</c:v>
                </c:pt>
                <c:pt idx="12">
                  <c:v>22.321428571428573</c:v>
                </c:pt>
                <c:pt idx="13">
                  <c:v>21.141649048625794</c:v>
                </c:pt>
                <c:pt idx="14">
                  <c:v>20.704362409159611</c:v>
                </c:pt>
                <c:pt idx="15">
                  <c:v>20.28479857195018</c:v>
                </c:pt>
                <c:pt idx="16">
                  <c:v>19.881110956480249</c:v>
                </c:pt>
                <c:pt idx="17">
                  <c:v>19.49317738791423</c:v>
                </c:pt>
                <c:pt idx="18">
                  <c:v>19.305019305019304</c:v>
                </c:pt>
                <c:pt idx="19">
                  <c:v>19.120824489952007</c:v>
                </c:pt>
                <c:pt idx="20">
                  <c:v>19.308374041821978</c:v>
                </c:pt>
                <c:pt idx="21">
                  <c:v>19.493557379286145</c:v>
                </c:pt>
                <c:pt idx="22">
                  <c:v>19.685039370078741</c:v>
                </c:pt>
                <c:pt idx="23">
                  <c:v>19.880715705765407</c:v>
                </c:pt>
                <c:pt idx="24">
                  <c:v>20.080321285140563</c:v>
                </c:pt>
                <c:pt idx="25">
                  <c:v>19.880715705765407</c:v>
                </c:pt>
                <c:pt idx="26">
                  <c:v>19.68891514077578</c:v>
                </c:pt>
                <c:pt idx="27">
                  <c:v>19.49317738791423</c:v>
                </c:pt>
                <c:pt idx="28">
                  <c:v>19.305019305019304</c:v>
                </c:pt>
                <c:pt idx="29">
                  <c:v>19.120458891013385</c:v>
                </c:pt>
                <c:pt idx="30">
                  <c:v>19.121555729774173</c:v>
                </c:pt>
                <c:pt idx="31">
                  <c:v>19.121190102872003</c:v>
                </c:pt>
                <c:pt idx="32">
                  <c:v>19.120458891013385</c:v>
                </c:pt>
                <c:pt idx="33">
                  <c:v>19.49317738791423</c:v>
                </c:pt>
              </c:numCache>
            </c:numRef>
          </c:xVal>
          <c:yVal>
            <c:numRef>
              <c:f>diffusivitiesHTWin0601bM!$P$46:$P$79</c:f>
              <c:numCache>
                <c:formatCode>General</c:formatCode>
                <c:ptCount val="34"/>
                <c:pt idx="0">
                  <c:v>-28.882457229199119</c:v>
                </c:pt>
                <c:pt idx="1">
                  <c:v>-27.857171423054552</c:v>
                </c:pt>
                <c:pt idx="2">
                  <c:v>-27.006043866409179</c:v>
                </c:pt>
                <c:pt idx="3">
                  <c:v>-25.804652306287686</c:v>
                </c:pt>
                <c:pt idx="4">
                  <c:v>-24.859411039223229</c:v>
                </c:pt>
                <c:pt idx="5">
                  <c:v>-23.993963126230277</c:v>
                </c:pt>
                <c:pt idx="6">
                  <c:v>-23.114410990467565</c:v>
                </c:pt>
                <c:pt idx="7">
                  <c:v>-23.463539705519267</c:v>
                </c:pt>
                <c:pt idx="8">
                  <c:v>-24.001326385540441</c:v>
                </c:pt>
                <c:pt idx="9">
                  <c:v>-24.476322881287</c:v>
                </c:pt>
                <c:pt idx="10">
                  <c:v>-24.890614190012588</c:v>
                </c:pt>
                <c:pt idx="11">
                  <c:v>-25.597834029923394</c:v>
                </c:pt>
                <c:pt idx="12">
                  <c:v>-25.869836313777299</c:v>
                </c:pt>
                <c:pt idx="13">
                  <c:v>-25.396759496254209</c:v>
                </c:pt>
                <c:pt idx="14">
                  <c:v>-21.718799511679897</c:v>
                </c:pt>
                <c:pt idx="15">
                  <c:v>-22.418610809063679</c:v>
                </c:pt>
                <c:pt idx="16">
                  <c:v>-21.928270451891837</c:v>
                </c:pt>
                <c:pt idx="17">
                  <c:v>-20.791017055629542</c:v>
                </c:pt>
                <c:pt idx="18">
                  <c:v>-20.738316841422034</c:v>
                </c:pt>
                <c:pt idx="19">
                  <c:v>-20.359613910596337</c:v>
                </c:pt>
                <c:pt idx="20">
                  <c:v>-20.893883862081967</c:v>
                </c:pt>
                <c:pt idx="21">
                  <c:v>-21.489770094552814</c:v>
                </c:pt>
                <c:pt idx="22">
                  <c:v>-21.839676569619595</c:v>
                </c:pt>
                <c:pt idx="23">
                  <c:v>-22.318179775737693</c:v>
                </c:pt>
                <c:pt idx="24">
                  <c:v>-22.653669017589539</c:v>
                </c:pt>
                <c:pt idx="25">
                  <c:v>-22.395511962211703</c:v>
                </c:pt>
                <c:pt idx="26">
                  <c:v>-21.952052462155287</c:v>
                </c:pt>
                <c:pt idx="27">
                  <c:v>-21.574476281864598</c:v>
                </c:pt>
                <c:pt idx="28">
                  <c:v>-21.200184296972292</c:v>
                </c:pt>
                <c:pt idx="29">
                  <c:v>-20.835246744302651</c:v>
                </c:pt>
                <c:pt idx="30">
                  <c:v>-20.841707332538054</c:v>
                </c:pt>
                <c:pt idx="31">
                  <c:v>-20.811359847177314</c:v>
                </c:pt>
                <c:pt idx="32">
                  <c:v>-20.684508992415047</c:v>
                </c:pt>
                <c:pt idx="33">
                  <c:v>-21.248852395512991</c:v>
                </c:pt>
              </c:numCache>
            </c:numRef>
          </c:yVal>
          <c:smooth val="0"/>
          <c:extLst>
            <c:ext xmlns:c16="http://schemas.microsoft.com/office/drawing/2014/chart" uri="{C3380CC4-5D6E-409C-BE32-E72D297353CC}">
              <c16:uniqueId val="{00000001-B78F-4D40-9889-C1E174A1CC39}"/>
            </c:ext>
          </c:extLst>
        </c:ser>
        <c:dLbls>
          <c:showLegendKey val="0"/>
          <c:showVal val="0"/>
          <c:showCatName val="0"/>
          <c:showSerName val="0"/>
          <c:showPercent val="0"/>
          <c:showBubbleSize val="0"/>
        </c:dLbls>
        <c:axId val="2132438240"/>
        <c:axId val="2132437280"/>
      </c:scatterChart>
      <c:valAx>
        <c:axId val="213243824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10000/T(K)</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2437280"/>
        <c:crosses val="autoZero"/>
        <c:crossBetween val="midCat"/>
      </c:valAx>
      <c:valAx>
        <c:axId val="2132437280"/>
        <c:scaling>
          <c:orientation val="minMax"/>
          <c:max val="-18"/>
          <c:min val="-32"/>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ln(D/a</a:t>
                </a:r>
                <a:r>
                  <a:rPr lang="en-US" baseline="30000"/>
                  <a:t>2</a:t>
                </a:r>
                <a:r>
                  <a:rPr lang="en-US"/>
                  <a: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2438240"/>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Win-0601b 3He Arrhenius</a:t>
            </a:r>
            <a:r>
              <a:rPr lang="en-US" baseline="0"/>
              <a:t> Plot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1"/>
          <c:order val="0"/>
          <c:spPr>
            <a:ln w="19050" cap="rnd">
              <a:solidFill>
                <a:schemeClr val="accent2"/>
              </a:solidFill>
              <a:round/>
            </a:ln>
            <a:effectLst/>
          </c:spPr>
          <c:marker>
            <c:symbol val="circle"/>
            <c:size val="5"/>
            <c:spPr>
              <a:solidFill>
                <a:schemeClr val="accent2"/>
              </a:solidFill>
              <a:ln w="9525">
                <a:solidFill>
                  <a:schemeClr val="accent2"/>
                </a:solidFill>
              </a:ln>
              <a:effectLst/>
            </c:spPr>
          </c:marker>
          <c:trendline>
            <c:spPr>
              <a:ln w="19050" cap="rnd">
                <a:solidFill>
                  <a:schemeClr val="accent6">
                    <a:lumMod val="75000"/>
                  </a:schemeClr>
                </a:solidFill>
                <a:prstDash val="sysDot"/>
              </a:ln>
              <a:effectLst/>
            </c:spPr>
            <c:trendlineType val="linear"/>
            <c:forward val="1.5"/>
            <c:backward val="0.2"/>
            <c:dispRSqr val="1"/>
            <c:dispEq val="1"/>
            <c:trendlineLbl>
              <c:layout>
                <c:manualLayout>
                  <c:x val="-0.31770282915786463"/>
                  <c:y val="-0.2826382509177228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diffusivitiesHTWin0601bM!$O$27:$O$37</c:f>
              <c:numCache>
                <c:formatCode>General</c:formatCode>
                <c:ptCount val="11"/>
                <c:pt idx="0">
                  <c:v>19.880715705765407</c:v>
                </c:pt>
                <c:pt idx="1">
                  <c:v>20.080321285140563</c:v>
                </c:pt>
                <c:pt idx="2">
                  <c:v>19.880715705765407</c:v>
                </c:pt>
                <c:pt idx="3">
                  <c:v>19.68891514077578</c:v>
                </c:pt>
                <c:pt idx="4">
                  <c:v>19.49317738791423</c:v>
                </c:pt>
                <c:pt idx="5">
                  <c:v>19.305019305019304</c:v>
                </c:pt>
                <c:pt idx="6">
                  <c:v>19.120458891013385</c:v>
                </c:pt>
                <c:pt idx="7">
                  <c:v>19.121555729774173</c:v>
                </c:pt>
                <c:pt idx="8">
                  <c:v>19.121190102872003</c:v>
                </c:pt>
                <c:pt idx="9">
                  <c:v>19.120458891013385</c:v>
                </c:pt>
                <c:pt idx="10">
                  <c:v>19.49317738791423</c:v>
                </c:pt>
              </c:numCache>
            </c:numRef>
          </c:xVal>
          <c:yVal>
            <c:numRef>
              <c:f>diffusivitiesHTWin0601bM!$P$27:$P$37</c:f>
              <c:numCache>
                <c:formatCode>General</c:formatCode>
                <c:ptCount val="11"/>
                <c:pt idx="0">
                  <c:v>-21.327000795431729</c:v>
                </c:pt>
                <c:pt idx="1">
                  <c:v>-21.698774495457627</c:v>
                </c:pt>
                <c:pt idx="2">
                  <c:v>-21.393852004069622</c:v>
                </c:pt>
                <c:pt idx="3">
                  <c:v>-20.977483762557657</c:v>
                </c:pt>
                <c:pt idx="4">
                  <c:v>-20.662635272982637</c:v>
                </c:pt>
                <c:pt idx="5">
                  <c:v>-20.254902363478742</c:v>
                </c:pt>
                <c:pt idx="6">
                  <c:v>-19.91123393367247</c:v>
                </c:pt>
                <c:pt idx="7">
                  <c:v>-19.895423694110733</c:v>
                </c:pt>
                <c:pt idx="8">
                  <c:v>-19.922193804553547</c:v>
                </c:pt>
                <c:pt idx="9">
                  <c:v>-19.957477847058563</c:v>
                </c:pt>
                <c:pt idx="10">
                  <c:v>-20.647602616459306</c:v>
                </c:pt>
              </c:numCache>
            </c:numRef>
          </c:yVal>
          <c:smooth val="0"/>
          <c:extLst>
            <c:ext xmlns:c16="http://schemas.microsoft.com/office/drawing/2014/chart" uri="{C3380CC4-5D6E-409C-BE32-E72D297353CC}">
              <c16:uniqueId val="{00000001-58B8-4C33-BCEB-E7C6303A5477}"/>
            </c:ext>
          </c:extLst>
        </c:ser>
        <c:ser>
          <c:idx val="0"/>
          <c:order val="1"/>
          <c:spPr>
            <a:ln w="19050" cap="rnd">
              <a:solidFill>
                <a:schemeClr val="accent6">
                  <a:lumMod val="40000"/>
                  <a:lumOff val="60000"/>
                </a:schemeClr>
              </a:solidFill>
              <a:round/>
            </a:ln>
            <a:effectLst/>
          </c:spPr>
          <c:marker>
            <c:symbol val="circle"/>
            <c:size val="5"/>
            <c:spPr>
              <a:solidFill>
                <a:schemeClr val="accent1"/>
              </a:solidFill>
              <a:ln w="9525">
                <a:solidFill>
                  <a:schemeClr val="accent1"/>
                </a:solidFill>
              </a:ln>
              <a:effectLst/>
            </c:spPr>
          </c:marker>
          <c:xVal>
            <c:numRef>
              <c:f>diffusivitiesHTWin0601bM!$O$4:$O$37</c:f>
              <c:numCache>
                <c:formatCode>General</c:formatCode>
                <c:ptCount val="34"/>
                <c:pt idx="0">
                  <c:v>22.573363431151243</c:v>
                </c:pt>
                <c:pt idx="1">
                  <c:v>22.075055187637968</c:v>
                </c:pt>
                <c:pt idx="2">
                  <c:v>21.598272138228943</c:v>
                </c:pt>
                <c:pt idx="3">
                  <c:v>21.141649048625794</c:v>
                </c:pt>
                <c:pt idx="4">
                  <c:v>20.703933747412009</c:v>
                </c:pt>
                <c:pt idx="5">
                  <c:v>20.28397565922921</c:v>
                </c:pt>
                <c:pt idx="6">
                  <c:v>19.880715705765407</c:v>
                </c:pt>
                <c:pt idx="7">
                  <c:v>20.080321285140563</c:v>
                </c:pt>
                <c:pt idx="8">
                  <c:v>20.491803278688526</c:v>
                </c:pt>
                <c:pt idx="9">
                  <c:v>20.92050209205021</c:v>
                </c:pt>
                <c:pt idx="10">
                  <c:v>21.367521367521366</c:v>
                </c:pt>
                <c:pt idx="11">
                  <c:v>21.834061135371179</c:v>
                </c:pt>
                <c:pt idx="12">
                  <c:v>22.321428571428573</c:v>
                </c:pt>
                <c:pt idx="13">
                  <c:v>21.141649048625794</c:v>
                </c:pt>
                <c:pt idx="14">
                  <c:v>20.704362409159611</c:v>
                </c:pt>
                <c:pt idx="15">
                  <c:v>20.28479857195018</c:v>
                </c:pt>
                <c:pt idx="16">
                  <c:v>19.881110956480249</c:v>
                </c:pt>
                <c:pt idx="17">
                  <c:v>19.49317738791423</c:v>
                </c:pt>
                <c:pt idx="18">
                  <c:v>19.305019305019304</c:v>
                </c:pt>
                <c:pt idx="19">
                  <c:v>19.120824489952007</c:v>
                </c:pt>
                <c:pt idx="20">
                  <c:v>19.308374041821978</c:v>
                </c:pt>
                <c:pt idx="21">
                  <c:v>19.493557379286145</c:v>
                </c:pt>
                <c:pt idx="22">
                  <c:v>19.685039370078741</c:v>
                </c:pt>
                <c:pt idx="23">
                  <c:v>19.880715705765407</c:v>
                </c:pt>
                <c:pt idx="24">
                  <c:v>20.080321285140563</c:v>
                </c:pt>
                <c:pt idx="25">
                  <c:v>19.880715705765407</c:v>
                </c:pt>
                <c:pt idx="26">
                  <c:v>19.68891514077578</c:v>
                </c:pt>
                <c:pt idx="27">
                  <c:v>19.49317738791423</c:v>
                </c:pt>
                <c:pt idx="28">
                  <c:v>19.305019305019304</c:v>
                </c:pt>
                <c:pt idx="29">
                  <c:v>19.120458891013385</c:v>
                </c:pt>
                <c:pt idx="30">
                  <c:v>19.121555729774173</c:v>
                </c:pt>
                <c:pt idx="31">
                  <c:v>19.121190102872003</c:v>
                </c:pt>
                <c:pt idx="32">
                  <c:v>19.120458891013385</c:v>
                </c:pt>
                <c:pt idx="33">
                  <c:v>19.49317738791423</c:v>
                </c:pt>
              </c:numCache>
            </c:numRef>
          </c:xVal>
          <c:yVal>
            <c:numRef>
              <c:f>diffusivitiesHTWin0601bM!$P$4:$P$37</c:f>
              <c:numCache>
                <c:formatCode>General</c:formatCode>
                <c:ptCount val="34"/>
                <c:pt idx="0">
                  <c:v>-22.05213261503815</c:v>
                </c:pt>
                <c:pt idx="1">
                  <c:v>-22.131276695020862</c:v>
                </c:pt>
                <c:pt idx="2">
                  <c:v>-22.017373104699846</c:v>
                </c:pt>
                <c:pt idx="3">
                  <c:v>-21.682567938328461</c:v>
                </c:pt>
                <c:pt idx="4">
                  <c:v>-21.316647443149691</c:v>
                </c:pt>
                <c:pt idx="5">
                  <c:v>-20.984047820072568</c:v>
                </c:pt>
                <c:pt idx="6">
                  <c:v>-20.534731788463219</c:v>
                </c:pt>
                <c:pt idx="7">
                  <c:v>-21.198778617593469</c:v>
                </c:pt>
                <c:pt idx="8">
                  <c:v>-21.985237781051143</c:v>
                </c:pt>
                <c:pt idx="9">
                  <c:v>-22.754006884006166</c:v>
                </c:pt>
                <c:pt idx="10">
                  <c:v>-23.541912985852932</c:v>
                </c:pt>
                <c:pt idx="11">
                  <c:v>-24.304076158927465</c:v>
                </c:pt>
                <c:pt idx="12">
                  <c:v>-24.631998482199126</c:v>
                </c:pt>
                <c:pt idx="13">
                  <c:v>-23.271570701386704</c:v>
                </c:pt>
                <c:pt idx="14">
                  <c:v>-22.621800847002962</c:v>
                </c:pt>
                <c:pt idx="15">
                  <c:v>-21.517522386794546</c:v>
                </c:pt>
                <c:pt idx="16">
                  <c:v>-20.738050641338521</c:v>
                </c:pt>
                <c:pt idx="17">
                  <c:v>-19.817939083213641</c:v>
                </c:pt>
                <c:pt idx="18">
                  <c:v>-19.696803925442783</c:v>
                </c:pt>
                <c:pt idx="19">
                  <c:v>-19.224100029244727</c:v>
                </c:pt>
                <c:pt idx="20">
                  <c:v>-19.80591723026787</c:v>
                </c:pt>
                <c:pt idx="21">
                  <c:v>-20.421440352770158</c:v>
                </c:pt>
                <c:pt idx="22">
                  <c:v>-20.797640692894099</c:v>
                </c:pt>
                <c:pt idx="23">
                  <c:v>-21.327000795431729</c:v>
                </c:pt>
                <c:pt idx="24">
                  <c:v>-21.698774495457627</c:v>
                </c:pt>
                <c:pt idx="25">
                  <c:v>-21.393852004069622</c:v>
                </c:pt>
                <c:pt idx="26">
                  <c:v>-20.977483762557657</c:v>
                </c:pt>
                <c:pt idx="27">
                  <c:v>-20.662635272982637</c:v>
                </c:pt>
                <c:pt idx="28">
                  <c:v>-20.254902363478742</c:v>
                </c:pt>
                <c:pt idx="29">
                  <c:v>-19.91123393367247</c:v>
                </c:pt>
                <c:pt idx="30">
                  <c:v>-19.895423694110733</c:v>
                </c:pt>
                <c:pt idx="31">
                  <c:v>-19.922193804553547</c:v>
                </c:pt>
                <c:pt idx="32">
                  <c:v>-19.957477847058563</c:v>
                </c:pt>
                <c:pt idx="33">
                  <c:v>-20.647602616459306</c:v>
                </c:pt>
              </c:numCache>
            </c:numRef>
          </c:yVal>
          <c:smooth val="0"/>
          <c:extLst>
            <c:ext xmlns:c16="http://schemas.microsoft.com/office/drawing/2014/chart" uri="{C3380CC4-5D6E-409C-BE32-E72D297353CC}">
              <c16:uniqueId val="{00000002-58B8-4C33-BCEB-E7C6303A5477}"/>
            </c:ext>
          </c:extLst>
        </c:ser>
        <c:dLbls>
          <c:showLegendKey val="0"/>
          <c:showVal val="0"/>
          <c:showCatName val="0"/>
          <c:showSerName val="0"/>
          <c:showPercent val="0"/>
          <c:showBubbleSize val="0"/>
        </c:dLbls>
        <c:axId val="2132438240"/>
        <c:axId val="2132437280"/>
      </c:scatterChart>
      <c:valAx>
        <c:axId val="213243824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10000/T(K)</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2437280"/>
        <c:crosses val="autoZero"/>
        <c:crossBetween val="midCat"/>
      </c:valAx>
      <c:valAx>
        <c:axId val="2132437280"/>
        <c:scaling>
          <c:orientation val="minMax"/>
          <c:max val="-18"/>
          <c:min val="-25.5"/>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ln(D/a</a:t>
                </a:r>
                <a:r>
                  <a:rPr lang="en-US" baseline="30000"/>
                  <a:t>2</a:t>
                </a:r>
                <a:r>
                  <a:rPr lang="en-US"/>
                  <a: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243824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Delta Plot</a:t>
            </a:r>
            <a:r>
              <a:rPr lang="en-US" baseline="0"/>
              <a:t> with Regression Reference Line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3He</c:v>
          </c:tx>
          <c:spPr>
            <a:ln w="25400" cap="rnd">
              <a:solidFill>
                <a:schemeClr val="accent6">
                  <a:lumMod val="40000"/>
                  <a:lumOff val="60000"/>
                </a:schemeClr>
              </a:solidFill>
              <a:round/>
            </a:ln>
            <a:effectLst/>
          </c:spPr>
          <c:marker>
            <c:symbol val="circle"/>
            <c:size val="5"/>
            <c:spPr>
              <a:solidFill>
                <a:schemeClr val="accent1"/>
              </a:solidFill>
              <a:ln w="9525">
                <a:solidFill>
                  <a:schemeClr val="accent1"/>
                </a:solidFill>
              </a:ln>
              <a:effectLst/>
            </c:spPr>
          </c:marker>
          <c:xVal>
            <c:numRef>
              <c:f>diffusivitiesHTWin0601bM!$H$4:$H$37</c:f>
              <c:numCache>
                <c:formatCode>0.00E+00</c:formatCode>
                <c:ptCount val="34"/>
                <c:pt idx="0">
                  <c:v>7.3901424897776184E-3</c:v>
                </c:pt>
                <c:pt idx="1">
                  <c:v>1.151036022892795E-2</c:v>
                </c:pt>
                <c:pt idx="2">
                  <c:v>1.5367366838036753E-2</c:v>
                </c:pt>
                <c:pt idx="3">
                  <c:v>1.9180113071667258E-2</c:v>
                </c:pt>
                <c:pt idx="4">
                  <c:v>2.3415829683003798E-2</c:v>
                </c:pt>
                <c:pt idx="5">
                  <c:v>2.8047741633734663E-2</c:v>
                </c:pt>
                <c:pt idx="6">
                  <c:v>3.3756646358295152E-2</c:v>
                </c:pt>
                <c:pt idx="7">
                  <c:v>3.9083906637161374E-2</c:v>
                </c:pt>
                <c:pt idx="8">
                  <c:v>4.0188812267545691E-2</c:v>
                </c:pt>
                <c:pt idx="9">
                  <c:v>4.0768390541208066E-2</c:v>
                </c:pt>
                <c:pt idx="10">
                  <c:v>4.1321291734778387E-2</c:v>
                </c:pt>
                <c:pt idx="11">
                  <c:v>4.1492414273376105E-2</c:v>
                </c:pt>
                <c:pt idx="12">
                  <c:v>4.1645084283162576E-2</c:v>
                </c:pt>
                <c:pt idx="13">
                  <c:v>4.1812615627779451E-2</c:v>
                </c:pt>
                <c:pt idx="14">
                  <c:v>4.2448178320791168E-2</c:v>
                </c:pt>
                <c:pt idx="15">
                  <c:v>4.6523677843480556E-2</c:v>
                </c:pt>
                <c:pt idx="16">
                  <c:v>4.9143792832524132E-2</c:v>
                </c:pt>
                <c:pt idx="17">
                  <c:v>5.4193687385597537E-2</c:v>
                </c:pt>
                <c:pt idx="18">
                  <c:v>5.8270209826287264E-2</c:v>
                </c:pt>
                <c:pt idx="19">
                  <c:v>6.333170675395032E-2</c:v>
                </c:pt>
                <c:pt idx="20">
                  <c:v>6.6720460281388505E-2</c:v>
                </c:pt>
                <c:pt idx="21">
                  <c:v>6.8798402124566851E-2</c:v>
                </c:pt>
                <c:pt idx="22">
                  <c:v>7.0401619653363903E-2</c:v>
                </c:pt>
                <c:pt idx="23">
                  <c:v>7.1452262654484747E-2</c:v>
                </c:pt>
                <c:pt idx="24">
                  <c:v>7.255899809113267E-2</c:v>
                </c:pt>
                <c:pt idx="25">
                  <c:v>7.3691608470383807E-2</c:v>
                </c:pt>
                <c:pt idx="26">
                  <c:v>7.5208191640345062E-2</c:v>
                </c:pt>
                <c:pt idx="27">
                  <c:v>7.7012292036269456E-2</c:v>
                </c:pt>
                <c:pt idx="28">
                  <c:v>7.9319111319351793E-2</c:v>
                </c:pt>
                <c:pt idx="29">
                  <c:v>8.201508267866911E-2</c:v>
                </c:pt>
                <c:pt idx="30">
                  <c:v>8.4660218107660973E-2</c:v>
                </c:pt>
                <c:pt idx="31">
                  <c:v>8.7152991781006842E-2</c:v>
                </c:pt>
                <c:pt idx="32">
                  <c:v>0.14600014040011008</c:v>
                </c:pt>
                <c:pt idx="33">
                  <c:v>0.14775012803086054</c:v>
                </c:pt>
              </c:numCache>
            </c:numRef>
          </c:xVal>
          <c:yVal>
            <c:numRef>
              <c:f>diffusivitiesHTWin0601bM!$S$4:$S$37</c:f>
              <c:numCache>
                <c:formatCode>General</c:formatCode>
                <c:ptCount val="34"/>
                <c:pt idx="0">
                  <c:v>4.3463165453786381</c:v>
                </c:pt>
                <c:pt idx="1">
                  <c:v>3.333109228203238</c:v>
                </c:pt>
                <c:pt idx="2">
                  <c:v>2.5532978853139703</c:v>
                </c:pt>
                <c:pt idx="3">
                  <c:v>2.032177333409976</c:v>
                </c:pt>
                <c:pt idx="4">
                  <c:v>1.5776141690411123</c:v>
                </c:pt>
                <c:pt idx="5">
                  <c:v>1.1230154737287279</c:v>
                </c:pt>
                <c:pt idx="6">
                  <c:v>0.81643331889248572</c:v>
                </c:pt>
                <c:pt idx="7">
                  <c:v>0.52654091337436171</c:v>
                </c:pt>
                <c:pt idx="8">
                  <c:v>0.51139189367446747</c:v>
                </c:pt>
                <c:pt idx="9">
                  <c:v>0.54620532542944034</c:v>
                </c:pt>
                <c:pt idx="10">
                  <c:v>0.5962228922546231</c:v>
                </c:pt>
                <c:pt idx="11">
                  <c:v>0.70857394106916871</c:v>
                </c:pt>
                <c:pt idx="12">
                  <c:v>1.2942066531637728</c:v>
                </c:pt>
                <c:pt idx="13">
                  <c:v>0.44317457035173291</c:v>
                </c:pt>
                <c:pt idx="14">
                  <c:v>0.27326427824394628</c:v>
                </c:pt>
                <c:pt idx="15">
                  <c:v>0.59108343119751794</c:v>
                </c:pt>
                <c:pt idx="16">
                  <c:v>0.61385535113601364</c:v>
                </c:pt>
                <c:pt idx="17">
                  <c:v>0.80679755256764807</c:v>
                </c:pt>
                <c:pt idx="18">
                  <c:v>0.57523626130188532</c:v>
                </c:pt>
                <c:pt idx="19">
                  <c:v>0.70267273020865773</c:v>
                </c:pt>
                <c:pt idx="20">
                  <c:v>0.47241130582407109</c:v>
                </c:pt>
                <c:pt idx="21">
                  <c:v>0.20400856496828723</c:v>
                </c:pt>
                <c:pt idx="22">
                  <c:v>0.18673523540877568</c:v>
                </c:pt>
                <c:pt idx="23">
                  <c:v>2.416431192397539E-2</c:v>
                </c:pt>
                <c:pt idx="24">
                  <c:v>2.6545035510203263E-2</c:v>
                </c:pt>
                <c:pt idx="25">
                  <c:v>-4.2686896713917122E-2</c:v>
                </c:pt>
                <c:pt idx="26">
                  <c:v>1.4157176852339859E-2</c:v>
                </c:pt>
                <c:pt idx="27">
                  <c:v>-3.7898637201347896E-2</c:v>
                </c:pt>
                <c:pt idx="28">
                  <c:v>1.71378232659265E-2</c:v>
                </c:pt>
                <c:pt idx="29">
                  <c:v>1.4853521990403351E-2</c:v>
                </c:pt>
                <c:pt idx="30">
                  <c:v>3.2719751548121678E-2</c:v>
                </c:pt>
                <c:pt idx="31">
                  <c:v>5.2642848980006818E-3</c:v>
                </c:pt>
                <c:pt idx="32">
                  <c:v>-3.1390391395689221E-2</c:v>
                </c:pt>
                <c:pt idx="33">
                  <c:v>-2.2865980678016484E-2</c:v>
                </c:pt>
              </c:numCache>
            </c:numRef>
          </c:yVal>
          <c:smooth val="0"/>
          <c:extLst>
            <c:ext xmlns:c16="http://schemas.microsoft.com/office/drawing/2014/chart" uri="{C3380CC4-5D6E-409C-BE32-E72D297353CC}">
              <c16:uniqueId val="{00000000-855E-4883-B42C-58FDCDA56DA9}"/>
            </c:ext>
          </c:extLst>
        </c:ser>
        <c:ser>
          <c:idx val="1"/>
          <c:order val="1"/>
          <c:tx>
            <c:v>4He</c:v>
          </c:tx>
          <c:spPr>
            <a:ln w="25400" cap="rnd">
              <a:solidFill>
                <a:srgbClr val="FF0000">
                  <a:alpha val="36000"/>
                </a:srgbClr>
              </a:solidFill>
              <a:round/>
            </a:ln>
            <a:effectLst/>
          </c:spPr>
          <c:marker>
            <c:symbol val="circle"/>
            <c:size val="5"/>
            <c:spPr>
              <a:solidFill>
                <a:schemeClr val="accent5">
                  <a:lumMod val="60000"/>
                  <a:lumOff val="40000"/>
                </a:schemeClr>
              </a:solidFill>
              <a:ln w="9525">
                <a:solidFill>
                  <a:schemeClr val="accent5">
                    <a:lumMod val="75000"/>
                  </a:schemeClr>
                </a:solidFill>
              </a:ln>
              <a:effectLst/>
            </c:spPr>
          </c:marker>
          <c:xVal>
            <c:numRef>
              <c:f>diffusivitiesHTWin0601bM!$H$4:$H$37</c:f>
              <c:numCache>
                <c:formatCode>0.00E+00</c:formatCode>
                <c:ptCount val="34"/>
                <c:pt idx="0">
                  <c:v>7.3901424897776184E-3</c:v>
                </c:pt>
                <c:pt idx="1">
                  <c:v>1.151036022892795E-2</c:v>
                </c:pt>
                <c:pt idx="2">
                  <c:v>1.5367366838036753E-2</c:v>
                </c:pt>
                <c:pt idx="3">
                  <c:v>1.9180113071667258E-2</c:v>
                </c:pt>
                <c:pt idx="4">
                  <c:v>2.3415829683003798E-2</c:v>
                </c:pt>
                <c:pt idx="5">
                  <c:v>2.8047741633734663E-2</c:v>
                </c:pt>
                <c:pt idx="6">
                  <c:v>3.3756646358295152E-2</c:v>
                </c:pt>
                <c:pt idx="7">
                  <c:v>3.9083906637161374E-2</c:v>
                </c:pt>
                <c:pt idx="8">
                  <c:v>4.0188812267545691E-2</c:v>
                </c:pt>
                <c:pt idx="9">
                  <c:v>4.0768390541208066E-2</c:v>
                </c:pt>
                <c:pt idx="10">
                  <c:v>4.1321291734778387E-2</c:v>
                </c:pt>
                <c:pt idx="11">
                  <c:v>4.1492414273376105E-2</c:v>
                </c:pt>
                <c:pt idx="12">
                  <c:v>4.1645084283162576E-2</c:v>
                </c:pt>
                <c:pt idx="13">
                  <c:v>4.1812615627779451E-2</c:v>
                </c:pt>
                <c:pt idx="14">
                  <c:v>4.2448178320791168E-2</c:v>
                </c:pt>
                <c:pt idx="15">
                  <c:v>4.6523677843480556E-2</c:v>
                </c:pt>
                <c:pt idx="16">
                  <c:v>4.9143792832524132E-2</c:v>
                </c:pt>
                <c:pt idx="17">
                  <c:v>5.4193687385597537E-2</c:v>
                </c:pt>
                <c:pt idx="18">
                  <c:v>5.8270209826287264E-2</c:v>
                </c:pt>
                <c:pt idx="19">
                  <c:v>6.333170675395032E-2</c:v>
                </c:pt>
                <c:pt idx="20">
                  <c:v>6.6720460281388505E-2</c:v>
                </c:pt>
                <c:pt idx="21">
                  <c:v>6.8798402124566851E-2</c:v>
                </c:pt>
                <c:pt idx="22">
                  <c:v>7.0401619653363903E-2</c:v>
                </c:pt>
                <c:pt idx="23">
                  <c:v>7.1452262654484747E-2</c:v>
                </c:pt>
                <c:pt idx="24">
                  <c:v>7.255899809113267E-2</c:v>
                </c:pt>
                <c:pt idx="25">
                  <c:v>7.3691608470383807E-2</c:v>
                </c:pt>
                <c:pt idx="26">
                  <c:v>7.5208191640345062E-2</c:v>
                </c:pt>
                <c:pt idx="27">
                  <c:v>7.7012292036269456E-2</c:v>
                </c:pt>
                <c:pt idx="28">
                  <c:v>7.9319111319351793E-2</c:v>
                </c:pt>
                <c:pt idx="29">
                  <c:v>8.201508267866911E-2</c:v>
                </c:pt>
                <c:pt idx="30">
                  <c:v>8.4660218107660973E-2</c:v>
                </c:pt>
                <c:pt idx="31">
                  <c:v>8.7152991781006842E-2</c:v>
                </c:pt>
                <c:pt idx="32">
                  <c:v>0.14600014040011008</c:v>
                </c:pt>
                <c:pt idx="33">
                  <c:v>0.14775012803086054</c:v>
                </c:pt>
              </c:numCache>
            </c:numRef>
          </c:xVal>
          <c:yVal>
            <c:numRef>
              <c:f>diffusivitiesHTWin0601bM!$S$46:$S$79</c:f>
              <c:numCache>
                <c:formatCode>General</c:formatCode>
                <c:ptCount val="34"/>
                <c:pt idx="0">
                  <c:v>-2.4840080687823303</c:v>
                </c:pt>
                <c:pt idx="1">
                  <c:v>-2.3927854998304525</c:v>
                </c:pt>
                <c:pt idx="2">
                  <c:v>-2.4353728763953626</c:v>
                </c:pt>
                <c:pt idx="3">
                  <c:v>-2.089907034549249</c:v>
                </c:pt>
                <c:pt idx="4">
                  <c:v>-1.9651494270324257</c:v>
                </c:pt>
                <c:pt idx="5">
                  <c:v>-1.8868998324289805</c:v>
                </c:pt>
                <c:pt idx="6">
                  <c:v>-1.7632458831118605</c:v>
                </c:pt>
                <c:pt idx="7">
                  <c:v>-1.7382201745514365</c:v>
                </c:pt>
                <c:pt idx="8">
                  <c:v>-1.5046967108148301</c:v>
                </c:pt>
                <c:pt idx="9">
                  <c:v>-1.1761106718513936</c:v>
                </c:pt>
                <c:pt idx="10">
                  <c:v>-0.75247831190503334</c:v>
                </c:pt>
                <c:pt idx="11">
                  <c:v>-0.58518392992676027</c:v>
                </c:pt>
                <c:pt idx="12">
                  <c:v>5.6368821585600415E-2</c:v>
                </c:pt>
                <c:pt idx="13">
                  <c:v>-1.6820142245157719</c:v>
                </c:pt>
                <c:pt idx="14">
                  <c:v>1.1762656135670113</c:v>
                </c:pt>
                <c:pt idx="15">
                  <c:v>-0.31000499107161517</c:v>
                </c:pt>
                <c:pt idx="16">
                  <c:v>-0.5763644594173023</c:v>
                </c:pt>
                <c:pt idx="17">
                  <c:v>-0.16628041984825259</c:v>
                </c:pt>
                <c:pt idx="18">
                  <c:v>-0.46627665467736534</c:v>
                </c:pt>
                <c:pt idx="19">
                  <c:v>-0.43284115114295219</c:v>
                </c:pt>
                <c:pt idx="20">
                  <c:v>-0.6155553259900266</c:v>
                </c:pt>
                <c:pt idx="21">
                  <c:v>-0.86432117681436793</c:v>
                </c:pt>
                <c:pt idx="22">
                  <c:v>-0.85530064131672034</c:v>
                </c:pt>
                <c:pt idx="23">
                  <c:v>-0.96701466838198868</c:v>
                </c:pt>
                <c:pt idx="24">
                  <c:v>-0.92834948662170902</c:v>
                </c:pt>
                <c:pt idx="25">
                  <c:v>-1.0443468548559984</c:v>
                </c:pt>
                <c:pt idx="26">
                  <c:v>-0.9604115227452894</c:v>
                </c:pt>
                <c:pt idx="27">
                  <c:v>-0.94973964608330874</c:v>
                </c:pt>
                <c:pt idx="28">
                  <c:v>-0.928144110227624</c:v>
                </c:pt>
                <c:pt idx="29">
                  <c:v>-0.90915928863977769</c:v>
                </c:pt>
                <c:pt idx="30">
                  <c:v>-0.91356388687919932</c:v>
                </c:pt>
                <c:pt idx="31">
                  <c:v>-0.8839017577257664</c:v>
                </c:pt>
                <c:pt idx="32">
                  <c:v>-0.75842153675217361</c:v>
                </c:pt>
                <c:pt idx="33">
                  <c:v>-0.6241157597317013</c:v>
                </c:pt>
              </c:numCache>
            </c:numRef>
          </c:yVal>
          <c:smooth val="0"/>
          <c:extLst>
            <c:ext xmlns:c16="http://schemas.microsoft.com/office/drawing/2014/chart" uri="{C3380CC4-5D6E-409C-BE32-E72D297353CC}">
              <c16:uniqueId val="{00000001-855E-4883-B42C-58FDCDA56DA9}"/>
            </c:ext>
          </c:extLst>
        </c:ser>
        <c:dLbls>
          <c:showLegendKey val="0"/>
          <c:showVal val="0"/>
          <c:showCatName val="0"/>
          <c:showSerName val="0"/>
          <c:showPercent val="0"/>
          <c:showBubbleSize val="0"/>
        </c:dLbls>
        <c:axId val="996476207"/>
        <c:axId val="996477647"/>
      </c:scatterChart>
      <c:valAx>
        <c:axId val="99647620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3He Fractional</a:t>
                </a:r>
                <a:r>
                  <a:rPr lang="en-US" baseline="0"/>
                  <a:t> Yield</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0"/>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6477647"/>
        <c:crosses val="autoZero"/>
        <c:crossBetween val="midCat"/>
      </c:valAx>
      <c:valAx>
        <c:axId val="996477647"/>
        <c:scaling>
          <c:orientation val="minMax"/>
          <c:max val="5"/>
          <c:min val="-5"/>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Delta</a:t>
                </a:r>
                <a:r>
                  <a:rPr lang="en-US" baseline="0"/>
                  <a:t> ln(D/a</a:t>
                </a:r>
                <a:r>
                  <a:rPr lang="en-US" baseline="30000"/>
                  <a:t>2</a:t>
                </a:r>
                <a:r>
                  <a:rPr lang="en-US" baseline="0"/>
                  <a:t>)</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6476207"/>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Win-06-01b Two Isotope Helium Arrhenius</a:t>
            </a:r>
            <a:r>
              <a:rPr lang="en-US" baseline="0"/>
              <a:t> Plot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3He</c:v>
          </c:tx>
          <c:spPr>
            <a:ln w="19050" cap="rnd">
              <a:solidFill>
                <a:schemeClr val="accent6">
                  <a:lumMod val="40000"/>
                  <a:lumOff val="60000"/>
                </a:schemeClr>
              </a:solidFill>
              <a:round/>
            </a:ln>
            <a:effectLst/>
          </c:spPr>
          <c:marker>
            <c:symbol val="circle"/>
            <c:size val="5"/>
            <c:spPr>
              <a:solidFill>
                <a:schemeClr val="accent1"/>
              </a:solidFill>
              <a:ln w="9525">
                <a:solidFill>
                  <a:schemeClr val="accent1"/>
                </a:solidFill>
              </a:ln>
              <a:effectLst/>
            </c:spPr>
          </c:marker>
          <c:xVal>
            <c:numRef>
              <c:f>diffusivitiesHTWin0601bLB!$O$4:$O$37</c:f>
              <c:numCache>
                <c:formatCode>General</c:formatCode>
                <c:ptCount val="34"/>
                <c:pt idx="0">
                  <c:v>22.573363431151243</c:v>
                </c:pt>
                <c:pt idx="1">
                  <c:v>22.075055187637968</c:v>
                </c:pt>
                <c:pt idx="2">
                  <c:v>21.598272138228943</c:v>
                </c:pt>
                <c:pt idx="3">
                  <c:v>21.141649048625794</c:v>
                </c:pt>
                <c:pt idx="4">
                  <c:v>20.703933747412009</c:v>
                </c:pt>
                <c:pt idx="5">
                  <c:v>20.28397565922921</c:v>
                </c:pt>
                <c:pt idx="6">
                  <c:v>19.880715705765407</c:v>
                </c:pt>
                <c:pt idx="7">
                  <c:v>20.080321285140563</c:v>
                </c:pt>
                <c:pt idx="8">
                  <c:v>20.491803278688526</c:v>
                </c:pt>
                <c:pt idx="9">
                  <c:v>20.92050209205021</c:v>
                </c:pt>
                <c:pt idx="10">
                  <c:v>21.367521367521366</c:v>
                </c:pt>
                <c:pt idx="11">
                  <c:v>21.834061135371179</c:v>
                </c:pt>
                <c:pt idx="12">
                  <c:v>22.321428571428573</c:v>
                </c:pt>
                <c:pt idx="13">
                  <c:v>21.141649048625794</c:v>
                </c:pt>
                <c:pt idx="14">
                  <c:v>20.704362409159611</c:v>
                </c:pt>
                <c:pt idx="15">
                  <c:v>20.28479857195018</c:v>
                </c:pt>
                <c:pt idx="16">
                  <c:v>19.881110956480249</c:v>
                </c:pt>
                <c:pt idx="17">
                  <c:v>19.49317738791423</c:v>
                </c:pt>
                <c:pt idx="18">
                  <c:v>19.305019305019304</c:v>
                </c:pt>
                <c:pt idx="19">
                  <c:v>19.120824489952007</c:v>
                </c:pt>
                <c:pt idx="20">
                  <c:v>19.308374041821978</c:v>
                </c:pt>
                <c:pt idx="21">
                  <c:v>19.493557379286145</c:v>
                </c:pt>
                <c:pt idx="22">
                  <c:v>19.685039370078741</c:v>
                </c:pt>
                <c:pt idx="23">
                  <c:v>19.880715705765407</c:v>
                </c:pt>
                <c:pt idx="24">
                  <c:v>20.080321285140563</c:v>
                </c:pt>
                <c:pt idx="25">
                  <c:v>19.880715705765407</c:v>
                </c:pt>
                <c:pt idx="26">
                  <c:v>19.68891514077578</c:v>
                </c:pt>
                <c:pt idx="27">
                  <c:v>19.49317738791423</c:v>
                </c:pt>
                <c:pt idx="28">
                  <c:v>19.305019305019304</c:v>
                </c:pt>
                <c:pt idx="29">
                  <c:v>19.120458891013385</c:v>
                </c:pt>
                <c:pt idx="30">
                  <c:v>19.121555729774173</c:v>
                </c:pt>
                <c:pt idx="31">
                  <c:v>19.121190102872003</c:v>
                </c:pt>
                <c:pt idx="32">
                  <c:v>19.120458891013385</c:v>
                </c:pt>
                <c:pt idx="33">
                  <c:v>19.49317738791423</c:v>
                </c:pt>
              </c:numCache>
            </c:numRef>
          </c:xVal>
          <c:yVal>
            <c:numRef>
              <c:f>diffusivitiesHTWin0601bLB!$P$4:$P$37</c:f>
              <c:numCache>
                <c:formatCode>General</c:formatCode>
                <c:ptCount val="34"/>
                <c:pt idx="0">
                  <c:v>-22.05213261503815</c:v>
                </c:pt>
                <c:pt idx="1">
                  <c:v>-22.131276695020862</c:v>
                </c:pt>
                <c:pt idx="2">
                  <c:v>-22.017373104699846</c:v>
                </c:pt>
                <c:pt idx="3">
                  <c:v>-21.950439069334358</c:v>
                </c:pt>
                <c:pt idx="4">
                  <c:v>-21.537402647066092</c:v>
                </c:pt>
                <c:pt idx="5">
                  <c:v>-21.187105298805673</c:v>
                </c:pt>
                <c:pt idx="6">
                  <c:v>-20.69626097483286</c:v>
                </c:pt>
                <c:pt idx="7">
                  <c:v>-21.407593101755587</c:v>
                </c:pt>
                <c:pt idx="8">
                  <c:v>-22.515488780452156</c:v>
                </c:pt>
                <c:pt idx="9">
                  <c:v>-23.235525867804814</c:v>
                </c:pt>
                <c:pt idx="10">
                  <c:v>-23.779248389432723</c:v>
                </c:pt>
                <c:pt idx="11">
                  <c:v>-24.650630718646717</c:v>
                </c:pt>
                <c:pt idx="12">
                  <c:v>-24.863559943001146</c:v>
                </c:pt>
                <c:pt idx="13">
                  <c:v>-23.41884787731556</c:v>
                </c:pt>
                <c:pt idx="14">
                  <c:v>-22.779111808716834</c:v>
                </c:pt>
                <c:pt idx="15">
                  <c:v>-21.545006169234689</c:v>
                </c:pt>
                <c:pt idx="16">
                  <c:v>-20.850912258968766</c:v>
                </c:pt>
                <c:pt idx="17">
                  <c:v>-19.93229562081002</c:v>
                </c:pt>
                <c:pt idx="18">
                  <c:v>-20.007752504775077</c:v>
                </c:pt>
                <c:pt idx="19">
                  <c:v>-19.47685155817673</c:v>
                </c:pt>
                <c:pt idx="20">
                  <c:v>-20.489445792203792</c:v>
                </c:pt>
                <c:pt idx="21">
                  <c:v>-20.974265532479723</c:v>
                </c:pt>
                <c:pt idx="22">
                  <c:v>-21.143732312650972</c:v>
                </c:pt>
                <c:pt idx="23">
                  <c:v>-21.697368587802952</c:v>
                </c:pt>
                <c:pt idx="24">
                  <c:v>-21.88760507196125</c:v>
                </c:pt>
                <c:pt idx="25">
                  <c:v>-21.516357255839608</c:v>
                </c:pt>
                <c:pt idx="26">
                  <c:v>-21.097166346430097</c:v>
                </c:pt>
                <c:pt idx="27">
                  <c:v>-20.797380408845441</c:v>
                </c:pt>
                <c:pt idx="28">
                  <c:v>-20.395274731872984</c:v>
                </c:pt>
                <c:pt idx="29">
                  <c:v>-20.084831039467083</c:v>
                </c:pt>
                <c:pt idx="30">
                  <c:v>-20.139222843943013</c:v>
                </c:pt>
                <c:pt idx="31">
                  <c:v>-20.177391707403675</c:v>
                </c:pt>
                <c:pt idx="32">
                  <c:v>-19.964178996462387</c:v>
                </c:pt>
                <c:pt idx="33">
                  <c:v>-20.846403395623803</c:v>
                </c:pt>
              </c:numCache>
            </c:numRef>
          </c:yVal>
          <c:smooth val="0"/>
          <c:extLst>
            <c:ext xmlns:c16="http://schemas.microsoft.com/office/drawing/2014/chart" uri="{C3380CC4-5D6E-409C-BE32-E72D297353CC}">
              <c16:uniqueId val="{00000000-D65B-41E4-A22C-6A8F3A0D6A75}"/>
            </c:ext>
          </c:extLst>
        </c:ser>
        <c:ser>
          <c:idx val="2"/>
          <c:order val="1"/>
          <c:tx>
            <c:v>4He</c:v>
          </c:tx>
          <c:spPr>
            <a:ln w="19050" cap="rnd">
              <a:solidFill>
                <a:srgbClr val="FF0000">
                  <a:alpha val="36000"/>
                </a:srgbClr>
              </a:solidFill>
              <a:round/>
            </a:ln>
            <a:effectLst/>
          </c:spPr>
          <c:marker>
            <c:symbol val="circle"/>
            <c:size val="5"/>
            <c:spPr>
              <a:solidFill>
                <a:schemeClr val="accent5">
                  <a:lumMod val="60000"/>
                  <a:lumOff val="40000"/>
                </a:schemeClr>
              </a:solidFill>
              <a:ln w="9525">
                <a:solidFill>
                  <a:schemeClr val="accent5">
                    <a:lumMod val="75000"/>
                  </a:schemeClr>
                </a:solidFill>
              </a:ln>
              <a:effectLst/>
            </c:spPr>
          </c:marker>
          <c:xVal>
            <c:numRef>
              <c:f>diffusivitiesHTWin0601bLB!$O$46:$O$79</c:f>
              <c:numCache>
                <c:formatCode>General</c:formatCode>
                <c:ptCount val="34"/>
                <c:pt idx="0">
                  <c:v>22.573363431151243</c:v>
                </c:pt>
                <c:pt idx="1">
                  <c:v>22.075055187637968</c:v>
                </c:pt>
                <c:pt idx="2">
                  <c:v>21.598272138228943</c:v>
                </c:pt>
                <c:pt idx="3">
                  <c:v>21.141649048625794</c:v>
                </c:pt>
                <c:pt idx="4">
                  <c:v>20.703933747412009</c:v>
                </c:pt>
                <c:pt idx="5">
                  <c:v>20.28397565922921</c:v>
                </c:pt>
                <c:pt idx="6">
                  <c:v>19.880715705765407</c:v>
                </c:pt>
                <c:pt idx="7">
                  <c:v>20.080321285140563</c:v>
                </c:pt>
                <c:pt idx="8">
                  <c:v>20.491803278688526</c:v>
                </c:pt>
                <c:pt idx="9">
                  <c:v>20.92050209205021</c:v>
                </c:pt>
                <c:pt idx="10">
                  <c:v>21.367521367521366</c:v>
                </c:pt>
                <c:pt idx="11">
                  <c:v>21.834061135371179</c:v>
                </c:pt>
                <c:pt idx="12">
                  <c:v>22.321428571428573</c:v>
                </c:pt>
                <c:pt idx="13">
                  <c:v>21.141649048625794</c:v>
                </c:pt>
                <c:pt idx="14">
                  <c:v>20.704362409159611</c:v>
                </c:pt>
                <c:pt idx="15">
                  <c:v>20.28479857195018</c:v>
                </c:pt>
                <c:pt idx="16">
                  <c:v>19.881110956480249</c:v>
                </c:pt>
                <c:pt idx="17">
                  <c:v>19.49317738791423</c:v>
                </c:pt>
                <c:pt idx="18">
                  <c:v>19.305019305019304</c:v>
                </c:pt>
                <c:pt idx="19">
                  <c:v>19.120824489952007</c:v>
                </c:pt>
                <c:pt idx="20">
                  <c:v>19.308374041821978</c:v>
                </c:pt>
                <c:pt idx="21">
                  <c:v>19.493557379286145</c:v>
                </c:pt>
                <c:pt idx="22">
                  <c:v>19.685039370078741</c:v>
                </c:pt>
                <c:pt idx="23">
                  <c:v>19.880715705765407</c:v>
                </c:pt>
                <c:pt idx="24">
                  <c:v>20.080321285140563</c:v>
                </c:pt>
                <c:pt idx="25">
                  <c:v>19.880715705765407</c:v>
                </c:pt>
                <c:pt idx="26">
                  <c:v>19.68891514077578</c:v>
                </c:pt>
                <c:pt idx="27">
                  <c:v>19.49317738791423</c:v>
                </c:pt>
                <c:pt idx="28">
                  <c:v>19.305019305019304</c:v>
                </c:pt>
                <c:pt idx="29">
                  <c:v>19.120458891013385</c:v>
                </c:pt>
                <c:pt idx="30">
                  <c:v>19.121555729774173</c:v>
                </c:pt>
                <c:pt idx="31">
                  <c:v>19.121190102872003</c:v>
                </c:pt>
                <c:pt idx="32">
                  <c:v>19.120458891013385</c:v>
                </c:pt>
                <c:pt idx="33">
                  <c:v>19.49317738791423</c:v>
                </c:pt>
              </c:numCache>
            </c:numRef>
          </c:xVal>
          <c:yVal>
            <c:numRef>
              <c:f>diffusivitiesHTWin0601bLB!$P$46:$P$79</c:f>
              <c:numCache>
                <c:formatCode>General</c:formatCode>
                <c:ptCount val="34"/>
                <c:pt idx="0">
                  <c:v>-28.882457229199119</c:v>
                </c:pt>
                <c:pt idx="1">
                  <c:v>-27.857171423054552</c:v>
                </c:pt>
                <c:pt idx="2">
                  <c:v>-27.006043866409179</c:v>
                </c:pt>
                <c:pt idx="3">
                  <c:v>-25.928249698750136</c:v>
                </c:pt>
                <c:pt idx="4">
                  <c:v>-25.01730230157564</c:v>
                </c:pt>
                <c:pt idx="5">
                  <c:v>-24.13895370718874</c:v>
                </c:pt>
                <c:pt idx="6">
                  <c:v>-23.24201901355686</c:v>
                </c:pt>
                <c:pt idx="7">
                  <c:v>-23.65463825468753</c:v>
                </c:pt>
                <c:pt idx="8">
                  <c:v>-24.48602633670053</c:v>
                </c:pt>
                <c:pt idx="9">
                  <c:v>-24.838142644154161</c:v>
                </c:pt>
                <c:pt idx="10">
                  <c:v>-25.015881319857559</c:v>
                </c:pt>
                <c:pt idx="11">
                  <c:v>-25.768906920924792</c:v>
                </c:pt>
                <c:pt idx="12">
                  <c:v>-25.947567601065263</c:v>
                </c:pt>
                <c:pt idx="13">
                  <c:v>-25.742315167814148</c:v>
                </c:pt>
                <c:pt idx="14">
                  <c:v>-21.727800043355387</c:v>
                </c:pt>
                <c:pt idx="15">
                  <c:v>-22.498687595702329</c:v>
                </c:pt>
                <c:pt idx="16">
                  <c:v>-22.026683816884862</c:v>
                </c:pt>
                <c:pt idx="17">
                  <c:v>-20.877188578167328</c:v>
                </c:pt>
                <c:pt idx="18">
                  <c:v>-21.031025186279379</c:v>
                </c:pt>
                <c:pt idx="19">
                  <c:v>-20.681463664108968</c:v>
                </c:pt>
                <c:pt idx="20">
                  <c:v>-21.656220477684016</c:v>
                </c:pt>
                <c:pt idx="21">
                  <c:v>-22.12605538757785</c:v>
                </c:pt>
                <c:pt idx="22">
                  <c:v>-22.222690881754282</c:v>
                </c:pt>
                <c:pt idx="23">
                  <c:v>-22.715676848639493</c:v>
                </c:pt>
                <c:pt idx="24">
                  <c:v>-22.85314159681916</c:v>
                </c:pt>
                <c:pt idx="25">
                  <c:v>-22.52237906129491</c:v>
                </c:pt>
                <c:pt idx="26">
                  <c:v>-22.075835236247507</c:v>
                </c:pt>
                <c:pt idx="27">
                  <c:v>-21.71080983725987</c:v>
                </c:pt>
                <c:pt idx="28">
                  <c:v>-21.356674993374284</c:v>
                </c:pt>
                <c:pt idx="29">
                  <c:v>-21.026242689338634</c:v>
                </c:pt>
                <c:pt idx="30">
                  <c:v>-21.129018782648057</c:v>
                </c:pt>
                <c:pt idx="31">
                  <c:v>-21.10014612117876</c:v>
                </c:pt>
                <c:pt idx="32">
                  <c:v>-20.690831465345529</c:v>
                </c:pt>
                <c:pt idx="33">
                  <c:v>-21.454401153590133</c:v>
                </c:pt>
              </c:numCache>
            </c:numRef>
          </c:yVal>
          <c:smooth val="0"/>
          <c:extLst>
            <c:ext xmlns:c16="http://schemas.microsoft.com/office/drawing/2014/chart" uri="{C3380CC4-5D6E-409C-BE32-E72D297353CC}">
              <c16:uniqueId val="{00000001-D65B-41E4-A22C-6A8F3A0D6A75}"/>
            </c:ext>
          </c:extLst>
        </c:ser>
        <c:dLbls>
          <c:showLegendKey val="0"/>
          <c:showVal val="0"/>
          <c:showCatName val="0"/>
          <c:showSerName val="0"/>
          <c:showPercent val="0"/>
          <c:showBubbleSize val="0"/>
        </c:dLbls>
        <c:axId val="2132438240"/>
        <c:axId val="2132437280"/>
      </c:scatterChart>
      <c:valAx>
        <c:axId val="213243824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10000/T(K)</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2437280"/>
        <c:crosses val="autoZero"/>
        <c:crossBetween val="midCat"/>
      </c:valAx>
      <c:valAx>
        <c:axId val="2132437280"/>
        <c:scaling>
          <c:orientation val="minMax"/>
          <c:max val="-18"/>
          <c:min val="-32"/>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ln(D/a</a:t>
                </a:r>
                <a:r>
                  <a:rPr lang="en-US" baseline="30000"/>
                  <a:t>2</a:t>
                </a:r>
                <a:r>
                  <a:rPr lang="en-US"/>
                  <a: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2438240"/>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Win-0601b 3He Arrhenius</a:t>
            </a:r>
            <a:r>
              <a:rPr lang="en-US" baseline="0"/>
              <a:t> Plot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1"/>
          <c:order val="0"/>
          <c:spPr>
            <a:ln w="19050" cap="rnd">
              <a:solidFill>
                <a:schemeClr val="accent2"/>
              </a:solidFill>
              <a:round/>
            </a:ln>
            <a:effectLst/>
          </c:spPr>
          <c:marker>
            <c:symbol val="circle"/>
            <c:size val="5"/>
            <c:spPr>
              <a:solidFill>
                <a:schemeClr val="accent2"/>
              </a:solidFill>
              <a:ln w="9525">
                <a:solidFill>
                  <a:schemeClr val="accent2"/>
                </a:solidFill>
              </a:ln>
              <a:effectLst/>
            </c:spPr>
          </c:marker>
          <c:trendline>
            <c:spPr>
              <a:ln w="19050" cap="rnd">
                <a:solidFill>
                  <a:schemeClr val="accent6">
                    <a:lumMod val="75000"/>
                  </a:schemeClr>
                </a:solidFill>
                <a:prstDash val="sysDot"/>
              </a:ln>
              <a:effectLst/>
            </c:spPr>
            <c:trendlineType val="linear"/>
            <c:forward val="1.5"/>
            <c:backward val="0.2"/>
            <c:dispRSqr val="1"/>
            <c:dispEq val="1"/>
            <c:trendlineLbl>
              <c:layout>
                <c:manualLayout>
                  <c:x val="-0.31770282915786463"/>
                  <c:y val="-0.2826382509177228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diffusivitiesHTWin0601bLB!$O$27:$O$37</c:f>
              <c:numCache>
                <c:formatCode>General</c:formatCode>
                <c:ptCount val="11"/>
                <c:pt idx="0">
                  <c:v>19.880715705765407</c:v>
                </c:pt>
                <c:pt idx="1">
                  <c:v>20.080321285140563</c:v>
                </c:pt>
                <c:pt idx="2">
                  <c:v>19.880715705765407</c:v>
                </c:pt>
                <c:pt idx="3">
                  <c:v>19.68891514077578</c:v>
                </c:pt>
                <c:pt idx="4">
                  <c:v>19.49317738791423</c:v>
                </c:pt>
                <c:pt idx="5">
                  <c:v>19.305019305019304</c:v>
                </c:pt>
                <c:pt idx="6">
                  <c:v>19.120458891013385</c:v>
                </c:pt>
                <c:pt idx="7">
                  <c:v>19.121555729774173</c:v>
                </c:pt>
                <c:pt idx="8">
                  <c:v>19.121190102872003</c:v>
                </c:pt>
                <c:pt idx="9">
                  <c:v>19.120458891013385</c:v>
                </c:pt>
                <c:pt idx="10">
                  <c:v>19.49317738791423</c:v>
                </c:pt>
              </c:numCache>
            </c:numRef>
          </c:xVal>
          <c:yVal>
            <c:numRef>
              <c:f>diffusivitiesHTWin0601bLB!$P$27:$P$37</c:f>
              <c:numCache>
                <c:formatCode>General</c:formatCode>
                <c:ptCount val="11"/>
                <c:pt idx="0">
                  <c:v>-21.697368587802952</c:v>
                </c:pt>
                <c:pt idx="1">
                  <c:v>-21.88760507196125</c:v>
                </c:pt>
                <c:pt idx="2">
                  <c:v>-21.516357255839608</c:v>
                </c:pt>
                <c:pt idx="3">
                  <c:v>-21.097166346430097</c:v>
                </c:pt>
                <c:pt idx="4">
                  <c:v>-20.797380408845441</c:v>
                </c:pt>
                <c:pt idx="5">
                  <c:v>-20.395274731872984</c:v>
                </c:pt>
                <c:pt idx="6">
                  <c:v>-20.084831039467083</c:v>
                </c:pt>
                <c:pt idx="7">
                  <c:v>-20.139222843943013</c:v>
                </c:pt>
                <c:pt idx="8">
                  <c:v>-20.177391707403675</c:v>
                </c:pt>
                <c:pt idx="9">
                  <c:v>-19.964178996462387</c:v>
                </c:pt>
                <c:pt idx="10">
                  <c:v>-20.846403395623803</c:v>
                </c:pt>
              </c:numCache>
            </c:numRef>
          </c:yVal>
          <c:smooth val="0"/>
          <c:extLst>
            <c:ext xmlns:c16="http://schemas.microsoft.com/office/drawing/2014/chart" uri="{C3380CC4-5D6E-409C-BE32-E72D297353CC}">
              <c16:uniqueId val="{00000001-BEA0-4B13-AE24-9C948ECB58A3}"/>
            </c:ext>
          </c:extLst>
        </c:ser>
        <c:ser>
          <c:idx val="0"/>
          <c:order val="1"/>
          <c:spPr>
            <a:ln w="19050" cap="rnd">
              <a:solidFill>
                <a:schemeClr val="accent6">
                  <a:lumMod val="40000"/>
                  <a:lumOff val="60000"/>
                </a:schemeClr>
              </a:solidFill>
              <a:round/>
            </a:ln>
            <a:effectLst/>
          </c:spPr>
          <c:marker>
            <c:symbol val="circle"/>
            <c:size val="5"/>
            <c:spPr>
              <a:solidFill>
                <a:schemeClr val="accent1"/>
              </a:solidFill>
              <a:ln w="9525">
                <a:solidFill>
                  <a:schemeClr val="accent1"/>
                </a:solidFill>
              </a:ln>
              <a:effectLst/>
            </c:spPr>
          </c:marker>
          <c:xVal>
            <c:numRef>
              <c:f>diffusivitiesHTWin0601bLB!$O$4:$O$37</c:f>
              <c:numCache>
                <c:formatCode>General</c:formatCode>
                <c:ptCount val="34"/>
                <c:pt idx="0">
                  <c:v>22.573363431151243</c:v>
                </c:pt>
                <c:pt idx="1">
                  <c:v>22.075055187637968</c:v>
                </c:pt>
                <c:pt idx="2">
                  <c:v>21.598272138228943</c:v>
                </c:pt>
                <c:pt idx="3">
                  <c:v>21.141649048625794</c:v>
                </c:pt>
                <c:pt idx="4">
                  <c:v>20.703933747412009</c:v>
                </c:pt>
                <c:pt idx="5">
                  <c:v>20.28397565922921</c:v>
                </c:pt>
                <c:pt idx="6">
                  <c:v>19.880715705765407</c:v>
                </c:pt>
                <c:pt idx="7">
                  <c:v>20.080321285140563</c:v>
                </c:pt>
                <c:pt idx="8">
                  <c:v>20.491803278688526</c:v>
                </c:pt>
                <c:pt idx="9">
                  <c:v>20.92050209205021</c:v>
                </c:pt>
                <c:pt idx="10">
                  <c:v>21.367521367521366</c:v>
                </c:pt>
                <c:pt idx="11">
                  <c:v>21.834061135371179</c:v>
                </c:pt>
                <c:pt idx="12">
                  <c:v>22.321428571428573</c:v>
                </c:pt>
                <c:pt idx="13">
                  <c:v>21.141649048625794</c:v>
                </c:pt>
                <c:pt idx="14">
                  <c:v>20.704362409159611</c:v>
                </c:pt>
                <c:pt idx="15">
                  <c:v>20.28479857195018</c:v>
                </c:pt>
                <c:pt idx="16">
                  <c:v>19.881110956480249</c:v>
                </c:pt>
                <c:pt idx="17">
                  <c:v>19.49317738791423</c:v>
                </c:pt>
                <c:pt idx="18">
                  <c:v>19.305019305019304</c:v>
                </c:pt>
                <c:pt idx="19">
                  <c:v>19.120824489952007</c:v>
                </c:pt>
                <c:pt idx="20">
                  <c:v>19.308374041821978</c:v>
                </c:pt>
                <c:pt idx="21">
                  <c:v>19.493557379286145</c:v>
                </c:pt>
                <c:pt idx="22">
                  <c:v>19.685039370078741</c:v>
                </c:pt>
                <c:pt idx="23">
                  <c:v>19.880715705765407</c:v>
                </c:pt>
                <c:pt idx="24">
                  <c:v>20.080321285140563</c:v>
                </c:pt>
                <c:pt idx="25">
                  <c:v>19.880715705765407</c:v>
                </c:pt>
                <c:pt idx="26">
                  <c:v>19.68891514077578</c:v>
                </c:pt>
                <c:pt idx="27">
                  <c:v>19.49317738791423</c:v>
                </c:pt>
                <c:pt idx="28">
                  <c:v>19.305019305019304</c:v>
                </c:pt>
                <c:pt idx="29">
                  <c:v>19.120458891013385</c:v>
                </c:pt>
                <c:pt idx="30">
                  <c:v>19.121555729774173</c:v>
                </c:pt>
                <c:pt idx="31">
                  <c:v>19.121190102872003</c:v>
                </c:pt>
                <c:pt idx="32">
                  <c:v>19.120458891013385</c:v>
                </c:pt>
                <c:pt idx="33">
                  <c:v>19.49317738791423</c:v>
                </c:pt>
              </c:numCache>
            </c:numRef>
          </c:xVal>
          <c:yVal>
            <c:numRef>
              <c:f>diffusivitiesHTWin0601bLB!$P$4:$P$37</c:f>
              <c:numCache>
                <c:formatCode>General</c:formatCode>
                <c:ptCount val="34"/>
                <c:pt idx="0">
                  <c:v>-22.05213261503815</c:v>
                </c:pt>
                <c:pt idx="1">
                  <c:v>-22.131276695020862</c:v>
                </c:pt>
                <c:pt idx="2">
                  <c:v>-22.017373104699846</c:v>
                </c:pt>
                <c:pt idx="3">
                  <c:v>-21.950439069334358</c:v>
                </c:pt>
                <c:pt idx="4">
                  <c:v>-21.537402647066092</c:v>
                </c:pt>
                <c:pt idx="5">
                  <c:v>-21.187105298805673</c:v>
                </c:pt>
                <c:pt idx="6">
                  <c:v>-20.69626097483286</c:v>
                </c:pt>
                <c:pt idx="7">
                  <c:v>-21.407593101755587</c:v>
                </c:pt>
                <c:pt idx="8">
                  <c:v>-22.515488780452156</c:v>
                </c:pt>
                <c:pt idx="9">
                  <c:v>-23.235525867804814</c:v>
                </c:pt>
                <c:pt idx="10">
                  <c:v>-23.779248389432723</c:v>
                </c:pt>
                <c:pt idx="11">
                  <c:v>-24.650630718646717</c:v>
                </c:pt>
                <c:pt idx="12">
                  <c:v>-24.863559943001146</c:v>
                </c:pt>
                <c:pt idx="13">
                  <c:v>-23.41884787731556</c:v>
                </c:pt>
                <c:pt idx="14">
                  <c:v>-22.779111808716834</c:v>
                </c:pt>
                <c:pt idx="15">
                  <c:v>-21.545006169234689</c:v>
                </c:pt>
                <c:pt idx="16">
                  <c:v>-20.850912258968766</c:v>
                </c:pt>
                <c:pt idx="17">
                  <c:v>-19.93229562081002</c:v>
                </c:pt>
                <c:pt idx="18">
                  <c:v>-20.007752504775077</c:v>
                </c:pt>
                <c:pt idx="19">
                  <c:v>-19.47685155817673</c:v>
                </c:pt>
                <c:pt idx="20">
                  <c:v>-20.489445792203792</c:v>
                </c:pt>
                <c:pt idx="21">
                  <c:v>-20.974265532479723</c:v>
                </c:pt>
                <c:pt idx="22">
                  <c:v>-21.143732312650972</c:v>
                </c:pt>
                <c:pt idx="23">
                  <c:v>-21.697368587802952</c:v>
                </c:pt>
                <c:pt idx="24">
                  <c:v>-21.88760507196125</c:v>
                </c:pt>
                <c:pt idx="25">
                  <c:v>-21.516357255839608</c:v>
                </c:pt>
                <c:pt idx="26">
                  <c:v>-21.097166346430097</c:v>
                </c:pt>
                <c:pt idx="27">
                  <c:v>-20.797380408845441</c:v>
                </c:pt>
                <c:pt idx="28">
                  <c:v>-20.395274731872984</c:v>
                </c:pt>
                <c:pt idx="29">
                  <c:v>-20.084831039467083</c:v>
                </c:pt>
                <c:pt idx="30">
                  <c:v>-20.139222843943013</c:v>
                </c:pt>
                <c:pt idx="31">
                  <c:v>-20.177391707403675</c:v>
                </c:pt>
                <c:pt idx="32">
                  <c:v>-19.964178996462387</c:v>
                </c:pt>
                <c:pt idx="33">
                  <c:v>-20.846403395623803</c:v>
                </c:pt>
              </c:numCache>
            </c:numRef>
          </c:yVal>
          <c:smooth val="0"/>
          <c:extLst>
            <c:ext xmlns:c16="http://schemas.microsoft.com/office/drawing/2014/chart" uri="{C3380CC4-5D6E-409C-BE32-E72D297353CC}">
              <c16:uniqueId val="{00000002-BEA0-4B13-AE24-9C948ECB58A3}"/>
            </c:ext>
          </c:extLst>
        </c:ser>
        <c:dLbls>
          <c:showLegendKey val="0"/>
          <c:showVal val="0"/>
          <c:showCatName val="0"/>
          <c:showSerName val="0"/>
          <c:showPercent val="0"/>
          <c:showBubbleSize val="0"/>
        </c:dLbls>
        <c:axId val="2132438240"/>
        <c:axId val="2132437280"/>
      </c:scatterChart>
      <c:valAx>
        <c:axId val="213243824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10000/T(K)</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2437280"/>
        <c:crosses val="autoZero"/>
        <c:crossBetween val="midCat"/>
      </c:valAx>
      <c:valAx>
        <c:axId val="2132437280"/>
        <c:scaling>
          <c:orientation val="minMax"/>
          <c:max val="-18"/>
          <c:min val="-25.5"/>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ln(D/a</a:t>
                </a:r>
                <a:r>
                  <a:rPr lang="en-US" baseline="30000"/>
                  <a:t>2</a:t>
                </a:r>
                <a:r>
                  <a:rPr lang="en-US"/>
                  <a: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243824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Delta Plot</a:t>
            </a:r>
            <a:r>
              <a:rPr lang="en-US" baseline="0"/>
              <a:t> with Regression Reference Line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3He</c:v>
          </c:tx>
          <c:spPr>
            <a:ln w="25400" cap="rnd">
              <a:solidFill>
                <a:schemeClr val="accent6">
                  <a:lumMod val="40000"/>
                  <a:lumOff val="60000"/>
                </a:schemeClr>
              </a:solidFill>
              <a:round/>
            </a:ln>
            <a:effectLst/>
          </c:spPr>
          <c:marker>
            <c:symbol val="circle"/>
            <c:size val="5"/>
            <c:spPr>
              <a:solidFill>
                <a:schemeClr val="accent1"/>
              </a:solidFill>
              <a:ln w="9525">
                <a:solidFill>
                  <a:schemeClr val="accent1"/>
                </a:solidFill>
              </a:ln>
              <a:effectLst/>
            </c:spPr>
          </c:marker>
          <c:xVal>
            <c:numRef>
              <c:f>diffusivitiesHTWin0601bLB!$H$4:$H$37</c:f>
              <c:numCache>
                <c:formatCode>0.00E+00</c:formatCode>
                <c:ptCount val="34"/>
                <c:pt idx="0">
                  <c:v>7.3901424897776184E-3</c:v>
                </c:pt>
                <c:pt idx="1">
                  <c:v>1.151036022892795E-2</c:v>
                </c:pt>
                <c:pt idx="2">
                  <c:v>1.5367366838036753E-2</c:v>
                </c:pt>
                <c:pt idx="3">
                  <c:v>1.9180113071667258E-2</c:v>
                </c:pt>
                <c:pt idx="4">
                  <c:v>2.3415829683003798E-2</c:v>
                </c:pt>
                <c:pt idx="5">
                  <c:v>2.8047741633734663E-2</c:v>
                </c:pt>
                <c:pt idx="6">
                  <c:v>3.3756646358295152E-2</c:v>
                </c:pt>
                <c:pt idx="7">
                  <c:v>3.9083906637161374E-2</c:v>
                </c:pt>
                <c:pt idx="8">
                  <c:v>4.0188812267545691E-2</c:v>
                </c:pt>
                <c:pt idx="9">
                  <c:v>4.0768390541208066E-2</c:v>
                </c:pt>
                <c:pt idx="10">
                  <c:v>4.1321291734778387E-2</c:v>
                </c:pt>
                <c:pt idx="11">
                  <c:v>4.1492414273376105E-2</c:v>
                </c:pt>
                <c:pt idx="12">
                  <c:v>4.1645084283162576E-2</c:v>
                </c:pt>
                <c:pt idx="13">
                  <c:v>4.1812615627779451E-2</c:v>
                </c:pt>
                <c:pt idx="14">
                  <c:v>4.2448178320791168E-2</c:v>
                </c:pt>
                <c:pt idx="15">
                  <c:v>4.6523677843480556E-2</c:v>
                </c:pt>
                <c:pt idx="16">
                  <c:v>4.9143792832524132E-2</c:v>
                </c:pt>
                <c:pt idx="17">
                  <c:v>5.4193687385597537E-2</c:v>
                </c:pt>
                <c:pt idx="18">
                  <c:v>5.8270209826287264E-2</c:v>
                </c:pt>
                <c:pt idx="19">
                  <c:v>6.333170675395032E-2</c:v>
                </c:pt>
                <c:pt idx="20">
                  <c:v>6.6720460281388505E-2</c:v>
                </c:pt>
                <c:pt idx="21">
                  <c:v>6.8798402124566851E-2</c:v>
                </c:pt>
                <c:pt idx="22">
                  <c:v>7.0401619653363903E-2</c:v>
                </c:pt>
                <c:pt idx="23">
                  <c:v>7.1452262654484747E-2</c:v>
                </c:pt>
                <c:pt idx="24">
                  <c:v>7.255899809113267E-2</c:v>
                </c:pt>
                <c:pt idx="25">
                  <c:v>7.3691608470383807E-2</c:v>
                </c:pt>
                <c:pt idx="26">
                  <c:v>7.5208191640345062E-2</c:v>
                </c:pt>
                <c:pt idx="27">
                  <c:v>7.7012292036269456E-2</c:v>
                </c:pt>
                <c:pt idx="28">
                  <c:v>7.9319111319351793E-2</c:v>
                </c:pt>
                <c:pt idx="29">
                  <c:v>8.201508267866911E-2</c:v>
                </c:pt>
                <c:pt idx="30">
                  <c:v>8.4660218107660973E-2</c:v>
                </c:pt>
                <c:pt idx="31">
                  <c:v>8.7152991781006842E-2</c:v>
                </c:pt>
                <c:pt idx="32">
                  <c:v>0.14600014040011008</c:v>
                </c:pt>
                <c:pt idx="33">
                  <c:v>0.14775012803086054</c:v>
                </c:pt>
              </c:numCache>
            </c:numRef>
          </c:xVal>
          <c:yVal>
            <c:numRef>
              <c:f>diffusivitiesHTWin0601bLB!$S$4:$S$37</c:f>
              <c:numCache>
                <c:formatCode>General</c:formatCode>
                <c:ptCount val="34"/>
                <c:pt idx="0">
                  <c:v>4.6876886280512551</c:v>
                </c:pt>
                <c:pt idx="1">
                  <c:v>3.648094061963306</c:v>
                </c:pt>
                <c:pt idx="2">
                  <c:v>2.8430353081274902</c:v>
                </c:pt>
                <c:pt idx="3">
                  <c:v>2.0298637580742671</c:v>
                </c:pt>
                <c:pt idx="4">
                  <c:v>1.5992378903862985</c:v>
                </c:pt>
                <c:pt idx="5">
                  <c:v>1.1400985993986481</c:v>
                </c:pt>
                <c:pt idx="6">
                  <c:v>0.85369064353683299</c:v>
                </c:pt>
                <c:pt idx="7">
                  <c:v>0.52708278765674876</c:v>
                </c:pt>
                <c:pt idx="8">
                  <c:v>0.21228673328169378</c:v>
                </c:pt>
                <c:pt idx="9">
                  <c:v>0.31853335495019053</c:v>
                </c:pt>
                <c:pt idx="10">
                  <c:v>0.63640581195972246</c:v>
                </c:pt>
                <c:pt idx="11">
                  <c:v>0.66424269625818155</c:v>
                </c:pt>
                <c:pt idx="12">
                  <c:v>1.3906764003051464</c:v>
                </c:pt>
                <c:pt idx="13">
                  <c:v>0.56145495009306501</c:v>
                </c:pt>
                <c:pt idx="14">
                  <c:v>0.35835494100320275</c:v>
                </c:pt>
                <c:pt idx="15">
                  <c:v>0.78378382940679714</c:v>
                </c:pt>
                <c:pt idx="16">
                  <c:v>0.69980117449458845</c:v>
                </c:pt>
                <c:pt idx="17">
                  <c:v>0.87070595085699409</c:v>
                </c:pt>
                <c:pt idx="18">
                  <c:v>0.43258895734421188</c:v>
                </c:pt>
                <c:pt idx="19">
                  <c:v>0.60846868570590829</c:v>
                </c:pt>
                <c:pt idx="20">
                  <c:v>-4.2638335120891213E-2</c:v>
                </c:pt>
                <c:pt idx="21">
                  <c:v>-0.17053155691888833</c:v>
                </c:pt>
                <c:pt idx="22">
                  <c:v>2.906834709817474E-2</c:v>
                </c:pt>
                <c:pt idx="23">
                  <c:v>-0.14741696943325877</c:v>
                </c:pt>
                <c:pt idx="24">
                  <c:v>4.70708174510861E-2</c:v>
                </c:pt>
                <c:pt idx="25">
                  <c:v>3.3594362530084965E-2</c:v>
                </c:pt>
                <c:pt idx="26">
                  <c:v>8.3104560697982777E-2</c:v>
                </c:pt>
                <c:pt idx="27">
                  <c:v>5.6211628215727671E-3</c:v>
                </c:pt>
                <c:pt idx="28">
                  <c:v>4.5066730246304587E-2</c:v>
                </c:pt>
                <c:pt idx="29">
                  <c:v>-2.1545917949694626E-4</c:v>
                </c:pt>
                <c:pt idx="30">
                  <c:v>-5.2493192024684276E-2</c:v>
                </c:pt>
                <c:pt idx="31">
                  <c:v>-9.1366772977970356E-2</c:v>
                </c:pt>
                <c:pt idx="32">
                  <c:v>0.12043658382519951</c:v>
                </c:pt>
                <c:pt idx="33">
                  <c:v>-4.3401823956788377E-2</c:v>
                </c:pt>
              </c:numCache>
            </c:numRef>
          </c:yVal>
          <c:smooth val="0"/>
          <c:extLst>
            <c:ext xmlns:c16="http://schemas.microsoft.com/office/drawing/2014/chart" uri="{C3380CC4-5D6E-409C-BE32-E72D297353CC}">
              <c16:uniqueId val="{00000000-C2AE-4854-8A0A-3BA95DC63494}"/>
            </c:ext>
          </c:extLst>
        </c:ser>
        <c:ser>
          <c:idx val="1"/>
          <c:order val="1"/>
          <c:tx>
            <c:v>4He</c:v>
          </c:tx>
          <c:spPr>
            <a:ln w="25400" cap="rnd">
              <a:solidFill>
                <a:srgbClr val="FF0000">
                  <a:alpha val="36000"/>
                </a:srgbClr>
              </a:solidFill>
              <a:round/>
            </a:ln>
            <a:effectLst/>
          </c:spPr>
          <c:marker>
            <c:symbol val="circle"/>
            <c:size val="5"/>
            <c:spPr>
              <a:solidFill>
                <a:schemeClr val="accent5">
                  <a:lumMod val="60000"/>
                  <a:lumOff val="40000"/>
                </a:schemeClr>
              </a:solidFill>
              <a:ln w="9525">
                <a:solidFill>
                  <a:schemeClr val="accent5">
                    <a:lumMod val="75000"/>
                  </a:schemeClr>
                </a:solidFill>
              </a:ln>
              <a:effectLst/>
            </c:spPr>
          </c:marker>
          <c:xVal>
            <c:numRef>
              <c:f>diffusivitiesHTWin0601bLB!$H$4:$H$37</c:f>
              <c:numCache>
                <c:formatCode>0.00E+00</c:formatCode>
                <c:ptCount val="34"/>
                <c:pt idx="0">
                  <c:v>7.3901424897776184E-3</c:v>
                </c:pt>
                <c:pt idx="1">
                  <c:v>1.151036022892795E-2</c:v>
                </c:pt>
                <c:pt idx="2">
                  <c:v>1.5367366838036753E-2</c:v>
                </c:pt>
                <c:pt idx="3">
                  <c:v>1.9180113071667258E-2</c:v>
                </c:pt>
                <c:pt idx="4">
                  <c:v>2.3415829683003798E-2</c:v>
                </c:pt>
                <c:pt idx="5">
                  <c:v>2.8047741633734663E-2</c:v>
                </c:pt>
                <c:pt idx="6">
                  <c:v>3.3756646358295152E-2</c:v>
                </c:pt>
                <c:pt idx="7">
                  <c:v>3.9083906637161374E-2</c:v>
                </c:pt>
                <c:pt idx="8">
                  <c:v>4.0188812267545691E-2</c:v>
                </c:pt>
                <c:pt idx="9">
                  <c:v>4.0768390541208066E-2</c:v>
                </c:pt>
                <c:pt idx="10">
                  <c:v>4.1321291734778387E-2</c:v>
                </c:pt>
                <c:pt idx="11">
                  <c:v>4.1492414273376105E-2</c:v>
                </c:pt>
                <c:pt idx="12">
                  <c:v>4.1645084283162576E-2</c:v>
                </c:pt>
                <c:pt idx="13">
                  <c:v>4.1812615627779451E-2</c:v>
                </c:pt>
                <c:pt idx="14">
                  <c:v>4.2448178320791168E-2</c:v>
                </c:pt>
                <c:pt idx="15">
                  <c:v>4.6523677843480556E-2</c:v>
                </c:pt>
                <c:pt idx="16">
                  <c:v>4.9143792832524132E-2</c:v>
                </c:pt>
                <c:pt idx="17">
                  <c:v>5.4193687385597537E-2</c:v>
                </c:pt>
                <c:pt idx="18">
                  <c:v>5.8270209826287264E-2</c:v>
                </c:pt>
                <c:pt idx="19">
                  <c:v>6.333170675395032E-2</c:v>
                </c:pt>
                <c:pt idx="20">
                  <c:v>6.6720460281388505E-2</c:v>
                </c:pt>
                <c:pt idx="21">
                  <c:v>6.8798402124566851E-2</c:v>
                </c:pt>
                <c:pt idx="22">
                  <c:v>7.0401619653363903E-2</c:v>
                </c:pt>
                <c:pt idx="23">
                  <c:v>7.1452262654484747E-2</c:v>
                </c:pt>
                <c:pt idx="24">
                  <c:v>7.255899809113267E-2</c:v>
                </c:pt>
                <c:pt idx="25">
                  <c:v>7.3691608470383807E-2</c:v>
                </c:pt>
                <c:pt idx="26">
                  <c:v>7.5208191640345062E-2</c:v>
                </c:pt>
                <c:pt idx="27">
                  <c:v>7.7012292036269456E-2</c:v>
                </c:pt>
                <c:pt idx="28">
                  <c:v>7.9319111319351793E-2</c:v>
                </c:pt>
                <c:pt idx="29">
                  <c:v>8.201508267866911E-2</c:v>
                </c:pt>
                <c:pt idx="30">
                  <c:v>8.4660218107660973E-2</c:v>
                </c:pt>
                <c:pt idx="31">
                  <c:v>8.7152991781006842E-2</c:v>
                </c:pt>
                <c:pt idx="32">
                  <c:v>0.14600014040011008</c:v>
                </c:pt>
                <c:pt idx="33">
                  <c:v>0.14775012803086054</c:v>
                </c:pt>
              </c:numCache>
            </c:numRef>
          </c:xVal>
          <c:yVal>
            <c:numRef>
              <c:f>diffusivitiesHTWin0601bLB!$S$46:$S$79</c:f>
              <c:numCache>
                <c:formatCode>General</c:formatCode>
                <c:ptCount val="34"/>
                <c:pt idx="0">
                  <c:v>-2.1426359861097133</c:v>
                </c:pt>
                <c:pt idx="1">
                  <c:v>-2.0778006660703845</c:v>
                </c:pt>
                <c:pt idx="2">
                  <c:v>-2.1456354535818427</c:v>
                </c:pt>
                <c:pt idx="3">
                  <c:v>-1.9479468713415109</c:v>
                </c:pt>
                <c:pt idx="4">
                  <c:v>-1.8806617641232499</c:v>
                </c:pt>
                <c:pt idx="5">
                  <c:v>-1.8117498089844197</c:v>
                </c:pt>
                <c:pt idx="6">
                  <c:v>-1.6920673951871663</c:v>
                </c:pt>
                <c:pt idx="7">
                  <c:v>-1.7199623652751939</c:v>
                </c:pt>
                <c:pt idx="8">
                  <c:v>-1.75825082296668</c:v>
                </c:pt>
                <c:pt idx="9">
                  <c:v>-1.2840834213991563</c:v>
                </c:pt>
                <c:pt idx="10">
                  <c:v>-0.60022711846511356</c:v>
                </c:pt>
                <c:pt idx="11">
                  <c:v>-0.45403350601989345</c:v>
                </c:pt>
                <c:pt idx="12">
                  <c:v>0.30666874224102969</c:v>
                </c:pt>
                <c:pt idx="13">
                  <c:v>-1.7620123404055228</c:v>
                </c:pt>
                <c:pt idx="14">
                  <c:v>1.40966670636465</c:v>
                </c:pt>
                <c:pt idx="15">
                  <c:v>-0.16989759706084229</c:v>
                </c:pt>
                <c:pt idx="16">
                  <c:v>-0.4759703834215081</c:v>
                </c:pt>
                <c:pt idx="17">
                  <c:v>-7.4187006500313402E-2</c:v>
                </c:pt>
                <c:pt idx="18">
                  <c:v>-0.59068372416009041</c:v>
                </c:pt>
                <c:pt idx="19">
                  <c:v>-0.59614342022632982</c:v>
                </c:pt>
                <c:pt idx="20">
                  <c:v>-1.2094130206011151</c:v>
                </c:pt>
                <c:pt idx="21">
                  <c:v>-1.3223214120170148</c:v>
                </c:pt>
                <c:pt idx="22">
                  <c:v>-1.0498902220051356</c:v>
                </c:pt>
                <c:pt idx="23">
                  <c:v>-1.1657252302697998</c:v>
                </c:pt>
                <c:pt idx="24">
                  <c:v>-0.91846570740682409</c:v>
                </c:pt>
                <c:pt idx="25">
                  <c:v>-0.97242744292521621</c:v>
                </c:pt>
                <c:pt idx="26">
                  <c:v>-0.89556432911942707</c:v>
                </c:pt>
                <c:pt idx="27">
                  <c:v>-0.90780826559285543</c:v>
                </c:pt>
                <c:pt idx="28">
                  <c:v>-0.91633353125499539</c:v>
                </c:pt>
                <c:pt idx="29">
                  <c:v>-0.94162710905104774</c:v>
                </c:pt>
                <c:pt idx="30">
                  <c:v>-1.0422891307297277</c:v>
                </c:pt>
                <c:pt idx="31">
                  <c:v>-1.0141211867530551</c:v>
                </c:pt>
                <c:pt idx="32">
                  <c:v>-0.60621588505794222</c:v>
                </c:pt>
                <c:pt idx="33">
                  <c:v>-0.65139958192311909</c:v>
                </c:pt>
              </c:numCache>
            </c:numRef>
          </c:yVal>
          <c:smooth val="0"/>
          <c:extLst>
            <c:ext xmlns:c16="http://schemas.microsoft.com/office/drawing/2014/chart" uri="{C3380CC4-5D6E-409C-BE32-E72D297353CC}">
              <c16:uniqueId val="{00000001-C2AE-4854-8A0A-3BA95DC63494}"/>
            </c:ext>
          </c:extLst>
        </c:ser>
        <c:dLbls>
          <c:showLegendKey val="0"/>
          <c:showVal val="0"/>
          <c:showCatName val="0"/>
          <c:showSerName val="0"/>
          <c:showPercent val="0"/>
          <c:showBubbleSize val="0"/>
        </c:dLbls>
        <c:axId val="996476207"/>
        <c:axId val="996477647"/>
      </c:scatterChart>
      <c:valAx>
        <c:axId val="99647620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3He Fractional</a:t>
                </a:r>
                <a:r>
                  <a:rPr lang="en-US" baseline="0"/>
                  <a:t> Yield</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0"/>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6477647"/>
        <c:crosses val="autoZero"/>
        <c:crossBetween val="midCat"/>
      </c:valAx>
      <c:valAx>
        <c:axId val="996477647"/>
        <c:scaling>
          <c:orientation val="minMax"/>
          <c:max val="5"/>
          <c:min val="-5"/>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Delta</a:t>
                </a:r>
                <a:r>
                  <a:rPr lang="en-US" baseline="0"/>
                  <a:t> ln(D/a</a:t>
                </a:r>
                <a:r>
                  <a:rPr lang="en-US" baseline="30000"/>
                  <a:t>2</a:t>
                </a:r>
                <a:r>
                  <a:rPr lang="en-US" baseline="0"/>
                  <a:t>)</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6476207"/>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Win-06-01b Two Isotope Helium Arrhenius</a:t>
            </a:r>
            <a:r>
              <a:rPr lang="en-US" baseline="0"/>
              <a:t> Plot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3He</c:v>
          </c:tx>
          <c:spPr>
            <a:ln w="19050" cap="rnd">
              <a:solidFill>
                <a:schemeClr val="accent6">
                  <a:lumMod val="40000"/>
                  <a:lumOff val="60000"/>
                </a:schemeClr>
              </a:solidFill>
              <a:round/>
            </a:ln>
            <a:effectLst/>
          </c:spPr>
          <c:marker>
            <c:symbol val="circle"/>
            <c:size val="5"/>
            <c:spPr>
              <a:solidFill>
                <a:schemeClr val="accent1"/>
              </a:solidFill>
              <a:ln w="9525">
                <a:solidFill>
                  <a:schemeClr val="accent1"/>
                </a:solidFill>
              </a:ln>
              <a:effectLst/>
            </c:spPr>
          </c:marker>
          <c:xVal>
            <c:numRef>
              <c:f>diffusivitiesHTWin0601bUB!$O$4:$O$37</c:f>
              <c:numCache>
                <c:formatCode>General</c:formatCode>
                <c:ptCount val="34"/>
                <c:pt idx="0">
                  <c:v>22.573363431151243</c:v>
                </c:pt>
                <c:pt idx="1">
                  <c:v>22.075055187637968</c:v>
                </c:pt>
                <c:pt idx="2">
                  <c:v>21.598272138228943</c:v>
                </c:pt>
                <c:pt idx="3">
                  <c:v>21.141649048625794</c:v>
                </c:pt>
                <c:pt idx="4">
                  <c:v>20.703933747412009</c:v>
                </c:pt>
                <c:pt idx="5">
                  <c:v>20.28397565922921</c:v>
                </c:pt>
                <c:pt idx="6">
                  <c:v>19.880715705765407</c:v>
                </c:pt>
                <c:pt idx="7">
                  <c:v>20.080321285140563</c:v>
                </c:pt>
                <c:pt idx="8">
                  <c:v>20.491803278688526</c:v>
                </c:pt>
                <c:pt idx="9">
                  <c:v>20.92050209205021</c:v>
                </c:pt>
                <c:pt idx="10">
                  <c:v>21.367521367521366</c:v>
                </c:pt>
                <c:pt idx="11">
                  <c:v>21.834061135371179</c:v>
                </c:pt>
                <c:pt idx="12">
                  <c:v>22.321428571428573</c:v>
                </c:pt>
                <c:pt idx="13">
                  <c:v>21.141649048625794</c:v>
                </c:pt>
                <c:pt idx="14">
                  <c:v>20.704362409159611</c:v>
                </c:pt>
                <c:pt idx="15">
                  <c:v>20.28479857195018</c:v>
                </c:pt>
                <c:pt idx="16">
                  <c:v>19.881110956480249</c:v>
                </c:pt>
                <c:pt idx="17">
                  <c:v>19.49317738791423</c:v>
                </c:pt>
                <c:pt idx="18">
                  <c:v>19.305019305019304</c:v>
                </c:pt>
                <c:pt idx="19">
                  <c:v>19.120824489952007</c:v>
                </c:pt>
                <c:pt idx="20">
                  <c:v>19.308374041821978</c:v>
                </c:pt>
                <c:pt idx="21">
                  <c:v>19.493557379286145</c:v>
                </c:pt>
                <c:pt idx="22">
                  <c:v>19.685039370078741</c:v>
                </c:pt>
                <c:pt idx="23">
                  <c:v>19.880715705765407</c:v>
                </c:pt>
                <c:pt idx="24">
                  <c:v>20.080321285140563</c:v>
                </c:pt>
                <c:pt idx="25">
                  <c:v>19.880715705765407</c:v>
                </c:pt>
                <c:pt idx="26">
                  <c:v>19.68891514077578</c:v>
                </c:pt>
                <c:pt idx="27">
                  <c:v>19.49317738791423</c:v>
                </c:pt>
                <c:pt idx="28">
                  <c:v>19.305019305019304</c:v>
                </c:pt>
                <c:pt idx="29">
                  <c:v>19.120458891013385</c:v>
                </c:pt>
                <c:pt idx="30">
                  <c:v>19.121555729774173</c:v>
                </c:pt>
                <c:pt idx="31">
                  <c:v>19.121190102872003</c:v>
                </c:pt>
                <c:pt idx="32">
                  <c:v>19.120458891013385</c:v>
                </c:pt>
                <c:pt idx="33">
                  <c:v>19.49317738791423</c:v>
                </c:pt>
              </c:numCache>
            </c:numRef>
          </c:xVal>
          <c:yVal>
            <c:numRef>
              <c:f>diffusivitiesHTWin0601bUB!$P$4:$P$37</c:f>
              <c:numCache>
                <c:formatCode>General</c:formatCode>
                <c:ptCount val="34"/>
                <c:pt idx="0">
                  <c:v>-22.05213261503815</c:v>
                </c:pt>
                <c:pt idx="1">
                  <c:v>-22.131276695020862</c:v>
                </c:pt>
                <c:pt idx="2">
                  <c:v>-21.756098173802087</c:v>
                </c:pt>
                <c:pt idx="3">
                  <c:v>-21.442504783214957</c:v>
                </c:pt>
                <c:pt idx="4">
                  <c:v>-21.099285992721384</c:v>
                </c:pt>
                <c:pt idx="5">
                  <c:v>-20.784557991747185</c:v>
                </c:pt>
                <c:pt idx="6">
                  <c:v>-20.346380267330812</c:v>
                </c:pt>
                <c:pt idx="7">
                  <c:v>-21.109949573355127</c:v>
                </c:pt>
                <c:pt idx="8">
                  <c:v>-21.798991055484599</c:v>
                </c:pt>
                <c:pt idx="9">
                  <c:v>-22.568051846819976</c:v>
                </c:pt>
                <c:pt idx="10">
                  <c:v>-23.454409952593636</c:v>
                </c:pt>
                <c:pt idx="11">
                  <c:v>-24.134217331632616</c:v>
                </c:pt>
                <c:pt idx="12">
                  <c:v>-24.491493597941922</c:v>
                </c:pt>
                <c:pt idx="13">
                  <c:v>-22.828469240448488</c:v>
                </c:pt>
                <c:pt idx="14">
                  <c:v>-22.45327626950651</c:v>
                </c:pt>
                <c:pt idx="15">
                  <c:v>-21.446340156616461</c:v>
                </c:pt>
                <c:pt idx="16">
                  <c:v>-20.534789628806966</c:v>
                </c:pt>
                <c:pt idx="17">
                  <c:v>-19.606321688550459</c:v>
                </c:pt>
                <c:pt idx="18">
                  <c:v>-19.433686509618902</c:v>
                </c:pt>
                <c:pt idx="19">
                  <c:v>-18.919701909818322</c:v>
                </c:pt>
                <c:pt idx="20">
                  <c:v>-19.565347123714556</c:v>
                </c:pt>
                <c:pt idx="21">
                  <c:v>-20.212634232665881</c:v>
                </c:pt>
                <c:pt idx="22">
                  <c:v>-20.609555145443601</c:v>
                </c:pt>
                <c:pt idx="23">
                  <c:v>-21.157946700239663</c:v>
                </c:pt>
                <c:pt idx="24">
                  <c:v>-21.585497142483948</c:v>
                </c:pt>
                <c:pt idx="25">
                  <c:v>-21.250664043175302</c:v>
                </c:pt>
                <c:pt idx="26">
                  <c:v>-20.834665154143494</c:v>
                </c:pt>
                <c:pt idx="27">
                  <c:v>-20.503682671436376</c:v>
                </c:pt>
                <c:pt idx="28">
                  <c:v>-20.078751032838227</c:v>
                </c:pt>
                <c:pt idx="29">
                  <c:v>-19.712544732265197</c:v>
                </c:pt>
                <c:pt idx="30">
                  <c:v>-19.697157251036398</c:v>
                </c:pt>
                <c:pt idx="31">
                  <c:v>-19.723113939809483</c:v>
                </c:pt>
                <c:pt idx="32">
                  <c:v>-19.950577148465133</c:v>
                </c:pt>
                <c:pt idx="33">
                  <c:v>-20.573584114167915</c:v>
                </c:pt>
              </c:numCache>
            </c:numRef>
          </c:yVal>
          <c:smooth val="0"/>
          <c:extLst>
            <c:ext xmlns:c16="http://schemas.microsoft.com/office/drawing/2014/chart" uri="{C3380CC4-5D6E-409C-BE32-E72D297353CC}">
              <c16:uniqueId val="{00000000-498B-4A16-8163-813B4C052D75}"/>
            </c:ext>
          </c:extLst>
        </c:ser>
        <c:ser>
          <c:idx val="2"/>
          <c:order val="1"/>
          <c:tx>
            <c:v>4He</c:v>
          </c:tx>
          <c:spPr>
            <a:ln w="19050" cap="rnd">
              <a:solidFill>
                <a:srgbClr val="FF0000">
                  <a:alpha val="36000"/>
                </a:srgbClr>
              </a:solidFill>
              <a:round/>
            </a:ln>
            <a:effectLst/>
          </c:spPr>
          <c:marker>
            <c:symbol val="circle"/>
            <c:size val="5"/>
            <c:spPr>
              <a:solidFill>
                <a:schemeClr val="accent5">
                  <a:lumMod val="60000"/>
                  <a:lumOff val="40000"/>
                </a:schemeClr>
              </a:solidFill>
              <a:ln w="9525">
                <a:solidFill>
                  <a:schemeClr val="accent5">
                    <a:lumMod val="75000"/>
                  </a:schemeClr>
                </a:solidFill>
              </a:ln>
              <a:effectLst/>
            </c:spPr>
          </c:marker>
          <c:xVal>
            <c:numRef>
              <c:f>diffusivitiesHTWin0601bUB!$O$46:$O$79</c:f>
              <c:numCache>
                <c:formatCode>General</c:formatCode>
                <c:ptCount val="34"/>
                <c:pt idx="0">
                  <c:v>22.573363431151243</c:v>
                </c:pt>
                <c:pt idx="1">
                  <c:v>22.075055187637968</c:v>
                </c:pt>
                <c:pt idx="2">
                  <c:v>21.598272138228943</c:v>
                </c:pt>
                <c:pt idx="3">
                  <c:v>21.141649048625794</c:v>
                </c:pt>
                <c:pt idx="4">
                  <c:v>20.703933747412009</c:v>
                </c:pt>
                <c:pt idx="5">
                  <c:v>20.28397565922921</c:v>
                </c:pt>
                <c:pt idx="6">
                  <c:v>19.880715705765407</c:v>
                </c:pt>
                <c:pt idx="7">
                  <c:v>20.080321285140563</c:v>
                </c:pt>
                <c:pt idx="8">
                  <c:v>20.491803278688526</c:v>
                </c:pt>
                <c:pt idx="9">
                  <c:v>20.92050209205021</c:v>
                </c:pt>
                <c:pt idx="10">
                  <c:v>21.367521367521366</c:v>
                </c:pt>
                <c:pt idx="11">
                  <c:v>21.834061135371179</c:v>
                </c:pt>
                <c:pt idx="12">
                  <c:v>22.321428571428573</c:v>
                </c:pt>
                <c:pt idx="13">
                  <c:v>21.141649048625794</c:v>
                </c:pt>
                <c:pt idx="14">
                  <c:v>20.704362409159611</c:v>
                </c:pt>
                <c:pt idx="15">
                  <c:v>20.28479857195018</c:v>
                </c:pt>
                <c:pt idx="16">
                  <c:v>19.881110956480249</c:v>
                </c:pt>
                <c:pt idx="17">
                  <c:v>19.49317738791423</c:v>
                </c:pt>
                <c:pt idx="18">
                  <c:v>19.305019305019304</c:v>
                </c:pt>
                <c:pt idx="19">
                  <c:v>19.120824489952007</c:v>
                </c:pt>
                <c:pt idx="20">
                  <c:v>19.308374041821978</c:v>
                </c:pt>
                <c:pt idx="21">
                  <c:v>19.493557379286145</c:v>
                </c:pt>
                <c:pt idx="22">
                  <c:v>19.685039370078741</c:v>
                </c:pt>
                <c:pt idx="23">
                  <c:v>19.880715705765407</c:v>
                </c:pt>
                <c:pt idx="24">
                  <c:v>20.080321285140563</c:v>
                </c:pt>
                <c:pt idx="25">
                  <c:v>19.880715705765407</c:v>
                </c:pt>
                <c:pt idx="26">
                  <c:v>19.68891514077578</c:v>
                </c:pt>
                <c:pt idx="27">
                  <c:v>19.49317738791423</c:v>
                </c:pt>
                <c:pt idx="28">
                  <c:v>19.305019305019304</c:v>
                </c:pt>
                <c:pt idx="29">
                  <c:v>19.120458891013385</c:v>
                </c:pt>
                <c:pt idx="30">
                  <c:v>19.121555729774173</c:v>
                </c:pt>
                <c:pt idx="31">
                  <c:v>19.121190102872003</c:v>
                </c:pt>
                <c:pt idx="32">
                  <c:v>19.120458891013385</c:v>
                </c:pt>
                <c:pt idx="33">
                  <c:v>19.49317738791423</c:v>
                </c:pt>
              </c:numCache>
            </c:numRef>
          </c:xVal>
          <c:yVal>
            <c:numRef>
              <c:f>diffusivitiesHTWin0601bUB!$P$46:$P$79</c:f>
              <c:numCache>
                <c:formatCode>General</c:formatCode>
                <c:ptCount val="34"/>
                <c:pt idx="0">
                  <c:v>-28.882457229199119</c:v>
                </c:pt>
                <c:pt idx="1">
                  <c:v>-27.857171423054552</c:v>
                </c:pt>
                <c:pt idx="2">
                  <c:v>-26.704896692539624</c:v>
                </c:pt>
                <c:pt idx="3">
                  <c:v>-25.499320236826751</c:v>
                </c:pt>
                <c:pt idx="4">
                  <c:v>-24.594113895215457</c:v>
                </c:pt>
                <c:pt idx="5">
                  <c:v>-23.752852694254344</c:v>
                </c:pt>
                <c:pt idx="6">
                  <c:v>-22.881621214698971</c:v>
                </c:pt>
                <c:pt idx="7">
                  <c:v>-23.358115600270732</c:v>
                </c:pt>
                <c:pt idx="8">
                  <c:v>-23.803977501154044</c:v>
                </c:pt>
                <c:pt idx="9">
                  <c:v>-24.32318938022177</c:v>
                </c:pt>
                <c:pt idx="10">
                  <c:v>-24.840046779048713</c:v>
                </c:pt>
                <c:pt idx="11">
                  <c:v>-25.529394523755194</c:v>
                </c:pt>
                <c:pt idx="12">
                  <c:v>-25.745391362107334</c:v>
                </c:pt>
                <c:pt idx="13">
                  <c:v>-24.860835161717148</c:v>
                </c:pt>
                <c:pt idx="14">
                  <c:v>-21.636502435606246</c:v>
                </c:pt>
                <c:pt idx="15">
                  <c:v>-22.371228890923451</c:v>
                </c:pt>
                <c:pt idx="16">
                  <c:v>-21.727243675293938</c:v>
                </c:pt>
                <c:pt idx="17">
                  <c:v>-20.601241497385082</c:v>
                </c:pt>
                <c:pt idx="18">
                  <c:v>-20.447449934962037</c:v>
                </c:pt>
                <c:pt idx="19">
                  <c:v>-20.021739649275059</c:v>
                </c:pt>
                <c:pt idx="20">
                  <c:v>-20.625801119655563</c:v>
                </c:pt>
                <c:pt idx="21">
                  <c:v>-21.259222301915567</c:v>
                </c:pt>
                <c:pt idx="22">
                  <c:v>-21.632066420524261</c:v>
                </c:pt>
                <c:pt idx="23">
                  <c:v>-22.135260482576932</c:v>
                </c:pt>
                <c:pt idx="24">
                  <c:v>-22.541872682201333</c:v>
                </c:pt>
                <c:pt idx="25">
                  <c:v>-22.244281325848448</c:v>
                </c:pt>
                <c:pt idx="26">
                  <c:v>-21.799110322529891</c:v>
                </c:pt>
                <c:pt idx="27">
                  <c:v>-21.405329515715874</c:v>
                </c:pt>
                <c:pt idx="28">
                  <c:v>-21.005719170065518</c:v>
                </c:pt>
                <c:pt idx="29">
                  <c:v>-20.613613267599511</c:v>
                </c:pt>
                <c:pt idx="30">
                  <c:v>-20.619619406750573</c:v>
                </c:pt>
                <c:pt idx="31">
                  <c:v>-20.592658045022066</c:v>
                </c:pt>
                <c:pt idx="32">
                  <c:v>-20.676448753441385</c:v>
                </c:pt>
                <c:pt idx="33">
                  <c:v>-21.170278494399483</c:v>
                </c:pt>
              </c:numCache>
            </c:numRef>
          </c:yVal>
          <c:smooth val="0"/>
          <c:extLst>
            <c:ext xmlns:c16="http://schemas.microsoft.com/office/drawing/2014/chart" uri="{C3380CC4-5D6E-409C-BE32-E72D297353CC}">
              <c16:uniqueId val="{00000001-498B-4A16-8163-813B4C052D75}"/>
            </c:ext>
          </c:extLst>
        </c:ser>
        <c:dLbls>
          <c:showLegendKey val="0"/>
          <c:showVal val="0"/>
          <c:showCatName val="0"/>
          <c:showSerName val="0"/>
          <c:showPercent val="0"/>
          <c:showBubbleSize val="0"/>
        </c:dLbls>
        <c:axId val="2132438240"/>
        <c:axId val="2132437280"/>
      </c:scatterChart>
      <c:valAx>
        <c:axId val="213243824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10000/T(K)</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2437280"/>
        <c:crosses val="autoZero"/>
        <c:crossBetween val="midCat"/>
      </c:valAx>
      <c:valAx>
        <c:axId val="2132437280"/>
        <c:scaling>
          <c:orientation val="minMax"/>
          <c:max val="-18"/>
          <c:min val="-32"/>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ln(D/a</a:t>
                </a:r>
                <a:r>
                  <a:rPr lang="en-US" baseline="30000"/>
                  <a:t>2</a:t>
                </a:r>
                <a:r>
                  <a:rPr lang="en-US"/>
                  <a: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2438240"/>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Win-0601b 3He Arrhenius</a:t>
            </a:r>
            <a:r>
              <a:rPr lang="en-US" baseline="0"/>
              <a:t> Plot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1"/>
          <c:order val="0"/>
          <c:spPr>
            <a:ln w="19050" cap="rnd">
              <a:solidFill>
                <a:schemeClr val="accent2"/>
              </a:solidFill>
              <a:round/>
            </a:ln>
            <a:effectLst/>
          </c:spPr>
          <c:marker>
            <c:symbol val="circle"/>
            <c:size val="5"/>
            <c:spPr>
              <a:solidFill>
                <a:schemeClr val="accent2"/>
              </a:solidFill>
              <a:ln w="9525">
                <a:solidFill>
                  <a:schemeClr val="accent2"/>
                </a:solidFill>
              </a:ln>
              <a:effectLst/>
            </c:spPr>
          </c:marker>
          <c:trendline>
            <c:spPr>
              <a:ln w="19050" cap="rnd">
                <a:solidFill>
                  <a:schemeClr val="accent6">
                    <a:lumMod val="75000"/>
                  </a:schemeClr>
                </a:solidFill>
                <a:prstDash val="sysDot"/>
              </a:ln>
              <a:effectLst/>
            </c:spPr>
            <c:trendlineType val="linear"/>
            <c:forward val="1.5"/>
            <c:backward val="0.2"/>
            <c:dispRSqr val="1"/>
            <c:dispEq val="1"/>
            <c:trendlineLbl>
              <c:layout>
                <c:manualLayout>
                  <c:x val="-0.31770282915786463"/>
                  <c:y val="-0.2826382509177228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diffusivitiesHTWin0601bUB!$O$27:$O$37</c:f>
              <c:numCache>
                <c:formatCode>General</c:formatCode>
                <c:ptCount val="11"/>
                <c:pt idx="0">
                  <c:v>19.880715705765407</c:v>
                </c:pt>
                <c:pt idx="1">
                  <c:v>20.080321285140563</c:v>
                </c:pt>
                <c:pt idx="2">
                  <c:v>19.880715705765407</c:v>
                </c:pt>
                <c:pt idx="3">
                  <c:v>19.68891514077578</c:v>
                </c:pt>
                <c:pt idx="4">
                  <c:v>19.49317738791423</c:v>
                </c:pt>
                <c:pt idx="5">
                  <c:v>19.305019305019304</c:v>
                </c:pt>
                <c:pt idx="6">
                  <c:v>19.120458891013385</c:v>
                </c:pt>
                <c:pt idx="7">
                  <c:v>19.121555729774173</c:v>
                </c:pt>
                <c:pt idx="8">
                  <c:v>19.121190102872003</c:v>
                </c:pt>
                <c:pt idx="9">
                  <c:v>19.120458891013385</c:v>
                </c:pt>
                <c:pt idx="10">
                  <c:v>19.49317738791423</c:v>
                </c:pt>
              </c:numCache>
            </c:numRef>
          </c:xVal>
          <c:yVal>
            <c:numRef>
              <c:f>diffusivitiesHTWin0601bUB!$P$27:$P$37</c:f>
              <c:numCache>
                <c:formatCode>General</c:formatCode>
                <c:ptCount val="11"/>
                <c:pt idx="0">
                  <c:v>-21.157946700239663</c:v>
                </c:pt>
                <c:pt idx="1">
                  <c:v>-21.585497142483948</c:v>
                </c:pt>
                <c:pt idx="2">
                  <c:v>-21.250664043175302</c:v>
                </c:pt>
                <c:pt idx="3">
                  <c:v>-20.834665154143494</c:v>
                </c:pt>
                <c:pt idx="4">
                  <c:v>-20.503682671436376</c:v>
                </c:pt>
                <c:pt idx="5">
                  <c:v>-20.078751032838227</c:v>
                </c:pt>
                <c:pt idx="6">
                  <c:v>-19.712544732265197</c:v>
                </c:pt>
                <c:pt idx="7">
                  <c:v>-19.697157251036398</c:v>
                </c:pt>
                <c:pt idx="8">
                  <c:v>-19.723113939809483</c:v>
                </c:pt>
                <c:pt idx="9">
                  <c:v>-19.950577148465133</c:v>
                </c:pt>
                <c:pt idx="10">
                  <c:v>-20.573584114167915</c:v>
                </c:pt>
              </c:numCache>
            </c:numRef>
          </c:yVal>
          <c:smooth val="0"/>
          <c:extLst>
            <c:ext xmlns:c16="http://schemas.microsoft.com/office/drawing/2014/chart" uri="{C3380CC4-5D6E-409C-BE32-E72D297353CC}">
              <c16:uniqueId val="{00000001-8322-44C6-A4BD-2752C22F84B9}"/>
            </c:ext>
          </c:extLst>
        </c:ser>
        <c:ser>
          <c:idx val="0"/>
          <c:order val="1"/>
          <c:spPr>
            <a:ln w="19050" cap="rnd">
              <a:solidFill>
                <a:schemeClr val="accent6">
                  <a:lumMod val="40000"/>
                  <a:lumOff val="60000"/>
                </a:schemeClr>
              </a:solidFill>
              <a:round/>
            </a:ln>
            <a:effectLst/>
          </c:spPr>
          <c:marker>
            <c:symbol val="circle"/>
            <c:size val="5"/>
            <c:spPr>
              <a:solidFill>
                <a:schemeClr val="accent1"/>
              </a:solidFill>
              <a:ln w="9525">
                <a:solidFill>
                  <a:schemeClr val="accent1"/>
                </a:solidFill>
              </a:ln>
              <a:effectLst/>
            </c:spPr>
          </c:marker>
          <c:xVal>
            <c:numRef>
              <c:f>diffusivitiesHTWin0601bUB!$O$4:$O$37</c:f>
              <c:numCache>
                <c:formatCode>General</c:formatCode>
                <c:ptCount val="34"/>
                <c:pt idx="0">
                  <c:v>22.573363431151243</c:v>
                </c:pt>
                <c:pt idx="1">
                  <c:v>22.075055187637968</c:v>
                </c:pt>
                <c:pt idx="2">
                  <c:v>21.598272138228943</c:v>
                </c:pt>
                <c:pt idx="3">
                  <c:v>21.141649048625794</c:v>
                </c:pt>
                <c:pt idx="4">
                  <c:v>20.703933747412009</c:v>
                </c:pt>
                <c:pt idx="5">
                  <c:v>20.28397565922921</c:v>
                </c:pt>
                <c:pt idx="6">
                  <c:v>19.880715705765407</c:v>
                </c:pt>
                <c:pt idx="7">
                  <c:v>20.080321285140563</c:v>
                </c:pt>
                <c:pt idx="8">
                  <c:v>20.491803278688526</c:v>
                </c:pt>
                <c:pt idx="9">
                  <c:v>20.92050209205021</c:v>
                </c:pt>
                <c:pt idx="10">
                  <c:v>21.367521367521366</c:v>
                </c:pt>
                <c:pt idx="11">
                  <c:v>21.834061135371179</c:v>
                </c:pt>
                <c:pt idx="12">
                  <c:v>22.321428571428573</c:v>
                </c:pt>
                <c:pt idx="13">
                  <c:v>21.141649048625794</c:v>
                </c:pt>
                <c:pt idx="14">
                  <c:v>20.704362409159611</c:v>
                </c:pt>
                <c:pt idx="15">
                  <c:v>20.28479857195018</c:v>
                </c:pt>
                <c:pt idx="16">
                  <c:v>19.881110956480249</c:v>
                </c:pt>
                <c:pt idx="17">
                  <c:v>19.49317738791423</c:v>
                </c:pt>
                <c:pt idx="18">
                  <c:v>19.305019305019304</c:v>
                </c:pt>
                <c:pt idx="19">
                  <c:v>19.120824489952007</c:v>
                </c:pt>
                <c:pt idx="20">
                  <c:v>19.308374041821978</c:v>
                </c:pt>
                <c:pt idx="21">
                  <c:v>19.493557379286145</c:v>
                </c:pt>
                <c:pt idx="22">
                  <c:v>19.685039370078741</c:v>
                </c:pt>
                <c:pt idx="23">
                  <c:v>19.880715705765407</c:v>
                </c:pt>
                <c:pt idx="24">
                  <c:v>20.080321285140563</c:v>
                </c:pt>
                <c:pt idx="25">
                  <c:v>19.880715705765407</c:v>
                </c:pt>
                <c:pt idx="26">
                  <c:v>19.68891514077578</c:v>
                </c:pt>
                <c:pt idx="27">
                  <c:v>19.49317738791423</c:v>
                </c:pt>
                <c:pt idx="28">
                  <c:v>19.305019305019304</c:v>
                </c:pt>
                <c:pt idx="29">
                  <c:v>19.120458891013385</c:v>
                </c:pt>
                <c:pt idx="30">
                  <c:v>19.121555729774173</c:v>
                </c:pt>
                <c:pt idx="31">
                  <c:v>19.121190102872003</c:v>
                </c:pt>
                <c:pt idx="32">
                  <c:v>19.120458891013385</c:v>
                </c:pt>
                <c:pt idx="33">
                  <c:v>19.49317738791423</c:v>
                </c:pt>
              </c:numCache>
            </c:numRef>
          </c:xVal>
          <c:yVal>
            <c:numRef>
              <c:f>diffusivitiesHTWin0601bUB!$P$4:$P$37</c:f>
              <c:numCache>
                <c:formatCode>General</c:formatCode>
                <c:ptCount val="34"/>
                <c:pt idx="0">
                  <c:v>-22.05213261503815</c:v>
                </c:pt>
                <c:pt idx="1">
                  <c:v>-22.131276695020862</c:v>
                </c:pt>
                <c:pt idx="2">
                  <c:v>-21.756098173802087</c:v>
                </c:pt>
                <c:pt idx="3">
                  <c:v>-21.442504783214957</c:v>
                </c:pt>
                <c:pt idx="4">
                  <c:v>-21.099285992721384</c:v>
                </c:pt>
                <c:pt idx="5">
                  <c:v>-20.784557991747185</c:v>
                </c:pt>
                <c:pt idx="6">
                  <c:v>-20.346380267330812</c:v>
                </c:pt>
                <c:pt idx="7">
                  <c:v>-21.109949573355127</c:v>
                </c:pt>
                <c:pt idx="8">
                  <c:v>-21.798991055484599</c:v>
                </c:pt>
                <c:pt idx="9">
                  <c:v>-22.568051846819976</c:v>
                </c:pt>
                <c:pt idx="10">
                  <c:v>-23.454409952593636</c:v>
                </c:pt>
                <c:pt idx="11">
                  <c:v>-24.134217331632616</c:v>
                </c:pt>
                <c:pt idx="12">
                  <c:v>-24.491493597941922</c:v>
                </c:pt>
                <c:pt idx="13">
                  <c:v>-22.828469240448488</c:v>
                </c:pt>
                <c:pt idx="14">
                  <c:v>-22.45327626950651</c:v>
                </c:pt>
                <c:pt idx="15">
                  <c:v>-21.446340156616461</c:v>
                </c:pt>
                <c:pt idx="16">
                  <c:v>-20.534789628806966</c:v>
                </c:pt>
                <c:pt idx="17">
                  <c:v>-19.606321688550459</c:v>
                </c:pt>
                <c:pt idx="18">
                  <c:v>-19.433686509618902</c:v>
                </c:pt>
                <c:pt idx="19">
                  <c:v>-18.919701909818322</c:v>
                </c:pt>
                <c:pt idx="20">
                  <c:v>-19.565347123714556</c:v>
                </c:pt>
                <c:pt idx="21">
                  <c:v>-20.212634232665881</c:v>
                </c:pt>
                <c:pt idx="22">
                  <c:v>-20.609555145443601</c:v>
                </c:pt>
                <c:pt idx="23">
                  <c:v>-21.157946700239663</c:v>
                </c:pt>
                <c:pt idx="24">
                  <c:v>-21.585497142483948</c:v>
                </c:pt>
                <c:pt idx="25">
                  <c:v>-21.250664043175302</c:v>
                </c:pt>
                <c:pt idx="26">
                  <c:v>-20.834665154143494</c:v>
                </c:pt>
                <c:pt idx="27">
                  <c:v>-20.503682671436376</c:v>
                </c:pt>
                <c:pt idx="28">
                  <c:v>-20.078751032838227</c:v>
                </c:pt>
                <c:pt idx="29">
                  <c:v>-19.712544732265197</c:v>
                </c:pt>
                <c:pt idx="30">
                  <c:v>-19.697157251036398</c:v>
                </c:pt>
                <c:pt idx="31">
                  <c:v>-19.723113939809483</c:v>
                </c:pt>
                <c:pt idx="32">
                  <c:v>-19.950577148465133</c:v>
                </c:pt>
                <c:pt idx="33">
                  <c:v>-20.573584114167915</c:v>
                </c:pt>
              </c:numCache>
            </c:numRef>
          </c:yVal>
          <c:smooth val="0"/>
          <c:extLst>
            <c:ext xmlns:c16="http://schemas.microsoft.com/office/drawing/2014/chart" uri="{C3380CC4-5D6E-409C-BE32-E72D297353CC}">
              <c16:uniqueId val="{00000002-8322-44C6-A4BD-2752C22F84B9}"/>
            </c:ext>
          </c:extLst>
        </c:ser>
        <c:dLbls>
          <c:showLegendKey val="0"/>
          <c:showVal val="0"/>
          <c:showCatName val="0"/>
          <c:showSerName val="0"/>
          <c:showPercent val="0"/>
          <c:showBubbleSize val="0"/>
        </c:dLbls>
        <c:axId val="2132438240"/>
        <c:axId val="2132437280"/>
      </c:scatterChart>
      <c:valAx>
        <c:axId val="213243824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10000/T(K)</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2437280"/>
        <c:crosses val="autoZero"/>
        <c:crossBetween val="midCat"/>
      </c:valAx>
      <c:valAx>
        <c:axId val="2132437280"/>
        <c:scaling>
          <c:orientation val="minMax"/>
          <c:max val="-18"/>
          <c:min val="-25.5"/>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ln(D/a</a:t>
                </a:r>
                <a:r>
                  <a:rPr lang="en-US" baseline="30000"/>
                  <a:t>2</a:t>
                </a:r>
                <a:r>
                  <a:rPr lang="en-US"/>
                  <a: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243824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Delta Plot</a:t>
            </a:r>
            <a:r>
              <a:rPr lang="en-US" baseline="0"/>
              <a:t> with Regression Reference Line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3He</c:v>
          </c:tx>
          <c:spPr>
            <a:ln w="25400" cap="rnd">
              <a:solidFill>
                <a:schemeClr val="accent6">
                  <a:lumMod val="40000"/>
                  <a:lumOff val="60000"/>
                </a:schemeClr>
              </a:solidFill>
              <a:round/>
            </a:ln>
            <a:effectLst/>
          </c:spPr>
          <c:marker>
            <c:symbol val="circle"/>
            <c:size val="5"/>
            <c:spPr>
              <a:solidFill>
                <a:schemeClr val="accent1"/>
              </a:solidFill>
              <a:ln w="9525">
                <a:solidFill>
                  <a:schemeClr val="accent1"/>
                </a:solidFill>
              </a:ln>
              <a:effectLst/>
            </c:spPr>
          </c:marker>
          <c:xVal>
            <c:numRef>
              <c:f>diffusivitiesHTWin0601bUB!$H$4:$H$37</c:f>
              <c:numCache>
                <c:formatCode>0.00E+00</c:formatCode>
                <c:ptCount val="34"/>
                <c:pt idx="0">
                  <c:v>7.3901424897776184E-3</c:v>
                </c:pt>
                <c:pt idx="1">
                  <c:v>1.151036022892795E-2</c:v>
                </c:pt>
                <c:pt idx="2">
                  <c:v>1.5367366838036753E-2</c:v>
                </c:pt>
                <c:pt idx="3">
                  <c:v>1.9180113071667258E-2</c:v>
                </c:pt>
                <c:pt idx="4">
                  <c:v>2.3415829683003798E-2</c:v>
                </c:pt>
                <c:pt idx="5">
                  <c:v>2.8047741633734663E-2</c:v>
                </c:pt>
                <c:pt idx="6">
                  <c:v>3.3756646358295152E-2</c:v>
                </c:pt>
                <c:pt idx="7">
                  <c:v>3.9083906637161374E-2</c:v>
                </c:pt>
                <c:pt idx="8">
                  <c:v>4.0188812267545691E-2</c:v>
                </c:pt>
                <c:pt idx="9">
                  <c:v>4.0768390541208066E-2</c:v>
                </c:pt>
                <c:pt idx="10">
                  <c:v>4.1321291734778387E-2</c:v>
                </c:pt>
                <c:pt idx="11">
                  <c:v>4.1492414273376105E-2</c:v>
                </c:pt>
                <c:pt idx="12">
                  <c:v>4.1645084283162576E-2</c:v>
                </c:pt>
                <c:pt idx="13">
                  <c:v>4.1812615627779451E-2</c:v>
                </c:pt>
                <c:pt idx="14">
                  <c:v>4.2448178320791168E-2</c:v>
                </c:pt>
                <c:pt idx="15">
                  <c:v>4.6523677843480556E-2</c:v>
                </c:pt>
                <c:pt idx="16">
                  <c:v>4.9143792832524132E-2</c:v>
                </c:pt>
                <c:pt idx="17">
                  <c:v>5.4193687385597537E-2</c:v>
                </c:pt>
                <c:pt idx="18">
                  <c:v>5.8270209826287264E-2</c:v>
                </c:pt>
                <c:pt idx="19">
                  <c:v>6.333170675395032E-2</c:v>
                </c:pt>
                <c:pt idx="20">
                  <c:v>6.6720460281388505E-2</c:v>
                </c:pt>
                <c:pt idx="21">
                  <c:v>6.8798402124566851E-2</c:v>
                </c:pt>
                <c:pt idx="22">
                  <c:v>7.0401619653363903E-2</c:v>
                </c:pt>
                <c:pt idx="23">
                  <c:v>7.1452262654484747E-2</c:v>
                </c:pt>
                <c:pt idx="24">
                  <c:v>7.255899809113267E-2</c:v>
                </c:pt>
                <c:pt idx="25">
                  <c:v>7.3691608470383807E-2</c:v>
                </c:pt>
                <c:pt idx="26">
                  <c:v>7.5208191640345062E-2</c:v>
                </c:pt>
                <c:pt idx="27">
                  <c:v>7.7012292036269456E-2</c:v>
                </c:pt>
                <c:pt idx="28">
                  <c:v>7.9319111319351793E-2</c:v>
                </c:pt>
                <c:pt idx="29">
                  <c:v>8.201508267866911E-2</c:v>
                </c:pt>
                <c:pt idx="30">
                  <c:v>8.4660218107660973E-2</c:v>
                </c:pt>
                <c:pt idx="31">
                  <c:v>8.7152991781006842E-2</c:v>
                </c:pt>
                <c:pt idx="32">
                  <c:v>0.14600014040011008</c:v>
                </c:pt>
                <c:pt idx="33">
                  <c:v>0.14775012803086054</c:v>
                </c:pt>
              </c:numCache>
            </c:numRef>
          </c:xVal>
          <c:yVal>
            <c:numRef>
              <c:f>diffusivitiesHTWin0601bUB!$S$4:$S$37</c:f>
              <c:numCache>
                <c:formatCode>General</c:formatCode>
                <c:ptCount val="34"/>
                <c:pt idx="0">
                  <c:v>4.2631682320170441</c:v>
                </c:pt>
                <c:pt idx="1">
                  <c:v>3.2402037476218339</c:v>
                </c:pt>
                <c:pt idx="2">
                  <c:v>2.7123316443163468</c:v>
                </c:pt>
                <c:pt idx="3">
                  <c:v>2.1610583691328777</c:v>
                </c:pt>
                <c:pt idx="4">
                  <c:v>1.6752227781527687</c:v>
                </c:pt>
                <c:pt idx="5">
                  <c:v>1.1945294354412717</c:v>
                </c:pt>
                <c:pt idx="6">
                  <c:v>0.8689129073721702</c:v>
                </c:pt>
                <c:pt idx="7">
                  <c:v>0.48340641909418025</c:v>
                </c:pt>
                <c:pt idx="8">
                  <c:v>0.57373213912208243</c:v>
                </c:pt>
                <c:pt idx="9">
                  <c:v>0.61664805631050612</c:v>
                </c:pt>
                <c:pt idx="10">
                  <c:v>0.57696651839926361</c:v>
                </c:pt>
                <c:pt idx="11">
                  <c:v>0.78080848311189754</c:v>
                </c:pt>
                <c:pt idx="12">
                  <c:v>1.3466301919716912</c:v>
                </c:pt>
                <c:pt idx="13">
                  <c:v>0.77509391189934718</c:v>
                </c:pt>
                <c:pt idx="14">
                  <c:v>0.32204440787178967</c:v>
                </c:pt>
                <c:pt idx="15">
                  <c:v>0.53430590787573351</c:v>
                </c:pt>
                <c:pt idx="16">
                  <c:v>0.68125217025529849</c:v>
                </c:pt>
                <c:pt idx="17">
                  <c:v>0.87495478737018217</c:v>
                </c:pt>
                <c:pt idx="18">
                  <c:v>0.69120927181571901</c:v>
                </c:pt>
                <c:pt idx="19">
                  <c:v>0.85631980198058599</c:v>
                </c:pt>
                <c:pt idx="20">
                  <c:v>0.56590269477847954</c:v>
                </c:pt>
                <c:pt idx="21">
                  <c:v>0.26936196566550308</c:v>
                </c:pt>
                <c:pt idx="22">
                  <c:v>0.23511739296475653</c:v>
                </c:pt>
                <c:pt idx="23">
                  <c:v>5.7346474463319197E-2</c:v>
                </c:pt>
                <c:pt idx="24">
                  <c:v>7.8588499653591271E-3</c:v>
                </c:pt>
                <c:pt idx="25">
                  <c:v>-3.5370868472320183E-2</c:v>
                </c:pt>
                <c:pt idx="26">
                  <c:v>1.7348285231900462E-2</c:v>
                </c:pt>
                <c:pt idx="27">
                  <c:v>-2.2406195515735305E-2</c:v>
                </c:pt>
                <c:pt idx="28">
                  <c:v>4.6144748596393725E-2</c:v>
                </c:pt>
                <c:pt idx="29">
                  <c:v>6.2784517101881931E-2</c:v>
                </c:pt>
                <c:pt idx="30">
                  <c:v>8.0249465071915438E-2</c:v>
                </c:pt>
                <c:pt idx="31">
                  <c:v>5.3600260902662455E-2</c:v>
                </c:pt>
                <c:pt idx="32">
                  <c:v>-0.17524789909805349</c:v>
                </c:pt>
                <c:pt idx="33">
                  <c:v>-9.2307638247273616E-2</c:v>
                </c:pt>
              </c:numCache>
            </c:numRef>
          </c:yVal>
          <c:smooth val="0"/>
          <c:extLst>
            <c:ext xmlns:c16="http://schemas.microsoft.com/office/drawing/2014/chart" uri="{C3380CC4-5D6E-409C-BE32-E72D297353CC}">
              <c16:uniqueId val="{00000000-325B-4368-B9DA-76B06EDBF3F3}"/>
            </c:ext>
          </c:extLst>
        </c:ser>
        <c:ser>
          <c:idx val="1"/>
          <c:order val="1"/>
          <c:tx>
            <c:v>4He</c:v>
          </c:tx>
          <c:spPr>
            <a:ln w="25400" cap="rnd">
              <a:solidFill>
                <a:srgbClr val="FF0000">
                  <a:alpha val="36000"/>
                </a:srgbClr>
              </a:solidFill>
              <a:round/>
            </a:ln>
            <a:effectLst/>
          </c:spPr>
          <c:marker>
            <c:symbol val="circle"/>
            <c:size val="5"/>
            <c:spPr>
              <a:solidFill>
                <a:schemeClr val="accent5">
                  <a:lumMod val="60000"/>
                  <a:lumOff val="40000"/>
                </a:schemeClr>
              </a:solidFill>
              <a:ln w="9525">
                <a:solidFill>
                  <a:schemeClr val="accent5">
                    <a:lumMod val="75000"/>
                  </a:schemeClr>
                </a:solidFill>
              </a:ln>
              <a:effectLst/>
            </c:spPr>
          </c:marker>
          <c:xVal>
            <c:numRef>
              <c:f>diffusivitiesHTWin0601bUB!$H$4:$H$37</c:f>
              <c:numCache>
                <c:formatCode>0.00E+00</c:formatCode>
                <c:ptCount val="34"/>
                <c:pt idx="0">
                  <c:v>7.3901424897776184E-3</c:v>
                </c:pt>
                <c:pt idx="1">
                  <c:v>1.151036022892795E-2</c:v>
                </c:pt>
                <c:pt idx="2">
                  <c:v>1.5367366838036753E-2</c:v>
                </c:pt>
                <c:pt idx="3">
                  <c:v>1.9180113071667258E-2</c:v>
                </c:pt>
                <c:pt idx="4">
                  <c:v>2.3415829683003798E-2</c:v>
                </c:pt>
                <c:pt idx="5">
                  <c:v>2.8047741633734663E-2</c:v>
                </c:pt>
                <c:pt idx="6">
                  <c:v>3.3756646358295152E-2</c:v>
                </c:pt>
                <c:pt idx="7">
                  <c:v>3.9083906637161374E-2</c:v>
                </c:pt>
                <c:pt idx="8">
                  <c:v>4.0188812267545691E-2</c:v>
                </c:pt>
                <c:pt idx="9">
                  <c:v>4.0768390541208066E-2</c:v>
                </c:pt>
                <c:pt idx="10">
                  <c:v>4.1321291734778387E-2</c:v>
                </c:pt>
                <c:pt idx="11">
                  <c:v>4.1492414273376105E-2</c:v>
                </c:pt>
                <c:pt idx="12">
                  <c:v>4.1645084283162576E-2</c:v>
                </c:pt>
                <c:pt idx="13">
                  <c:v>4.1812615627779451E-2</c:v>
                </c:pt>
                <c:pt idx="14">
                  <c:v>4.2448178320791168E-2</c:v>
                </c:pt>
                <c:pt idx="15">
                  <c:v>4.6523677843480556E-2</c:v>
                </c:pt>
                <c:pt idx="16">
                  <c:v>4.9143792832524132E-2</c:v>
                </c:pt>
                <c:pt idx="17">
                  <c:v>5.4193687385597537E-2</c:v>
                </c:pt>
                <c:pt idx="18">
                  <c:v>5.8270209826287264E-2</c:v>
                </c:pt>
                <c:pt idx="19">
                  <c:v>6.333170675395032E-2</c:v>
                </c:pt>
                <c:pt idx="20">
                  <c:v>6.6720460281388505E-2</c:v>
                </c:pt>
                <c:pt idx="21">
                  <c:v>6.8798402124566851E-2</c:v>
                </c:pt>
                <c:pt idx="22">
                  <c:v>7.0401619653363903E-2</c:v>
                </c:pt>
                <c:pt idx="23">
                  <c:v>7.1452262654484747E-2</c:v>
                </c:pt>
                <c:pt idx="24">
                  <c:v>7.255899809113267E-2</c:v>
                </c:pt>
                <c:pt idx="25">
                  <c:v>7.3691608470383807E-2</c:v>
                </c:pt>
                <c:pt idx="26">
                  <c:v>7.5208191640345062E-2</c:v>
                </c:pt>
                <c:pt idx="27">
                  <c:v>7.7012292036269456E-2</c:v>
                </c:pt>
                <c:pt idx="28">
                  <c:v>7.9319111319351793E-2</c:v>
                </c:pt>
                <c:pt idx="29">
                  <c:v>8.201508267866911E-2</c:v>
                </c:pt>
                <c:pt idx="30">
                  <c:v>8.4660218107660973E-2</c:v>
                </c:pt>
                <c:pt idx="31">
                  <c:v>8.7152991781006842E-2</c:v>
                </c:pt>
                <c:pt idx="32">
                  <c:v>0.14600014040011008</c:v>
                </c:pt>
                <c:pt idx="33">
                  <c:v>0.14775012803086054</c:v>
                </c:pt>
              </c:numCache>
            </c:numRef>
          </c:xVal>
          <c:yVal>
            <c:numRef>
              <c:f>diffusivitiesHTWin0601bUB!$S$46:$S$79</c:f>
              <c:numCache>
                <c:formatCode>General</c:formatCode>
                <c:ptCount val="34"/>
                <c:pt idx="0">
                  <c:v>-2.5671563821439243</c:v>
                </c:pt>
                <c:pt idx="1">
                  <c:v>-2.4856909804118565</c:v>
                </c:pt>
                <c:pt idx="2">
                  <c:v>-2.2364668744211897</c:v>
                </c:pt>
                <c:pt idx="3">
                  <c:v>-1.895757084478916</c:v>
                </c:pt>
                <c:pt idx="4">
                  <c:v>-1.8196051243413045</c:v>
                </c:pt>
                <c:pt idx="5">
                  <c:v>-1.7737652670658868</c:v>
                </c:pt>
                <c:pt idx="6">
                  <c:v>-1.6663280399959888</c:v>
                </c:pt>
                <c:pt idx="7">
                  <c:v>-1.7647596078214249</c:v>
                </c:pt>
                <c:pt idx="8">
                  <c:v>-1.4312543065473626</c:v>
                </c:pt>
                <c:pt idx="9">
                  <c:v>-1.1384894770912872</c:v>
                </c:pt>
                <c:pt idx="10">
                  <c:v>-0.80867030805581308</c:v>
                </c:pt>
                <c:pt idx="11">
                  <c:v>-0.61436870901068019</c:v>
                </c:pt>
                <c:pt idx="12">
                  <c:v>9.2732427806279105E-2</c:v>
                </c:pt>
                <c:pt idx="13">
                  <c:v>-1.2572720093693128</c:v>
                </c:pt>
                <c:pt idx="14">
                  <c:v>1.1388182417720536</c:v>
                </c:pt>
                <c:pt idx="15">
                  <c:v>-0.39058282643125608</c:v>
                </c:pt>
                <c:pt idx="16">
                  <c:v>-0.51120187623167368</c:v>
                </c:pt>
                <c:pt idx="17">
                  <c:v>-0.11996502146444143</c:v>
                </c:pt>
                <c:pt idx="18">
                  <c:v>-0.32255415352741679</c:v>
                </c:pt>
                <c:pt idx="19">
                  <c:v>-0.24571793747615089</c:v>
                </c:pt>
                <c:pt idx="20">
                  <c:v>-0.49455130116252732</c:v>
                </c:pt>
                <c:pt idx="21">
                  <c:v>-0.77722610358418365</c:v>
                </c:pt>
                <c:pt idx="22">
                  <c:v>-0.78739388211590366</c:v>
                </c:pt>
                <c:pt idx="23">
                  <c:v>-0.91996730787395009</c:v>
                </c:pt>
                <c:pt idx="24">
                  <c:v>-0.94851668975202585</c:v>
                </c:pt>
                <c:pt idx="25">
                  <c:v>-1.0289881511454659</c:v>
                </c:pt>
                <c:pt idx="26">
                  <c:v>-0.94709688315449725</c:v>
                </c:pt>
                <c:pt idx="27">
                  <c:v>-0.92405303979523268</c:v>
                </c:pt>
                <c:pt idx="28">
                  <c:v>-0.8808233886308976</c:v>
                </c:pt>
                <c:pt idx="29">
                  <c:v>-0.83828401823243226</c:v>
                </c:pt>
                <c:pt idx="30">
                  <c:v>-0.84221269064225979</c:v>
                </c:pt>
                <c:pt idx="31">
                  <c:v>-0.81594384430992051</c:v>
                </c:pt>
                <c:pt idx="32">
                  <c:v>-0.90111950407430541</c:v>
                </c:pt>
                <c:pt idx="33">
                  <c:v>-0.6890020184788419</c:v>
                </c:pt>
              </c:numCache>
            </c:numRef>
          </c:yVal>
          <c:smooth val="0"/>
          <c:extLst>
            <c:ext xmlns:c16="http://schemas.microsoft.com/office/drawing/2014/chart" uri="{C3380CC4-5D6E-409C-BE32-E72D297353CC}">
              <c16:uniqueId val="{00000001-325B-4368-B9DA-76B06EDBF3F3}"/>
            </c:ext>
          </c:extLst>
        </c:ser>
        <c:dLbls>
          <c:showLegendKey val="0"/>
          <c:showVal val="0"/>
          <c:showCatName val="0"/>
          <c:showSerName val="0"/>
          <c:showPercent val="0"/>
          <c:showBubbleSize val="0"/>
        </c:dLbls>
        <c:axId val="996476207"/>
        <c:axId val="996477647"/>
      </c:scatterChart>
      <c:valAx>
        <c:axId val="99647620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3He Fractional</a:t>
                </a:r>
                <a:r>
                  <a:rPr lang="en-US" baseline="0"/>
                  <a:t> Yield</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0"/>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6477647"/>
        <c:crosses val="autoZero"/>
        <c:crossBetween val="midCat"/>
      </c:valAx>
      <c:valAx>
        <c:axId val="996477647"/>
        <c:scaling>
          <c:orientation val="minMax"/>
          <c:max val="5"/>
          <c:min val="-5"/>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Delta</a:t>
                </a:r>
                <a:r>
                  <a:rPr lang="en-US" baseline="0"/>
                  <a:t> ln(D/a</a:t>
                </a:r>
                <a:r>
                  <a:rPr lang="en-US" baseline="30000"/>
                  <a:t>2</a:t>
                </a:r>
                <a:r>
                  <a:rPr lang="en-US" baseline="0"/>
                  <a:t>)</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6476207"/>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Win-0601b 3He Arrhenius</a:t>
            </a:r>
            <a:r>
              <a:rPr lang="en-US" baseline="0"/>
              <a:t> Plot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1"/>
          <c:order val="0"/>
          <c:spPr>
            <a:ln w="19050" cap="rnd">
              <a:solidFill>
                <a:schemeClr val="accent2"/>
              </a:solidFill>
              <a:round/>
            </a:ln>
            <a:effectLst/>
          </c:spPr>
          <c:marker>
            <c:symbol val="circle"/>
            <c:size val="5"/>
            <c:spPr>
              <a:solidFill>
                <a:schemeClr val="accent2"/>
              </a:solidFill>
              <a:ln w="9525">
                <a:solidFill>
                  <a:schemeClr val="accent2"/>
                </a:solidFill>
              </a:ln>
              <a:effectLst/>
            </c:spPr>
          </c:marker>
          <c:trendline>
            <c:spPr>
              <a:ln w="19050" cap="rnd">
                <a:solidFill>
                  <a:schemeClr val="accent6">
                    <a:lumMod val="75000"/>
                  </a:schemeClr>
                </a:solidFill>
                <a:prstDash val="sysDot"/>
              </a:ln>
              <a:effectLst/>
            </c:spPr>
            <c:trendlineType val="linear"/>
            <c:forward val="1.5"/>
            <c:backward val="0.2"/>
            <c:dispRSqr val="1"/>
            <c:dispEq val="1"/>
            <c:trendlineLbl>
              <c:layout>
                <c:manualLayout>
                  <c:x val="-0.31770282915786463"/>
                  <c:y val="-0.2826382509177228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'Perm Method 3He Diffusivities'!$T$27:$T$37</c:f>
              <c:numCache>
                <c:formatCode>General</c:formatCode>
                <c:ptCount val="11"/>
                <c:pt idx="0">
                  <c:v>19.880715705765407</c:v>
                </c:pt>
                <c:pt idx="1">
                  <c:v>20.080321285140563</c:v>
                </c:pt>
                <c:pt idx="2">
                  <c:v>19.880715705765407</c:v>
                </c:pt>
                <c:pt idx="3">
                  <c:v>19.68891514077578</c:v>
                </c:pt>
                <c:pt idx="4">
                  <c:v>19.49317738791423</c:v>
                </c:pt>
                <c:pt idx="5">
                  <c:v>19.305019305019304</c:v>
                </c:pt>
                <c:pt idx="6">
                  <c:v>19.120458891013385</c:v>
                </c:pt>
                <c:pt idx="7">
                  <c:v>19.121555729774173</c:v>
                </c:pt>
                <c:pt idx="8">
                  <c:v>19.121190102872003</c:v>
                </c:pt>
                <c:pt idx="9">
                  <c:v>19.120458891013385</c:v>
                </c:pt>
                <c:pt idx="10">
                  <c:v>19.49317738791423</c:v>
                </c:pt>
              </c:numCache>
            </c:numRef>
          </c:xVal>
          <c:yVal>
            <c:numRef>
              <c:f>'Perm Method 3He Diffusivities'!$U$27:$U$37</c:f>
              <c:numCache>
                <c:formatCode>General</c:formatCode>
                <c:ptCount val="11"/>
                <c:pt idx="0">
                  <c:v>-21.33174752965169</c:v>
                </c:pt>
                <c:pt idx="1">
                  <c:v>-21.771219718872807</c:v>
                </c:pt>
                <c:pt idx="2">
                  <c:v>-21.38365018213112</c:v>
                </c:pt>
                <c:pt idx="3">
                  <c:v>-20.955213488823269</c:v>
                </c:pt>
                <c:pt idx="4">
                  <c:v>-20.672535268487838</c:v>
                </c:pt>
                <c:pt idx="5">
                  <c:v>-20.218633946201038</c:v>
                </c:pt>
                <c:pt idx="6">
                  <c:v>-19.888260223383462</c:v>
                </c:pt>
                <c:pt idx="7">
                  <c:v>-19.926651103099889</c:v>
                </c:pt>
                <c:pt idx="8">
                  <c:v>-19.894934735605723</c:v>
                </c:pt>
                <c:pt idx="9">
                  <c:v>-19.958048822713263</c:v>
                </c:pt>
                <c:pt idx="10">
                  <c:v>-20.659737239976117</c:v>
                </c:pt>
              </c:numCache>
            </c:numRef>
          </c:yVal>
          <c:smooth val="0"/>
          <c:extLst>
            <c:ext xmlns:c16="http://schemas.microsoft.com/office/drawing/2014/chart" uri="{C3380CC4-5D6E-409C-BE32-E72D297353CC}">
              <c16:uniqueId val="{00000001-EF1D-4BFC-9D89-43C64CA1F96E}"/>
            </c:ext>
          </c:extLst>
        </c:ser>
        <c:ser>
          <c:idx val="0"/>
          <c:order val="1"/>
          <c:spPr>
            <a:ln w="19050" cap="rnd">
              <a:solidFill>
                <a:schemeClr val="accent6">
                  <a:lumMod val="40000"/>
                  <a:lumOff val="60000"/>
                </a:schemeClr>
              </a:solidFill>
              <a:round/>
            </a:ln>
            <a:effectLst/>
          </c:spPr>
          <c:marker>
            <c:symbol val="circle"/>
            <c:size val="5"/>
            <c:spPr>
              <a:solidFill>
                <a:schemeClr val="accent1"/>
              </a:solidFill>
              <a:ln w="9525">
                <a:solidFill>
                  <a:schemeClr val="accent1"/>
                </a:solidFill>
              </a:ln>
              <a:effectLst/>
            </c:spPr>
          </c:marker>
          <c:errBars>
            <c:errDir val="y"/>
            <c:errBarType val="both"/>
            <c:errValType val="cust"/>
            <c:noEndCap val="0"/>
            <c:plus>
              <c:numRef>
                <c:f>'Perm Method 3He Diffusivities'!$V$4:$V$37</c:f>
                <c:numCache>
                  <c:formatCode>General</c:formatCode>
                  <c:ptCount val="34"/>
                  <c:pt idx="0">
                    <c:v>4.5295180685578612E-2</c:v>
                  </c:pt>
                  <c:pt idx="1">
                    <c:v>8.9470864262306771E-2</c:v>
                  </c:pt>
                  <c:pt idx="2">
                    <c:v>8.5490762351553035E-2</c:v>
                  </c:pt>
                  <c:pt idx="3">
                    <c:v>8.8151326738702282E-2</c:v>
                  </c:pt>
                  <c:pt idx="4">
                    <c:v>8.2220743379991343E-2</c:v>
                  </c:pt>
                  <c:pt idx="5">
                    <c:v>7.9824634773571601E-2</c:v>
                  </c:pt>
                  <c:pt idx="6">
                    <c:v>6.6216778962641623E-2</c:v>
                  </c:pt>
                  <c:pt idx="7">
                    <c:v>0.12143479295866201</c:v>
                  </c:pt>
                  <c:pt idx="8">
                    <c:v>0.3162319411232597</c:v>
                  </c:pt>
                  <c:pt idx="9">
                    <c:v>0.82913173978726828</c:v>
                  </c:pt>
                  <c:pt idx="10">
                    <c:v>1.0943842268833597</c:v>
                  </c:pt>
                  <c:pt idx="11">
                    <c:v>2.8220158173012346</c:v>
                  </c:pt>
                  <c:pt idx="12">
                    <c:v>3.7966168987663229</c:v>
                  </c:pt>
                  <c:pt idx="13">
                    <c:v>1.4946288944538635</c:v>
                  </c:pt>
                  <c:pt idx="14">
                    <c:v>1.1330966061412389</c:v>
                  </c:pt>
                  <c:pt idx="15">
                    <c:v>0.18368105832629764</c:v>
                  </c:pt>
                  <c:pt idx="16">
                    <c:v>0.1461621362122732</c:v>
                  </c:pt>
                  <c:pt idx="17">
                    <c:v>9.8554287921840886E-2</c:v>
                  </c:pt>
                  <c:pt idx="18">
                    <c:v>0.12460772790251598</c:v>
                  </c:pt>
                  <c:pt idx="19">
                    <c:v>0.1023696314066852</c:v>
                  </c:pt>
                  <c:pt idx="20">
                    <c:v>0.19652889400893689</c:v>
                  </c:pt>
                  <c:pt idx="21">
                    <c:v>0.31185988361626182</c:v>
                  </c:pt>
                  <c:pt idx="22">
                    <c:v>0.40064235409054966</c:v>
                  </c:pt>
                  <c:pt idx="23">
                    <c:v>0.60274967467135243</c:v>
                  </c:pt>
                  <c:pt idx="24">
                    <c:v>0.74650915422707087</c:v>
                  </c:pt>
                  <c:pt idx="25">
                    <c:v>0.46146773694189314</c:v>
                  </c:pt>
                  <c:pt idx="26">
                    <c:v>0.3637584951135957</c:v>
                  </c:pt>
                  <c:pt idx="27">
                    <c:v>0.3179693816682051</c:v>
                  </c:pt>
                  <c:pt idx="28">
                    <c:v>0.23964805405503101</c:v>
                  </c:pt>
                  <c:pt idx="29">
                    <c:v>0.20866259514686955</c:v>
                  </c:pt>
                  <c:pt idx="30">
                    <c:v>0.24241667875844902</c:v>
                  </c:pt>
                  <c:pt idx="31">
                    <c:v>0.24441854289920315</c:v>
                  </c:pt>
                  <c:pt idx="32">
                    <c:v>0.18889342014133689</c:v>
                  </c:pt>
                  <c:pt idx="33">
                    <c:v>0.57971634474096301</c:v>
                  </c:pt>
                </c:numCache>
              </c:numRef>
            </c:plus>
            <c:minus>
              <c:numRef>
                <c:f>'Perm Method 3He Diffusivities'!$V$4:$V$37</c:f>
                <c:numCache>
                  <c:formatCode>General</c:formatCode>
                  <c:ptCount val="34"/>
                  <c:pt idx="0">
                    <c:v>4.5295180685578612E-2</c:v>
                  </c:pt>
                  <c:pt idx="1">
                    <c:v>8.9470864262306771E-2</c:v>
                  </c:pt>
                  <c:pt idx="2">
                    <c:v>8.5490762351553035E-2</c:v>
                  </c:pt>
                  <c:pt idx="3">
                    <c:v>8.8151326738702282E-2</c:v>
                  </c:pt>
                  <c:pt idx="4">
                    <c:v>8.2220743379991343E-2</c:v>
                  </c:pt>
                  <c:pt idx="5">
                    <c:v>7.9824634773571601E-2</c:v>
                  </c:pt>
                  <c:pt idx="6">
                    <c:v>6.6216778962641623E-2</c:v>
                  </c:pt>
                  <c:pt idx="7">
                    <c:v>0.12143479295866201</c:v>
                  </c:pt>
                  <c:pt idx="8">
                    <c:v>0.3162319411232597</c:v>
                  </c:pt>
                  <c:pt idx="9">
                    <c:v>0.82913173978726828</c:v>
                  </c:pt>
                  <c:pt idx="10">
                    <c:v>1.0943842268833597</c:v>
                  </c:pt>
                  <c:pt idx="11">
                    <c:v>2.8220158173012346</c:v>
                  </c:pt>
                  <c:pt idx="12">
                    <c:v>3.7966168987663229</c:v>
                  </c:pt>
                  <c:pt idx="13">
                    <c:v>1.4946288944538635</c:v>
                  </c:pt>
                  <c:pt idx="14">
                    <c:v>1.1330966061412389</c:v>
                  </c:pt>
                  <c:pt idx="15">
                    <c:v>0.18368105832629764</c:v>
                  </c:pt>
                  <c:pt idx="16">
                    <c:v>0.1461621362122732</c:v>
                  </c:pt>
                  <c:pt idx="17">
                    <c:v>9.8554287921840886E-2</c:v>
                  </c:pt>
                  <c:pt idx="18">
                    <c:v>0.12460772790251598</c:v>
                  </c:pt>
                  <c:pt idx="19">
                    <c:v>0.1023696314066852</c:v>
                  </c:pt>
                  <c:pt idx="20">
                    <c:v>0.19652889400893689</c:v>
                  </c:pt>
                  <c:pt idx="21">
                    <c:v>0.31185988361626182</c:v>
                  </c:pt>
                  <c:pt idx="22">
                    <c:v>0.40064235409054966</c:v>
                  </c:pt>
                  <c:pt idx="23">
                    <c:v>0.60274967467135243</c:v>
                  </c:pt>
                  <c:pt idx="24">
                    <c:v>0.74650915422707087</c:v>
                  </c:pt>
                  <c:pt idx="25">
                    <c:v>0.46146773694189314</c:v>
                  </c:pt>
                  <c:pt idx="26">
                    <c:v>0.3637584951135957</c:v>
                  </c:pt>
                  <c:pt idx="27">
                    <c:v>0.3179693816682051</c:v>
                  </c:pt>
                  <c:pt idx="28">
                    <c:v>0.23964805405503101</c:v>
                  </c:pt>
                  <c:pt idx="29">
                    <c:v>0.20866259514686955</c:v>
                  </c:pt>
                  <c:pt idx="30">
                    <c:v>0.24241667875844902</c:v>
                  </c:pt>
                  <c:pt idx="31">
                    <c:v>0.24441854289920315</c:v>
                  </c:pt>
                  <c:pt idx="32">
                    <c:v>0.18889342014133689</c:v>
                  </c:pt>
                  <c:pt idx="33">
                    <c:v>0.57971634474096301</c:v>
                  </c:pt>
                </c:numCache>
              </c:numRef>
            </c:minus>
            <c:spPr>
              <a:noFill/>
              <a:ln w="9525" cap="flat" cmpd="sng" algn="ctr">
                <a:solidFill>
                  <a:schemeClr val="tx1">
                    <a:lumMod val="65000"/>
                    <a:lumOff val="35000"/>
                  </a:schemeClr>
                </a:solidFill>
                <a:round/>
              </a:ln>
              <a:effectLst/>
            </c:spPr>
          </c:errBars>
          <c:xVal>
            <c:numRef>
              <c:f>'Perm Method 3He Diffusivities'!$T$4:$T$37</c:f>
              <c:numCache>
                <c:formatCode>General</c:formatCode>
                <c:ptCount val="34"/>
                <c:pt idx="0">
                  <c:v>22.573363431151243</c:v>
                </c:pt>
                <c:pt idx="1">
                  <c:v>22.075055187637968</c:v>
                </c:pt>
                <c:pt idx="2">
                  <c:v>21.598272138228943</c:v>
                </c:pt>
                <c:pt idx="3">
                  <c:v>21.141649048625794</c:v>
                </c:pt>
                <c:pt idx="4">
                  <c:v>20.703933747412009</c:v>
                </c:pt>
                <c:pt idx="5">
                  <c:v>20.28397565922921</c:v>
                </c:pt>
                <c:pt idx="6">
                  <c:v>19.880715705765407</c:v>
                </c:pt>
                <c:pt idx="7">
                  <c:v>20.080321285140563</c:v>
                </c:pt>
                <c:pt idx="8">
                  <c:v>20.491803278688526</c:v>
                </c:pt>
                <c:pt idx="9">
                  <c:v>20.92050209205021</c:v>
                </c:pt>
                <c:pt idx="10">
                  <c:v>21.367521367521366</c:v>
                </c:pt>
                <c:pt idx="11">
                  <c:v>21.834061135371179</c:v>
                </c:pt>
                <c:pt idx="12">
                  <c:v>22.321428571428573</c:v>
                </c:pt>
                <c:pt idx="13">
                  <c:v>21.141649048625794</c:v>
                </c:pt>
                <c:pt idx="14">
                  <c:v>20.704362409159611</c:v>
                </c:pt>
                <c:pt idx="15">
                  <c:v>20.28479857195018</c:v>
                </c:pt>
                <c:pt idx="16">
                  <c:v>19.881110956480249</c:v>
                </c:pt>
                <c:pt idx="17">
                  <c:v>19.49317738791423</c:v>
                </c:pt>
                <c:pt idx="18">
                  <c:v>19.305019305019304</c:v>
                </c:pt>
                <c:pt idx="19">
                  <c:v>19.120824489952007</c:v>
                </c:pt>
                <c:pt idx="20">
                  <c:v>19.308374041821978</c:v>
                </c:pt>
                <c:pt idx="21">
                  <c:v>19.493557379286145</c:v>
                </c:pt>
                <c:pt idx="22">
                  <c:v>19.685039370078741</c:v>
                </c:pt>
                <c:pt idx="23">
                  <c:v>19.880715705765407</c:v>
                </c:pt>
                <c:pt idx="24">
                  <c:v>20.080321285140563</c:v>
                </c:pt>
                <c:pt idx="25">
                  <c:v>19.880715705765407</c:v>
                </c:pt>
                <c:pt idx="26">
                  <c:v>19.68891514077578</c:v>
                </c:pt>
                <c:pt idx="27">
                  <c:v>19.49317738791423</c:v>
                </c:pt>
                <c:pt idx="28">
                  <c:v>19.305019305019304</c:v>
                </c:pt>
                <c:pt idx="29">
                  <c:v>19.120458891013385</c:v>
                </c:pt>
                <c:pt idx="30">
                  <c:v>19.121555729774173</c:v>
                </c:pt>
                <c:pt idx="31">
                  <c:v>19.121190102872003</c:v>
                </c:pt>
                <c:pt idx="32">
                  <c:v>19.120458891013385</c:v>
                </c:pt>
                <c:pt idx="33">
                  <c:v>19.49317738791423</c:v>
                </c:pt>
              </c:numCache>
            </c:numRef>
          </c:xVal>
          <c:yVal>
            <c:numRef>
              <c:f>'Perm Method 3He Diffusivities'!$U$4:$U$37</c:f>
              <c:numCache>
                <c:formatCode>General</c:formatCode>
                <c:ptCount val="34"/>
                <c:pt idx="0">
                  <c:v>-21.909783861687121</c:v>
                </c:pt>
                <c:pt idx="1">
                  <c:v>-22.184421007270576</c:v>
                </c:pt>
                <c:pt idx="2">
                  <c:v>-21.975554541085934</c:v>
                </c:pt>
                <c:pt idx="3">
                  <c:v>-21.702439189377039</c:v>
                </c:pt>
                <c:pt idx="4">
                  <c:v>-21.310696745391006</c:v>
                </c:pt>
                <c:pt idx="5">
                  <c:v>-20.990584057760397</c:v>
                </c:pt>
                <c:pt idx="6">
                  <c:v>-20.513906927225889</c:v>
                </c:pt>
                <c:pt idx="7">
                  <c:v>-21.200057638176556</c:v>
                </c:pt>
                <c:pt idx="8">
                  <c:v>-22.014553440567788</c:v>
                </c:pt>
                <c:pt idx="9">
                  <c:v>-22.788297334130629</c:v>
                </c:pt>
                <c:pt idx="10">
                  <c:v>-23.369526603602072</c:v>
                </c:pt>
                <c:pt idx="11">
                  <c:v>-24.566538736322325</c:v>
                </c:pt>
                <c:pt idx="12">
                  <c:v>-24.796155367541129</c:v>
                </c:pt>
                <c:pt idx="13">
                  <c:v>-23.021681008360275</c:v>
                </c:pt>
                <c:pt idx="14">
                  <c:v>-22.667531214394895</c:v>
                </c:pt>
                <c:pt idx="15">
                  <c:v>-21.503720443543052</c:v>
                </c:pt>
                <c:pt idx="16">
                  <c:v>-20.712475688611828</c:v>
                </c:pt>
                <c:pt idx="17">
                  <c:v>-19.807148723973143</c:v>
                </c:pt>
                <c:pt idx="18">
                  <c:v>-19.710177213146306</c:v>
                </c:pt>
                <c:pt idx="19">
                  <c:v>-19.199913770925956</c:v>
                </c:pt>
                <c:pt idx="20">
                  <c:v>-19.810088930197612</c:v>
                </c:pt>
                <c:pt idx="21">
                  <c:v>-20.433283586879945</c:v>
                </c:pt>
                <c:pt idx="22">
                  <c:v>-20.809550484815411</c:v>
                </c:pt>
                <c:pt idx="23">
                  <c:v>-21.33174752965169</c:v>
                </c:pt>
                <c:pt idx="24">
                  <c:v>-21.771219718872807</c:v>
                </c:pt>
                <c:pt idx="25">
                  <c:v>-21.38365018213112</c:v>
                </c:pt>
                <c:pt idx="26">
                  <c:v>-20.955213488823269</c:v>
                </c:pt>
                <c:pt idx="27">
                  <c:v>-20.672535268487838</c:v>
                </c:pt>
                <c:pt idx="28">
                  <c:v>-20.218633946201038</c:v>
                </c:pt>
                <c:pt idx="29">
                  <c:v>-19.888260223383462</c:v>
                </c:pt>
                <c:pt idx="30">
                  <c:v>-19.926651103099889</c:v>
                </c:pt>
                <c:pt idx="31">
                  <c:v>-19.894934735605723</c:v>
                </c:pt>
                <c:pt idx="32">
                  <c:v>-19.958048822713263</c:v>
                </c:pt>
                <c:pt idx="33">
                  <c:v>-20.659737239976117</c:v>
                </c:pt>
              </c:numCache>
            </c:numRef>
          </c:yVal>
          <c:smooth val="0"/>
          <c:extLst>
            <c:ext xmlns:c16="http://schemas.microsoft.com/office/drawing/2014/chart" uri="{C3380CC4-5D6E-409C-BE32-E72D297353CC}">
              <c16:uniqueId val="{00000000-EF1D-4BFC-9D89-43C64CA1F96E}"/>
            </c:ext>
          </c:extLst>
        </c:ser>
        <c:dLbls>
          <c:showLegendKey val="0"/>
          <c:showVal val="0"/>
          <c:showCatName val="0"/>
          <c:showSerName val="0"/>
          <c:showPercent val="0"/>
          <c:showBubbleSize val="0"/>
        </c:dLbls>
        <c:axId val="2132438240"/>
        <c:axId val="2132437280"/>
      </c:scatterChart>
      <c:valAx>
        <c:axId val="213243824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10000/T(K)</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2437280"/>
        <c:crosses val="autoZero"/>
        <c:crossBetween val="midCat"/>
      </c:valAx>
      <c:valAx>
        <c:axId val="2132437280"/>
        <c:scaling>
          <c:orientation val="minMax"/>
          <c:max val="-18"/>
          <c:min val="-25.5"/>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ln(D/a</a:t>
                </a:r>
                <a:r>
                  <a:rPr lang="en-US" baseline="30000"/>
                  <a:t>2</a:t>
                </a:r>
                <a:r>
                  <a:rPr lang="en-US"/>
                  <a: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243824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Delta Plot</a:t>
            </a:r>
            <a:r>
              <a:rPr lang="en-US" baseline="0"/>
              <a:t> with Regression Reference Line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3He</c:v>
          </c:tx>
          <c:spPr>
            <a:ln w="25400" cap="rnd">
              <a:solidFill>
                <a:schemeClr val="accent6">
                  <a:lumMod val="40000"/>
                  <a:lumOff val="60000"/>
                </a:schemeClr>
              </a:solidFill>
              <a:round/>
            </a:ln>
            <a:effectLst/>
          </c:spPr>
          <c:marker>
            <c:symbol val="circle"/>
            <c:size val="5"/>
            <c:spPr>
              <a:solidFill>
                <a:schemeClr val="accent1"/>
              </a:solidFill>
              <a:ln w="9525">
                <a:solidFill>
                  <a:schemeClr val="accent1"/>
                </a:solidFill>
              </a:ln>
              <a:effectLst/>
            </c:spPr>
          </c:marker>
          <c:errBars>
            <c:errDir val="y"/>
            <c:errBarType val="both"/>
            <c:errValType val="cust"/>
            <c:noEndCap val="0"/>
            <c:plus>
              <c:numRef>
                <c:f>'Perm Method 3He Diffusivities'!$V$4:$V$37</c:f>
                <c:numCache>
                  <c:formatCode>General</c:formatCode>
                  <c:ptCount val="34"/>
                  <c:pt idx="0">
                    <c:v>4.5295180685578612E-2</c:v>
                  </c:pt>
                  <c:pt idx="1">
                    <c:v>8.9470864262306771E-2</c:v>
                  </c:pt>
                  <c:pt idx="2">
                    <c:v>8.5490762351553035E-2</c:v>
                  </c:pt>
                  <c:pt idx="3">
                    <c:v>8.8151326738702282E-2</c:v>
                  </c:pt>
                  <c:pt idx="4">
                    <c:v>8.2220743379991343E-2</c:v>
                  </c:pt>
                  <c:pt idx="5">
                    <c:v>7.9824634773571601E-2</c:v>
                  </c:pt>
                  <c:pt idx="6">
                    <c:v>6.6216778962641623E-2</c:v>
                  </c:pt>
                  <c:pt idx="7">
                    <c:v>0.12143479295866201</c:v>
                  </c:pt>
                  <c:pt idx="8">
                    <c:v>0.3162319411232597</c:v>
                  </c:pt>
                  <c:pt idx="9">
                    <c:v>0.82913173978726828</c:v>
                  </c:pt>
                  <c:pt idx="10">
                    <c:v>1.0943842268833597</c:v>
                  </c:pt>
                  <c:pt idx="11">
                    <c:v>2.8220158173012346</c:v>
                  </c:pt>
                  <c:pt idx="12">
                    <c:v>3.7966168987663229</c:v>
                  </c:pt>
                  <c:pt idx="13">
                    <c:v>1.4946288944538635</c:v>
                  </c:pt>
                  <c:pt idx="14">
                    <c:v>1.1330966061412389</c:v>
                  </c:pt>
                  <c:pt idx="15">
                    <c:v>0.18368105832629764</c:v>
                  </c:pt>
                  <c:pt idx="16">
                    <c:v>0.1461621362122732</c:v>
                  </c:pt>
                  <c:pt idx="17">
                    <c:v>9.8554287921840886E-2</c:v>
                  </c:pt>
                  <c:pt idx="18">
                    <c:v>0.12460772790251598</c:v>
                  </c:pt>
                  <c:pt idx="19">
                    <c:v>0.1023696314066852</c:v>
                  </c:pt>
                  <c:pt idx="20">
                    <c:v>0.19652889400893689</c:v>
                  </c:pt>
                  <c:pt idx="21">
                    <c:v>0.31185988361626182</c:v>
                  </c:pt>
                  <c:pt idx="22">
                    <c:v>0.40064235409054966</c:v>
                  </c:pt>
                  <c:pt idx="23">
                    <c:v>0.60274967467135243</c:v>
                  </c:pt>
                  <c:pt idx="24">
                    <c:v>0.74650915422707087</c:v>
                  </c:pt>
                  <c:pt idx="25">
                    <c:v>0.46146773694189314</c:v>
                  </c:pt>
                  <c:pt idx="26">
                    <c:v>0.3637584951135957</c:v>
                  </c:pt>
                  <c:pt idx="27">
                    <c:v>0.3179693816682051</c:v>
                  </c:pt>
                  <c:pt idx="28">
                    <c:v>0.23964805405503101</c:v>
                  </c:pt>
                  <c:pt idx="29">
                    <c:v>0.20866259514686955</c:v>
                  </c:pt>
                  <c:pt idx="30">
                    <c:v>0.24241667875844902</c:v>
                  </c:pt>
                  <c:pt idx="31">
                    <c:v>0.24441854289920315</c:v>
                  </c:pt>
                  <c:pt idx="32">
                    <c:v>0.18889342014133689</c:v>
                  </c:pt>
                  <c:pt idx="33">
                    <c:v>0.57971634474096301</c:v>
                  </c:pt>
                </c:numCache>
              </c:numRef>
            </c:plus>
            <c:minus>
              <c:numRef>
                <c:f>'Perm Method 3He Diffusivities'!$V$4:$V$37</c:f>
                <c:numCache>
                  <c:formatCode>General</c:formatCode>
                  <c:ptCount val="34"/>
                  <c:pt idx="0">
                    <c:v>4.5295180685578612E-2</c:v>
                  </c:pt>
                  <c:pt idx="1">
                    <c:v>8.9470864262306771E-2</c:v>
                  </c:pt>
                  <c:pt idx="2">
                    <c:v>8.5490762351553035E-2</c:v>
                  </c:pt>
                  <c:pt idx="3">
                    <c:v>8.8151326738702282E-2</c:v>
                  </c:pt>
                  <c:pt idx="4">
                    <c:v>8.2220743379991343E-2</c:v>
                  </c:pt>
                  <c:pt idx="5">
                    <c:v>7.9824634773571601E-2</c:v>
                  </c:pt>
                  <c:pt idx="6">
                    <c:v>6.6216778962641623E-2</c:v>
                  </c:pt>
                  <c:pt idx="7">
                    <c:v>0.12143479295866201</c:v>
                  </c:pt>
                  <c:pt idx="8">
                    <c:v>0.3162319411232597</c:v>
                  </c:pt>
                  <c:pt idx="9">
                    <c:v>0.82913173978726828</c:v>
                  </c:pt>
                  <c:pt idx="10">
                    <c:v>1.0943842268833597</c:v>
                  </c:pt>
                  <c:pt idx="11">
                    <c:v>2.8220158173012346</c:v>
                  </c:pt>
                  <c:pt idx="12">
                    <c:v>3.7966168987663229</c:v>
                  </c:pt>
                  <c:pt idx="13">
                    <c:v>1.4946288944538635</c:v>
                  </c:pt>
                  <c:pt idx="14">
                    <c:v>1.1330966061412389</c:v>
                  </c:pt>
                  <c:pt idx="15">
                    <c:v>0.18368105832629764</c:v>
                  </c:pt>
                  <c:pt idx="16">
                    <c:v>0.1461621362122732</c:v>
                  </c:pt>
                  <c:pt idx="17">
                    <c:v>9.8554287921840886E-2</c:v>
                  </c:pt>
                  <c:pt idx="18">
                    <c:v>0.12460772790251598</c:v>
                  </c:pt>
                  <c:pt idx="19">
                    <c:v>0.1023696314066852</c:v>
                  </c:pt>
                  <c:pt idx="20">
                    <c:v>0.19652889400893689</c:v>
                  </c:pt>
                  <c:pt idx="21">
                    <c:v>0.31185988361626182</c:v>
                  </c:pt>
                  <c:pt idx="22">
                    <c:v>0.40064235409054966</c:v>
                  </c:pt>
                  <c:pt idx="23">
                    <c:v>0.60274967467135243</c:v>
                  </c:pt>
                  <c:pt idx="24">
                    <c:v>0.74650915422707087</c:v>
                  </c:pt>
                  <c:pt idx="25">
                    <c:v>0.46146773694189314</c:v>
                  </c:pt>
                  <c:pt idx="26">
                    <c:v>0.3637584951135957</c:v>
                  </c:pt>
                  <c:pt idx="27">
                    <c:v>0.3179693816682051</c:v>
                  </c:pt>
                  <c:pt idx="28">
                    <c:v>0.23964805405503101</c:v>
                  </c:pt>
                  <c:pt idx="29">
                    <c:v>0.20866259514686955</c:v>
                  </c:pt>
                  <c:pt idx="30">
                    <c:v>0.24241667875844902</c:v>
                  </c:pt>
                  <c:pt idx="31">
                    <c:v>0.24441854289920315</c:v>
                  </c:pt>
                  <c:pt idx="32">
                    <c:v>0.18889342014133689</c:v>
                  </c:pt>
                  <c:pt idx="33">
                    <c:v>0.57971634474096301</c:v>
                  </c:pt>
                </c:numCache>
              </c:numRef>
            </c:minus>
            <c:spPr>
              <a:noFill/>
              <a:ln w="9525" cap="flat" cmpd="sng" algn="ctr">
                <a:solidFill>
                  <a:schemeClr val="tx1">
                    <a:lumMod val="65000"/>
                    <a:lumOff val="35000"/>
                  </a:schemeClr>
                </a:solidFill>
                <a:round/>
              </a:ln>
              <a:effectLst/>
            </c:spPr>
          </c:errBars>
          <c:xVal>
            <c:numRef>
              <c:f>'Perm Method 3He Diffusivities'!$I$4:$I$37</c:f>
              <c:numCache>
                <c:formatCode>0.00E+00</c:formatCode>
                <c:ptCount val="34"/>
                <c:pt idx="0">
                  <c:v>7.9353018444338775E-3</c:v>
                </c:pt>
                <c:pt idx="1">
                  <c:v>1.1696695263584267E-2</c:v>
                </c:pt>
                <c:pt idx="2">
                  <c:v>1.564951767140554E-2</c:v>
                </c:pt>
                <c:pt idx="3">
                  <c:v>1.9340024698823025E-2</c:v>
                </c:pt>
                <c:pt idx="4">
                  <c:v>2.3569848306964888E-2</c:v>
                </c:pt>
                <c:pt idx="5">
                  <c:v>2.8148880745362634E-2</c:v>
                </c:pt>
                <c:pt idx="6">
                  <c:v>3.3950252415334115E-2</c:v>
                </c:pt>
                <c:pt idx="7">
                  <c:v>3.9244926157334999E-2</c:v>
                </c:pt>
                <c:pt idx="8">
                  <c:v>4.031405026952533E-2</c:v>
                </c:pt>
                <c:pt idx="9">
                  <c:v>4.0872509277167506E-2</c:v>
                </c:pt>
                <c:pt idx="10">
                  <c:v>4.1526961780006325E-2</c:v>
                </c:pt>
                <c:pt idx="11">
                  <c:v>4.1657994149536477E-2</c:v>
                </c:pt>
                <c:pt idx="12">
                  <c:v>4.1787073741811148E-2</c:v>
                </c:pt>
                <c:pt idx="13">
                  <c:v>4.2001315615652152E-2</c:v>
                </c:pt>
                <c:pt idx="14">
                  <c:v>4.2605981790303581E-2</c:v>
                </c:pt>
                <c:pt idx="15">
                  <c:v>4.67216629447312E-2</c:v>
                </c:pt>
                <c:pt idx="16">
                  <c:v>4.9397032835483252E-2</c:v>
                </c:pt>
                <c:pt idx="17">
                  <c:v>5.4474352635816931E-2</c:v>
                </c:pt>
                <c:pt idx="18">
                  <c:v>5.8478499630521083E-2</c:v>
                </c:pt>
                <c:pt idx="19">
                  <c:v>6.3640817730684182E-2</c:v>
                </c:pt>
                <c:pt idx="20">
                  <c:v>6.6999445651221415E-2</c:v>
                </c:pt>
                <c:pt idx="21">
                  <c:v>6.9044545748799785E-2</c:v>
                </c:pt>
                <c:pt idx="22">
                  <c:v>7.0623166895993225E-2</c:v>
                </c:pt>
                <c:pt idx="23">
                  <c:v>7.1665448775852597E-2</c:v>
                </c:pt>
                <c:pt idx="24">
                  <c:v>7.2692221763775308E-2</c:v>
                </c:pt>
                <c:pt idx="25">
                  <c:v>7.3834159375815764E-2</c:v>
                </c:pt>
                <c:pt idx="26">
                  <c:v>7.5381407676176584E-2</c:v>
                </c:pt>
                <c:pt idx="27">
                  <c:v>7.7163689277209138E-2</c:v>
                </c:pt>
                <c:pt idx="28">
                  <c:v>7.9549493872358282E-2</c:v>
                </c:pt>
                <c:pt idx="29">
                  <c:v>8.2298754238922925E-2</c:v>
                </c:pt>
                <c:pt idx="30">
                  <c:v>8.4854710393597946E-2</c:v>
                </c:pt>
                <c:pt idx="31">
                  <c:v>8.7409173923020889E-2</c:v>
                </c:pt>
                <c:pt idx="32">
                  <c:v>0.14611929255912087</c:v>
                </c:pt>
                <c:pt idx="33">
                  <c:v>0.14784673365469669</c:v>
                </c:pt>
              </c:numCache>
            </c:numRef>
          </c:xVal>
          <c:yVal>
            <c:numRef>
              <c:f>'Perm Method 3He Diffusivities'!$Y$4:$Y$37</c:f>
              <c:numCache>
                <c:formatCode>General</c:formatCode>
                <c:ptCount val="34"/>
                <c:pt idx="0">
                  <c:v>4.6110411672716509</c:v>
                </c:pt>
                <c:pt idx="1">
                  <c:v>3.3827890423161193</c:v>
                </c:pt>
                <c:pt idx="2">
                  <c:v>2.6792334008078349</c:v>
                </c:pt>
                <c:pt idx="3">
                  <c:v>2.0785068607939046</c:v>
                </c:pt>
                <c:pt idx="4">
                  <c:v>1.632591342320989</c:v>
                </c:pt>
                <c:pt idx="5">
                  <c:v>1.1490281349352145</c:v>
                </c:pt>
                <c:pt idx="6">
                  <c:v>0.85398467443012649</c:v>
                </c:pt>
                <c:pt idx="7">
                  <c:v>0.5498201596466501</c:v>
                </c:pt>
                <c:pt idx="8">
                  <c:v>0.52277950755089009</c:v>
                </c:pt>
                <c:pt idx="9">
                  <c:v>0.56943867852182706</c:v>
                </c:pt>
                <c:pt idx="10">
                  <c:v>0.84367243360697586</c:v>
                </c:pt>
                <c:pt idx="11">
                  <c:v>0.53947978939775254</c:v>
                </c:pt>
                <c:pt idx="12">
                  <c:v>1.2425406595699329</c:v>
                </c:pt>
                <c:pt idx="13">
                  <c:v>0.7592650418106679</c:v>
                </c:pt>
                <c:pt idx="14">
                  <c:v>0.27657720544871012</c:v>
                </c:pt>
                <c:pt idx="15">
                  <c:v>0.63746656134490465</c:v>
                </c:pt>
                <c:pt idx="16">
                  <c:v>0.65617230631519163</c:v>
                </c:pt>
                <c:pt idx="17">
                  <c:v>0.81910885939335643</c:v>
                </c:pt>
                <c:pt idx="18">
                  <c:v>0.55600130535569292</c:v>
                </c:pt>
                <c:pt idx="19">
                  <c:v>0.71377020818726322</c:v>
                </c:pt>
                <c:pt idx="20">
                  <c:v>0.46250956491228834</c:v>
                </c:pt>
                <c:pt idx="21">
                  <c:v>0.1937011878766377</c:v>
                </c:pt>
                <c:pt idx="22">
                  <c:v>0.18387433398379116</c:v>
                </c:pt>
                <c:pt idx="23">
                  <c:v>3.6144072004326233E-2</c:v>
                </c:pt>
                <c:pt idx="24">
                  <c:v>-2.1341921049600643E-2</c:v>
                </c:pt>
                <c:pt idx="25">
                  <c:v>-1.5758580475104367E-2</c:v>
                </c:pt>
                <c:pt idx="26">
                  <c:v>4.5628411754979226E-2</c:v>
                </c:pt>
                <c:pt idx="27">
                  <c:v>-4.6277685121339118E-2</c:v>
                </c:pt>
                <c:pt idx="28">
                  <c:v>4.7544572300960652E-2</c:v>
                </c:pt>
                <c:pt idx="29">
                  <c:v>2.4724107211294921E-2</c:v>
                </c:pt>
                <c:pt idx="30">
                  <c:v>-1.1567746679538971E-2</c:v>
                </c:pt>
                <c:pt idx="31">
                  <c:v>1.9448918782185132E-2</c:v>
                </c:pt>
                <c:pt idx="32">
                  <c:v>-4.5064492118505939E-2</c:v>
                </c:pt>
                <c:pt idx="33">
                  <c:v>-3.3479656609618047E-2</c:v>
                </c:pt>
              </c:numCache>
            </c:numRef>
          </c:yVal>
          <c:smooth val="0"/>
          <c:extLst>
            <c:ext xmlns:c16="http://schemas.microsoft.com/office/drawing/2014/chart" uri="{C3380CC4-5D6E-409C-BE32-E72D297353CC}">
              <c16:uniqueId val="{00000000-DDA9-4305-8E54-2822F201E188}"/>
            </c:ext>
          </c:extLst>
        </c:ser>
        <c:dLbls>
          <c:showLegendKey val="0"/>
          <c:showVal val="0"/>
          <c:showCatName val="0"/>
          <c:showSerName val="0"/>
          <c:showPercent val="0"/>
          <c:showBubbleSize val="0"/>
        </c:dLbls>
        <c:axId val="996476207"/>
        <c:axId val="996477647"/>
      </c:scatterChart>
      <c:valAx>
        <c:axId val="99647620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3He Fractional</a:t>
                </a:r>
                <a:r>
                  <a:rPr lang="en-US" baseline="0"/>
                  <a:t> Yield</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0"/>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6477647"/>
        <c:crosses val="autoZero"/>
        <c:crossBetween val="midCat"/>
      </c:valAx>
      <c:valAx>
        <c:axId val="996477647"/>
        <c:scaling>
          <c:orientation val="minMax"/>
          <c:max val="5"/>
          <c:min val="-5"/>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Delta</a:t>
                </a:r>
                <a:r>
                  <a:rPr lang="en-US" baseline="0"/>
                  <a:t> ln(D/a</a:t>
                </a:r>
                <a:r>
                  <a:rPr lang="en-US" baseline="30000"/>
                  <a:t>2</a:t>
                </a:r>
                <a:r>
                  <a:rPr lang="en-US" baseline="0"/>
                  <a:t>)</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6476207"/>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3He Apparent</a:t>
            </a:r>
            <a:r>
              <a:rPr lang="en-US" baseline="0"/>
              <a:t> Permeabilities for HT-Win-06-01b</a:t>
            </a:r>
            <a:endParaRPr lang="en-US"/>
          </a:p>
        </c:rich>
      </c:tx>
      <c:layout>
        <c:manualLayout>
          <c:xMode val="edge"/>
          <c:yMode val="edge"/>
          <c:x val="0.23705243442761825"/>
          <c:y val="2.568873461522865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2"/>
          <c:order val="0"/>
          <c:tx>
            <c:v>Swets et al., 1961; Jones 1954. Anhydrous</c:v>
          </c:tx>
          <c:spPr>
            <a:ln w="25400" cap="rnd">
              <a:solidFill>
                <a:schemeClr val="accent6">
                  <a:lumMod val="40000"/>
                  <a:lumOff val="60000"/>
                </a:schemeClr>
              </a:solidFill>
              <a:round/>
            </a:ln>
            <a:effectLst/>
          </c:spPr>
          <c:marker>
            <c:symbol val="circle"/>
            <c:size val="5"/>
            <c:spPr>
              <a:solidFill>
                <a:schemeClr val="accent3"/>
              </a:solidFill>
              <a:ln w="9525">
                <a:solidFill>
                  <a:schemeClr val="accent3"/>
                </a:solidFill>
              </a:ln>
              <a:effectLst/>
            </c:spPr>
          </c:marker>
          <c:xVal>
            <c:numRef>
              <c:f>'Fit Lambdas'!$P$2:$P$6</c:f>
              <c:numCache>
                <c:formatCode>General</c:formatCode>
                <c:ptCount val="5"/>
                <c:pt idx="0">
                  <c:v>27.548209366391184</c:v>
                </c:pt>
                <c:pt idx="1">
                  <c:v>27.173913043478262</c:v>
                </c:pt>
                <c:pt idx="2">
                  <c:v>26.809651474530831</c:v>
                </c:pt>
                <c:pt idx="3">
                  <c:v>26.455026455026456</c:v>
                </c:pt>
                <c:pt idx="4">
                  <c:v>26.109660574412533</c:v>
                </c:pt>
              </c:numCache>
            </c:numRef>
          </c:xVal>
          <c:yVal>
            <c:numRef>
              <c:f>'Fit Lambdas'!$Q$2:$Q$6</c:f>
              <c:numCache>
                <c:formatCode>General</c:formatCode>
                <c:ptCount val="5"/>
                <c:pt idx="0">
                  <c:v>25.018107203522302</c:v>
                </c:pt>
                <c:pt idx="1">
                  <c:v>25.111483493038101</c:v>
                </c:pt>
                <c:pt idx="2">
                  <c:v>25.2023563967761</c:v>
                </c:pt>
                <c:pt idx="3">
                  <c:v>25.290825255441501</c:v>
                </c:pt>
                <c:pt idx="4">
                  <c:v>25.376984222235901</c:v>
                </c:pt>
              </c:numCache>
            </c:numRef>
          </c:yVal>
          <c:smooth val="0"/>
          <c:extLst>
            <c:ext xmlns:c16="http://schemas.microsoft.com/office/drawing/2014/chart" uri="{C3380CC4-5D6E-409C-BE32-E72D297353CC}">
              <c16:uniqueId val="{00000006-316A-4F36-907B-E04AA03543F9}"/>
            </c:ext>
          </c:extLst>
        </c:ser>
        <c:ser>
          <c:idx val="4"/>
          <c:order val="1"/>
          <c:tx>
            <c:v>Diffusion Model with cooling, Anhydrous</c:v>
          </c:tx>
          <c:spPr>
            <a:ln w="25400" cap="rnd">
              <a:noFill/>
              <a:round/>
            </a:ln>
            <a:effectLst/>
          </c:spPr>
          <c:marker>
            <c:symbol val="circle"/>
            <c:size val="5"/>
            <c:spPr>
              <a:noFill/>
              <a:ln w="9525">
                <a:solidFill>
                  <a:schemeClr val="accent5"/>
                </a:solidFill>
              </a:ln>
              <a:effectLst/>
            </c:spPr>
          </c:marker>
          <c:xVal>
            <c:numRef>
              <c:f>'Fit Lambdas'!$E$2:$E$11</c:f>
              <c:numCache>
                <c:formatCode>General</c:formatCode>
                <c:ptCount val="10"/>
                <c:pt idx="0">
                  <c:v>26.455026455026456</c:v>
                </c:pt>
                <c:pt idx="1">
                  <c:v>26.11034230658764</c:v>
                </c:pt>
                <c:pt idx="2">
                  <c:v>26.819717856568147</c:v>
                </c:pt>
                <c:pt idx="3">
                  <c:v>27.173913043478262</c:v>
                </c:pt>
                <c:pt idx="4">
                  <c:v>26.455726341966717</c:v>
                </c:pt>
                <c:pt idx="5">
                  <c:v>26.809651474530831</c:v>
                </c:pt>
                <c:pt idx="6">
                  <c:v>27.173913043478262</c:v>
                </c:pt>
                <c:pt idx="7">
                  <c:v>27.548209366391184</c:v>
                </c:pt>
                <c:pt idx="8">
                  <c:v>27.548209366391184</c:v>
                </c:pt>
                <c:pt idx="9">
                  <c:v>26.810370251213168</c:v>
                </c:pt>
              </c:numCache>
            </c:numRef>
          </c:xVal>
          <c:yVal>
            <c:numRef>
              <c:f>'Fit Lambdas'!$S$2:$S$12</c:f>
              <c:numCache>
                <c:formatCode>General</c:formatCode>
                <c:ptCount val="11"/>
              </c:numCache>
            </c:numRef>
          </c:yVal>
          <c:smooth val="0"/>
          <c:extLst>
            <c:ext xmlns:c16="http://schemas.microsoft.com/office/drawing/2014/chart" uri="{C3380CC4-5D6E-409C-BE32-E72D297353CC}">
              <c16:uniqueId val="{00000007-316A-4F36-907B-E04AA03543F9}"/>
            </c:ext>
          </c:extLst>
        </c:ser>
        <c:ser>
          <c:idx val="0"/>
          <c:order val="2"/>
          <c:tx>
            <c:v>95% Confidence Interval For Prediction</c:v>
          </c:tx>
          <c:spPr>
            <a:ln w="25400" cap="rnd">
              <a:solidFill>
                <a:schemeClr val="accent4">
                  <a:alpha val="24000"/>
                </a:schemeClr>
              </a:solidFill>
              <a:round/>
            </a:ln>
            <a:effectLst/>
          </c:spPr>
          <c:marker>
            <c:symbol val="none"/>
          </c:marker>
          <c:xVal>
            <c:numRef>
              <c:f>'Fit Lambdas'!$S$24:$S$25</c:f>
              <c:numCache>
                <c:formatCode>General</c:formatCode>
                <c:ptCount val="2"/>
                <c:pt idx="0">
                  <c:v>27.6</c:v>
                </c:pt>
                <c:pt idx="1">
                  <c:v>26.1</c:v>
                </c:pt>
              </c:numCache>
            </c:numRef>
          </c:xVal>
          <c:yVal>
            <c:numRef>
              <c:f>'Fit Lambdas'!$T$24:$T$25</c:f>
              <c:numCache>
                <c:formatCode>General</c:formatCode>
                <c:ptCount val="2"/>
                <c:pt idx="0">
                  <c:v>25.186615555018591</c:v>
                </c:pt>
                <c:pt idx="1">
                  <c:v>25.956044192272408</c:v>
                </c:pt>
              </c:numCache>
            </c:numRef>
          </c:yVal>
          <c:smooth val="0"/>
          <c:extLst>
            <c:ext xmlns:c16="http://schemas.microsoft.com/office/drawing/2014/chart" uri="{C3380CC4-5D6E-409C-BE32-E72D297353CC}">
              <c16:uniqueId val="{0000000C-316A-4F36-907B-E04AA03543F9}"/>
            </c:ext>
          </c:extLst>
        </c:ser>
        <c:ser>
          <c:idx val="1"/>
          <c:order val="3"/>
          <c:spPr>
            <a:ln w="25400" cap="rnd">
              <a:solidFill>
                <a:schemeClr val="accent4">
                  <a:alpha val="23000"/>
                </a:schemeClr>
              </a:solidFill>
              <a:round/>
            </a:ln>
            <a:effectLst/>
          </c:spPr>
          <c:marker>
            <c:symbol val="none"/>
          </c:marker>
          <c:xVal>
            <c:numRef>
              <c:f>'Fit Lambdas'!$S$24:$S$25</c:f>
              <c:numCache>
                <c:formatCode>General</c:formatCode>
                <c:ptCount val="2"/>
                <c:pt idx="0">
                  <c:v>27.6</c:v>
                </c:pt>
                <c:pt idx="1">
                  <c:v>26.1</c:v>
                </c:pt>
              </c:numCache>
            </c:numRef>
          </c:xVal>
          <c:yVal>
            <c:numRef>
              <c:f>'Fit Lambdas'!$U$24:$U$25</c:f>
              <c:numCache>
                <c:formatCode>General</c:formatCode>
                <c:ptCount val="2"/>
                <c:pt idx="0">
                  <c:v>24.922091194719243</c:v>
                </c:pt>
                <c:pt idx="1">
                  <c:v>25.691519831973061</c:v>
                </c:pt>
              </c:numCache>
            </c:numRef>
          </c:yVal>
          <c:smooth val="0"/>
          <c:extLst>
            <c:ext xmlns:c16="http://schemas.microsoft.com/office/drawing/2014/chart" uri="{C3380CC4-5D6E-409C-BE32-E72D297353CC}">
              <c16:uniqueId val="{0000000D-316A-4F36-907B-E04AA03543F9}"/>
            </c:ext>
          </c:extLst>
        </c:ser>
        <c:ser>
          <c:idx val="3"/>
          <c:order val="4"/>
          <c:tx>
            <c:v>Naïve Method Fit Values: Goethite Tube</c:v>
          </c:tx>
          <c:spPr>
            <a:ln w="25400" cap="rnd">
              <a:noFill/>
              <a:round/>
            </a:ln>
            <a:effectLst/>
          </c:spPr>
          <c:marker>
            <c:symbol val="circle"/>
            <c:size val="5"/>
            <c:spPr>
              <a:noFill/>
              <a:ln w="9525">
                <a:solidFill>
                  <a:schemeClr val="accent4"/>
                </a:solidFill>
              </a:ln>
              <a:effectLst/>
            </c:spPr>
          </c:marker>
          <c:trendline>
            <c:spPr>
              <a:ln w="19050" cap="rnd">
                <a:solidFill>
                  <a:schemeClr val="accent4"/>
                </a:solidFill>
                <a:prstDash val="sysDot"/>
              </a:ln>
              <a:effectLst/>
            </c:spPr>
            <c:trendlineType val="linear"/>
            <c:dispRSqr val="1"/>
            <c:dispEq val="1"/>
            <c:trendlineLbl>
              <c:layout>
                <c:manualLayout>
                  <c:x val="-2.6592169985074857E-2"/>
                  <c:y val="-0.18062819288432094"/>
                </c:manualLayout>
              </c:layout>
              <c:numFmt formatCode="#,##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errBars>
            <c:errDir val="y"/>
            <c:errBarType val="both"/>
            <c:errValType val="cust"/>
            <c:noEndCap val="0"/>
            <c:plus>
              <c:numRef>
                <c:f>('Fit Lambdas'!$K$2:$K$9,'Fit Lambdas'!$K$10:$K$11)</c:f>
                <c:numCache>
                  <c:formatCode>General</c:formatCode>
                  <c:ptCount val="10"/>
                  <c:pt idx="0">
                    <c:v>0.2780704838388533</c:v>
                  </c:pt>
                  <c:pt idx="1">
                    <c:v>0.2905139067122256</c:v>
                  </c:pt>
                  <c:pt idx="2">
                    <c:v>0.29177748762405553</c:v>
                  </c:pt>
                  <c:pt idx="3">
                    <c:v>8.2537522318560291E-2</c:v>
                  </c:pt>
                  <c:pt idx="4">
                    <c:v>0.12206887264114533</c:v>
                  </c:pt>
                  <c:pt idx="5">
                    <c:v>0.11203846260278623</c:v>
                  </c:pt>
                  <c:pt idx="6">
                    <c:v>0.45701608510159564</c:v>
                  </c:pt>
                  <c:pt idx="7">
                    <c:v>0.18026466020520085</c:v>
                  </c:pt>
                  <c:pt idx="8">
                    <c:v>0.30138077852519563</c:v>
                  </c:pt>
                  <c:pt idx="9">
                    <c:v>0.31142098031239968</c:v>
                  </c:pt>
                </c:numCache>
              </c:numRef>
            </c:plus>
            <c:minus>
              <c:numRef>
                <c:f>('Fit Lambdas'!$K$2:$K$9,'Fit Lambdas'!$K$10:$K$11)</c:f>
                <c:numCache>
                  <c:formatCode>General</c:formatCode>
                  <c:ptCount val="10"/>
                  <c:pt idx="0">
                    <c:v>0.2780704838388533</c:v>
                  </c:pt>
                  <c:pt idx="1">
                    <c:v>0.2905139067122256</c:v>
                  </c:pt>
                  <c:pt idx="2">
                    <c:v>0.29177748762405553</c:v>
                  </c:pt>
                  <c:pt idx="3">
                    <c:v>8.2537522318560291E-2</c:v>
                  </c:pt>
                  <c:pt idx="4">
                    <c:v>0.12206887264114533</c:v>
                  </c:pt>
                  <c:pt idx="5">
                    <c:v>0.11203846260278623</c:v>
                  </c:pt>
                  <c:pt idx="6">
                    <c:v>0.45701608510159564</c:v>
                  </c:pt>
                  <c:pt idx="7">
                    <c:v>0.18026466020520085</c:v>
                  </c:pt>
                  <c:pt idx="8">
                    <c:v>0.30138077852519563</c:v>
                  </c:pt>
                  <c:pt idx="9">
                    <c:v>0.31142098031239968</c:v>
                  </c:pt>
                </c:numCache>
              </c:numRef>
            </c:minus>
            <c:spPr>
              <a:noFill/>
              <a:ln w="9525" cap="flat" cmpd="sng" algn="ctr">
                <a:solidFill>
                  <a:schemeClr val="tx1"/>
                </a:solidFill>
                <a:round/>
              </a:ln>
              <a:effectLst/>
            </c:spPr>
          </c:errBars>
          <c:xVal>
            <c:numRef>
              <c:f>('Fit Lambdas'!$E$2:$E$9,'Fit Lambdas'!$E$10:$E$11)</c:f>
              <c:numCache>
                <c:formatCode>General</c:formatCode>
                <c:ptCount val="10"/>
                <c:pt idx="0">
                  <c:v>26.455026455026456</c:v>
                </c:pt>
                <c:pt idx="1">
                  <c:v>26.11034230658764</c:v>
                </c:pt>
                <c:pt idx="2">
                  <c:v>26.819717856568147</c:v>
                </c:pt>
                <c:pt idx="3">
                  <c:v>27.173913043478262</c:v>
                </c:pt>
                <c:pt idx="4">
                  <c:v>26.455726341966717</c:v>
                </c:pt>
                <c:pt idx="5">
                  <c:v>26.809651474530831</c:v>
                </c:pt>
                <c:pt idx="6">
                  <c:v>27.173913043478262</c:v>
                </c:pt>
                <c:pt idx="7">
                  <c:v>27.548209366391184</c:v>
                </c:pt>
                <c:pt idx="8">
                  <c:v>27.548209366391184</c:v>
                </c:pt>
                <c:pt idx="9">
                  <c:v>26.810370251213168</c:v>
                </c:pt>
              </c:numCache>
            </c:numRef>
          </c:xVal>
          <c:yVal>
            <c:numRef>
              <c:f>('Fit Lambdas'!$J$2:$J$9,'Fit Lambdas'!$J$10:$J$11)</c:f>
              <c:numCache>
                <c:formatCode>General</c:formatCode>
                <c:ptCount val="10"/>
                <c:pt idx="0">
                  <c:v>25.629131653354218</c:v>
                </c:pt>
                <c:pt idx="1">
                  <c:v>25.871766715804515</c:v>
                </c:pt>
                <c:pt idx="2">
                  <c:v>25.529309592783147</c:v>
                </c:pt>
                <c:pt idx="3">
                  <c:v>25.206273361069854</c:v>
                </c:pt>
                <c:pt idx="4">
                  <c:v>25.664758346341085</c:v>
                </c:pt>
                <c:pt idx="5">
                  <c:v>25.363494923060479</c:v>
                </c:pt>
                <c:pt idx="6">
                  <c:v>25.275979068148281</c:v>
                </c:pt>
                <c:pt idx="7">
                  <c:v>25.07087478801504</c:v>
                </c:pt>
                <c:pt idx="8">
                  <c:v>25.177040312668698</c:v>
                </c:pt>
                <c:pt idx="9">
                  <c:v>25.394261659047757</c:v>
                </c:pt>
              </c:numCache>
            </c:numRef>
          </c:yVal>
          <c:smooth val="0"/>
          <c:extLst>
            <c:ext xmlns:c16="http://schemas.microsoft.com/office/drawing/2014/chart" uri="{C3380CC4-5D6E-409C-BE32-E72D297353CC}">
              <c16:uniqueId val="{00000001-316A-4F36-907B-E04AA03543F9}"/>
            </c:ext>
          </c:extLst>
        </c:ser>
        <c:dLbls>
          <c:showLegendKey val="0"/>
          <c:showVal val="0"/>
          <c:showCatName val="0"/>
          <c:showSerName val="0"/>
          <c:showPercent val="0"/>
          <c:showBubbleSize val="0"/>
        </c:dLbls>
        <c:axId val="849359472"/>
        <c:axId val="849359952"/>
      </c:scatterChart>
      <c:valAx>
        <c:axId val="849359472"/>
        <c:scaling>
          <c:orientation val="minMax"/>
          <c:max val="27.6"/>
          <c:min val="26.1"/>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10000/T</a:t>
                </a:r>
                <a:r>
                  <a:rPr lang="en-US" baseline="0"/>
                  <a:t> (K)</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9359952"/>
        <c:crosses val="autoZero"/>
        <c:crossBetween val="midCat"/>
      </c:valAx>
      <c:valAx>
        <c:axId val="849359952"/>
        <c:scaling>
          <c:orientation val="minMax"/>
          <c:max val="26.2"/>
          <c:min val="24.8"/>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ln(K) Log</a:t>
                </a:r>
                <a:r>
                  <a:rPr lang="en-US" baseline="0"/>
                  <a:t> Permeability</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9359472"/>
        <c:crosses val="autoZero"/>
        <c:crossBetween val="midCat"/>
      </c:valAx>
      <c:spPr>
        <a:noFill/>
        <a:ln>
          <a:noFill/>
        </a:ln>
        <a:effectLst/>
      </c:spPr>
    </c:plotArea>
    <c:legend>
      <c:legendPos val="b"/>
      <c:legendEntry>
        <c:idx val="3"/>
        <c:delete val="1"/>
      </c:legendEntry>
      <c:legendEntry>
        <c:idx val="5"/>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Series 1 First Order </a:t>
            </a:r>
            <a:r>
              <a:rPr lang="en-US" sz="1400"/>
              <a:t>Fit </a:t>
            </a:r>
            <a:r>
              <a:rPr lang="en-US" sz="1400" b="0" i="0" u="none" strike="noStrike" kern="1200" spc="0" baseline="0">
                <a:solidFill>
                  <a:sysClr val="windowText" lastClr="000000">
                    <a:lumMod val="65000"/>
                    <a:lumOff val="35000"/>
                  </a:sysClr>
                </a:solidFill>
              </a:rPr>
              <a:t>105°C</a:t>
            </a:r>
            <a:r>
              <a:rPr lang="en-US" sz="1100" b="0" i="0" u="none" strike="noStrike" kern="1200" spc="0" baseline="0">
                <a:solidFill>
                  <a:sysClr val="windowText" lastClr="000000">
                    <a:lumMod val="65000"/>
                    <a:lumOff val="35000"/>
                  </a:sysClr>
                </a:solidFill>
              </a:rPr>
              <a:t> </a:t>
            </a:r>
            <a:r>
              <a:rPr lang="en-US"/>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Data</c:v>
          </c:tx>
          <c:spPr>
            <a:ln w="38100" cap="rnd">
              <a:noFill/>
              <a:round/>
            </a:ln>
            <a:effectLst/>
          </c:spPr>
          <c:marker>
            <c:symbol val="circle"/>
            <c:size val="5"/>
            <c:spPr>
              <a:solidFill>
                <a:schemeClr val="accent1"/>
              </a:solidFill>
              <a:ln w="9525">
                <a:solidFill>
                  <a:schemeClr val="accent1"/>
                </a:solidFill>
              </a:ln>
              <a:effectLst/>
            </c:spPr>
          </c:marker>
          <c:errBars>
            <c:errDir val="x"/>
            <c:errBarType val="both"/>
            <c:errValType val="fixedVal"/>
            <c:noEndCap val="0"/>
            <c:val val="1"/>
            <c:spPr>
              <a:noFill/>
              <a:ln w="9525" cap="flat" cmpd="sng" algn="ctr">
                <a:solidFill>
                  <a:schemeClr val="tx1">
                    <a:lumMod val="65000"/>
                    <a:lumOff val="35000"/>
                  </a:schemeClr>
                </a:solidFill>
                <a:round/>
              </a:ln>
              <a:effectLst/>
            </c:spPr>
          </c:errBars>
          <c:xVal>
            <c:numRef>
              <c:f>'Fit Lambdas'!$Q$42:$Q$44</c:f>
              <c:numCache>
                <c:formatCode>General</c:formatCode>
                <c:ptCount val="3"/>
                <c:pt idx="0">
                  <c:v>9000</c:v>
                </c:pt>
                <c:pt idx="1">
                  <c:v>18000</c:v>
                </c:pt>
                <c:pt idx="2">
                  <c:v>27000</c:v>
                </c:pt>
              </c:numCache>
            </c:numRef>
          </c:xVal>
          <c:yVal>
            <c:numRef>
              <c:f>'Fit Lambdas'!$R$42:$R$44</c:f>
              <c:numCache>
                <c:formatCode>General</c:formatCode>
                <c:ptCount val="3"/>
                <c:pt idx="0">
                  <c:v>1.9048754235121E-2</c:v>
                </c:pt>
                <c:pt idx="1">
                  <c:v>3.0182693164507002E-2</c:v>
                </c:pt>
                <c:pt idx="2">
                  <c:v>3.8210152874778004E-2</c:v>
                </c:pt>
              </c:numCache>
            </c:numRef>
          </c:yVal>
          <c:smooth val="0"/>
          <c:extLst>
            <c:ext xmlns:c16="http://schemas.microsoft.com/office/drawing/2014/chart" uri="{C3380CC4-5D6E-409C-BE32-E72D297353CC}">
              <c16:uniqueId val="{00000000-4988-4885-BDD1-976BA67A0594}"/>
            </c:ext>
          </c:extLst>
        </c:ser>
        <c:ser>
          <c:idx val="1"/>
          <c:order val="1"/>
          <c:tx>
            <c:v>Fit Params</c:v>
          </c:tx>
          <c:spPr>
            <a:ln w="25400" cap="rnd">
              <a:solidFill>
                <a:srgbClr val="FF0000"/>
              </a:solidFill>
              <a:round/>
            </a:ln>
            <a:effectLst/>
          </c:spPr>
          <c:marker>
            <c:symbol val="none"/>
          </c:marker>
          <c:xVal>
            <c:numRef>
              <c:f>'Fit Lambdas'!$Q$41:$Q$44</c:f>
              <c:numCache>
                <c:formatCode>General</c:formatCode>
                <c:ptCount val="4"/>
                <c:pt idx="0">
                  <c:v>0</c:v>
                </c:pt>
                <c:pt idx="1">
                  <c:v>9000</c:v>
                </c:pt>
                <c:pt idx="2">
                  <c:v>18000</c:v>
                </c:pt>
                <c:pt idx="3">
                  <c:v>27000</c:v>
                </c:pt>
              </c:numCache>
            </c:numRef>
          </c:xVal>
          <c:yVal>
            <c:numRef>
              <c:f>'Fit Lambdas'!$Y$41:$Y$44</c:f>
              <c:numCache>
                <c:formatCode>0.00E+00</c:formatCode>
                <c:ptCount val="4"/>
                <c:pt idx="0" formatCode="General">
                  <c:v>0</c:v>
                </c:pt>
                <c:pt idx="1">
                  <c:v>1.8490262207783874E-2</c:v>
                </c:pt>
                <c:pt idx="2">
                  <c:v>3.0423587020813315E-2</c:v>
                </c:pt>
                <c:pt idx="3">
                  <c:v>3.8125167425298652E-2</c:v>
                </c:pt>
              </c:numCache>
            </c:numRef>
          </c:yVal>
          <c:smooth val="0"/>
          <c:extLst>
            <c:ext xmlns:c16="http://schemas.microsoft.com/office/drawing/2014/chart" uri="{C3380CC4-5D6E-409C-BE32-E72D297353CC}">
              <c16:uniqueId val="{00000001-4988-4885-BDD1-976BA67A0594}"/>
            </c:ext>
          </c:extLst>
        </c:ser>
        <c:dLbls>
          <c:showLegendKey val="0"/>
          <c:showVal val="0"/>
          <c:showCatName val="0"/>
          <c:showSerName val="0"/>
          <c:showPercent val="0"/>
          <c:showBubbleSize val="0"/>
        </c:dLbls>
        <c:axId val="364447455"/>
        <c:axId val="364431615"/>
      </c:scatterChart>
      <c:valAx>
        <c:axId val="3644474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4431615"/>
        <c:crosses val="autoZero"/>
        <c:crossBetween val="midCat"/>
      </c:valAx>
      <c:valAx>
        <c:axId val="364431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4447455"/>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Series 2 First Order Fit 110</a:t>
            </a:r>
            <a:r>
              <a:rPr lang="en-US" sz="1400" b="0" i="0" u="none" strike="noStrike" kern="1200" spc="0" baseline="0">
                <a:solidFill>
                  <a:sysClr val="windowText" lastClr="000000">
                    <a:lumMod val="65000"/>
                    <a:lumOff val="35000"/>
                  </a:sysClr>
                </a:solidFill>
              </a:rPr>
              <a:t>°C</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Data</c:v>
          </c:tx>
          <c:spPr>
            <a:ln w="38100" cap="rnd">
              <a:noFill/>
              <a:round/>
            </a:ln>
            <a:effectLst/>
          </c:spPr>
          <c:marker>
            <c:symbol val="circle"/>
            <c:size val="5"/>
            <c:spPr>
              <a:solidFill>
                <a:schemeClr val="accent1"/>
              </a:solidFill>
              <a:ln w="9525">
                <a:solidFill>
                  <a:schemeClr val="accent1"/>
                </a:solidFill>
              </a:ln>
              <a:effectLst/>
            </c:spPr>
          </c:marker>
          <c:errBars>
            <c:errDir val="x"/>
            <c:errBarType val="both"/>
            <c:errValType val="fixedVal"/>
            <c:noEndCap val="0"/>
            <c:val val="1"/>
            <c:spPr>
              <a:noFill/>
              <a:ln w="9525" cap="flat" cmpd="sng" algn="ctr">
                <a:solidFill>
                  <a:schemeClr val="tx1">
                    <a:lumMod val="65000"/>
                    <a:lumOff val="35000"/>
                  </a:schemeClr>
                </a:solidFill>
                <a:round/>
              </a:ln>
              <a:effectLst/>
            </c:spPr>
          </c:errBars>
          <c:xVal>
            <c:numRef>
              <c:f>'Fit Lambdas'!$Q$45:$Q$48</c:f>
              <c:numCache>
                <c:formatCode>General</c:formatCode>
                <c:ptCount val="4"/>
                <c:pt idx="0">
                  <c:v>0</c:v>
                </c:pt>
                <c:pt idx="1">
                  <c:v>9000</c:v>
                </c:pt>
                <c:pt idx="2">
                  <c:v>18000</c:v>
                </c:pt>
                <c:pt idx="3">
                  <c:v>27000</c:v>
                </c:pt>
              </c:numCache>
            </c:numRef>
          </c:xVal>
          <c:yVal>
            <c:numRef>
              <c:f>'Fit Lambdas'!$R$45:$R$48</c:f>
              <c:numCache>
                <c:formatCode>General</c:formatCode>
                <c:ptCount val="4"/>
                <c:pt idx="1">
                  <c:v>2.2915433059576801E-2</c:v>
                </c:pt>
                <c:pt idx="2">
                  <c:v>3.4426968790461102E-2</c:v>
                </c:pt>
                <c:pt idx="3">
                  <c:v>4.1944576422616502E-2</c:v>
                </c:pt>
              </c:numCache>
            </c:numRef>
          </c:yVal>
          <c:smooth val="0"/>
          <c:extLst>
            <c:ext xmlns:c16="http://schemas.microsoft.com/office/drawing/2014/chart" uri="{C3380CC4-5D6E-409C-BE32-E72D297353CC}">
              <c16:uniqueId val="{00000000-4988-4885-BDD1-976BA67A0594}"/>
            </c:ext>
          </c:extLst>
        </c:ser>
        <c:ser>
          <c:idx val="1"/>
          <c:order val="1"/>
          <c:tx>
            <c:v>Fit Params</c:v>
          </c:tx>
          <c:spPr>
            <a:ln w="25400" cap="rnd">
              <a:solidFill>
                <a:srgbClr val="FF0000"/>
              </a:solidFill>
              <a:round/>
            </a:ln>
            <a:effectLst/>
          </c:spPr>
          <c:marker>
            <c:symbol val="none"/>
          </c:marker>
          <c:xVal>
            <c:numRef>
              <c:f>'Fit Lambdas'!$Q$45:$Q$48</c:f>
              <c:numCache>
                <c:formatCode>General</c:formatCode>
                <c:ptCount val="4"/>
                <c:pt idx="0">
                  <c:v>0</c:v>
                </c:pt>
                <c:pt idx="1">
                  <c:v>9000</c:v>
                </c:pt>
                <c:pt idx="2">
                  <c:v>18000</c:v>
                </c:pt>
                <c:pt idx="3">
                  <c:v>27000</c:v>
                </c:pt>
              </c:numCache>
            </c:numRef>
          </c:xVal>
          <c:yVal>
            <c:numRef>
              <c:f>'Fit Lambdas'!$Y$45:$Y$48</c:f>
              <c:numCache>
                <c:formatCode>0.00E+00</c:formatCode>
                <c:ptCount val="4"/>
                <c:pt idx="0" formatCode="General">
                  <c:v>0</c:v>
                </c:pt>
                <c:pt idx="1">
                  <c:v>2.1949042074935577E-2</c:v>
                </c:pt>
                <c:pt idx="2">
                  <c:v>3.4417404901164038E-2</c:v>
                </c:pt>
                <c:pt idx="3">
                  <c:v>4.1500177399194885E-2</c:v>
                </c:pt>
              </c:numCache>
            </c:numRef>
          </c:yVal>
          <c:smooth val="0"/>
          <c:extLst>
            <c:ext xmlns:c16="http://schemas.microsoft.com/office/drawing/2014/chart" uri="{C3380CC4-5D6E-409C-BE32-E72D297353CC}">
              <c16:uniqueId val="{00000001-4988-4885-BDD1-976BA67A0594}"/>
            </c:ext>
          </c:extLst>
        </c:ser>
        <c:dLbls>
          <c:showLegendKey val="0"/>
          <c:showVal val="0"/>
          <c:showCatName val="0"/>
          <c:showSerName val="0"/>
          <c:showPercent val="0"/>
          <c:showBubbleSize val="0"/>
        </c:dLbls>
        <c:axId val="364447455"/>
        <c:axId val="364431615"/>
      </c:scatterChart>
      <c:valAx>
        <c:axId val="3644474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4431615"/>
        <c:crosses val="autoZero"/>
        <c:crossBetween val="midCat"/>
      </c:valAx>
      <c:valAx>
        <c:axId val="364431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4447455"/>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Series 3 First Order Fit 100</a:t>
            </a:r>
            <a:r>
              <a:rPr lang="en-US" sz="1400" b="0" i="0" u="none" strike="noStrike" kern="1200" spc="0" baseline="0">
                <a:solidFill>
                  <a:sysClr val="windowText" lastClr="000000">
                    <a:lumMod val="65000"/>
                    <a:lumOff val="35000"/>
                  </a:sysClr>
                </a:solidFill>
              </a:rPr>
              <a:t>°C</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Data</c:v>
          </c:tx>
          <c:spPr>
            <a:ln w="38100" cap="rnd">
              <a:noFill/>
              <a:round/>
            </a:ln>
            <a:effectLst/>
          </c:spPr>
          <c:marker>
            <c:symbol val="circle"/>
            <c:size val="5"/>
            <c:spPr>
              <a:solidFill>
                <a:schemeClr val="accent1"/>
              </a:solidFill>
              <a:ln w="9525">
                <a:solidFill>
                  <a:schemeClr val="accent1"/>
                </a:solidFill>
              </a:ln>
              <a:effectLst/>
            </c:spPr>
          </c:marker>
          <c:xVal>
            <c:numRef>
              <c:f>'Fit Lambdas'!$Q$50:$Q$53</c:f>
              <c:numCache>
                <c:formatCode>General</c:formatCode>
                <c:ptCount val="4"/>
                <c:pt idx="0">
                  <c:v>7200</c:v>
                </c:pt>
                <c:pt idx="1">
                  <c:v>14400</c:v>
                </c:pt>
                <c:pt idx="2">
                  <c:v>21600</c:v>
                </c:pt>
                <c:pt idx="3">
                  <c:v>28800</c:v>
                </c:pt>
              </c:numCache>
            </c:numRef>
          </c:xVal>
          <c:yVal>
            <c:numRef>
              <c:f>'Fit Lambdas'!$R$50:$R$53</c:f>
              <c:numCache>
                <c:formatCode>General</c:formatCode>
                <c:ptCount val="4"/>
                <c:pt idx="0">
                  <c:v>1.0583749730168899E-2</c:v>
                </c:pt>
                <c:pt idx="1">
                  <c:v>1.8031448733201061E-2</c:v>
                </c:pt>
                <c:pt idx="2">
                  <c:v>2.2947916571494961E-2</c:v>
                </c:pt>
                <c:pt idx="3">
                  <c:v>2.7210821920297799E-2</c:v>
                </c:pt>
              </c:numCache>
            </c:numRef>
          </c:yVal>
          <c:smooth val="0"/>
          <c:extLst>
            <c:ext xmlns:c16="http://schemas.microsoft.com/office/drawing/2014/chart" uri="{C3380CC4-5D6E-409C-BE32-E72D297353CC}">
              <c16:uniqueId val="{00000000-4988-4885-BDD1-976BA67A0594}"/>
            </c:ext>
          </c:extLst>
        </c:ser>
        <c:ser>
          <c:idx val="1"/>
          <c:order val="1"/>
          <c:tx>
            <c:v>Fit Params</c:v>
          </c:tx>
          <c:spPr>
            <a:ln w="25400" cap="rnd">
              <a:solidFill>
                <a:srgbClr val="FF0000"/>
              </a:solidFill>
              <a:round/>
            </a:ln>
            <a:effectLst/>
          </c:spPr>
          <c:marker>
            <c:symbol val="none"/>
          </c:marker>
          <c:xVal>
            <c:numRef>
              <c:f>'Fit Lambdas'!$Q$49:$Q$53</c:f>
              <c:numCache>
                <c:formatCode>General</c:formatCode>
                <c:ptCount val="5"/>
                <c:pt idx="0">
                  <c:v>0</c:v>
                </c:pt>
                <c:pt idx="1">
                  <c:v>7200</c:v>
                </c:pt>
                <c:pt idx="2">
                  <c:v>14400</c:v>
                </c:pt>
                <c:pt idx="3">
                  <c:v>21600</c:v>
                </c:pt>
                <c:pt idx="4">
                  <c:v>28800</c:v>
                </c:pt>
              </c:numCache>
            </c:numRef>
          </c:xVal>
          <c:yVal>
            <c:numRef>
              <c:f>'Fit Lambdas'!$Y$49:$Y$53</c:f>
              <c:numCache>
                <c:formatCode>0.00E+00</c:formatCode>
                <c:ptCount val="5"/>
                <c:pt idx="0" formatCode="General">
                  <c:v>0</c:v>
                </c:pt>
                <c:pt idx="1">
                  <c:v>1.0112522360450618E-2</c:v>
                </c:pt>
                <c:pt idx="2">
                  <c:v>1.7509265844379354E-2</c:v>
                </c:pt>
                <c:pt idx="3">
                  <c:v>2.291956925008715E-2</c:v>
                </c:pt>
                <c:pt idx="4">
                  <c:v>2.6876903042371919E-2</c:v>
                </c:pt>
              </c:numCache>
            </c:numRef>
          </c:yVal>
          <c:smooth val="0"/>
          <c:extLst>
            <c:ext xmlns:c16="http://schemas.microsoft.com/office/drawing/2014/chart" uri="{C3380CC4-5D6E-409C-BE32-E72D297353CC}">
              <c16:uniqueId val="{00000001-4988-4885-BDD1-976BA67A0594}"/>
            </c:ext>
          </c:extLst>
        </c:ser>
        <c:dLbls>
          <c:showLegendKey val="0"/>
          <c:showVal val="0"/>
          <c:showCatName val="0"/>
          <c:showSerName val="0"/>
          <c:showPercent val="0"/>
          <c:showBubbleSize val="0"/>
        </c:dLbls>
        <c:axId val="364447455"/>
        <c:axId val="364431615"/>
      </c:scatterChart>
      <c:valAx>
        <c:axId val="364447455"/>
        <c:scaling>
          <c:orientation val="minMax"/>
          <c:max val="3000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4431615"/>
        <c:crosses val="autoZero"/>
        <c:crossBetween val="midCat"/>
      </c:valAx>
      <c:valAx>
        <c:axId val="364431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4447455"/>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Series 4 First Order Fit 95</a:t>
            </a:r>
            <a:r>
              <a:rPr lang="en-US" sz="1400" b="0" i="0" u="none" strike="noStrike" kern="1200" spc="0" baseline="0">
                <a:solidFill>
                  <a:sysClr val="windowText" lastClr="000000">
                    <a:lumMod val="65000"/>
                    <a:lumOff val="35000"/>
                  </a:sysClr>
                </a:solidFill>
              </a:rPr>
              <a:t>°C</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Data</c:v>
          </c:tx>
          <c:spPr>
            <a:ln w="38100" cap="rnd">
              <a:noFill/>
              <a:round/>
            </a:ln>
            <a:effectLst/>
          </c:spPr>
          <c:marker>
            <c:symbol val="circle"/>
            <c:size val="5"/>
            <c:spPr>
              <a:solidFill>
                <a:schemeClr val="accent1"/>
              </a:solidFill>
              <a:ln w="9525">
                <a:solidFill>
                  <a:schemeClr val="accent1"/>
                </a:solidFill>
              </a:ln>
              <a:effectLst/>
            </c:spPr>
          </c:marker>
          <c:xVal>
            <c:numRef>
              <c:f>'Fit Lambdas'!$Q$55:$Q$57</c:f>
              <c:numCache>
                <c:formatCode>General</c:formatCode>
                <c:ptCount val="3"/>
                <c:pt idx="0">
                  <c:v>9000</c:v>
                </c:pt>
                <c:pt idx="1">
                  <c:v>18000</c:v>
                </c:pt>
                <c:pt idx="2">
                  <c:v>27000</c:v>
                </c:pt>
              </c:numCache>
            </c:numRef>
          </c:xVal>
          <c:yVal>
            <c:numRef>
              <c:f>'Fit Lambdas'!$R$55:$R$57</c:f>
              <c:numCache>
                <c:formatCode>General</c:formatCode>
                <c:ptCount val="3"/>
                <c:pt idx="0">
                  <c:v>1.09007113136644E-2</c:v>
                </c:pt>
                <c:pt idx="1">
                  <c:v>1.8972086478673392E-2</c:v>
                </c:pt>
                <c:pt idx="2">
                  <c:v>2.5195613456325341E-2</c:v>
                </c:pt>
              </c:numCache>
            </c:numRef>
          </c:yVal>
          <c:smooth val="0"/>
          <c:extLst>
            <c:ext xmlns:c16="http://schemas.microsoft.com/office/drawing/2014/chart" uri="{C3380CC4-5D6E-409C-BE32-E72D297353CC}">
              <c16:uniqueId val="{00000000-4988-4885-BDD1-976BA67A0594}"/>
            </c:ext>
          </c:extLst>
        </c:ser>
        <c:ser>
          <c:idx val="1"/>
          <c:order val="1"/>
          <c:tx>
            <c:v>Fit params</c:v>
          </c:tx>
          <c:spPr>
            <a:ln w="25400" cap="rnd">
              <a:solidFill>
                <a:srgbClr val="FF0000"/>
              </a:solidFill>
              <a:round/>
            </a:ln>
            <a:effectLst/>
          </c:spPr>
          <c:marker>
            <c:symbol val="none"/>
          </c:marker>
          <c:xVal>
            <c:numRef>
              <c:f>'Fit Lambdas'!$Q$54:$Q$57</c:f>
              <c:numCache>
                <c:formatCode>General</c:formatCode>
                <c:ptCount val="4"/>
                <c:pt idx="0">
                  <c:v>0</c:v>
                </c:pt>
                <c:pt idx="1">
                  <c:v>9000</c:v>
                </c:pt>
                <c:pt idx="2">
                  <c:v>18000</c:v>
                </c:pt>
                <c:pt idx="3">
                  <c:v>27000</c:v>
                </c:pt>
              </c:numCache>
            </c:numRef>
          </c:xVal>
          <c:yVal>
            <c:numRef>
              <c:f>'Fit Lambdas'!$Y$54:$Y$57</c:f>
              <c:numCache>
                <c:formatCode>0.00E+00</c:formatCode>
                <c:ptCount val="4"/>
                <c:pt idx="0" formatCode="General">
                  <c:v>0</c:v>
                </c:pt>
                <c:pt idx="1">
                  <c:v>1.0818906032035015E-2</c:v>
                </c:pt>
                <c:pt idx="2">
                  <c:v>1.9001257356592974E-2</c:v>
                </c:pt>
                <c:pt idx="3">
                  <c:v>2.5189579262731396E-2</c:v>
                </c:pt>
              </c:numCache>
            </c:numRef>
          </c:yVal>
          <c:smooth val="0"/>
          <c:extLst>
            <c:ext xmlns:c16="http://schemas.microsoft.com/office/drawing/2014/chart" uri="{C3380CC4-5D6E-409C-BE32-E72D297353CC}">
              <c16:uniqueId val="{00000001-4988-4885-BDD1-976BA67A0594}"/>
            </c:ext>
          </c:extLst>
        </c:ser>
        <c:dLbls>
          <c:showLegendKey val="0"/>
          <c:showVal val="0"/>
          <c:showCatName val="0"/>
          <c:showSerName val="0"/>
          <c:showPercent val="0"/>
          <c:showBubbleSize val="0"/>
        </c:dLbls>
        <c:axId val="364447455"/>
        <c:axId val="364431615"/>
      </c:scatterChart>
      <c:valAx>
        <c:axId val="3644474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4431615"/>
        <c:crosses val="autoZero"/>
        <c:crossBetween val="midCat"/>
      </c:valAx>
      <c:valAx>
        <c:axId val="364431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4447455"/>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Series 5 First</a:t>
            </a:r>
            <a:r>
              <a:rPr lang="en-US" baseline="0"/>
              <a:t> Order Fit 105</a:t>
            </a:r>
            <a:r>
              <a:rPr lang="en-US" sz="1400" b="0" i="0" u="none" strike="noStrike" kern="1200" spc="0" baseline="0">
                <a:solidFill>
                  <a:sysClr val="windowText" lastClr="000000">
                    <a:lumMod val="65000"/>
                    <a:lumOff val="35000"/>
                  </a:sysClr>
                </a:solidFill>
              </a:rPr>
              <a:t>°C</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Data</c:v>
          </c:tx>
          <c:spPr>
            <a:ln w="38100" cap="rnd">
              <a:noFill/>
              <a:round/>
            </a:ln>
            <a:effectLst/>
          </c:spPr>
          <c:marker>
            <c:symbol val="circle"/>
            <c:size val="5"/>
            <c:spPr>
              <a:solidFill>
                <a:schemeClr val="accent1"/>
              </a:solidFill>
              <a:ln w="9525">
                <a:solidFill>
                  <a:schemeClr val="accent1"/>
                </a:solidFill>
              </a:ln>
              <a:effectLst/>
            </c:spPr>
          </c:marker>
          <c:xVal>
            <c:numRef>
              <c:f>'Fit Lambdas'!$Q$59:$Q$61</c:f>
              <c:numCache>
                <c:formatCode>General</c:formatCode>
                <c:ptCount val="3"/>
                <c:pt idx="0">
                  <c:v>7200</c:v>
                </c:pt>
                <c:pt idx="1">
                  <c:v>14400</c:v>
                </c:pt>
                <c:pt idx="2">
                  <c:v>21600</c:v>
                </c:pt>
              </c:numCache>
            </c:numRef>
          </c:xVal>
          <c:yVal>
            <c:numRef>
              <c:f>'Fit Lambdas'!$R$59:$R$61</c:f>
              <c:numCache>
                <c:formatCode>General</c:formatCode>
                <c:ptCount val="3"/>
                <c:pt idx="0">
                  <c:v>2.1450411924402099E-2</c:v>
                </c:pt>
                <c:pt idx="1">
                  <c:v>3.5822168458043702E-2</c:v>
                </c:pt>
                <c:pt idx="2">
                  <c:v>4.6203019521873404E-2</c:v>
                </c:pt>
              </c:numCache>
            </c:numRef>
          </c:yVal>
          <c:smooth val="0"/>
          <c:extLst>
            <c:ext xmlns:c16="http://schemas.microsoft.com/office/drawing/2014/chart" uri="{C3380CC4-5D6E-409C-BE32-E72D297353CC}">
              <c16:uniqueId val="{00000000-4988-4885-BDD1-976BA67A0594}"/>
            </c:ext>
          </c:extLst>
        </c:ser>
        <c:ser>
          <c:idx val="1"/>
          <c:order val="1"/>
          <c:tx>
            <c:v>Fit Params</c:v>
          </c:tx>
          <c:spPr>
            <a:ln w="25400" cap="rnd">
              <a:solidFill>
                <a:srgbClr val="FF0000"/>
              </a:solidFill>
              <a:round/>
            </a:ln>
            <a:effectLst/>
          </c:spPr>
          <c:marker>
            <c:symbol val="none"/>
          </c:marker>
          <c:xVal>
            <c:numRef>
              <c:f>'Fit Lambdas'!$Q$58:$Q$61</c:f>
              <c:numCache>
                <c:formatCode>General</c:formatCode>
                <c:ptCount val="4"/>
                <c:pt idx="0">
                  <c:v>0</c:v>
                </c:pt>
                <c:pt idx="1">
                  <c:v>7200</c:v>
                </c:pt>
                <c:pt idx="2">
                  <c:v>14400</c:v>
                </c:pt>
                <c:pt idx="3">
                  <c:v>21600</c:v>
                </c:pt>
              </c:numCache>
            </c:numRef>
          </c:xVal>
          <c:yVal>
            <c:numRef>
              <c:f>'Fit Lambdas'!$Y$58:$Y$61</c:f>
              <c:numCache>
                <c:formatCode>0.00E+00</c:formatCode>
                <c:ptCount val="4"/>
                <c:pt idx="0" formatCode="General">
                  <c:v>0</c:v>
                </c:pt>
                <c:pt idx="1">
                  <c:v>2.1175124455190708E-2</c:v>
                </c:pt>
                <c:pt idx="2">
                  <c:v>3.5903902231256016E-2</c:v>
                </c:pt>
                <c:pt idx="3">
                  <c:v>4.6148795725779838E-2</c:v>
                </c:pt>
              </c:numCache>
            </c:numRef>
          </c:yVal>
          <c:smooth val="0"/>
          <c:extLst>
            <c:ext xmlns:c16="http://schemas.microsoft.com/office/drawing/2014/chart" uri="{C3380CC4-5D6E-409C-BE32-E72D297353CC}">
              <c16:uniqueId val="{00000001-4988-4885-BDD1-976BA67A0594}"/>
            </c:ext>
          </c:extLst>
        </c:ser>
        <c:dLbls>
          <c:showLegendKey val="0"/>
          <c:showVal val="0"/>
          <c:showCatName val="0"/>
          <c:showSerName val="0"/>
          <c:showPercent val="0"/>
          <c:showBubbleSize val="0"/>
        </c:dLbls>
        <c:axId val="364447455"/>
        <c:axId val="364431615"/>
      </c:scatterChart>
      <c:valAx>
        <c:axId val="3644474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4431615"/>
        <c:crosses val="autoZero"/>
        <c:crossBetween val="midCat"/>
      </c:valAx>
      <c:valAx>
        <c:axId val="364431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4447455"/>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Series 6 First Order Fit 100°C</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Data</c:v>
          </c:tx>
          <c:spPr>
            <a:ln w="38100" cap="rnd">
              <a:noFill/>
              <a:round/>
            </a:ln>
            <a:effectLst/>
          </c:spPr>
          <c:marker>
            <c:symbol val="circle"/>
            <c:size val="5"/>
            <c:spPr>
              <a:solidFill>
                <a:schemeClr val="accent1"/>
              </a:solidFill>
              <a:ln w="9525">
                <a:solidFill>
                  <a:schemeClr val="accent1"/>
                </a:solidFill>
              </a:ln>
              <a:effectLst/>
            </c:spPr>
          </c:marker>
          <c:xVal>
            <c:numRef>
              <c:f>'Fit Lambdas'!$Q$63:$Q$65</c:f>
              <c:numCache>
                <c:formatCode>General</c:formatCode>
                <c:ptCount val="3"/>
                <c:pt idx="0">
                  <c:v>7200</c:v>
                </c:pt>
                <c:pt idx="1">
                  <c:v>14400</c:v>
                </c:pt>
                <c:pt idx="2">
                  <c:v>21600</c:v>
                </c:pt>
              </c:numCache>
            </c:numRef>
          </c:xVal>
          <c:yVal>
            <c:numRef>
              <c:f>'Fit Lambdas'!$R$63:$R$65</c:f>
              <c:numCache>
                <c:formatCode>General</c:formatCode>
                <c:ptCount val="3"/>
                <c:pt idx="0">
                  <c:v>1.2600300247310899E-2</c:v>
                </c:pt>
                <c:pt idx="1">
                  <c:v>2.1977111696086439E-2</c:v>
                </c:pt>
                <c:pt idx="2">
                  <c:v>2.9332229706766109E-2</c:v>
                </c:pt>
              </c:numCache>
            </c:numRef>
          </c:yVal>
          <c:smooth val="0"/>
          <c:extLst>
            <c:ext xmlns:c16="http://schemas.microsoft.com/office/drawing/2014/chart" uri="{C3380CC4-5D6E-409C-BE32-E72D297353CC}">
              <c16:uniqueId val="{00000000-4988-4885-BDD1-976BA67A0594}"/>
            </c:ext>
          </c:extLst>
        </c:ser>
        <c:ser>
          <c:idx val="1"/>
          <c:order val="1"/>
          <c:tx>
            <c:v>Fit Params</c:v>
          </c:tx>
          <c:spPr>
            <a:ln w="25400" cap="rnd">
              <a:solidFill>
                <a:srgbClr val="FF0000"/>
              </a:solidFill>
              <a:round/>
            </a:ln>
            <a:effectLst/>
          </c:spPr>
          <c:marker>
            <c:symbol val="none"/>
          </c:marker>
          <c:xVal>
            <c:numRef>
              <c:f>'Fit Lambdas'!$Q$62:$Q$65</c:f>
              <c:numCache>
                <c:formatCode>General</c:formatCode>
                <c:ptCount val="4"/>
                <c:pt idx="0">
                  <c:v>0</c:v>
                </c:pt>
                <c:pt idx="1">
                  <c:v>7200</c:v>
                </c:pt>
                <c:pt idx="2">
                  <c:v>14400</c:v>
                </c:pt>
                <c:pt idx="3">
                  <c:v>21600</c:v>
                </c:pt>
              </c:numCache>
            </c:numRef>
          </c:xVal>
          <c:yVal>
            <c:numRef>
              <c:f>'Fit Lambdas'!$Y$62:$Y$65</c:f>
              <c:numCache>
                <c:formatCode>0.00E+00</c:formatCode>
                <c:ptCount val="4"/>
                <c:pt idx="0" formatCode="General">
                  <c:v>0</c:v>
                </c:pt>
                <c:pt idx="1">
                  <c:v>1.2435955654637581E-2</c:v>
                </c:pt>
                <c:pt idx="2">
                  <c:v>2.1976424498567019E-2</c:v>
                </c:pt>
                <c:pt idx="3">
                  <c:v>2.9295568140579376E-2</c:v>
                </c:pt>
              </c:numCache>
            </c:numRef>
          </c:yVal>
          <c:smooth val="0"/>
          <c:extLst>
            <c:ext xmlns:c16="http://schemas.microsoft.com/office/drawing/2014/chart" uri="{C3380CC4-5D6E-409C-BE32-E72D297353CC}">
              <c16:uniqueId val="{00000001-4988-4885-BDD1-976BA67A0594}"/>
            </c:ext>
          </c:extLst>
        </c:ser>
        <c:dLbls>
          <c:showLegendKey val="0"/>
          <c:showVal val="0"/>
          <c:showCatName val="0"/>
          <c:showSerName val="0"/>
          <c:showPercent val="0"/>
          <c:showBubbleSize val="0"/>
        </c:dLbls>
        <c:axId val="364447455"/>
        <c:axId val="364431615"/>
      </c:scatterChart>
      <c:valAx>
        <c:axId val="3644474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4431615"/>
        <c:crosses val="autoZero"/>
        <c:crossBetween val="midCat"/>
      </c:valAx>
      <c:valAx>
        <c:axId val="364431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4447455"/>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Series 7 First Order Fit 95°C</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Data</c:v>
          </c:tx>
          <c:spPr>
            <a:ln w="38100" cap="rnd">
              <a:noFill/>
              <a:round/>
            </a:ln>
            <a:effectLst/>
          </c:spPr>
          <c:marker>
            <c:symbol val="circle"/>
            <c:size val="5"/>
            <c:spPr>
              <a:solidFill>
                <a:schemeClr val="accent1"/>
              </a:solidFill>
              <a:ln w="9525">
                <a:solidFill>
                  <a:schemeClr val="accent1"/>
                </a:solidFill>
              </a:ln>
              <a:effectLst/>
            </c:spPr>
          </c:marker>
          <c:xVal>
            <c:numRef>
              <c:f>'Fit Lambdas'!$Q$67:$Q$69</c:f>
              <c:numCache>
                <c:formatCode>General</c:formatCode>
                <c:ptCount val="3"/>
                <c:pt idx="0">
                  <c:v>7200</c:v>
                </c:pt>
                <c:pt idx="1">
                  <c:v>14400</c:v>
                </c:pt>
                <c:pt idx="2">
                  <c:v>21600</c:v>
                </c:pt>
              </c:numCache>
            </c:numRef>
          </c:xVal>
          <c:yVal>
            <c:numRef>
              <c:f>'Fit Lambdas'!$R$67:$R$69</c:f>
              <c:numCache>
                <c:formatCode>General</c:formatCode>
                <c:ptCount val="3"/>
                <c:pt idx="0">
                  <c:v>7.2031858407079598E-3</c:v>
                </c:pt>
                <c:pt idx="1">
                  <c:v>1.346490265486725E-2</c:v>
                </c:pt>
                <c:pt idx="2">
                  <c:v>1.792582300884955E-2</c:v>
                </c:pt>
              </c:numCache>
            </c:numRef>
          </c:yVal>
          <c:smooth val="0"/>
          <c:extLst>
            <c:ext xmlns:c16="http://schemas.microsoft.com/office/drawing/2014/chart" uri="{C3380CC4-5D6E-409C-BE32-E72D297353CC}">
              <c16:uniqueId val="{00000000-4988-4885-BDD1-976BA67A0594}"/>
            </c:ext>
          </c:extLst>
        </c:ser>
        <c:ser>
          <c:idx val="1"/>
          <c:order val="1"/>
          <c:tx>
            <c:v>Fit Params</c:v>
          </c:tx>
          <c:spPr>
            <a:ln w="25400" cap="rnd">
              <a:solidFill>
                <a:srgbClr val="FF0000"/>
              </a:solidFill>
              <a:round/>
            </a:ln>
            <a:effectLst/>
          </c:spPr>
          <c:marker>
            <c:symbol val="none"/>
          </c:marker>
          <c:xVal>
            <c:numRef>
              <c:f>'Fit Lambdas'!$Q$66:$Q$69</c:f>
              <c:numCache>
                <c:formatCode>General</c:formatCode>
                <c:ptCount val="4"/>
                <c:pt idx="0">
                  <c:v>0</c:v>
                </c:pt>
                <c:pt idx="1">
                  <c:v>7200</c:v>
                </c:pt>
                <c:pt idx="2">
                  <c:v>14400</c:v>
                </c:pt>
                <c:pt idx="3">
                  <c:v>21600</c:v>
                </c:pt>
              </c:numCache>
            </c:numRef>
          </c:xVal>
          <c:yVal>
            <c:numRef>
              <c:f>'Fit Lambdas'!$Y$66:$Y$69</c:f>
              <c:numCache>
                <c:formatCode>0.00E+00</c:formatCode>
                <c:ptCount val="4"/>
                <c:pt idx="0" formatCode="General">
                  <c:v>0</c:v>
                </c:pt>
                <c:pt idx="1">
                  <c:v>7.4222583746082265E-3</c:v>
                </c:pt>
                <c:pt idx="2">
                  <c:v>1.326324237094525E-2</c:v>
                </c:pt>
                <c:pt idx="3">
                  <c:v>1.7859834448927983E-2</c:v>
                </c:pt>
              </c:numCache>
            </c:numRef>
          </c:yVal>
          <c:smooth val="0"/>
          <c:extLst>
            <c:ext xmlns:c16="http://schemas.microsoft.com/office/drawing/2014/chart" uri="{C3380CC4-5D6E-409C-BE32-E72D297353CC}">
              <c16:uniqueId val="{00000001-4988-4885-BDD1-976BA67A0594}"/>
            </c:ext>
          </c:extLst>
        </c:ser>
        <c:dLbls>
          <c:showLegendKey val="0"/>
          <c:showVal val="0"/>
          <c:showCatName val="0"/>
          <c:showSerName val="0"/>
          <c:showPercent val="0"/>
          <c:showBubbleSize val="0"/>
        </c:dLbls>
        <c:axId val="364447455"/>
        <c:axId val="364431615"/>
      </c:scatterChart>
      <c:valAx>
        <c:axId val="3644474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4431615"/>
        <c:crosses val="autoZero"/>
        <c:crossBetween val="midCat"/>
      </c:valAx>
      <c:valAx>
        <c:axId val="364431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4447455"/>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Series 8 First Order Fit 90°C</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Data</c:v>
          </c:tx>
          <c:spPr>
            <a:ln w="38100" cap="rnd">
              <a:noFill/>
              <a:round/>
            </a:ln>
            <a:effectLst/>
          </c:spPr>
          <c:marker>
            <c:symbol val="circle"/>
            <c:size val="5"/>
            <c:spPr>
              <a:solidFill>
                <a:schemeClr val="accent1"/>
              </a:solidFill>
              <a:ln w="9525">
                <a:solidFill>
                  <a:schemeClr val="accent1"/>
                </a:solidFill>
              </a:ln>
              <a:effectLst/>
            </c:spPr>
          </c:marker>
          <c:xVal>
            <c:numRef>
              <c:f>'Fit Lambdas'!$Q$71:$Q$73</c:f>
              <c:numCache>
                <c:formatCode>General</c:formatCode>
                <c:ptCount val="3"/>
                <c:pt idx="0">
                  <c:v>9000</c:v>
                </c:pt>
                <c:pt idx="1">
                  <c:v>18000</c:v>
                </c:pt>
                <c:pt idx="2">
                  <c:v>27000</c:v>
                </c:pt>
              </c:numCache>
            </c:numRef>
          </c:xVal>
          <c:yVal>
            <c:numRef>
              <c:f>'Fit Lambdas'!$R$71:$R$73</c:f>
              <c:numCache>
                <c:formatCode>General</c:formatCode>
                <c:ptCount val="3"/>
                <c:pt idx="0">
                  <c:v>5.8985677804217701E-3</c:v>
                </c:pt>
                <c:pt idx="1">
                  <c:v>1.0710375589833211E-2</c:v>
                </c:pt>
                <c:pt idx="2">
                  <c:v>1.4345691022214542E-2</c:v>
                </c:pt>
              </c:numCache>
            </c:numRef>
          </c:yVal>
          <c:smooth val="0"/>
          <c:extLst>
            <c:ext xmlns:c16="http://schemas.microsoft.com/office/drawing/2014/chart" uri="{C3380CC4-5D6E-409C-BE32-E72D297353CC}">
              <c16:uniqueId val="{00000000-4988-4885-BDD1-976BA67A0594}"/>
            </c:ext>
          </c:extLst>
        </c:ser>
        <c:ser>
          <c:idx val="1"/>
          <c:order val="1"/>
          <c:tx>
            <c:v>Fit Params</c:v>
          </c:tx>
          <c:spPr>
            <a:ln w="25400" cap="rnd">
              <a:solidFill>
                <a:srgbClr val="FF0000"/>
              </a:solidFill>
              <a:round/>
            </a:ln>
            <a:effectLst/>
          </c:spPr>
          <c:marker>
            <c:symbol val="none"/>
          </c:marker>
          <c:xVal>
            <c:numRef>
              <c:f>'Fit Lambdas'!$Q$70:$Q$73</c:f>
              <c:numCache>
                <c:formatCode>General</c:formatCode>
                <c:ptCount val="4"/>
                <c:pt idx="0">
                  <c:v>0</c:v>
                </c:pt>
                <c:pt idx="1">
                  <c:v>9000</c:v>
                </c:pt>
                <c:pt idx="2">
                  <c:v>18000</c:v>
                </c:pt>
                <c:pt idx="3">
                  <c:v>27000</c:v>
                </c:pt>
              </c:numCache>
            </c:numRef>
          </c:xVal>
          <c:yVal>
            <c:numRef>
              <c:f>'Fit Lambdas'!$Y$70:$Y$73</c:f>
              <c:numCache>
                <c:formatCode>0.00E+00</c:formatCode>
                <c:ptCount val="4"/>
                <c:pt idx="0" formatCode="General">
                  <c:v>0</c:v>
                </c:pt>
                <c:pt idx="1">
                  <c:v>5.9633500598698453E-3</c:v>
                </c:pt>
                <c:pt idx="2">
                  <c:v>1.065132941308267E-2</c:v>
                </c:pt>
                <c:pt idx="3">
                  <c:v>1.4336699246399047E-2</c:v>
                </c:pt>
              </c:numCache>
            </c:numRef>
          </c:yVal>
          <c:smooth val="0"/>
          <c:extLst>
            <c:ext xmlns:c16="http://schemas.microsoft.com/office/drawing/2014/chart" uri="{C3380CC4-5D6E-409C-BE32-E72D297353CC}">
              <c16:uniqueId val="{00000001-4988-4885-BDD1-976BA67A0594}"/>
            </c:ext>
          </c:extLst>
        </c:ser>
        <c:dLbls>
          <c:showLegendKey val="0"/>
          <c:showVal val="0"/>
          <c:showCatName val="0"/>
          <c:showSerName val="0"/>
          <c:showPercent val="0"/>
          <c:showBubbleSize val="0"/>
        </c:dLbls>
        <c:axId val="364447455"/>
        <c:axId val="364431615"/>
      </c:scatterChart>
      <c:valAx>
        <c:axId val="3644474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4431615"/>
        <c:crosses val="autoZero"/>
        <c:crossBetween val="midCat"/>
      </c:valAx>
      <c:valAx>
        <c:axId val="364431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4447455"/>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Series 9 First Order Fit 90°C</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Data</c:v>
          </c:tx>
          <c:spPr>
            <a:ln w="38100" cap="rnd">
              <a:noFill/>
              <a:round/>
            </a:ln>
            <a:effectLst/>
          </c:spPr>
          <c:marker>
            <c:symbol val="circle"/>
            <c:size val="5"/>
            <c:spPr>
              <a:solidFill>
                <a:schemeClr val="accent1"/>
              </a:solidFill>
              <a:ln w="9525">
                <a:solidFill>
                  <a:schemeClr val="accent1"/>
                </a:solidFill>
              </a:ln>
              <a:effectLst/>
            </c:spPr>
          </c:marker>
          <c:xVal>
            <c:numRef>
              <c:f>'Fit Lambdas'!$Q$75:$Q$77</c:f>
              <c:numCache>
                <c:formatCode>General</c:formatCode>
                <c:ptCount val="3"/>
                <c:pt idx="0">
                  <c:v>10800</c:v>
                </c:pt>
                <c:pt idx="1">
                  <c:v>21600</c:v>
                </c:pt>
                <c:pt idx="2">
                  <c:v>32400</c:v>
                </c:pt>
              </c:numCache>
            </c:numRef>
          </c:xVal>
          <c:yVal>
            <c:numRef>
              <c:f>'Fit Lambdas'!$R$75:$R$77</c:f>
              <c:numCache>
                <c:formatCode>General</c:formatCode>
                <c:ptCount val="3"/>
                <c:pt idx="0">
                  <c:v>9.9865548646648102E-3</c:v>
                </c:pt>
                <c:pt idx="1">
                  <c:v>1.6734387315144261E-2</c:v>
                </c:pt>
                <c:pt idx="2">
                  <c:v>2.210401439564371E-2</c:v>
                </c:pt>
              </c:numCache>
            </c:numRef>
          </c:yVal>
          <c:smooth val="0"/>
          <c:extLst>
            <c:ext xmlns:c16="http://schemas.microsoft.com/office/drawing/2014/chart" uri="{C3380CC4-5D6E-409C-BE32-E72D297353CC}">
              <c16:uniqueId val="{00000000-4988-4885-BDD1-976BA67A0594}"/>
            </c:ext>
          </c:extLst>
        </c:ser>
        <c:ser>
          <c:idx val="1"/>
          <c:order val="1"/>
          <c:tx>
            <c:v>Fit Params</c:v>
          </c:tx>
          <c:spPr>
            <a:ln w="25400" cap="rnd">
              <a:solidFill>
                <a:srgbClr val="FF0000"/>
              </a:solidFill>
              <a:round/>
            </a:ln>
            <a:effectLst/>
          </c:spPr>
          <c:marker>
            <c:symbol val="none"/>
          </c:marker>
          <c:xVal>
            <c:numRef>
              <c:f>'Fit Lambdas'!$Q$74:$Q$77</c:f>
              <c:numCache>
                <c:formatCode>General</c:formatCode>
                <c:ptCount val="4"/>
                <c:pt idx="0">
                  <c:v>0</c:v>
                </c:pt>
                <c:pt idx="1">
                  <c:v>10800</c:v>
                </c:pt>
                <c:pt idx="2">
                  <c:v>21600</c:v>
                </c:pt>
                <c:pt idx="3">
                  <c:v>32400</c:v>
                </c:pt>
              </c:numCache>
            </c:numRef>
          </c:xVal>
          <c:yVal>
            <c:numRef>
              <c:f>'Fit Lambdas'!$Y$74:$Y$77</c:f>
              <c:numCache>
                <c:formatCode>0.00E+00</c:formatCode>
                <c:ptCount val="4"/>
                <c:pt idx="0" formatCode="General">
                  <c:v>0</c:v>
                </c:pt>
                <c:pt idx="1">
                  <c:v>9.7977349442485862E-3</c:v>
                </c:pt>
                <c:pt idx="2">
                  <c:v>1.6904533195063218E-2</c:v>
                </c:pt>
                <c:pt idx="3">
                  <c:v>2.2059457436755428E-2</c:v>
                </c:pt>
              </c:numCache>
            </c:numRef>
          </c:yVal>
          <c:smooth val="0"/>
          <c:extLst>
            <c:ext xmlns:c16="http://schemas.microsoft.com/office/drawing/2014/chart" uri="{C3380CC4-5D6E-409C-BE32-E72D297353CC}">
              <c16:uniqueId val="{00000001-4988-4885-BDD1-976BA67A0594}"/>
            </c:ext>
          </c:extLst>
        </c:ser>
        <c:dLbls>
          <c:showLegendKey val="0"/>
          <c:showVal val="0"/>
          <c:showCatName val="0"/>
          <c:showSerName val="0"/>
          <c:showPercent val="0"/>
          <c:showBubbleSize val="0"/>
        </c:dLbls>
        <c:axId val="364447455"/>
        <c:axId val="364431615"/>
      </c:scatterChart>
      <c:valAx>
        <c:axId val="3644474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4431615"/>
        <c:crosses val="autoZero"/>
        <c:crossBetween val="midCat"/>
      </c:valAx>
      <c:valAx>
        <c:axId val="364431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4447455"/>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Series 10 First Order Fit 100°C</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scatterChart>
        <c:scatterStyle val="lineMarker"/>
        <c:varyColors val="0"/>
        <c:ser>
          <c:idx val="0"/>
          <c:order val="0"/>
          <c:tx>
            <c:v>Data</c:v>
          </c:tx>
          <c:spPr>
            <a:ln w="38100" cap="rnd">
              <a:noFill/>
              <a:round/>
            </a:ln>
            <a:effectLst/>
          </c:spPr>
          <c:marker>
            <c:symbol val="circle"/>
            <c:size val="5"/>
            <c:spPr>
              <a:solidFill>
                <a:schemeClr val="accent1"/>
              </a:solidFill>
              <a:ln w="9525">
                <a:solidFill>
                  <a:schemeClr val="accent1"/>
                </a:solidFill>
              </a:ln>
              <a:effectLst/>
            </c:spPr>
          </c:marker>
          <c:xVal>
            <c:numRef>
              <c:f>'Fit Lambdas'!$Q$79:$Q$81</c:f>
              <c:numCache>
                <c:formatCode>General</c:formatCode>
                <c:ptCount val="3"/>
                <c:pt idx="0">
                  <c:v>9000</c:v>
                </c:pt>
                <c:pt idx="1">
                  <c:v>18000</c:v>
                </c:pt>
                <c:pt idx="2">
                  <c:v>27000</c:v>
                </c:pt>
              </c:numCache>
            </c:numRef>
          </c:xVal>
          <c:yVal>
            <c:numRef>
              <c:f>'Fit Lambdas'!$R$79:$R$81</c:f>
              <c:numCache>
                <c:formatCode>General</c:formatCode>
                <c:ptCount val="3"/>
                <c:pt idx="0">
                  <c:v>1.03504087609835E-2</c:v>
                </c:pt>
                <c:pt idx="1">
                  <c:v>1.7182221731492572E-2</c:v>
                </c:pt>
                <c:pt idx="2">
                  <c:v>2.2559270322611291E-2</c:v>
                </c:pt>
              </c:numCache>
            </c:numRef>
          </c:yVal>
          <c:smooth val="0"/>
          <c:extLst>
            <c:ext xmlns:c16="http://schemas.microsoft.com/office/drawing/2014/chart" uri="{C3380CC4-5D6E-409C-BE32-E72D297353CC}">
              <c16:uniqueId val="{00000000-4988-4885-BDD1-976BA67A0594}"/>
            </c:ext>
          </c:extLst>
        </c:ser>
        <c:ser>
          <c:idx val="1"/>
          <c:order val="1"/>
          <c:tx>
            <c:v>Fit Params</c:v>
          </c:tx>
          <c:spPr>
            <a:ln w="25400" cap="rnd">
              <a:solidFill>
                <a:srgbClr val="FF0000"/>
              </a:solidFill>
              <a:round/>
            </a:ln>
            <a:effectLst/>
          </c:spPr>
          <c:marker>
            <c:symbol val="none"/>
          </c:marker>
          <c:xVal>
            <c:numRef>
              <c:f>'Fit Lambdas'!$Q$78:$Q$81</c:f>
              <c:numCache>
                <c:formatCode>General</c:formatCode>
                <c:ptCount val="4"/>
                <c:pt idx="0">
                  <c:v>0</c:v>
                </c:pt>
                <c:pt idx="1">
                  <c:v>9000</c:v>
                </c:pt>
                <c:pt idx="2">
                  <c:v>18000</c:v>
                </c:pt>
                <c:pt idx="3">
                  <c:v>27000</c:v>
                </c:pt>
              </c:numCache>
            </c:numRef>
          </c:xVal>
          <c:yVal>
            <c:numRef>
              <c:f>'Fit Lambdas'!$Y$78:$Y$81</c:f>
              <c:numCache>
                <c:formatCode>0.00E+00</c:formatCode>
                <c:ptCount val="4"/>
                <c:pt idx="0" formatCode="General">
                  <c:v>0</c:v>
                </c:pt>
                <c:pt idx="1">
                  <c:v>1.0145447192675038E-2</c:v>
                </c:pt>
                <c:pt idx="2">
                  <c:v>1.7354739446959644E-2</c:v>
                </c:pt>
                <c:pt idx="3">
                  <c:v>2.2477618095937579E-2</c:v>
                </c:pt>
              </c:numCache>
            </c:numRef>
          </c:yVal>
          <c:smooth val="0"/>
          <c:extLst>
            <c:ext xmlns:c16="http://schemas.microsoft.com/office/drawing/2014/chart" uri="{C3380CC4-5D6E-409C-BE32-E72D297353CC}">
              <c16:uniqueId val="{00000001-4988-4885-BDD1-976BA67A0594}"/>
            </c:ext>
          </c:extLst>
        </c:ser>
        <c:dLbls>
          <c:showLegendKey val="0"/>
          <c:showVal val="0"/>
          <c:showCatName val="0"/>
          <c:showSerName val="0"/>
          <c:showPercent val="0"/>
          <c:showBubbleSize val="0"/>
        </c:dLbls>
        <c:axId val="364447455"/>
        <c:axId val="364431615"/>
      </c:scatterChart>
      <c:valAx>
        <c:axId val="3644474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4431615"/>
        <c:crosses val="autoZero"/>
        <c:crossBetween val="midCat"/>
      </c:valAx>
      <c:valAx>
        <c:axId val="364431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4447455"/>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'Cooling Rate'!$D$1</c:f>
              <c:strCache>
                <c:ptCount val="1"/>
                <c:pt idx="0">
                  <c:v>dTdt</c:v>
                </c:pt>
              </c:strCache>
            </c:strRef>
          </c:tx>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intercept val="0"/>
            <c:dispRSqr val="1"/>
            <c:dispEq val="1"/>
            <c:trendlineLbl>
              <c:layout>
                <c:manualLayout>
                  <c:x val="-0.13544597550306217"/>
                  <c:y val="-9.9940215806357618E-2"/>
                </c:manualLayout>
              </c:layout>
              <c:numFmt formatCode="0.00000E+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'Cooling Rate'!$C$2:$C$728</c:f>
              <c:numCache>
                <c:formatCode>General</c:formatCode>
                <c:ptCount val="727"/>
                <c:pt idx="0">
                  <c:v>71</c:v>
                </c:pt>
                <c:pt idx="1">
                  <c:v>70.5</c:v>
                </c:pt>
                <c:pt idx="2">
                  <c:v>69.5</c:v>
                </c:pt>
                <c:pt idx="3">
                  <c:v>68.5</c:v>
                </c:pt>
                <c:pt idx="4">
                  <c:v>62</c:v>
                </c:pt>
                <c:pt idx="5">
                  <c:v>61.5</c:v>
                </c:pt>
                <c:pt idx="6">
                  <c:v>61</c:v>
                </c:pt>
                <c:pt idx="7">
                  <c:v>62</c:v>
                </c:pt>
                <c:pt idx="8">
                  <c:v>61.5</c:v>
                </c:pt>
                <c:pt idx="9">
                  <c:v>61</c:v>
                </c:pt>
                <c:pt idx="10">
                  <c:v>60.5</c:v>
                </c:pt>
                <c:pt idx="11">
                  <c:v>60</c:v>
                </c:pt>
                <c:pt idx="12">
                  <c:v>61.5</c:v>
                </c:pt>
                <c:pt idx="13">
                  <c:v>61.5</c:v>
                </c:pt>
                <c:pt idx="14">
                  <c:v>61</c:v>
                </c:pt>
                <c:pt idx="15">
                  <c:v>60</c:v>
                </c:pt>
                <c:pt idx="16">
                  <c:v>59.5</c:v>
                </c:pt>
                <c:pt idx="17">
                  <c:v>156.5</c:v>
                </c:pt>
                <c:pt idx="18">
                  <c:v>154.5</c:v>
                </c:pt>
                <c:pt idx="19">
                  <c:v>153</c:v>
                </c:pt>
                <c:pt idx="20">
                  <c:v>76.5</c:v>
                </c:pt>
                <c:pt idx="21">
                  <c:v>75.5</c:v>
                </c:pt>
                <c:pt idx="22">
                  <c:v>74.5</c:v>
                </c:pt>
                <c:pt idx="23">
                  <c:v>74</c:v>
                </c:pt>
                <c:pt idx="24">
                  <c:v>73.5</c:v>
                </c:pt>
                <c:pt idx="25">
                  <c:v>72.5</c:v>
                </c:pt>
                <c:pt idx="26">
                  <c:v>71.5</c:v>
                </c:pt>
                <c:pt idx="27">
                  <c:v>71.5</c:v>
                </c:pt>
                <c:pt idx="28">
                  <c:v>76.5</c:v>
                </c:pt>
                <c:pt idx="29">
                  <c:v>75.5</c:v>
                </c:pt>
                <c:pt idx="30">
                  <c:v>74.5</c:v>
                </c:pt>
                <c:pt idx="31">
                  <c:v>74</c:v>
                </c:pt>
                <c:pt idx="32">
                  <c:v>73.5</c:v>
                </c:pt>
                <c:pt idx="33">
                  <c:v>72.5</c:v>
                </c:pt>
                <c:pt idx="34">
                  <c:v>76</c:v>
                </c:pt>
                <c:pt idx="35">
                  <c:v>75.5</c:v>
                </c:pt>
                <c:pt idx="36">
                  <c:v>74.5</c:v>
                </c:pt>
                <c:pt idx="37">
                  <c:v>74</c:v>
                </c:pt>
                <c:pt idx="38">
                  <c:v>73.5</c:v>
                </c:pt>
                <c:pt idx="39">
                  <c:v>73</c:v>
                </c:pt>
                <c:pt idx="40">
                  <c:v>72</c:v>
                </c:pt>
                <c:pt idx="41">
                  <c:v>71.5</c:v>
                </c:pt>
                <c:pt idx="42">
                  <c:v>70.5</c:v>
                </c:pt>
                <c:pt idx="43">
                  <c:v>166</c:v>
                </c:pt>
                <c:pt idx="44">
                  <c:v>163.5</c:v>
                </c:pt>
                <c:pt idx="45">
                  <c:v>161.5</c:v>
                </c:pt>
                <c:pt idx="46">
                  <c:v>80.5</c:v>
                </c:pt>
                <c:pt idx="47">
                  <c:v>80</c:v>
                </c:pt>
                <c:pt idx="48">
                  <c:v>79</c:v>
                </c:pt>
                <c:pt idx="49">
                  <c:v>78.5</c:v>
                </c:pt>
                <c:pt idx="50">
                  <c:v>77.5</c:v>
                </c:pt>
                <c:pt idx="51">
                  <c:v>76.5</c:v>
                </c:pt>
                <c:pt idx="52">
                  <c:v>76.5</c:v>
                </c:pt>
                <c:pt idx="53">
                  <c:v>75.5</c:v>
                </c:pt>
                <c:pt idx="54">
                  <c:v>74.5</c:v>
                </c:pt>
                <c:pt idx="55">
                  <c:v>80.5</c:v>
                </c:pt>
                <c:pt idx="56">
                  <c:v>80</c:v>
                </c:pt>
                <c:pt idx="57">
                  <c:v>79</c:v>
                </c:pt>
                <c:pt idx="58">
                  <c:v>78.5</c:v>
                </c:pt>
                <c:pt idx="59">
                  <c:v>78</c:v>
                </c:pt>
                <c:pt idx="60">
                  <c:v>76.5</c:v>
                </c:pt>
                <c:pt idx="61">
                  <c:v>76.5</c:v>
                </c:pt>
                <c:pt idx="62">
                  <c:v>80</c:v>
                </c:pt>
                <c:pt idx="63">
                  <c:v>80</c:v>
                </c:pt>
                <c:pt idx="64">
                  <c:v>78.5</c:v>
                </c:pt>
                <c:pt idx="65">
                  <c:v>77.5</c:v>
                </c:pt>
                <c:pt idx="66">
                  <c:v>76.5</c:v>
                </c:pt>
                <c:pt idx="67">
                  <c:v>76.5</c:v>
                </c:pt>
                <c:pt idx="68">
                  <c:v>173</c:v>
                </c:pt>
                <c:pt idx="69">
                  <c:v>171</c:v>
                </c:pt>
                <c:pt idx="70">
                  <c:v>168</c:v>
                </c:pt>
                <c:pt idx="71">
                  <c:v>85.5</c:v>
                </c:pt>
                <c:pt idx="72">
                  <c:v>84</c:v>
                </c:pt>
                <c:pt idx="73">
                  <c:v>83</c:v>
                </c:pt>
                <c:pt idx="74">
                  <c:v>82</c:v>
                </c:pt>
                <c:pt idx="75">
                  <c:v>82</c:v>
                </c:pt>
                <c:pt idx="76">
                  <c:v>85.5</c:v>
                </c:pt>
                <c:pt idx="77">
                  <c:v>84.5</c:v>
                </c:pt>
                <c:pt idx="78">
                  <c:v>83.5</c:v>
                </c:pt>
                <c:pt idx="79">
                  <c:v>83</c:v>
                </c:pt>
                <c:pt idx="80">
                  <c:v>82</c:v>
                </c:pt>
                <c:pt idx="81">
                  <c:v>85.5</c:v>
                </c:pt>
                <c:pt idx="82">
                  <c:v>84.5</c:v>
                </c:pt>
                <c:pt idx="83">
                  <c:v>83.5</c:v>
                </c:pt>
                <c:pt idx="84">
                  <c:v>83</c:v>
                </c:pt>
                <c:pt idx="85">
                  <c:v>82.5</c:v>
                </c:pt>
                <c:pt idx="86">
                  <c:v>81.5</c:v>
                </c:pt>
                <c:pt idx="87">
                  <c:v>80.5</c:v>
                </c:pt>
                <c:pt idx="88">
                  <c:v>80</c:v>
                </c:pt>
                <c:pt idx="89">
                  <c:v>79.5</c:v>
                </c:pt>
                <c:pt idx="90">
                  <c:v>178.5</c:v>
                </c:pt>
                <c:pt idx="91">
                  <c:v>176</c:v>
                </c:pt>
                <c:pt idx="92">
                  <c:v>58</c:v>
                </c:pt>
                <c:pt idx="93">
                  <c:v>57</c:v>
                </c:pt>
                <c:pt idx="94">
                  <c:v>56.5</c:v>
                </c:pt>
                <c:pt idx="95">
                  <c:v>56</c:v>
                </c:pt>
                <c:pt idx="96">
                  <c:v>56</c:v>
                </c:pt>
                <c:pt idx="97">
                  <c:v>55</c:v>
                </c:pt>
                <c:pt idx="98">
                  <c:v>54.5</c:v>
                </c:pt>
                <c:pt idx="99">
                  <c:v>54</c:v>
                </c:pt>
                <c:pt idx="100">
                  <c:v>54</c:v>
                </c:pt>
                <c:pt idx="101">
                  <c:v>58</c:v>
                </c:pt>
                <c:pt idx="102">
                  <c:v>57.5</c:v>
                </c:pt>
                <c:pt idx="103">
                  <c:v>57</c:v>
                </c:pt>
                <c:pt idx="104">
                  <c:v>56</c:v>
                </c:pt>
                <c:pt idx="105">
                  <c:v>56</c:v>
                </c:pt>
                <c:pt idx="106">
                  <c:v>55.5</c:v>
                </c:pt>
                <c:pt idx="107">
                  <c:v>55</c:v>
                </c:pt>
                <c:pt idx="108">
                  <c:v>54.5</c:v>
                </c:pt>
                <c:pt idx="109">
                  <c:v>71.5</c:v>
                </c:pt>
                <c:pt idx="110">
                  <c:v>71.5</c:v>
                </c:pt>
                <c:pt idx="111">
                  <c:v>70.5</c:v>
                </c:pt>
                <c:pt idx="112">
                  <c:v>70</c:v>
                </c:pt>
                <c:pt idx="113">
                  <c:v>69</c:v>
                </c:pt>
                <c:pt idx="114">
                  <c:v>69</c:v>
                </c:pt>
                <c:pt idx="115">
                  <c:v>71.5</c:v>
                </c:pt>
                <c:pt idx="116">
                  <c:v>70.5</c:v>
                </c:pt>
                <c:pt idx="117">
                  <c:v>70.5</c:v>
                </c:pt>
                <c:pt idx="118">
                  <c:v>69</c:v>
                </c:pt>
                <c:pt idx="119">
                  <c:v>69</c:v>
                </c:pt>
                <c:pt idx="120">
                  <c:v>71.5</c:v>
                </c:pt>
                <c:pt idx="121">
                  <c:v>70.5</c:v>
                </c:pt>
                <c:pt idx="122">
                  <c:v>70.5</c:v>
                </c:pt>
                <c:pt idx="123">
                  <c:v>69</c:v>
                </c:pt>
                <c:pt idx="124">
                  <c:v>69</c:v>
                </c:pt>
                <c:pt idx="125">
                  <c:v>68</c:v>
                </c:pt>
                <c:pt idx="126">
                  <c:v>67.5</c:v>
                </c:pt>
                <c:pt idx="127">
                  <c:v>71.5</c:v>
                </c:pt>
                <c:pt idx="128">
                  <c:v>70.5</c:v>
                </c:pt>
                <c:pt idx="129">
                  <c:v>70.5</c:v>
                </c:pt>
                <c:pt idx="130">
                  <c:v>69.5</c:v>
                </c:pt>
                <c:pt idx="131">
                  <c:v>69</c:v>
                </c:pt>
                <c:pt idx="132">
                  <c:v>68</c:v>
                </c:pt>
                <c:pt idx="133">
                  <c:v>68</c:v>
                </c:pt>
                <c:pt idx="134">
                  <c:v>67</c:v>
                </c:pt>
                <c:pt idx="135">
                  <c:v>171</c:v>
                </c:pt>
                <c:pt idx="136">
                  <c:v>168</c:v>
                </c:pt>
                <c:pt idx="137">
                  <c:v>166</c:v>
                </c:pt>
                <c:pt idx="138">
                  <c:v>80</c:v>
                </c:pt>
                <c:pt idx="139">
                  <c:v>79</c:v>
                </c:pt>
                <c:pt idx="140">
                  <c:v>78.5</c:v>
                </c:pt>
                <c:pt idx="141">
                  <c:v>78</c:v>
                </c:pt>
                <c:pt idx="142">
                  <c:v>76.5</c:v>
                </c:pt>
                <c:pt idx="143">
                  <c:v>79.5</c:v>
                </c:pt>
                <c:pt idx="144">
                  <c:v>79</c:v>
                </c:pt>
                <c:pt idx="145">
                  <c:v>78.5</c:v>
                </c:pt>
                <c:pt idx="146">
                  <c:v>77.5</c:v>
                </c:pt>
                <c:pt idx="147">
                  <c:v>76.5</c:v>
                </c:pt>
                <c:pt idx="148">
                  <c:v>76.5</c:v>
                </c:pt>
                <c:pt idx="149">
                  <c:v>80.5</c:v>
                </c:pt>
                <c:pt idx="150">
                  <c:v>79.5</c:v>
                </c:pt>
                <c:pt idx="151">
                  <c:v>79</c:v>
                </c:pt>
                <c:pt idx="152">
                  <c:v>78.5</c:v>
                </c:pt>
                <c:pt idx="153">
                  <c:v>80.5</c:v>
                </c:pt>
                <c:pt idx="154">
                  <c:v>80</c:v>
                </c:pt>
                <c:pt idx="155">
                  <c:v>79.5</c:v>
                </c:pt>
                <c:pt idx="156">
                  <c:v>78.5</c:v>
                </c:pt>
                <c:pt idx="157">
                  <c:v>77.5</c:v>
                </c:pt>
                <c:pt idx="158">
                  <c:v>76.5</c:v>
                </c:pt>
                <c:pt idx="159">
                  <c:v>76.5</c:v>
                </c:pt>
                <c:pt idx="160">
                  <c:v>75.5</c:v>
                </c:pt>
                <c:pt idx="161">
                  <c:v>164.5</c:v>
                </c:pt>
                <c:pt idx="162">
                  <c:v>162</c:v>
                </c:pt>
                <c:pt idx="163">
                  <c:v>85.5</c:v>
                </c:pt>
                <c:pt idx="164">
                  <c:v>84.5</c:v>
                </c:pt>
                <c:pt idx="165">
                  <c:v>84</c:v>
                </c:pt>
                <c:pt idx="166">
                  <c:v>83.5</c:v>
                </c:pt>
                <c:pt idx="167">
                  <c:v>82.5</c:v>
                </c:pt>
                <c:pt idx="168">
                  <c:v>81.5</c:v>
                </c:pt>
                <c:pt idx="169">
                  <c:v>81.5</c:v>
                </c:pt>
                <c:pt idx="170">
                  <c:v>80.5</c:v>
                </c:pt>
                <c:pt idx="171">
                  <c:v>85.5</c:v>
                </c:pt>
                <c:pt idx="172">
                  <c:v>85</c:v>
                </c:pt>
                <c:pt idx="173">
                  <c:v>84</c:v>
                </c:pt>
                <c:pt idx="174">
                  <c:v>83.5</c:v>
                </c:pt>
                <c:pt idx="175">
                  <c:v>82.5</c:v>
                </c:pt>
                <c:pt idx="176">
                  <c:v>81.5</c:v>
                </c:pt>
                <c:pt idx="177">
                  <c:v>81.5</c:v>
                </c:pt>
                <c:pt idx="178">
                  <c:v>85.5</c:v>
                </c:pt>
                <c:pt idx="179">
                  <c:v>85</c:v>
                </c:pt>
                <c:pt idx="180">
                  <c:v>84.5</c:v>
                </c:pt>
                <c:pt idx="181">
                  <c:v>83.5</c:v>
                </c:pt>
                <c:pt idx="182">
                  <c:v>83</c:v>
                </c:pt>
                <c:pt idx="183">
                  <c:v>81.5</c:v>
                </c:pt>
                <c:pt idx="184">
                  <c:v>81.5</c:v>
                </c:pt>
                <c:pt idx="185">
                  <c:v>80.5</c:v>
                </c:pt>
                <c:pt idx="186">
                  <c:v>80</c:v>
                </c:pt>
                <c:pt idx="187">
                  <c:v>66.5</c:v>
                </c:pt>
                <c:pt idx="188">
                  <c:v>66</c:v>
                </c:pt>
                <c:pt idx="189">
                  <c:v>65.5</c:v>
                </c:pt>
                <c:pt idx="190">
                  <c:v>65</c:v>
                </c:pt>
                <c:pt idx="191">
                  <c:v>64</c:v>
                </c:pt>
                <c:pt idx="192">
                  <c:v>64</c:v>
                </c:pt>
                <c:pt idx="193">
                  <c:v>67</c:v>
                </c:pt>
                <c:pt idx="194">
                  <c:v>66.5</c:v>
                </c:pt>
                <c:pt idx="195">
                  <c:v>66</c:v>
                </c:pt>
                <c:pt idx="196">
                  <c:v>65.5</c:v>
                </c:pt>
                <c:pt idx="197">
                  <c:v>65</c:v>
                </c:pt>
                <c:pt idx="198">
                  <c:v>64</c:v>
                </c:pt>
                <c:pt idx="199">
                  <c:v>64</c:v>
                </c:pt>
                <c:pt idx="200">
                  <c:v>63</c:v>
                </c:pt>
                <c:pt idx="201">
                  <c:v>148</c:v>
                </c:pt>
                <c:pt idx="202">
                  <c:v>145.5</c:v>
                </c:pt>
                <c:pt idx="203">
                  <c:v>144</c:v>
                </c:pt>
                <c:pt idx="204">
                  <c:v>66.5</c:v>
                </c:pt>
                <c:pt idx="205">
                  <c:v>66</c:v>
                </c:pt>
                <c:pt idx="206">
                  <c:v>65.5</c:v>
                </c:pt>
                <c:pt idx="207">
                  <c:v>65</c:v>
                </c:pt>
                <c:pt idx="208">
                  <c:v>64</c:v>
                </c:pt>
                <c:pt idx="209">
                  <c:v>64</c:v>
                </c:pt>
                <c:pt idx="210">
                  <c:v>66.5</c:v>
                </c:pt>
                <c:pt idx="211">
                  <c:v>66.5</c:v>
                </c:pt>
                <c:pt idx="212">
                  <c:v>65.5</c:v>
                </c:pt>
                <c:pt idx="213">
                  <c:v>65</c:v>
                </c:pt>
                <c:pt idx="214">
                  <c:v>64</c:v>
                </c:pt>
                <c:pt idx="215">
                  <c:v>64</c:v>
                </c:pt>
                <c:pt idx="216">
                  <c:v>67</c:v>
                </c:pt>
                <c:pt idx="217">
                  <c:v>66.5</c:v>
                </c:pt>
                <c:pt idx="218">
                  <c:v>66</c:v>
                </c:pt>
                <c:pt idx="219">
                  <c:v>65.5</c:v>
                </c:pt>
                <c:pt idx="220">
                  <c:v>65</c:v>
                </c:pt>
                <c:pt idx="221">
                  <c:v>64</c:v>
                </c:pt>
                <c:pt idx="222">
                  <c:v>64</c:v>
                </c:pt>
                <c:pt idx="223">
                  <c:v>63</c:v>
                </c:pt>
                <c:pt idx="224">
                  <c:v>136</c:v>
                </c:pt>
                <c:pt idx="225">
                  <c:v>134.5</c:v>
                </c:pt>
                <c:pt idx="226">
                  <c:v>132.5</c:v>
                </c:pt>
                <c:pt idx="227">
                  <c:v>84.5</c:v>
                </c:pt>
                <c:pt idx="228">
                  <c:v>83.5</c:v>
                </c:pt>
                <c:pt idx="229">
                  <c:v>83</c:v>
                </c:pt>
                <c:pt idx="230">
                  <c:v>82</c:v>
                </c:pt>
                <c:pt idx="231">
                  <c:v>81.5</c:v>
                </c:pt>
                <c:pt idx="232">
                  <c:v>80.5</c:v>
                </c:pt>
                <c:pt idx="233">
                  <c:v>80</c:v>
                </c:pt>
                <c:pt idx="234">
                  <c:v>85.5</c:v>
                </c:pt>
                <c:pt idx="235">
                  <c:v>84.5</c:v>
                </c:pt>
                <c:pt idx="236">
                  <c:v>83.5</c:v>
                </c:pt>
                <c:pt idx="237">
                  <c:v>82.5</c:v>
                </c:pt>
                <c:pt idx="238">
                  <c:v>82</c:v>
                </c:pt>
                <c:pt idx="239">
                  <c:v>81.5</c:v>
                </c:pt>
                <c:pt idx="240">
                  <c:v>80.5</c:v>
                </c:pt>
                <c:pt idx="241">
                  <c:v>85.5</c:v>
                </c:pt>
                <c:pt idx="242">
                  <c:v>84.5</c:v>
                </c:pt>
                <c:pt idx="243">
                  <c:v>83.5</c:v>
                </c:pt>
                <c:pt idx="244">
                  <c:v>83</c:v>
                </c:pt>
                <c:pt idx="245">
                  <c:v>82</c:v>
                </c:pt>
                <c:pt idx="246">
                  <c:v>62</c:v>
                </c:pt>
                <c:pt idx="247">
                  <c:v>61.5</c:v>
                </c:pt>
                <c:pt idx="248">
                  <c:v>61</c:v>
                </c:pt>
                <c:pt idx="249">
                  <c:v>60.5</c:v>
                </c:pt>
                <c:pt idx="250">
                  <c:v>60</c:v>
                </c:pt>
                <c:pt idx="251">
                  <c:v>59</c:v>
                </c:pt>
                <c:pt idx="252">
                  <c:v>59</c:v>
                </c:pt>
                <c:pt idx="253">
                  <c:v>166</c:v>
                </c:pt>
                <c:pt idx="254">
                  <c:v>163.5</c:v>
                </c:pt>
                <c:pt idx="255">
                  <c:v>75.5</c:v>
                </c:pt>
                <c:pt idx="256">
                  <c:v>75.5</c:v>
                </c:pt>
                <c:pt idx="257">
                  <c:v>74.5</c:v>
                </c:pt>
                <c:pt idx="258">
                  <c:v>74</c:v>
                </c:pt>
                <c:pt idx="259">
                  <c:v>73</c:v>
                </c:pt>
                <c:pt idx="260">
                  <c:v>73</c:v>
                </c:pt>
                <c:pt idx="261">
                  <c:v>71.5</c:v>
                </c:pt>
                <c:pt idx="262">
                  <c:v>71.5</c:v>
                </c:pt>
                <c:pt idx="263">
                  <c:v>76</c:v>
                </c:pt>
                <c:pt idx="264">
                  <c:v>75</c:v>
                </c:pt>
                <c:pt idx="265">
                  <c:v>74</c:v>
                </c:pt>
                <c:pt idx="266">
                  <c:v>73</c:v>
                </c:pt>
                <c:pt idx="267">
                  <c:v>73</c:v>
                </c:pt>
                <c:pt idx="268">
                  <c:v>72</c:v>
                </c:pt>
                <c:pt idx="269">
                  <c:v>71.5</c:v>
                </c:pt>
                <c:pt idx="270">
                  <c:v>76</c:v>
                </c:pt>
                <c:pt idx="271">
                  <c:v>75</c:v>
                </c:pt>
                <c:pt idx="272">
                  <c:v>74.5</c:v>
                </c:pt>
                <c:pt idx="273">
                  <c:v>73.5</c:v>
                </c:pt>
                <c:pt idx="274">
                  <c:v>73</c:v>
                </c:pt>
                <c:pt idx="275">
                  <c:v>71.5</c:v>
                </c:pt>
                <c:pt idx="276">
                  <c:v>72</c:v>
                </c:pt>
                <c:pt idx="277">
                  <c:v>71.5</c:v>
                </c:pt>
                <c:pt idx="278">
                  <c:v>71</c:v>
                </c:pt>
                <c:pt idx="279">
                  <c:v>70.5</c:v>
                </c:pt>
                <c:pt idx="280">
                  <c:v>69.5</c:v>
                </c:pt>
                <c:pt idx="281">
                  <c:v>71.5</c:v>
                </c:pt>
                <c:pt idx="282">
                  <c:v>71</c:v>
                </c:pt>
                <c:pt idx="283">
                  <c:v>70.5</c:v>
                </c:pt>
                <c:pt idx="284">
                  <c:v>70</c:v>
                </c:pt>
                <c:pt idx="285">
                  <c:v>69</c:v>
                </c:pt>
                <c:pt idx="286">
                  <c:v>69</c:v>
                </c:pt>
                <c:pt idx="287">
                  <c:v>68</c:v>
                </c:pt>
                <c:pt idx="288">
                  <c:v>68</c:v>
                </c:pt>
                <c:pt idx="289">
                  <c:v>71.5</c:v>
                </c:pt>
                <c:pt idx="290">
                  <c:v>71</c:v>
                </c:pt>
                <c:pt idx="291">
                  <c:v>70.5</c:v>
                </c:pt>
                <c:pt idx="292">
                  <c:v>70</c:v>
                </c:pt>
                <c:pt idx="293">
                  <c:v>69</c:v>
                </c:pt>
                <c:pt idx="294">
                  <c:v>69</c:v>
                </c:pt>
                <c:pt idx="295">
                  <c:v>68</c:v>
                </c:pt>
                <c:pt idx="296">
                  <c:v>194</c:v>
                </c:pt>
                <c:pt idx="297">
                  <c:v>190.5</c:v>
                </c:pt>
                <c:pt idx="298">
                  <c:v>187.5</c:v>
                </c:pt>
                <c:pt idx="299">
                  <c:v>184.5</c:v>
                </c:pt>
                <c:pt idx="300">
                  <c:v>182</c:v>
                </c:pt>
                <c:pt idx="301">
                  <c:v>67</c:v>
                </c:pt>
                <c:pt idx="302">
                  <c:v>66.5</c:v>
                </c:pt>
                <c:pt idx="303">
                  <c:v>66</c:v>
                </c:pt>
                <c:pt idx="304">
                  <c:v>65.5</c:v>
                </c:pt>
                <c:pt idx="305">
                  <c:v>65</c:v>
                </c:pt>
                <c:pt idx="306">
                  <c:v>64</c:v>
                </c:pt>
                <c:pt idx="307">
                  <c:v>64</c:v>
                </c:pt>
                <c:pt idx="308">
                  <c:v>67</c:v>
                </c:pt>
                <c:pt idx="309">
                  <c:v>66.5</c:v>
                </c:pt>
                <c:pt idx="310">
                  <c:v>66</c:v>
                </c:pt>
                <c:pt idx="311">
                  <c:v>65.5</c:v>
                </c:pt>
                <c:pt idx="312">
                  <c:v>65</c:v>
                </c:pt>
                <c:pt idx="313">
                  <c:v>64</c:v>
                </c:pt>
                <c:pt idx="314">
                  <c:v>64</c:v>
                </c:pt>
                <c:pt idx="315">
                  <c:v>67</c:v>
                </c:pt>
                <c:pt idx="316">
                  <c:v>66.5</c:v>
                </c:pt>
                <c:pt idx="317">
                  <c:v>66</c:v>
                </c:pt>
                <c:pt idx="318">
                  <c:v>65.5</c:v>
                </c:pt>
                <c:pt idx="319">
                  <c:v>65</c:v>
                </c:pt>
                <c:pt idx="320">
                  <c:v>64</c:v>
                </c:pt>
                <c:pt idx="321">
                  <c:v>64</c:v>
                </c:pt>
                <c:pt idx="322">
                  <c:v>62.5</c:v>
                </c:pt>
                <c:pt idx="323">
                  <c:v>62</c:v>
                </c:pt>
                <c:pt idx="324">
                  <c:v>61.5</c:v>
                </c:pt>
                <c:pt idx="325">
                  <c:v>61</c:v>
                </c:pt>
                <c:pt idx="326">
                  <c:v>61.5</c:v>
                </c:pt>
                <c:pt idx="327">
                  <c:v>61</c:v>
                </c:pt>
                <c:pt idx="328">
                  <c:v>61</c:v>
                </c:pt>
                <c:pt idx="329">
                  <c:v>60</c:v>
                </c:pt>
                <c:pt idx="330">
                  <c:v>59.5</c:v>
                </c:pt>
                <c:pt idx="331">
                  <c:v>60.5</c:v>
                </c:pt>
                <c:pt idx="332">
                  <c:v>60.5</c:v>
                </c:pt>
                <c:pt idx="333">
                  <c:v>59.5</c:v>
                </c:pt>
                <c:pt idx="334">
                  <c:v>59</c:v>
                </c:pt>
                <c:pt idx="335">
                  <c:v>58</c:v>
                </c:pt>
                <c:pt idx="336">
                  <c:v>58</c:v>
                </c:pt>
                <c:pt idx="337">
                  <c:v>57.5</c:v>
                </c:pt>
                <c:pt idx="338">
                  <c:v>196</c:v>
                </c:pt>
                <c:pt idx="339">
                  <c:v>193</c:v>
                </c:pt>
                <c:pt idx="340">
                  <c:v>190.5</c:v>
                </c:pt>
                <c:pt idx="341">
                  <c:v>80.5</c:v>
                </c:pt>
                <c:pt idx="342">
                  <c:v>80</c:v>
                </c:pt>
                <c:pt idx="343">
                  <c:v>79</c:v>
                </c:pt>
                <c:pt idx="344">
                  <c:v>78.5</c:v>
                </c:pt>
                <c:pt idx="345">
                  <c:v>78</c:v>
                </c:pt>
                <c:pt idx="346">
                  <c:v>76.5</c:v>
                </c:pt>
                <c:pt idx="347">
                  <c:v>76.5</c:v>
                </c:pt>
                <c:pt idx="348">
                  <c:v>80.5</c:v>
                </c:pt>
                <c:pt idx="349">
                  <c:v>80</c:v>
                </c:pt>
                <c:pt idx="350">
                  <c:v>79</c:v>
                </c:pt>
                <c:pt idx="351">
                  <c:v>78.5</c:v>
                </c:pt>
                <c:pt idx="352">
                  <c:v>78</c:v>
                </c:pt>
                <c:pt idx="353">
                  <c:v>76.5</c:v>
                </c:pt>
                <c:pt idx="354">
                  <c:v>76.5</c:v>
                </c:pt>
                <c:pt idx="355">
                  <c:v>75.5</c:v>
                </c:pt>
                <c:pt idx="356">
                  <c:v>80</c:v>
                </c:pt>
                <c:pt idx="357">
                  <c:v>78.5</c:v>
                </c:pt>
                <c:pt idx="358">
                  <c:v>78.5</c:v>
                </c:pt>
                <c:pt idx="359">
                  <c:v>77.5</c:v>
                </c:pt>
                <c:pt idx="360">
                  <c:v>76.5</c:v>
                </c:pt>
                <c:pt idx="361">
                  <c:v>205</c:v>
                </c:pt>
                <c:pt idx="362">
                  <c:v>199.5</c:v>
                </c:pt>
                <c:pt idx="363">
                  <c:v>196.5</c:v>
                </c:pt>
                <c:pt idx="364">
                  <c:v>76</c:v>
                </c:pt>
                <c:pt idx="365">
                  <c:v>75.5</c:v>
                </c:pt>
                <c:pt idx="366">
                  <c:v>74.5</c:v>
                </c:pt>
                <c:pt idx="367">
                  <c:v>74</c:v>
                </c:pt>
                <c:pt idx="368">
                  <c:v>73.5</c:v>
                </c:pt>
                <c:pt idx="369">
                  <c:v>73</c:v>
                </c:pt>
                <c:pt idx="370">
                  <c:v>72</c:v>
                </c:pt>
                <c:pt idx="371">
                  <c:v>71.5</c:v>
                </c:pt>
                <c:pt idx="372">
                  <c:v>76.5</c:v>
                </c:pt>
                <c:pt idx="373">
                  <c:v>75.5</c:v>
                </c:pt>
                <c:pt idx="374">
                  <c:v>75</c:v>
                </c:pt>
                <c:pt idx="375">
                  <c:v>74</c:v>
                </c:pt>
                <c:pt idx="376">
                  <c:v>73.5</c:v>
                </c:pt>
                <c:pt idx="377">
                  <c:v>72.5</c:v>
                </c:pt>
                <c:pt idx="378">
                  <c:v>72</c:v>
                </c:pt>
                <c:pt idx="379">
                  <c:v>71.5</c:v>
                </c:pt>
                <c:pt idx="380">
                  <c:v>76.5</c:v>
                </c:pt>
                <c:pt idx="381">
                  <c:v>75.5</c:v>
                </c:pt>
                <c:pt idx="382">
                  <c:v>75</c:v>
                </c:pt>
                <c:pt idx="383">
                  <c:v>74</c:v>
                </c:pt>
                <c:pt idx="384">
                  <c:v>73.5</c:v>
                </c:pt>
                <c:pt idx="385">
                  <c:v>73</c:v>
                </c:pt>
                <c:pt idx="386">
                  <c:v>72.5</c:v>
                </c:pt>
                <c:pt idx="387">
                  <c:v>71.5</c:v>
                </c:pt>
                <c:pt idx="388">
                  <c:v>71.5</c:v>
                </c:pt>
                <c:pt idx="389">
                  <c:v>71</c:v>
                </c:pt>
                <c:pt idx="390">
                  <c:v>70.5</c:v>
                </c:pt>
                <c:pt idx="391">
                  <c:v>69.5</c:v>
                </c:pt>
                <c:pt idx="392">
                  <c:v>69</c:v>
                </c:pt>
                <c:pt idx="393">
                  <c:v>68.5</c:v>
                </c:pt>
                <c:pt idx="394">
                  <c:v>71.5</c:v>
                </c:pt>
                <c:pt idx="395">
                  <c:v>71</c:v>
                </c:pt>
                <c:pt idx="396">
                  <c:v>70.5</c:v>
                </c:pt>
                <c:pt idx="397">
                  <c:v>70</c:v>
                </c:pt>
                <c:pt idx="398">
                  <c:v>69</c:v>
                </c:pt>
                <c:pt idx="399">
                  <c:v>69</c:v>
                </c:pt>
                <c:pt idx="400">
                  <c:v>68</c:v>
                </c:pt>
                <c:pt idx="401">
                  <c:v>71.5</c:v>
                </c:pt>
                <c:pt idx="402">
                  <c:v>71</c:v>
                </c:pt>
                <c:pt idx="403">
                  <c:v>70.5</c:v>
                </c:pt>
                <c:pt idx="404">
                  <c:v>70</c:v>
                </c:pt>
                <c:pt idx="405">
                  <c:v>69</c:v>
                </c:pt>
                <c:pt idx="406">
                  <c:v>69</c:v>
                </c:pt>
                <c:pt idx="407">
                  <c:v>68</c:v>
                </c:pt>
                <c:pt idx="408">
                  <c:v>68</c:v>
                </c:pt>
                <c:pt idx="409">
                  <c:v>192</c:v>
                </c:pt>
                <c:pt idx="410">
                  <c:v>189</c:v>
                </c:pt>
                <c:pt idx="411">
                  <c:v>187.5</c:v>
                </c:pt>
                <c:pt idx="412">
                  <c:v>184</c:v>
                </c:pt>
                <c:pt idx="413">
                  <c:v>67</c:v>
                </c:pt>
                <c:pt idx="414">
                  <c:v>66.5</c:v>
                </c:pt>
                <c:pt idx="415">
                  <c:v>66</c:v>
                </c:pt>
                <c:pt idx="416">
                  <c:v>65.5</c:v>
                </c:pt>
                <c:pt idx="417">
                  <c:v>65</c:v>
                </c:pt>
                <c:pt idx="418">
                  <c:v>67</c:v>
                </c:pt>
                <c:pt idx="419">
                  <c:v>66.5</c:v>
                </c:pt>
                <c:pt idx="420">
                  <c:v>66</c:v>
                </c:pt>
                <c:pt idx="421">
                  <c:v>65.5</c:v>
                </c:pt>
                <c:pt idx="422">
                  <c:v>65</c:v>
                </c:pt>
                <c:pt idx="423">
                  <c:v>64</c:v>
                </c:pt>
                <c:pt idx="424">
                  <c:v>64</c:v>
                </c:pt>
                <c:pt idx="425">
                  <c:v>63</c:v>
                </c:pt>
                <c:pt idx="426">
                  <c:v>67</c:v>
                </c:pt>
                <c:pt idx="427">
                  <c:v>66.5</c:v>
                </c:pt>
                <c:pt idx="428">
                  <c:v>66</c:v>
                </c:pt>
                <c:pt idx="429">
                  <c:v>65.5</c:v>
                </c:pt>
                <c:pt idx="430">
                  <c:v>65</c:v>
                </c:pt>
                <c:pt idx="431">
                  <c:v>64</c:v>
                </c:pt>
                <c:pt idx="432">
                  <c:v>64</c:v>
                </c:pt>
                <c:pt idx="433">
                  <c:v>63</c:v>
                </c:pt>
                <c:pt idx="434">
                  <c:v>188</c:v>
                </c:pt>
                <c:pt idx="435">
                  <c:v>184.5</c:v>
                </c:pt>
                <c:pt idx="436">
                  <c:v>182</c:v>
                </c:pt>
                <c:pt idx="437">
                  <c:v>179</c:v>
                </c:pt>
                <c:pt idx="438">
                  <c:v>177</c:v>
                </c:pt>
                <c:pt idx="439">
                  <c:v>62</c:v>
                </c:pt>
                <c:pt idx="440">
                  <c:v>61</c:v>
                </c:pt>
                <c:pt idx="441">
                  <c:v>61</c:v>
                </c:pt>
                <c:pt idx="442">
                  <c:v>60.5</c:v>
                </c:pt>
                <c:pt idx="443">
                  <c:v>60</c:v>
                </c:pt>
                <c:pt idx="444">
                  <c:v>59</c:v>
                </c:pt>
                <c:pt idx="445">
                  <c:v>205</c:v>
                </c:pt>
                <c:pt idx="446">
                  <c:v>199.5</c:v>
                </c:pt>
                <c:pt idx="447">
                  <c:v>196.5</c:v>
                </c:pt>
                <c:pt idx="448">
                  <c:v>76</c:v>
                </c:pt>
                <c:pt idx="449">
                  <c:v>75.5</c:v>
                </c:pt>
                <c:pt idx="450">
                  <c:v>74.5</c:v>
                </c:pt>
                <c:pt idx="451">
                  <c:v>74</c:v>
                </c:pt>
                <c:pt idx="452">
                  <c:v>73.5</c:v>
                </c:pt>
                <c:pt idx="453">
                  <c:v>73</c:v>
                </c:pt>
                <c:pt idx="454">
                  <c:v>72</c:v>
                </c:pt>
                <c:pt idx="455">
                  <c:v>71.5</c:v>
                </c:pt>
                <c:pt idx="456">
                  <c:v>76.5</c:v>
                </c:pt>
                <c:pt idx="457">
                  <c:v>75.5</c:v>
                </c:pt>
                <c:pt idx="458">
                  <c:v>75</c:v>
                </c:pt>
                <c:pt idx="459">
                  <c:v>74</c:v>
                </c:pt>
                <c:pt idx="460">
                  <c:v>73.5</c:v>
                </c:pt>
                <c:pt idx="461">
                  <c:v>72.5</c:v>
                </c:pt>
                <c:pt idx="462">
                  <c:v>72</c:v>
                </c:pt>
                <c:pt idx="463">
                  <c:v>71.5</c:v>
                </c:pt>
                <c:pt idx="464">
                  <c:v>76.5</c:v>
                </c:pt>
                <c:pt idx="465">
                  <c:v>75.5</c:v>
                </c:pt>
                <c:pt idx="466">
                  <c:v>75</c:v>
                </c:pt>
                <c:pt idx="467">
                  <c:v>74</c:v>
                </c:pt>
                <c:pt idx="468">
                  <c:v>73.5</c:v>
                </c:pt>
                <c:pt idx="469">
                  <c:v>73</c:v>
                </c:pt>
                <c:pt idx="470">
                  <c:v>72.5</c:v>
                </c:pt>
                <c:pt idx="471">
                  <c:v>71.5</c:v>
                </c:pt>
                <c:pt idx="472">
                  <c:v>71.5</c:v>
                </c:pt>
                <c:pt idx="473">
                  <c:v>71</c:v>
                </c:pt>
                <c:pt idx="474">
                  <c:v>70.5</c:v>
                </c:pt>
                <c:pt idx="475">
                  <c:v>69.5</c:v>
                </c:pt>
                <c:pt idx="476">
                  <c:v>69</c:v>
                </c:pt>
                <c:pt idx="477">
                  <c:v>68.5</c:v>
                </c:pt>
                <c:pt idx="478">
                  <c:v>71.5</c:v>
                </c:pt>
                <c:pt idx="479">
                  <c:v>71</c:v>
                </c:pt>
                <c:pt idx="480">
                  <c:v>70.5</c:v>
                </c:pt>
                <c:pt idx="481">
                  <c:v>70</c:v>
                </c:pt>
                <c:pt idx="482">
                  <c:v>69</c:v>
                </c:pt>
                <c:pt idx="483">
                  <c:v>69</c:v>
                </c:pt>
                <c:pt idx="484">
                  <c:v>68</c:v>
                </c:pt>
                <c:pt idx="485">
                  <c:v>71.5</c:v>
                </c:pt>
                <c:pt idx="486">
                  <c:v>71</c:v>
                </c:pt>
                <c:pt idx="487">
                  <c:v>70.5</c:v>
                </c:pt>
                <c:pt idx="488">
                  <c:v>70</c:v>
                </c:pt>
                <c:pt idx="489">
                  <c:v>69</c:v>
                </c:pt>
                <c:pt idx="490">
                  <c:v>69</c:v>
                </c:pt>
                <c:pt idx="491">
                  <c:v>68</c:v>
                </c:pt>
                <c:pt idx="492">
                  <c:v>68</c:v>
                </c:pt>
                <c:pt idx="493">
                  <c:v>192</c:v>
                </c:pt>
                <c:pt idx="494">
                  <c:v>189</c:v>
                </c:pt>
                <c:pt idx="495">
                  <c:v>187.5</c:v>
                </c:pt>
                <c:pt idx="496">
                  <c:v>184</c:v>
                </c:pt>
                <c:pt idx="497">
                  <c:v>67</c:v>
                </c:pt>
                <c:pt idx="498">
                  <c:v>66.5</c:v>
                </c:pt>
                <c:pt idx="499">
                  <c:v>66</c:v>
                </c:pt>
                <c:pt idx="500">
                  <c:v>65.5</c:v>
                </c:pt>
                <c:pt idx="501">
                  <c:v>65</c:v>
                </c:pt>
                <c:pt idx="502">
                  <c:v>67</c:v>
                </c:pt>
                <c:pt idx="503">
                  <c:v>66.5</c:v>
                </c:pt>
                <c:pt idx="504">
                  <c:v>66</c:v>
                </c:pt>
                <c:pt idx="505">
                  <c:v>65.5</c:v>
                </c:pt>
                <c:pt idx="506">
                  <c:v>65</c:v>
                </c:pt>
                <c:pt idx="507">
                  <c:v>64</c:v>
                </c:pt>
                <c:pt idx="508">
                  <c:v>64</c:v>
                </c:pt>
                <c:pt idx="509">
                  <c:v>63</c:v>
                </c:pt>
                <c:pt idx="510">
                  <c:v>67</c:v>
                </c:pt>
                <c:pt idx="511">
                  <c:v>66.5</c:v>
                </c:pt>
                <c:pt idx="512">
                  <c:v>66</c:v>
                </c:pt>
                <c:pt idx="513">
                  <c:v>65.5</c:v>
                </c:pt>
                <c:pt idx="514">
                  <c:v>65</c:v>
                </c:pt>
                <c:pt idx="515">
                  <c:v>64</c:v>
                </c:pt>
                <c:pt idx="516">
                  <c:v>64</c:v>
                </c:pt>
                <c:pt idx="517">
                  <c:v>63</c:v>
                </c:pt>
                <c:pt idx="518">
                  <c:v>188</c:v>
                </c:pt>
                <c:pt idx="519">
                  <c:v>184.5</c:v>
                </c:pt>
                <c:pt idx="520">
                  <c:v>182</c:v>
                </c:pt>
                <c:pt idx="521">
                  <c:v>179</c:v>
                </c:pt>
                <c:pt idx="522">
                  <c:v>177</c:v>
                </c:pt>
                <c:pt idx="523">
                  <c:v>62</c:v>
                </c:pt>
                <c:pt idx="524">
                  <c:v>61</c:v>
                </c:pt>
                <c:pt idx="525">
                  <c:v>61</c:v>
                </c:pt>
                <c:pt idx="526">
                  <c:v>60.5</c:v>
                </c:pt>
                <c:pt idx="527">
                  <c:v>60</c:v>
                </c:pt>
                <c:pt idx="528">
                  <c:v>59</c:v>
                </c:pt>
                <c:pt idx="529">
                  <c:v>62</c:v>
                </c:pt>
                <c:pt idx="530">
                  <c:v>61.5</c:v>
                </c:pt>
                <c:pt idx="531">
                  <c:v>61</c:v>
                </c:pt>
                <c:pt idx="532">
                  <c:v>60.5</c:v>
                </c:pt>
                <c:pt idx="533">
                  <c:v>60</c:v>
                </c:pt>
                <c:pt idx="534">
                  <c:v>59.5</c:v>
                </c:pt>
                <c:pt idx="535">
                  <c:v>59</c:v>
                </c:pt>
                <c:pt idx="536">
                  <c:v>62.5</c:v>
                </c:pt>
                <c:pt idx="537">
                  <c:v>61.5</c:v>
                </c:pt>
                <c:pt idx="538">
                  <c:v>61</c:v>
                </c:pt>
                <c:pt idx="539">
                  <c:v>60.5</c:v>
                </c:pt>
                <c:pt idx="540">
                  <c:v>60</c:v>
                </c:pt>
                <c:pt idx="541">
                  <c:v>59</c:v>
                </c:pt>
                <c:pt idx="542">
                  <c:v>183.5</c:v>
                </c:pt>
                <c:pt idx="543">
                  <c:v>179</c:v>
                </c:pt>
                <c:pt idx="544">
                  <c:v>177</c:v>
                </c:pt>
                <c:pt idx="545">
                  <c:v>174</c:v>
                </c:pt>
                <c:pt idx="546">
                  <c:v>172</c:v>
                </c:pt>
                <c:pt idx="547">
                  <c:v>58</c:v>
                </c:pt>
                <c:pt idx="548">
                  <c:v>57.5</c:v>
                </c:pt>
                <c:pt idx="549">
                  <c:v>57</c:v>
                </c:pt>
                <c:pt idx="550">
                  <c:v>56.5</c:v>
                </c:pt>
                <c:pt idx="551">
                  <c:v>56</c:v>
                </c:pt>
                <c:pt idx="552">
                  <c:v>58</c:v>
                </c:pt>
                <c:pt idx="553">
                  <c:v>57.5</c:v>
                </c:pt>
                <c:pt idx="554">
                  <c:v>57</c:v>
                </c:pt>
                <c:pt idx="555">
                  <c:v>56</c:v>
                </c:pt>
                <c:pt idx="556">
                  <c:v>56</c:v>
                </c:pt>
                <c:pt idx="557">
                  <c:v>56</c:v>
                </c:pt>
                <c:pt idx="558">
                  <c:v>55</c:v>
                </c:pt>
                <c:pt idx="559">
                  <c:v>54.5</c:v>
                </c:pt>
                <c:pt idx="560">
                  <c:v>54</c:v>
                </c:pt>
                <c:pt idx="561">
                  <c:v>58</c:v>
                </c:pt>
                <c:pt idx="562">
                  <c:v>57.5</c:v>
                </c:pt>
                <c:pt idx="563">
                  <c:v>57</c:v>
                </c:pt>
                <c:pt idx="564">
                  <c:v>56</c:v>
                </c:pt>
                <c:pt idx="565">
                  <c:v>71.5</c:v>
                </c:pt>
                <c:pt idx="566">
                  <c:v>71</c:v>
                </c:pt>
                <c:pt idx="567">
                  <c:v>70</c:v>
                </c:pt>
                <c:pt idx="568">
                  <c:v>69</c:v>
                </c:pt>
                <c:pt idx="569">
                  <c:v>71</c:v>
                </c:pt>
                <c:pt idx="570">
                  <c:v>70.5</c:v>
                </c:pt>
                <c:pt idx="571">
                  <c:v>70</c:v>
                </c:pt>
                <c:pt idx="572">
                  <c:v>69</c:v>
                </c:pt>
                <c:pt idx="573">
                  <c:v>69</c:v>
                </c:pt>
                <c:pt idx="574">
                  <c:v>68</c:v>
                </c:pt>
                <c:pt idx="575">
                  <c:v>68</c:v>
                </c:pt>
                <c:pt idx="576">
                  <c:v>184.5</c:v>
                </c:pt>
                <c:pt idx="577">
                  <c:v>182</c:v>
                </c:pt>
                <c:pt idx="578">
                  <c:v>178</c:v>
                </c:pt>
                <c:pt idx="579">
                  <c:v>80.5</c:v>
                </c:pt>
                <c:pt idx="580">
                  <c:v>79.5</c:v>
                </c:pt>
                <c:pt idx="581">
                  <c:v>79</c:v>
                </c:pt>
                <c:pt idx="582">
                  <c:v>78</c:v>
                </c:pt>
                <c:pt idx="583">
                  <c:v>77.5</c:v>
                </c:pt>
                <c:pt idx="584">
                  <c:v>76.5</c:v>
                </c:pt>
                <c:pt idx="585">
                  <c:v>76.5</c:v>
                </c:pt>
                <c:pt idx="586">
                  <c:v>81.5</c:v>
                </c:pt>
                <c:pt idx="587">
                  <c:v>80.5</c:v>
                </c:pt>
                <c:pt idx="588">
                  <c:v>79.5</c:v>
                </c:pt>
                <c:pt idx="589">
                  <c:v>79</c:v>
                </c:pt>
                <c:pt idx="590">
                  <c:v>78.5</c:v>
                </c:pt>
                <c:pt idx="591">
                  <c:v>77.5</c:v>
                </c:pt>
                <c:pt idx="592">
                  <c:v>76.5</c:v>
                </c:pt>
                <c:pt idx="593">
                  <c:v>76.5</c:v>
                </c:pt>
                <c:pt idx="594">
                  <c:v>75.5</c:v>
                </c:pt>
                <c:pt idx="595">
                  <c:v>81.5</c:v>
                </c:pt>
                <c:pt idx="596">
                  <c:v>80.5</c:v>
                </c:pt>
                <c:pt idx="597">
                  <c:v>79.5</c:v>
                </c:pt>
                <c:pt idx="598">
                  <c:v>79</c:v>
                </c:pt>
                <c:pt idx="599">
                  <c:v>78.5</c:v>
                </c:pt>
                <c:pt idx="600">
                  <c:v>77</c:v>
                </c:pt>
                <c:pt idx="601">
                  <c:v>76.5</c:v>
                </c:pt>
                <c:pt idx="602">
                  <c:v>75.5</c:v>
                </c:pt>
                <c:pt idx="603">
                  <c:v>75.5</c:v>
                </c:pt>
                <c:pt idx="604">
                  <c:v>74</c:v>
                </c:pt>
                <c:pt idx="605">
                  <c:v>73.5</c:v>
                </c:pt>
                <c:pt idx="606">
                  <c:v>73</c:v>
                </c:pt>
                <c:pt idx="607">
                  <c:v>72.5</c:v>
                </c:pt>
                <c:pt idx="608">
                  <c:v>71.5</c:v>
                </c:pt>
                <c:pt idx="609">
                  <c:v>76.5</c:v>
                </c:pt>
                <c:pt idx="610">
                  <c:v>75.5</c:v>
                </c:pt>
                <c:pt idx="611">
                  <c:v>75.5</c:v>
                </c:pt>
                <c:pt idx="612">
                  <c:v>74</c:v>
                </c:pt>
                <c:pt idx="613">
                  <c:v>74</c:v>
                </c:pt>
                <c:pt idx="614">
                  <c:v>73</c:v>
                </c:pt>
                <c:pt idx="615">
                  <c:v>76</c:v>
                </c:pt>
                <c:pt idx="616">
                  <c:v>75.5</c:v>
                </c:pt>
                <c:pt idx="617">
                  <c:v>75</c:v>
                </c:pt>
                <c:pt idx="618">
                  <c:v>74</c:v>
                </c:pt>
                <c:pt idx="619">
                  <c:v>73</c:v>
                </c:pt>
                <c:pt idx="620">
                  <c:v>72.5</c:v>
                </c:pt>
                <c:pt idx="621">
                  <c:v>71.5</c:v>
                </c:pt>
                <c:pt idx="622">
                  <c:v>71.5</c:v>
                </c:pt>
                <c:pt idx="623">
                  <c:v>193</c:v>
                </c:pt>
                <c:pt idx="624">
                  <c:v>190.5</c:v>
                </c:pt>
                <c:pt idx="625">
                  <c:v>187.5</c:v>
                </c:pt>
                <c:pt idx="626">
                  <c:v>67</c:v>
                </c:pt>
                <c:pt idx="627">
                  <c:v>66.5</c:v>
                </c:pt>
                <c:pt idx="628">
                  <c:v>66</c:v>
                </c:pt>
                <c:pt idx="629">
                  <c:v>65.5</c:v>
                </c:pt>
                <c:pt idx="630">
                  <c:v>65</c:v>
                </c:pt>
                <c:pt idx="631">
                  <c:v>67</c:v>
                </c:pt>
                <c:pt idx="632">
                  <c:v>66.5</c:v>
                </c:pt>
                <c:pt idx="633">
                  <c:v>66</c:v>
                </c:pt>
                <c:pt idx="634">
                  <c:v>65.5</c:v>
                </c:pt>
                <c:pt idx="635">
                  <c:v>65</c:v>
                </c:pt>
                <c:pt idx="636">
                  <c:v>64</c:v>
                </c:pt>
                <c:pt idx="637">
                  <c:v>196.5</c:v>
                </c:pt>
                <c:pt idx="638">
                  <c:v>193.5</c:v>
                </c:pt>
                <c:pt idx="639">
                  <c:v>189.5</c:v>
                </c:pt>
                <c:pt idx="640">
                  <c:v>63</c:v>
                </c:pt>
                <c:pt idx="641">
                  <c:v>62</c:v>
                </c:pt>
                <c:pt idx="642">
                  <c:v>61.5</c:v>
                </c:pt>
                <c:pt idx="643">
                  <c:v>60.5</c:v>
                </c:pt>
                <c:pt idx="644">
                  <c:v>63</c:v>
                </c:pt>
                <c:pt idx="645">
                  <c:v>62</c:v>
                </c:pt>
                <c:pt idx="646">
                  <c:v>61.5</c:v>
                </c:pt>
                <c:pt idx="647">
                  <c:v>61</c:v>
                </c:pt>
                <c:pt idx="648">
                  <c:v>61</c:v>
                </c:pt>
                <c:pt idx="649">
                  <c:v>60</c:v>
                </c:pt>
                <c:pt idx="650">
                  <c:v>59.5</c:v>
                </c:pt>
                <c:pt idx="651">
                  <c:v>62.5</c:v>
                </c:pt>
                <c:pt idx="652">
                  <c:v>62</c:v>
                </c:pt>
                <c:pt idx="653">
                  <c:v>61</c:v>
                </c:pt>
                <c:pt idx="654">
                  <c:v>61</c:v>
                </c:pt>
                <c:pt idx="655">
                  <c:v>60.5</c:v>
                </c:pt>
                <c:pt idx="656">
                  <c:v>60</c:v>
                </c:pt>
                <c:pt idx="657">
                  <c:v>200</c:v>
                </c:pt>
                <c:pt idx="658">
                  <c:v>196.5</c:v>
                </c:pt>
                <c:pt idx="659">
                  <c:v>57.5</c:v>
                </c:pt>
                <c:pt idx="660">
                  <c:v>57</c:v>
                </c:pt>
                <c:pt idx="661">
                  <c:v>56</c:v>
                </c:pt>
                <c:pt idx="662">
                  <c:v>56</c:v>
                </c:pt>
                <c:pt idx="663">
                  <c:v>55.5</c:v>
                </c:pt>
                <c:pt idx="664">
                  <c:v>55</c:v>
                </c:pt>
                <c:pt idx="665">
                  <c:v>54</c:v>
                </c:pt>
                <c:pt idx="666">
                  <c:v>58</c:v>
                </c:pt>
                <c:pt idx="667">
                  <c:v>57.5</c:v>
                </c:pt>
                <c:pt idx="668">
                  <c:v>57</c:v>
                </c:pt>
                <c:pt idx="669">
                  <c:v>56</c:v>
                </c:pt>
                <c:pt idx="670">
                  <c:v>56</c:v>
                </c:pt>
                <c:pt idx="671">
                  <c:v>55.5</c:v>
                </c:pt>
                <c:pt idx="672">
                  <c:v>55</c:v>
                </c:pt>
                <c:pt idx="673">
                  <c:v>54</c:v>
                </c:pt>
                <c:pt idx="674">
                  <c:v>200</c:v>
                </c:pt>
                <c:pt idx="675">
                  <c:v>196.5</c:v>
                </c:pt>
                <c:pt idx="676">
                  <c:v>193.5</c:v>
                </c:pt>
                <c:pt idx="677">
                  <c:v>190</c:v>
                </c:pt>
                <c:pt idx="678">
                  <c:v>186.5</c:v>
                </c:pt>
                <c:pt idx="679">
                  <c:v>71.5</c:v>
                </c:pt>
                <c:pt idx="680">
                  <c:v>71</c:v>
                </c:pt>
                <c:pt idx="681">
                  <c:v>70.5</c:v>
                </c:pt>
                <c:pt idx="682">
                  <c:v>69</c:v>
                </c:pt>
                <c:pt idx="683">
                  <c:v>69</c:v>
                </c:pt>
                <c:pt idx="684">
                  <c:v>71.5</c:v>
                </c:pt>
                <c:pt idx="685">
                  <c:v>71</c:v>
                </c:pt>
                <c:pt idx="686">
                  <c:v>70.5</c:v>
                </c:pt>
                <c:pt idx="687">
                  <c:v>69.5</c:v>
                </c:pt>
                <c:pt idx="688">
                  <c:v>69</c:v>
                </c:pt>
                <c:pt idx="689">
                  <c:v>68.5</c:v>
                </c:pt>
                <c:pt idx="690">
                  <c:v>68</c:v>
                </c:pt>
                <c:pt idx="691">
                  <c:v>68</c:v>
                </c:pt>
                <c:pt idx="692">
                  <c:v>71.5</c:v>
                </c:pt>
                <c:pt idx="693">
                  <c:v>71</c:v>
                </c:pt>
                <c:pt idx="694">
                  <c:v>70.5</c:v>
                </c:pt>
                <c:pt idx="695">
                  <c:v>69.5</c:v>
                </c:pt>
                <c:pt idx="696">
                  <c:v>69</c:v>
                </c:pt>
                <c:pt idx="697">
                  <c:v>68.5</c:v>
                </c:pt>
                <c:pt idx="698">
                  <c:v>68</c:v>
                </c:pt>
                <c:pt idx="699">
                  <c:v>198.5</c:v>
                </c:pt>
                <c:pt idx="700">
                  <c:v>195</c:v>
                </c:pt>
                <c:pt idx="701">
                  <c:v>191.5</c:v>
                </c:pt>
                <c:pt idx="702">
                  <c:v>188</c:v>
                </c:pt>
                <c:pt idx="703">
                  <c:v>71.5</c:v>
                </c:pt>
                <c:pt idx="704">
                  <c:v>70.5</c:v>
                </c:pt>
                <c:pt idx="705">
                  <c:v>70.5</c:v>
                </c:pt>
                <c:pt idx="706">
                  <c:v>70</c:v>
                </c:pt>
                <c:pt idx="707">
                  <c:v>69</c:v>
                </c:pt>
                <c:pt idx="708">
                  <c:v>72</c:v>
                </c:pt>
                <c:pt idx="709">
                  <c:v>71.5</c:v>
                </c:pt>
                <c:pt idx="710">
                  <c:v>71</c:v>
                </c:pt>
                <c:pt idx="711">
                  <c:v>70.5</c:v>
                </c:pt>
                <c:pt idx="712">
                  <c:v>69.5</c:v>
                </c:pt>
                <c:pt idx="713">
                  <c:v>69</c:v>
                </c:pt>
                <c:pt idx="714">
                  <c:v>68.5</c:v>
                </c:pt>
                <c:pt idx="715">
                  <c:v>68</c:v>
                </c:pt>
                <c:pt idx="716">
                  <c:v>67</c:v>
                </c:pt>
                <c:pt idx="717">
                  <c:v>72</c:v>
                </c:pt>
                <c:pt idx="718">
                  <c:v>71.5</c:v>
                </c:pt>
                <c:pt idx="719">
                  <c:v>71</c:v>
                </c:pt>
                <c:pt idx="720">
                  <c:v>70.5</c:v>
                </c:pt>
                <c:pt idx="721">
                  <c:v>69.5</c:v>
                </c:pt>
                <c:pt idx="722">
                  <c:v>69</c:v>
                </c:pt>
                <c:pt idx="723">
                  <c:v>68.5</c:v>
                </c:pt>
                <c:pt idx="724">
                  <c:v>68</c:v>
                </c:pt>
                <c:pt idx="725">
                  <c:v>67</c:v>
                </c:pt>
                <c:pt idx="726">
                  <c:v>0</c:v>
                </c:pt>
              </c:numCache>
            </c:numRef>
          </c:xVal>
          <c:yVal>
            <c:numRef>
              <c:f>'Cooling Rate'!$D$2:$D$728</c:f>
              <c:numCache>
                <c:formatCode>General</c:formatCode>
                <c:ptCount val="727"/>
                <c:pt idx="0">
                  <c:v>-0.16117983599999999</c:v>
                </c:pt>
                <c:pt idx="1">
                  <c:v>-0.120870266</c:v>
                </c:pt>
                <c:pt idx="2">
                  <c:v>-0.120865396</c:v>
                </c:pt>
                <c:pt idx="3">
                  <c:v>-0.120860527</c:v>
                </c:pt>
                <c:pt idx="4">
                  <c:v>-8.0580177000000003E-2</c:v>
                </c:pt>
                <c:pt idx="5">
                  <c:v>-0.120860527</c:v>
                </c:pt>
                <c:pt idx="6">
                  <c:v>-8.0573685000000006E-2</c:v>
                </c:pt>
                <c:pt idx="7">
                  <c:v>-8.0593165999999994E-2</c:v>
                </c:pt>
                <c:pt idx="8">
                  <c:v>-0.120870266</c:v>
                </c:pt>
                <c:pt idx="9">
                  <c:v>-8.0586670999999999E-2</c:v>
                </c:pt>
                <c:pt idx="10">
                  <c:v>-0.120884877</c:v>
                </c:pt>
                <c:pt idx="11">
                  <c:v>-8.0576931000000004E-2</c:v>
                </c:pt>
                <c:pt idx="12">
                  <c:v>-9.6689979999999995E-2</c:v>
                </c:pt>
                <c:pt idx="13">
                  <c:v>-9.6693096000000006E-2</c:v>
                </c:pt>
                <c:pt idx="14">
                  <c:v>-8.0576931000000004E-2</c:v>
                </c:pt>
                <c:pt idx="15">
                  <c:v>-8.0576931000000004E-2</c:v>
                </c:pt>
                <c:pt idx="16">
                  <c:v>-4.0286842000000003E-2</c:v>
                </c:pt>
                <c:pt idx="17">
                  <c:v>-0.354529926</c:v>
                </c:pt>
                <c:pt idx="18">
                  <c:v>-0.354575637</c:v>
                </c:pt>
                <c:pt idx="19">
                  <c:v>-0.32232070899999998</c:v>
                </c:pt>
                <c:pt idx="20">
                  <c:v>-0.12085079</c:v>
                </c:pt>
                <c:pt idx="21">
                  <c:v>-0.120841054</c:v>
                </c:pt>
                <c:pt idx="22">
                  <c:v>-0.120836186</c:v>
                </c:pt>
                <c:pt idx="23">
                  <c:v>-8.0570438999999994E-2</c:v>
                </c:pt>
                <c:pt idx="24">
                  <c:v>-0.120865396</c:v>
                </c:pt>
                <c:pt idx="25">
                  <c:v>-0.120884877</c:v>
                </c:pt>
                <c:pt idx="26">
                  <c:v>-0.12089461999999999</c:v>
                </c:pt>
                <c:pt idx="27">
                  <c:v>-0.120889749</c:v>
                </c:pt>
                <c:pt idx="28">
                  <c:v>-0.120880006</c:v>
                </c:pt>
                <c:pt idx="29">
                  <c:v>-0.12087513599999999</c:v>
                </c:pt>
                <c:pt idx="30">
                  <c:v>-0.12089461999999999</c:v>
                </c:pt>
                <c:pt idx="31">
                  <c:v>-8.0596413000000006E-2</c:v>
                </c:pt>
                <c:pt idx="32">
                  <c:v>-0.120899492</c:v>
                </c:pt>
                <c:pt idx="33">
                  <c:v>-0.120899492</c:v>
                </c:pt>
                <c:pt idx="34">
                  <c:v>-8.0576931000000004E-2</c:v>
                </c:pt>
                <c:pt idx="35">
                  <c:v>-0.120860527</c:v>
                </c:pt>
                <c:pt idx="36">
                  <c:v>-0.12085079</c:v>
                </c:pt>
                <c:pt idx="37">
                  <c:v>-8.0554213E-2</c:v>
                </c:pt>
                <c:pt idx="38">
                  <c:v>-0.120841054</c:v>
                </c:pt>
                <c:pt idx="39">
                  <c:v>-8.0567192999999995E-2</c:v>
                </c:pt>
                <c:pt idx="40">
                  <c:v>-8.0576931000000004E-2</c:v>
                </c:pt>
                <c:pt idx="41">
                  <c:v>-0.120889749</c:v>
                </c:pt>
                <c:pt idx="42">
                  <c:v>-0.12089461999999999</c:v>
                </c:pt>
                <c:pt idx="43">
                  <c:v>-0.322294739</c:v>
                </c:pt>
                <c:pt idx="44">
                  <c:v>-0.36262540799999998</c:v>
                </c:pt>
                <c:pt idx="45">
                  <c:v>-0.36255236899999999</c:v>
                </c:pt>
                <c:pt idx="46">
                  <c:v>-0.12087513599999999</c:v>
                </c:pt>
                <c:pt idx="47">
                  <c:v>-0.161173342</c:v>
                </c:pt>
                <c:pt idx="48">
                  <c:v>-8.0596413000000006E-2</c:v>
                </c:pt>
                <c:pt idx="49">
                  <c:v>-0.120904365</c:v>
                </c:pt>
                <c:pt idx="50">
                  <c:v>-0.120889749</c:v>
                </c:pt>
                <c:pt idx="51">
                  <c:v>-0.120880006</c:v>
                </c:pt>
                <c:pt idx="52">
                  <c:v>-0.120880006</c:v>
                </c:pt>
                <c:pt idx="53">
                  <c:v>-0.120860527</c:v>
                </c:pt>
                <c:pt idx="54">
                  <c:v>-0.120860527</c:v>
                </c:pt>
                <c:pt idx="55">
                  <c:v>-0.120860527</c:v>
                </c:pt>
                <c:pt idx="56">
                  <c:v>-0.161166848</c:v>
                </c:pt>
                <c:pt idx="57">
                  <c:v>-8.0573685000000006E-2</c:v>
                </c:pt>
                <c:pt idx="58">
                  <c:v>-0.120870266</c:v>
                </c:pt>
                <c:pt idx="59">
                  <c:v>-8.0586670999999999E-2</c:v>
                </c:pt>
                <c:pt idx="60">
                  <c:v>-0.120880006</c:v>
                </c:pt>
                <c:pt idx="61">
                  <c:v>-0.120899492</c:v>
                </c:pt>
                <c:pt idx="62">
                  <c:v>-0.12891581799999999</c:v>
                </c:pt>
                <c:pt idx="63">
                  <c:v>-0.128924128</c:v>
                </c:pt>
                <c:pt idx="64">
                  <c:v>-9.6702446999999997E-2</c:v>
                </c:pt>
                <c:pt idx="65">
                  <c:v>-0.120889749</c:v>
                </c:pt>
                <c:pt idx="66">
                  <c:v>-0.120889749</c:v>
                </c:pt>
                <c:pt idx="67">
                  <c:v>-0.120884877</c:v>
                </c:pt>
                <c:pt idx="68">
                  <c:v>-0.38648587699999998</c:v>
                </c:pt>
                <c:pt idx="69">
                  <c:v>-0.38644853800000001</c:v>
                </c:pt>
                <c:pt idx="70">
                  <c:v>-0.38647343000000001</c:v>
                </c:pt>
                <c:pt idx="71">
                  <c:v>-0.120855658</c:v>
                </c:pt>
                <c:pt idx="72">
                  <c:v>-0.12891997299999999</c:v>
                </c:pt>
                <c:pt idx="73">
                  <c:v>-0.12889089400000001</c:v>
                </c:pt>
                <c:pt idx="74">
                  <c:v>-0.12889920099999999</c:v>
                </c:pt>
                <c:pt idx="75">
                  <c:v>-0.12889920099999999</c:v>
                </c:pt>
                <c:pt idx="76">
                  <c:v>-0.12087513599999999</c:v>
                </c:pt>
                <c:pt idx="77">
                  <c:v>-0.120865396</c:v>
                </c:pt>
                <c:pt idx="78">
                  <c:v>-0.12087513599999999</c:v>
                </c:pt>
                <c:pt idx="79">
                  <c:v>-8.0573685000000006E-2</c:v>
                </c:pt>
                <c:pt idx="80">
                  <c:v>-0.161088961</c:v>
                </c:pt>
                <c:pt idx="81">
                  <c:v>-0.120860527</c:v>
                </c:pt>
                <c:pt idx="82">
                  <c:v>-0.120860527</c:v>
                </c:pt>
                <c:pt idx="83">
                  <c:v>-0.120865396</c:v>
                </c:pt>
                <c:pt idx="84">
                  <c:v>-8.0580177000000003E-2</c:v>
                </c:pt>
                <c:pt idx="85">
                  <c:v>-0.12087513599999999</c:v>
                </c:pt>
                <c:pt idx="86">
                  <c:v>-0.120884877</c:v>
                </c:pt>
                <c:pt idx="87">
                  <c:v>-0.12089461999999999</c:v>
                </c:pt>
                <c:pt idx="88">
                  <c:v>-0.161173342</c:v>
                </c:pt>
                <c:pt idx="89">
                  <c:v>-0.12087513599999999</c:v>
                </c:pt>
                <c:pt idx="90">
                  <c:v>-0.44310171199999998</c:v>
                </c:pt>
                <c:pt idx="91">
                  <c:v>-0.402852194</c:v>
                </c:pt>
                <c:pt idx="92">
                  <c:v>-8.0563947999999996E-2</c:v>
                </c:pt>
                <c:pt idx="93">
                  <c:v>-8.0573685000000006E-2</c:v>
                </c:pt>
                <c:pt idx="94">
                  <c:v>-0.120865396</c:v>
                </c:pt>
                <c:pt idx="95">
                  <c:v>-8.0589917999999997E-2</c:v>
                </c:pt>
                <c:pt idx="96">
                  <c:v>-8.0583424000000001E-2</c:v>
                </c:pt>
                <c:pt idx="97">
                  <c:v>-8.0580177000000003E-2</c:v>
                </c:pt>
                <c:pt idx="98">
                  <c:v>-4.0291712E-2</c:v>
                </c:pt>
                <c:pt idx="99">
                  <c:v>-8.0573685000000006E-2</c:v>
                </c:pt>
                <c:pt idx="100">
                  <c:v>-8.0580177000000003E-2</c:v>
                </c:pt>
                <c:pt idx="101">
                  <c:v>-8.0576931000000004E-2</c:v>
                </c:pt>
                <c:pt idx="102">
                  <c:v>-4.0291712E-2</c:v>
                </c:pt>
                <c:pt idx="103">
                  <c:v>-8.0576931000000004E-2</c:v>
                </c:pt>
                <c:pt idx="104">
                  <c:v>-8.0580177000000003E-2</c:v>
                </c:pt>
                <c:pt idx="105">
                  <c:v>-8.0586670999999999E-2</c:v>
                </c:pt>
                <c:pt idx="106">
                  <c:v>-0.120870266</c:v>
                </c:pt>
                <c:pt idx="107">
                  <c:v>-8.0583424000000001E-2</c:v>
                </c:pt>
                <c:pt idx="108">
                  <c:v>-4.0290089000000001E-2</c:v>
                </c:pt>
                <c:pt idx="109">
                  <c:v>-0.12087513599999999</c:v>
                </c:pt>
                <c:pt idx="110">
                  <c:v>-0.12087513599999999</c:v>
                </c:pt>
                <c:pt idx="111">
                  <c:v>-0.120855658</c:v>
                </c:pt>
                <c:pt idx="112">
                  <c:v>-8.0576931000000004E-2</c:v>
                </c:pt>
                <c:pt idx="113">
                  <c:v>-8.0583424000000001E-2</c:v>
                </c:pt>
                <c:pt idx="114">
                  <c:v>-8.0586670999999999E-2</c:v>
                </c:pt>
                <c:pt idx="115">
                  <c:v>-0.12087513599999999</c:v>
                </c:pt>
                <c:pt idx="116">
                  <c:v>-0.120841054</c:v>
                </c:pt>
                <c:pt idx="117">
                  <c:v>-0.120860527</c:v>
                </c:pt>
                <c:pt idx="118">
                  <c:v>-8.0563947999999996E-2</c:v>
                </c:pt>
                <c:pt idx="119">
                  <c:v>-8.0557457999999998E-2</c:v>
                </c:pt>
                <c:pt idx="120">
                  <c:v>-0.120865396</c:v>
                </c:pt>
                <c:pt idx="121">
                  <c:v>-0.120860527</c:v>
                </c:pt>
                <c:pt idx="122">
                  <c:v>-0.120860527</c:v>
                </c:pt>
                <c:pt idx="123">
                  <c:v>-8.0580177000000003E-2</c:v>
                </c:pt>
                <c:pt idx="124">
                  <c:v>-8.0583424000000001E-2</c:v>
                </c:pt>
                <c:pt idx="125">
                  <c:v>-8.0576931000000004E-2</c:v>
                </c:pt>
                <c:pt idx="126">
                  <c:v>-9.6702446999999997E-2</c:v>
                </c:pt>
                <c:pt idx="127">
                  <c:v>-0.120889749</c:v>
                </c:pt>
                <c:pt idx="128">
                  <c:v>-0.120899492</c:v>
                </c:pt>
                <c:pt idx="129">
                  <c:v>-0.120899492</c:v>
                </c:pt>
                <c:pt idx="130">
                  <c:v>-0.12089461999999999</c:v>
                </c:pt>
                <c:pt idx="131">
                  <c:v>-8.0596413000000006E-2</c:v>
                </c:pt>
                <c:pt idx="132">
                  <c:v>-8.0589917999999997E-2</c:v>
                </c:pt>
                <c:pt idx="133">
                  <c:v>-8.0586670999999999E-2</c:v>
                </c:pt>
                <c:pt idx="134">
                  <c:v>-8.0589917999999997E-2</c:v>
                </c:pt>
                <c:pt idx="135">
                  <c:v>-0.40288465400000001</c:v>
                </c:pt>
                <c:pt idx="136">
                  <c:v>-0.40286842299999998</c:v>
                </c:pt>
                <c:pt idx="137">
                  <c:v>-0.40286842299999998</c:v>
                </c:pt>
                <c:pt idx="138">
                  <c:v>-0.16119932300000001</c:v>
                </c:pt>
                <c:pt idx="139">
                  <c:v>-8.0596413000000006E-2</c:v>
                </c:pt>
                <c:pt idx="140">
                  <c:v>-0.120899492</c:v>
                </c:pt>
                <c:pt idx="141">
                  <c:v>-8.0589917999999997E-2</c:v>
                </c:pt>
                <c:pt idx="142">
                  <c:v>-0.12087513599999999</c:v>
                </c:pt>
                <c:pt idx="143">
                  <c:v>-0.120841054</c:v>
                </c:pt>
                <c:pt idx="144">
                  <c:v>-8.0550969E-2</c:v>
                </c:pt>
                <c:pt idx="145">
                  <c:v>-0.12083131900000001</c:v>
                </c:pt>
                <c:pt idx="146">
                  <c:v>-0.120841054</c:v>
                </c:pt>
                <c:pt idx="147">
                  <c:v>-0.12085079</c:v>
                </c:pt>
                <c:pt idx="148">
                  <c:v>-0.12085079</c:v>
                </c:pt>
                <c:pt idx="149">
                  <c:v>-0.116786048</c:v>
                </c:pt>
                <c:pt idx="150">
                  <c:v>-0.120884877</c:v>
                </c:pt>
                <c:pt idx="151">
                  <c:v>-8.0586670999999999E-2</c:v>
                </c:pt>
                <c:pt idx="152">
                  <c:v>-0.120865396</c:v>
                </c:pt>
                <c:pt idx="153">
                  <c:v>-0.12087513599999999</c:v>
                </c:pt>
                <c:pt idx="154">
                  <c:v>-0.16114736900000001</c:v>
                </c:pt>
                <c:pt idx="155">
                  <c:v>-0.120870266</c:v>
                </c:pt>
                <c:pt idx="156">
                  <c:v>-0.120880006</c:v>
                </c:pt>
                <c:pt idx="157">
                  <c:v>-0.120865396</c:v>
                </c:pt>
                <c:pt idx="158">
                  <c:v>-0.120865396</c:v>
                </c:pt>
                <c:pt idx="159">
                  <c:v>-0.120870266</c:v>
                </c:pt>
                <c:pt idx="160">
                  <c:v>-0.120855658</c:v>
                </c:pt>
                <c:pt idx="161">
                  <c:v>-0.36269847700000002</c:v>
                </c:pt>
                <c:pt idx="162">
                  <c:v>-0.322333696</c:v>
                </c:pt>
                <c:pt idx="163">
                  <c:v>-0.120855658</c:v>
                </c:pt>
                <c:pt idx="164">
                  <c:v>-0.12085079</c:v>
                </c:pt>
                <c:pt idx="165">
                  <c:v>-8.0576931000000004E-2</c:v>
                </c:pt>
                <c:pt idx="166">
                  <c:v>-0.120884877</c:v>
                </c:pt>
                <c:pt idx="167">
                  <c:v>-0.120880006</c:v>
                </c:pt>
                <c:pt idx="168">
                  <c:v>-0.12089461999999999</c:v>
                </c:pt>
                <c:pt idx="169">
                  <c:v>-0.120880006</c:v>
                </c:pt>
                <c:pt idx="170">
                  <c:v>-0.120870266</c:v>
                </c:pt>
                <c:pt idx="171">
                  <c:v>-0.120899492</c:v>
                </c:pt>
                <c:pt idx="172">
                  <c:v>-0.16119282700000001</c:v>
                </c:pt>
                <c:pt idx="173">
                  <c:v>-8.0580177000000003E-2</c:v>
                </c:pt>
                <c:pt idx="174">
                  <c:v>-0.12087513599999999</c:v>
                </c:pt>
                <c:pt idx="175">
                  <c:v>-0.120855658</c:v>
                </c:pt>
                <c:pt idx="176">
                  <c:v>-0.120855658</c:v>
                </c:pt>
                <c:pt idx="177">
                  <c:v>-0.12085079</c:v>
                </c:pt>
                <c:pt idx="178">
                  <c:v>-0.12087513599999999</c:v>
                </c:pt>
                <c:pt idx="179">
                  <c:v>-0.161166848</c:v>
                </c:pt>
                <c:pt idx="180">
                  <c:v>-0.120870266</c:v>
                </c:pt>
                <c:pt idx="181">
                  <c:v>-0.120865396</c:v>
                </c:pt>
                <c:pt idx="182">
                  <c:v>-8.0576931000000004E-2</c:v>
                </c:pt>
                <c:pt idx="183">
                  <c:v>-0.12085079</c:v>
                </c:pt>
                <c:pt idx="184">
                  <c:v>-0.120855658</c:v>
                </c:pt>
                <c:pt idx="185">
                  <c:v>-0.120860527</c:v>
                </c:pt>
                <c:pt idx="186">
                  <c:v>-0.16116035500000001</c:v>
                </c:pt>
                <c:pt idx="187">
                  <c:v>-0.120855658</c:v>
                </c:pt>
                <c:pt idx="188">
                  <c:v>-8.0576931000000004E-2</c:v>
                </c:pt>
                <c:pt idx="189">
                  <c:v>-0.120880006</c:v>
                </c:pt>
                <c:pt idx="190">
                  <c:v>-8.0589917999999997E-2</c:v>
                </c:pt>
                <c:pt idx="191">
                  <c:v>-8.0583424000000001E-2</c:v>
                </c:pt>
                <c:pt idx="192">
                  <c:v>-8.0573685000000006E-2</c:v>
                </c:pt>
                <c:pt idx="193">
                  <c:v>-8.0599661000000003E-2</c:v>
                </c:pt>
                <c:pt idx="194">
                  <c:v>-0.120889749</c:v>
                </c:pt>
                <c:pt idx="195">
                  <c:v>-8.0589917999999997E-2</c:v>
                </c:pt>
                <c:pt idx="196">
                  <c:v>-0.12087513599999999</c:v>
                </c:pt>
                <c:pt idx="197">
                  <c:v>-8.0580177000000003E-2</c:v>
                </c:pt>
                <c:pt idx="198">
                  <c:v>-8.0580177000000003E-2</c:v>
                </c:pt>
                <c:pt idx="199">
                  <c:v>-8.0583424000000001E-2</c:v>
                </c:pt>
                <c:pt idx="200">
                  <c:v>-8.0576931000000004E-2</c:v>
                </c:pt>
                <c:pt idx="201">
                  <c:v>-0.32235967300000001</c:v>
                </c:pt>
                <c:pt idx="202">
                  <c:v>-0.28206471399999999</c:v>
                </c:pt>
                <c:pt idx="203">
                  <c:v>-0.32234668399999999</c:v>
                </c:pt>
                <c:pt idx="204">
                  <c:v>-0.120880006</c:v>
                </c:pt>
                <c:pt idx="205">
                  <c:v>-8.0599661000000003E-2</c:v>
                </c:pt>
                <c:pt idx="206">
                  <c:v>-0.120889749</c:v>
                </c:pt>
                <c:pt idx="207">
                  <c:v>-8.0586670999999999E-2</c:v>
                </c:pt>
                <c:pt idx="208">
                  <c:v>-8.0583424000000001E-2</c:v>
                </c:pt>
                <c:pt idx="209">
                  <c:v>-8.0573685000000006E-2</c:v>
                </c:pt>
                <c:pt idx="210">
                  <c:v>-9.6711799000000001E-2</c:v>
                </c:pt>
                <c:pt idx="211">
                  <c:v>-9.6711799000000001E-2</c:v>
                </c:pt>
                <c:pt idx="212">
                  <c:v>-9.6693096000000006E-2</c:v>
                </c:pt>
                <c:pt idx="213">
                  <c:v>-8.0583424000000001E-2</c:v>
                </c:pt>
                <c:pt idx="214">
                  <c:v>-8.0586670999999999E-2</c:v>
                </c:pt>
                <c:pt idx="215">
                  <c:v>-8.0589917999999997E-2</c:v>
                </c:pt>
                <c:pt idx="216">
                  <c:v>-8.0560701999999998E-2</c:v>
                </c:pt>
                <c:pt idx="217">
                  <c:v>-0.120860527</c:v>
                </c:pt>
                <c:pt idx="218">
                  <c:v>-8.0573685000000006E-2</c:v>
                </c:pt>
                <c:pt idx="219">
                  <c:v>-0.120865396</c:v>
                </c:pt>
                <c:pt idx="220">
                  <c:v>-8.0576931000000004E-2</c:v>
                </c:pt>
                <c:pt idx="221">
                  <c:v>-8.0570438999999994E-2</c:v>
                </c:pt>
                <c:pt idx="222">
                  <c:v>-8.0573685000000006E-2</c:v>
                </c:pt>
                <c:pt idx="223">
                  <c:v>-8.0576931000000004E-2</c:v>
                </c:pt>
                <c:pt idx="224">
                  <c:v>-0.241769755</c:v>
                </c:pt>
                <c:pt idx="225">
                  <c:v>-0.28201925799999999</c:v>
                </c:pt>
                <c:pt idx="226">
                  <c:v>-0.28203062000000001</c:v>
                </c:pt>
                <c:pt idx="227">
                  <c:v>-0.120884877</c:v>
                </c:pt>
                <c:pt idx="228">
                  <c:v>-0.120880006</c:v>
                </c:pt>
                <c:pt idx="229">
                  <c:v>-8.0596413000000006E-2</c:v>
                </c:pt>
                <c:pt idx="230">
                  <c:v>-0.16118633099999999</c:v>
                </c:pt>
                <c:pt idx="231">
                  <c:v>-0.12087513599999999</c:v>
                </c:pt>
                <c:pt idx="232">
                  <c:v>-0.12087513599999999</c:v>
                </c:pt>
                <c:pt idx="233">
                  <c:v>-0.16116035500000001</c:v>
                </c:pt>
                <c:pt idx="234">
                  <c:v>-0.120880006</c:v>
                </c:pt>
                <c:pt idx="235">
                  <c:v>-0.120884877</c:v>
                </c:pt>
                <c:pt idx="236">
                  <c:v>-0.120865396</c:v>
                </c:pt>
                <c:pt idx="237">
                  <c:v>-0.120860527</c:v>
                </c:pt>
                <c:pt idx="238">
                  <c:v>-0.16113438599999999</c:v>
                </c:pt>
                <c:pt idx="239">
                  <c:v>-0.12085079</c:v>
                </c:pt>
                <c:pt idx="240">
                  <c:v>-0.120855658</c:v>
                </c:pt>
                <c:pt idx="241">
                  <c:v>-0.120855658</c:v>
                </c:pt>
                <c:pt idx="242">
                  <c:v>-0.120870266</c:v>
                </c:pt>
                <c:pt idx="243">
                  <c:v>-0.120870266</c:v>
                </c:pt>
                <c:pt idx="244">
                  <c:v>-8.0589917999999997E-2</c:v>
                </c:pt>
                <c:pt idx="245">
                  <c:v>-0.16117983599999999</c:v>
                </c:pt>
                <c:pt idx="246">
                  <c:v>-7.9872204000000002E-2</c:v>
                </c:pt>
                <c:pt idx="247">
                  <c:v>-0.119808307</c:v>
                </c:pt>
                <c:pt idx="248">
                  <c:v>-7.6248570000000002E-2</c:v>
                </c:pt>
                <c:pt idx="249">
                  <c:v>-0.11437285599999999</c:v>
                </c:pt>
                <c:pt idx="250">
                  <c:v>-7.6896459E-2</c:v>
                </c:pt>
                <c:pt idx="251">
                  <c:v>-7.6899415999999998E-2</c:v>
                </c:pt>
                <c:pt idx="252">
                  <c:v>-8.0596413000000006E-2</c:v>
                </c:pt>
                <c:pt idx="253">
                  <c:v>-0.38677238400000002</c:v>
                </c:pt>
                <c:pt idx="254">
                  <c:v>-0.35449564900000002</c:v>
                </c:pt>
                <c:pt idx="255">
                  <c:v>-0.12087513599999999</c:v>
                </c:pt>
                <c:pt idx="256">
                  <c:v>-0.120884877</c:v>
                </c:pt>
                <c:pt idx="257">
                  <c:v>-0.12087513599999999</c:v>
                </c:pt>
                <c:pt idx="258">
                  <c:v>-8.0586670999999999E-2</c:v>
                </c:pt>
                <c:pt idx="259">
                  <c:v>-8.0586670999999999E-2</c:v>
                </c:pt>
                <c:pt idx="260">
                  <c:v>-8.0583424000000001E-2</c:v>
                </c:pt>
                <c:pt idx="261">
                  <c:v>-0.120870266</c:v>
                </c:pt>
                <c:pt idx="262">
                  <c:v>-0.120865396</c:v>
                </c:pt>
                <c:pt idx="263">
                  <c:v>-0.12893659499999999</c:v>
                </c:pt>
                <c:pt idx="264">
                  <c:v>-0.12893659499999999</c:v>
                </c:pt>
                <c:pt idx="265">
                  <c:v>-8.0596413000000006E-2</c:v>
                </c:pt>
                <c:pt idx="266">
                  <c:v>-8.0583424000000001E-2</c:v>
                </c:pt>
                <c:pt idx="267">
                  <c:v>-8.0589917999999997E-2</c:v>
                </c:pt>
                <c:pt idx="268">
                  <c:v>-8.0580177000000003E-2</c:v>
                </c:pt>
                <c:pt idx="269">
                  <c:v>-0.120880006</c:v>
                </c:pt>
                <c:pt idx="270">
                  <c:v>-0.161166848</c:v>
                </c:pt>
                <c:pt idx="271">
                  <c:v>-0.12893659499999999</c:v>
                </c:pt>
                <c:pt idx="272">
                  <c:v>-9.6702446999999997E-2</c:v>
                </c:pt>
                <c:pt idx="273">
                  <c:v>-9.6696213000000003E-2</c:v>
                </c:pt>
                <c:pt idx="274">
                  <c:v>-6.4459985999999997E-2</c:v>
                </c:pt>
                <c:pt idx="275">
                  <c:v>-0.120865396</c:v>
                </c:pt>
                <c:pt idx="276">
                  <c:v>-8.0570438999999994E-2</c:v>
                </c:pt>
                <c:pt idx="277">
                  <c:v>-0.120841054</c:v>
                </c:pt>
                <c:pt idx="278">
                  <c:v>-8.0563947999999996E-2</c:v>
                </c:pt>
                <c:pt idx="279">
                  <c:v>-0.12085079</c:v>
                </c:pt>
                <c:pt idx="280">
                  <c:v>-0.12087513599999999</c:v>
                </c:pt>
                <c:pt idx="281">
                  <c:v>-0.120865396</c:v>
                </c:pt>
                <c:pt idx="282">
                  <c:v>-8.0586670999999999E-2</c:v>
                </c:pt>
                <c:pt idx="283">
                  <c:v>-0.12087513599999999</c:v>
                </c:pt>
                <c:pt idx="284">
                  <c:v>-8.0580177000000003E-2</c:v>
                </c:pt>
                <c:pt idx="285">
                  <c:v>-8.0589917999999997E-2</c:v>
                </c:pt>
                <c:pt idx="286">
                  <c:v>-8.0589917999999997E-2</c:v>
                </c:pt>
                <c:pt idx="287">
                  <c:v>-8.0593165999999994E-2</c:v>
                </c:pt>
                <c:pt idx="288">
                  <c:v>-8.0589917999999997E-2</c:v>
                </c:pt>
                <c:pt idx="289">
                  <c:v>-0.120880006</c:v>
                </c:pt>
                <c:pt idx="290">
                  <c:v>-8.0567192999999995E-2</c:v>
                </c:pt>
                <c:pt idx="291">
                  <c:v>-0.120855658</c:v>
                </c:pt>
                <c:pt idx="292">
                  <c:v>-8.0567192999999995E-2</c:v>
                </c:pt>
                <c:pt idx="293">
                  <c:v>-8.0563947999999996E-2</c:v>
                </c:pt>
                <c:pt idx="294">
                  <c:v>-8.0586670999999999E-2</c:v>
                </c:pt>
                <c:pt idx="295">
                  <c:v>-8.0583424000000001E-2</c:v>
                </c:pt>
                <c:pt idx="296">
                  <c:v>-0.48353950899999998</c:v>
                </c:pt>
                <c:pt idx="297">
                  <c:v>-0.52381336099999998</c:v>
                </c:pt>
                <c:pt idx="298">
                  <c:v>-0.52379225600000001</c:v>
                </c:pt>
                <c:pt idx="299">
                  <c:v>-0.52381336099999998</c:v>
                </c:pt>
                <c:pt idx="300">
                  <c:v>-0.48348106400000002</c:v>
                </c:pt>
                <c:pt idx="301">
                  <c:v>-8.0557457999999998E-2</c:v>
                </c:pt>
                <c:pt idx="302">
                  <c:v>-0.120826453</c:v>
                </c:pt>
                <c:pt idx="303">
                  <c:v>-8.0554213E-2</c:v>
                </c:pt>
                <c:pt idx="304">
                  <c:v>-0.12085079</c:v>
                </c:pt>
                <c:pt idx="305">
                  <c:v>-8.0586670999999999E-2</c:v>
                </c:pt>
                <c:pt idx="306">
                  <c:v>-8.0593165999999994E-2</c:v>
                </c:pt>
                <c:pt idx="307">
                  <c:v>-8.0593165999999994E-2</c:v>
                </c:pt>
                <c:pt idx="308">
                  <c:v>-8.0583424000000001E-2</c:v>
                </c:pt>
                <c:pt idx="309">
                  <c:v>-0.120865396</c:v>
                </c:pt>
                <c:pt idx="310">
                  <c:v>-8.0570438999999994E-2</c:v>
                </c:pt>
                <c:pt idx="311">
                  <c:v>-0.120841054</c:v>
                </c:pt>
                <c:pt idx="312">
                  <c:v>-8.0563947999999996E-2</c:v>
                </c:pt>
                <c:pt idx="313">
                  <c:v>-8.0570438999999994E-2</c:v>
                </c:pt>
                <c:pt idx="314">
                  <c:v>-8.0570438999999994E-2</c:v>
                </c:pt>
                <c:pt idx="315">
                  <c:v>-8.0589917999999997E-2</c:v>
                </c:pt>
                <c:pt idx="316">
                  <c:v>-0.120884877</c:v>
                </c:pt>
                <c:pt idx="317">
                  <c:v>-8.0583424000000001E-2</c:v>
                </c:pt>
                <c:pt idx="318">
                  <c:v>-0.12087513599999999</c:v>
                </c:pt>
                <c:pt idx="319">
                  <c:v>-8.0580177000000003E-2</c:v>
                </c:pt>
                <c:pt idx="320">
                  <c:v>-8.0573685000000006E-2</c:v>
                </c:pt>
                <c:pt idx="321">
                  <c:v>-8.0576931000000004E-2</c:v>
                </c:pt>
                <c:pt idx="322">
                  <c:v>-4.0277106E-2</c:v>
                </c:pt>
                <c:pt idx="323">
                  <c:v>-8.0567192999999995E-2</c:v>
                </c:pt>
                <c:pt idx="324">
                  <c:v>-0.120865396</c:v>
                </c:pt>
                <c:pt idx="325">
                  <c:v>-8.0589917999999997E-2</c:v>
                </c:pt>
                <c:pt idx="326">
                  <c:v>-0.120865396</c:v>
                </c:pt>
                <c:pt idx="327">
                  <c:v>-8.0576931000000004E-2</c:v>
                </c:pt>
                <c:pt idx="328">
                  <c:v>-8.0580177000000003E-2</c:v>
                </c:pt>
                <c:pt idx="329">
                  <c:v>-8.0593165999999994E-2</c:v>
                </c:pt>
                <c:pt idx="330">
                  <c:v>-4.0291712E-2</c:v>
                </c:pt>
                <c:pt idx="331">
                  <c:v>-0.120899492</c:v>
                </c:pt>
                <c:pt idx="332">
                  <c:v>-0.12087513599999999</c:v>
                </c:pt>
                <c:pt idx="333">
                  <c:v>-0.120865396</c:v>
                </c:pt>
                <c:pt idx="334">
                  <c:v>-8.0573685000000006E-2</c:v>
                </c:pt>
                <c:pt idx="335">
                  <c:v>-8.0563947999999996E-2</c:v>
                </c:pt>
                <c:pt idx="336">
                  <c:v>-8.0573685000000006E-2</c:v>
                </c:pt>
                <c:pt idx="337">
                  <c:v>-4.0293335E-2</c:v>
                </c:pt>
                <c:pt idx="338">
                  <c:v>-0.48346158500000003</c:v>
                </c:pt>
                <c:pt idx="339">
                  <c:v>-0.48346158500000003</c:v>
                </c:pt>
                <c:pt idx="340">
                  <c:v>-0.52372894999999997</c:v>
                </c:pt>
                <c:pt idx="341">
                  <c:v>-0.120880006</c:v>
                </c:pt>
                <c:pt idx="342">
                  <c:v>-0.16119282700000001</c:v>
                </c:pt>
                <c:pt idx="343">
                  <c:v>-8.0609406999999994E-2</c:v>
                </c:pt>
                <c:pt idx="344">
                  <c:v>-0.120909237</c:v>
                </c:pt>
                <c:pt idx="345">
                  <c:v>-8.0606157999999997E-2</c:v>
                </c:pt>
                <c:pt idx="346">
                  <c:v>-0.12089461999999999</c:v>
                </c:pt>
                <c:pt idx="347">
                  <c:v>-0.12087513599999999</c:v>
                </c:pt>
                <c:pt idx="348">
                  <c:v>-0.120870266</c:v>
                </c:pt>
                <c:pt idx="349">
                  <c:v>-0.161166848</c:v>
                </c:pt>
                <c:pt idx="350">
                  <c:v>-8.0583424000000001E-2</c:v>
                </c:pt>
                <c:pt idx="351">
                  <c:v>-0.12087513599999999</c:v>
                </c:pt>
                <c:pt idx="352">
                  <c:v>-8.0586670999999999E-2</c:v>
                </c:pt>
                <c:pt idx="353">
                  <c:v>-0.120865396</c:v>
                </c:pt>
                <c:pt idx="354">
                  <c:v>-0.12087513599999999</c:v>
                </c:pt>
                <c:pt idx="355">
                  <c:v>-0.12087513599999999</c:v>
                </c:pt>
                <c:pt idx="356">
                  <c:v>-0.16113438599999999</c:v>
                </c:pt>
                <c:pt idx="357">
                  <c:v>-0.120841054</c:v>
                </c:pt>
                <c:pt idx="358">
                  <c:v>-0.12082158699999999</c:v>
                </c:pt>
                <c:pt idx="359">
                  <c:v>-0.12085079</c:v>
                </c:pt>
                <c:pt idx="360">
                  <c:v>-0.120860527</c:v>
                </c:pt>
                <c:pt idx="361">
                  <c:v>-0.56408396800000005</c:v>
                </c:pt>
                <c:pt idx="362">
                  <c:v>-0.48354340600000001</c:v>
                </c:pt>
                <c:pt idx="363">
                  <c:v>-0.48348106400000002</c:v>
                </c:pt>
                <c:pt idx="364">
                  <c:v>-8.0599661000000003E-2</c:v>
                </c:pt>
                <c:pt idx="365">
                  <c:v>-0.120880006</c:v>
                </c:pt>
                <c:pt idx="366">
                  <c:v>-0.120860527</c:v>
                </c:pt>
                <c:pt idx="367">
                  <c:v>-8.0573685000000006E-2</c:v>
                </c:pt>
                <c:pt idx="368">
                  <c:v>-0.120860527</c:v>
                </c:pt>
                <c:pt idx="369">
                  <c:v>-8.0573685000000006E-2</c:v>
                </c:pt>
                <c:pt idx="370">
                  <c:v>-8.0576931000000004E-2</c:v>
                </c:pt>
                <c:pt idx="371">
                  <c:v>-0.120860527</c:v>
                </c:pt>
                <c:pt idx="372">
                  <c:v>-0.120870266</c:v>
                </c:pt>
                <c:pt idx="373">
                  <c:v>-0.120870266</c:v>
                </c:pt>
                <c:pt idx="374">
                  <c:v>-8.0580177000000003E-2</c:v>
                </c:pt>
                <c:pt idx="375">
                  <c:v>-8.0567192999999995E-2</c:v>
                </c:pt>
                <c:pt idx="376">
                  <c:v>-0.120870266</c:v>
                </c:pt>
                <c:pt idx="377">
                  <c:v>-9.6680632000000002E-2</c:v>
                </c:pt>
                <c:pt idx="378">
                  <c:v>-0.12891166300000001</c:v>
                </c:pt>
                <c:pt idx="379">
                  <c:v>-9.6680632000000002E-2</c:v>
                </c:pt>
                <c:pt idx="380">
                  <c:v>-0.120880006</c:v>
                </c:pt>
                <c:pt idx="381">
                  <c:v>-0.120880006</c:v>
                </c:pt>
                <c:pt idx="382">
                  <c:v>-8.0596413000000006E-2</c:v>
                </c:pt>
                <c:pt idx="383">
                  <c:v>-8.0593165999999994E-2</c:v>
                </c:pt>
                <c:pt idx="384">
                  <c:v>-0.120899492</c:v>
                </c:pt>
                <c:pt idx="385">
                  <c:v>-8.0583424000000001E-2</c:v>
                </c:pt>
                <c:pt idx="386">
                  <c:v>-0.120880006</c:v>
                </c:pt>
                <c:pt idx="387">
                  <c:v>-0.120889749</c:v>
                </c:pt>
                <c:pt idx="388">
                  <c:v>-0.120855658</c:v>
                </c:pt>
                <c:pt idx="389">
                  <c:v>-8.0576931000000004E-2</c:v>
                </c:pt>
                <c:pt idx="390">
                  <c:v>-0.120860527</c:v>
                </c:pt>
                <c:pt idx="391">
                  <c:v>-0.120884877</c:v>
                </c:pt>
                <c:pt idx="392">
                  <c:v>-8.0596413000000006E-2</c:v>
                </c:pt>
                <c:pt idx="393">
                  <c:v>-0.120889749</c:v>
                </c:pt>
                <c:pt idx="394">
                  <c:v>-0.120855658</c:v>
                </c:pt>
                <c:pt idx="395">
                  <c:v>-8.0596413000000006E-2</c:v>
                </c:pt>
                <c:pt idx="396">
                  <c:v>-0.12089461999999999</c:v>
                </c:pt>
                <c:pt idx="397">
                  <c:v>-8.0606157999999997E-2</c:v>
                </c:pt>
                <c:pt idx="398">
                  <c:v>-8.0593165999999994E-2</c:v>
                </c:pt>
                <c:pt idx="399">
                  <c:v>-8.0583424000000001E-2</c:v>
                </c:pt>
                <c:pt idx="400">
                  <c:v>-8.0586670999999999E-2</c:v>
                </c:pt>
                <c:pt idx="401">
                  <c:v>-0.120806991</c:v>
                </c:pt>
                <c:pt idx="402">
                  <c:v>-8.0541237000000002E-2</c:v>
                </c:pt>
                <c:pt idx="403">
                  <c:v>-0.120816721</c:v>
                </c:pt>
                <c:pt idx="404">
                  <c:v>-8.0541237000000002E-2</c:v>
                </c:pt>
                <c:pt idx="405">
                  <c:v>-8.0541237000000002E-2</c:v>
                </c:pt>
                <c:pt idx="406">
                  <c:v>-8.0544481000000001E-2</c:v>
                </c:pt>
                <c:pt idx="407">
                  <c:v>-8.0547725000000001E-2</c:v>
                </c:pt>
                <c:pt idx="408">
                  <c:v>-8.0554213E-2</c:v>
                </c:pt>
                <c:pt idx="409">
                  <c:v>-0.48355899400000002</c:v>
                </c:pt>
                <c:pt idx="410">
                  <c:v>-0.48353950899999998</c:v>
                </c:pt>
                <c:pt idx="411">
                  <c:v>-0.52379225600000001</c:v>
                </c:pt>
                <c:pt idx="412">
                  <c:v>-0.48350054399999998</c:v>
                </c:pt>
                <c:pt idx="413">
                  <c:v>-8.0573685000000006E-2</c:v>
                </c:pt>
                <c:pt idx="414">
                  <c:v>-0.120870266</c:v>
                </c:pt>
                <c:pt idx="415">
                  <c:v>-8.0563947999999996E-2</c:v>
                </c:pt>
                <c:pt idx="416">
                  <c:v>-0.120865396</c:v>
                </c:pt>
                <c:pt idx="417">
                  <c:v>-8.0576931000000004E-2</c:v>
                </c:pt>
                <c:pt idx="418">
                  <c:v>-8.0544481000000001E-2</c:v>
                </c:pt>
                <c:pt idx="419">
                  <c:v>-0.12082158699999999</c:v>
                </c:pt>
                <c:pt idx="420">
                  <c:v>-8.0554213E-2</c:v>
                </c:pt>
                <c:pt idx="421">
                  <c:v>-0.120826453</c:v>
                </c:pt>
                <c:pt idx="422">
                  <c:v>-8.0557457999999998E-2</c:v>
                </c:pt>
                <c:pt idx="423">
                  <c:v>-8.0557457999999998E-2</c:v>
                </c:pt>
                <c:pt idx="424">
                  <c:v>-8.0550969E-2</c:v>
                </c:pt>
                <c:pt idx="425">
                  <c:v>-8.0531508000000002E-2</c:v>
                </c:pt>
                <c:pt idx="426">
                  <c:v>-8.0576931000000004E-2</c:v>
                </c:pt>
                <c:pt idx="427">
                  <c:v>-0.120860527</c:v>
                </c:pt>
                <c:pt idx="428">
                  <c:v>-8.0570438999999994E-2</c:v>
                </c:pt>
                <c:pt idx="429">
                  <c:v>-0.12085079</c:v>
                </c:pt>
                <c:pt idx="430">
                  <c:v>-8.0567192999999995E-2</c:v>
                </c:pt>
                <c:pt idx="431">
                  <c:v>-8.0567192999999995E-2</c:v>
                </c:pt>
                <c:pt idx="432">
                  <c:v>-8.0567192999999995E-2</c:v>
                </c:pt>
                <c:pt idx="433">
                  <c:v>-8.0570438999999994E-2</c:v>
                </c:pt>
                <c:pt idx="434">
                  <c:v>-0.48338368599999998</c:v>
                </c:pt>
                <c:pt idx="435">
                  <c:v>-0.44310171199999998</c:v>
                </c:pt>
                <c:pt idx="436">
                  <c:v>-0.40281973799999998</c:v>
                </c:pt>
                <c:pt idx="437">
                  <c:v>-0.402852194</c:v>
                </c:pt>
                <c:pt idx="438">
                  <c:v>-0.402852194</c:v>
                </c:pt>
                <c:pt idx="439">
                  <c:v>-8.0550969E-2</c:v>
                </c:pt>
                <c:pt idx="440">
                  <c:v>-8.0541237000000002E-2</c:v>
                </c:pt>
                <c:pt idx="441">
                  <c:v>-8.0550969E-2</c:v>
                </c:pt>
                <c:pt idx="442">
                  <c:v>-0.120816721</c:v>
                </c:pt>
                <c:pt idx="443">
                  <c:v>-8.0544481000000001E-2</c:v>
                </c:pt>
                <c:pt idx="444">
                  <c:v>-8.0544481000000001E-2</c:v>
                </c:pt>
                <c:pt idx="445">
                  <c:v>-0.56408396800000005</c:v>
                </c:pt>
                <c:pt idx="446">
                  <c:v>-0.48354340600000001</c:v>
                </c:pt>
                <c:pt idx="447">
                  <c:v>-0.48348106400000002</c:v>
                </c:pt>
                <c:pt idx="448">
                  <c:v>-8.0599661000000003E-2</c:v>
                </c:pt>
                <c:pt idx="449">
                  <c:v>-0.120880006</c:v>
                </c:pt>
                <c:pt idx="450">
                  <c:v>-0.120860527</c:v>
                </c:pt>
                <c:pt idx="451">
                  <c:v>-8.0573685000000006E-2</c:v>
                </c:pt>
                <c:pt idx="452">
                  <c:v>-0.120860527</c:v>
                </c:pt>
                <c:pt idx="453">
                  <c:v>-8.0573685000000006E-2</c:v>
                </c:pt>
                <c:pt idx="454">
                  <c:v>-8.0576931000000004E-2</c:v>
                </c:pt>
                <c:pt idx="455">
                  <c:v>-0.120860527</c:v>
                </c:pt>
                <c:pt idx="456">
                  <c:v>-0.120870266</c:v>
                </c:pt>
                <c:pt idx="457">
                  <c:v>-0.120870266</c:v>
                </c:pt>
                <c:pt idx="458">
                  <c:v>-8.0580177000000003E-2</c:v>
                </c:pt>
                <c:pt idx="459">
                  <c:v>-8.0567192999999995E-2</c:v>
                </c:pt>
                <c:pt idx="460">
                  <c:v>-0.120870266</c:v>
                </c:pt>
                <c:pt idx="461">
                  <c:v>-9.6680632000000002E-2</c:v>
                </c:pt>
                <c:pt idx="462">
                  <c:v>-0.12891166300000001</c:v>
                </c:pt>
                <c:pt idx="463">
                  <c:v>-9.6680632000000002E-2</c:v>
                </c:pt>
                <c:pt idx="464">
                  <c:v>-0.120880006</c:v>
                </c:pt>
                <c:pt idx="465">
                  <c:v>-0.120880006</c:v>
                </c:pt>
                <c:pt idx="466">
                  <c:v>-8.0596413000000006E-2</c:v>
                </c:pt>
                <c:pt idx="467">
                  <c:v>-8.0593165999999994E-2</c:v>
                </c:pt>
                <c:pt idx="468">
                  <c:v>-0.120899492</c:v>
                </c:pt>
                <c:pt idx="469">
                  <c:v>-8.0583424000000001E-2</c:v>
                </c:pt>
                <c:pt idx="470">
                  <c:v>-0.120880006</c:v>
                </c:pt>
                <c:pt idx="471">
                  <c:v>-0.120889749</c:v>
                </c:pt>
                <c:pt idx="472">
                  <c:v>-0.120855658</c:v>
                </c:pt>
                <c:pt idx="473">
                  <c:v>-8.0576931000000004E-2</c:v>
                </c:pt>
                <c:pt idx="474">
                  <c:v>-0.120860527</c:v>
                </c:pt>
                <c:pt idx="475">
                  <c:v>-0.120884877</c:v>
                </c:pt>
                <c:pt idx="476">
                  <c:v>-8.0596413000000006E-2</c:v>
                </c:pt>
                <c:pt idx="477">
                  <c:v>-0.120889749</c:v>
                </c:pt>
                <c:pt idx="478">
                  <c:v>-0.120855658</c:v>
                </c:pt>
                <c:pt idx="479">
                  <c:v>-8.0596413000000006E-2</c:v>
                </c:pt>
                <c:pt idx="480">
                  <c:v>-0.12089461999999999</c:v>
                </c:pt>
                <c:pt idx="481">
                  <c:v>-8.0606157999999997E-2</c:v>
                </c:pt>
                <c:pt idx="482">
                  <c:v>-8.0593165999999994E-2</c:v>
                </c:pt>
                <c:pt idx="483">
                  <c:v>-8.0583424000000001E-2</c:v>
                </c:pt>
                <c:pt idx="484">
                  <c:v>-8.0586670999999999E-2</c:v>
                </c:pt>
                <c:pt idx="485">
                  <c:v>-0.120806991</c:v>
                </c:pt>
                <c:pt idx="486">
                  <c:v>-8.0541237000000002E-2</c:v>
                </c:pt>
                <c:pt idx="487">
                  <c:v>-0.120816721</c:v>
                </c:pt>
                <c:pt idx="488">
                  <c:v>-8.0541237000000002E-2</c:v>
                </c:pt>
                <c:pt idx="489">
                  <c:v>-8.0541237000000002E-2</c:v>
                </c:pt>
                <c:pt idx="490">
                  <c:v>-8.0544481000000001E-2</c:v>
                </c:pt>
                <c:pt idx="491">
                  <c:v>-8.0547725000000001E-2</c:v>
                </c:pt>
                <c:pt idx="492">
                  <c:v>-8.0554213E-2</c:v>
                </c:pt>
                <c:pt idx="493">
                  <c:v>-0.48355899400000002</c:v>
                </c:pt>
                <c:pt idx="494">
                  <c:v>-0.48353950899999998</c:v>
                </c:pt>
                <c:pt idx="495">
                  <c:v>-0.52379225600000001</c:v>
                </c:pt>
                <c:pt idx="496">
                  <c:v>-0.48350054399999998</c:v>
                </c:pt>
                <c:pt idx="497">
                  <c:v>-8.0573685000000006E-2</c:v>
                </c:pt>
                <c:pt idx="498">
                  <c:v>-0.120870266</c:v>
                </c:pt>
                <c:pt idx="499">
                  <c:v>-8.0563947999999996E-2</c:v>
                </c:pt>
                <c:pt idx="500">
                  <c:v>-0.120865396</c:v>
                </c:pt>
                <c:pt idx="501">
                  <c:v>-8.0576931000000004E-2</c:v>
                </c:pt>
                <c:pt idx="502">
                  <c:v>-8.0544481000000001E-2</c:v>
                </c:pt>
                <c:pt idx="503">
                  <c:v>-0.12082158699999999</c:v>
                </c:pt>
                <c:pt idx="504">
                  <c:v>-8.0554213E-2</c:v>
                </c:pt>
                <c:pt idx="505">
                  <c:v>-0.120826453</c:v>
                </c:pt>
                <c:pt idx="506">
                  <c:v>-8.0557457999999998E-2</c:v>
                </c:pt>
                <c:pt idx="507">
                  <c:v>-8.0557457999999998E-2</c:v>
                </c:pt>
                <c:pt idx="508">
                  <c:v>-8.0550969E-2</c:v>
                </c:pt>
                <c:pt idx="509">
                  <c:v>-8.0531508000000002E-2</c:v>
                </c:pt>
                <c:pt idx="510">
                  <c:v>-8.0576931000000004E-2</c:v>
                </c:pt>
                <c:pt idx="511">
                  <c:v>-0.120860527</c:v>
                </c:pt>
                <c:pt idx="512">
                  <c:v>-8.0570438999999994E-2</c:v>
                </c:pt>
                <c:pt idx="513">
                  <c:v>-0.12085079</c:v>
                </c:pt>
                <c:pt idx="514">
                  <c:v>-8.0567192999999995E-2</c:v>
                </c:pt>
                <c:pt idx="515">
                  <c:v>-8.0567192999999995E-2</c:v>
                </c:pt>
                <c:pt idx="516">
                  <c:v>-8.0567192999999995E-2</c:v>
                </c:pt>
                <c:pt idx="517">
                  <c:v>-8.0570438999999994E-2</c:v>
                </c:pt>
                <c:pt idx="518">
                  <c:v>-0.48338368599999998</c:v>
                </c:pt>
                <c:pt idx="519">
                  <c:v>-0.44310171199999998</c:v>
                </c:pt>
                <c:pt idx="520">
                  <c:v>-0.40281973799999998</c:v>
                </c:pt>
                <c:pt idx="521">
                  <c:v>-0.402852194</c:v>
                </c:pt>
                <c:pt idx="522">
                  <c:v>-0.402852194</c:v>
                </c:pt>
                <c:pt idx="523">
                  <c:v>-8.0550969E-2</c:v>
                </c:pt>
                <c:pt idx="524">
                  <c:v>-8.0541237000000002E-2</c:v>
                </c:pt>
                <c:pt idx="525">
                  <c:v>-8.0550969E-2</c:v>
                </c:pt>
                <c:pt idx="526">
                  <c:v>-0.120816721</c:v>
                </c:pt>
                <c:pt idx="527">
                  <c:v>-8.0544481000000001E-2</c:v>
                </c:pt>
                <c:pt idx="528">
                  <c:v>-8.0544481000000001E-2</c:v>
                </c:pt>
                <c:pt idx="529">
                  <c:v>-8.0544481000000001E-2</c:v>
                </c:pt>
                <c:pt idx="530">
                  <c:v>-0.120816721</c:v>
                </c:pt>
                <c:pt idx="531">
                  <c:v>-8.0541237000000002E-2</c:v>
                </c:pt>
                <c:pt idx="532">
                  <c:v>-0.120826453</c:v>
                </c:pt>
                <c:pt idx="533">
                  <c:v>-8.0550969E-2</c:v>
                </c:pt>
                <c:pt idx="534">
                  <c:v>-4.0273862000000001E-2</c:v>
                </c:pt>
                <c:pt idx="535">
                  <c:v>-8.0557457999999998E-2</c:v>
                </c:pt>
                <c:pt idx="536">
                  <c:v>-9.6702446999999997E-2</c:v>
                </c:pt>
                <c:pt idx="537">
                  <c:v>-0.120860527</c:v>
                </c:pt>
                <c:pt idx="538">
                  <c:v>-8.0567192999999995E-2</c:v>
                </c:pt>
                <c:pt idx="539">
                  <c:v>-0.120870266</c:v>
                </c:pt>
                <c:pt idx="540">
                  <c:v>-8.0589917999999997E-2</c:v>
                </c:pt>
                <c:pt idx="541">
                  <c:v>-8.0593165999999994E-2</c:v>
                </c:pt>
                <c:pt idx="542">
                  <c:v>-0.418908903</c:v>
                </c:pt>
                <c:pt idx="543">
                  <c:v>-0.40277106499999998</c:v>
                </c:pt>
                <c:pt idx="544">
                  <c:v>-0.40277106499999998</c:v>
                </c:pt>
                <c:pt idx="545">
                  <c:v>-0.40278728800000002</c:v>
                </c:pt>
                <c:pt idx="546">
                  <c:v>-0.40270618600000002</c:v>
                </c:pt>
                <c:pt idx="547">
                  <c:v>-8.0557457999999998E-2</c:v>
                </c:pt>
                <c:pt idx="548">
                  <c:v>-4.0277106E-2</c:v>
                </c:pt>
                <c:pt idx="549">
                  <c:v>-8.0550969E-2</c:v>
                </c:pt>
                <c:pt idx="550">
                  <c:v>-0.120816721</c:v>
                </c:pt>
                <c:pt idx="551">
                  <c:v>-8.0554213E-2</c:v>
                </c:pt>
                <c:pt idx="552">
                  <c:v>-8.0531508000000002E-2</c:v>
                </c:pt>
                <c:pt idx="553">
                  <c:v>-4.0268997000000001E-2</c:v>
                </c:pt>
                <c:pt idx="554">
                  <c:v>-8.0534751000000002E-2</c:v>
                </c:pt>
                <c:pt idx="555">
                  <c:v>-8.0534751000000002E-2</c:v>
                </c:pt>
                <c:pt idx="556">
                  <c:v>-8.0557457999999998E-2</c:v>
                </c:pt>
                <c:pt idx="557">
                  <c:v>-8.0557457999999998E-2</c:v>
                </c:pt>
                <c:pt idx="558">
                  <c:v>-8.0557457999999998E-2</c:v>
                </c:pt>
                <c:pt idx="559">
                  <c:v>-4.0275484E-2</c:v>
                </c:pt>
                <c:pt idx="560">
                  <c:v>-8.0547725000000001E-2</c:v>
                </c:pt>
                <c:pt idx="561">
                  <c:v>-7.6822616999999996E-2</c:v>
                </c:pt>
                <c:pt idx="562">
                  <c:v>-3.8409832999999997E-2</c:v>
                </c:pt>
                <c:pt idx="563">
                  <c:v>-8.0547725000000001E-2</c:v>
                </c:pt>
                <c:pt idx="564">
                  <c:v>-8.0563947999999996E-2</c:v>
                </c:pt>
                <c:pt idx="565">
                  <c:v>-9.6658827000000003E-2</c:v>
                </c:pt>
                <c:pt idx="566">
                  <c:v>-0.12887843500000001</c:v>
                </c:pt>
                <c:pt idx="567">
                  <c:v>-8.0550969E-2</c:v>
                </c:pt>
                <c:pt idx="568">
                  <c:v>-8.0554213E-2</c:v>
                </c:pt>
                <c:pt idx="569">
                  <c:v>-8.0537994000000002E-2</c:v>
                </c:pt>
                <c:pt idx="570">
                  <c:v>-0.12082158699999999</c:v>
                </c:pt>
                <c:pt idx="571">
                  <c:v>-8.0570438999999994E-2</c:v>
                </c:pt>
                <c:pt idx="572">
                  <c:v>-8.0573685000000006E-2</c:v>
                </c:pt>
                <c:pt idx="573">
                  <c:v>-8.0560701999999998E-2</c:v>
                </c:pt>
                <c:pt idx="574">
                  <c:v>-8.0547725000000001E-2</c:v>
                </c:pt>
                <c:pt idx="575">
                  <c:v>-8.0541237000000002E-2</c:v>
                </c:pt>
                <c:pt idx="576">
                  <c:v>-0.44322668999999998</c:v>
                </c:pt>
                <c:pt idx="577">
                  <c:v>-0.402852194</c:v>
                </c:pt>
                <c:pt idx="578">
                  <c:v>-0.38680978599999999</c:v>
                </c:pt>
                <c:pt idx="579">
                  <c:v>-0.12087513599999999</c:v>
                </c:pt>
                <c:pt idx="580">
                  <c:v>-0.120865396</c:v>
                </c:pt>
                <c:pt idx="581">
                  <c:v>-8.0576931000000004E-2</c:v>
                </c:pt>
                <c:pt idx="582">
                  <c:v>-8.0583424000000001E-2</c:v>
                </c:pt>
                <c:pt idx="583">
                  <c:v>-0.120870266</c:v>
                </c:pt>
                <c:pt idx="584">
                  <c:v>-0.120870266</c:v>
                </c:pt>
                <c:pt idx="585">
                  <c:v>-0.120860527</c:v>
                </c:pt>
                <c:pt idx="586">
                  <c:v>-0.12082158699999999</c:v>
                </c:pt>
                <c:pt idx="587">
                  <c:v>-0.120826453</c:v>
                </c:pt>
                <c:pt idx="588">
                  <c:v>-0.120836186</c:v>
                </c:pt>
                <c:pt idx="589">
                  <c:v>-8.0537994000000002E-2</c:v>
                </c:pt>
                <c:pt idx="590">
                  <c:v>-0.120806991</c:v>
                </c:pt>
                <c:pt idx="591">
                  <c:v>-0.120816721</c:v>
                </c:pt>
                <c:pt idx="592">
                  <c:v>-0.120811856</c:v>
                </c:pt>
                <c:pt idx="593">
                  <c:v>-0.12083131900000001</c:v>
                </c:pt>
                <c:pt idx="594">
                  <c:v>-0.120845921</c:v>
                </c:pt>
                <c:pt idx="595">
                  <c:v>-0.120802126</c:v>
                </c:pt>
                <c:pt idx="596">
                  <c:v>-0.120802126</c:v>
                </c:pt>
                <c:pt idx="597">
                  <c:v>-0.120811856</c:v>
                </c:pt>
                <c:pt idx="598">
                  <c:v>-8.0560701999999998E-2</c:v>
                </c:pt>
                <c:pt idx="599">
                  <c:v>-0.12083131900000001</c:v>
                </c:pt>
                <c:pt idx="600">
                  <c:v>-0.12888258799999999</c:v>
                </c:pt>
                <c:pt idx="601">
                  <c:v>-0.120855658</c:v>
                </c:pt>
                <c:pt idx="602">
                  <c:v>-0.120841054</c:v>
                </c:pt>
                <c:pt idx="603">
                  <c:v>-0.12085079</c:v>
                </c:pt>
                <c:pt idx="604">
                  <c:v>-8.0576931000000004E-2</c:v>
                </c:pt>
                <c:pt idx="605">
                  <c:v>-0.120880006</c:v>
                </c:pt>
                <c:pt idx="606">
                  <c:v>-8.0593165999999994E-2</c:v>
                </c:pt>
                <c:pt idx="607">
                  <c:v>-0.120880006</c:v>
                </c:pt>
                <c:pt idx="608">
                  <c:v>-0.12087513599999999</c:v>
                </c:pt>
                <c:pt idx="609">
                  <c:v>-0.120826453</c:v>
                </c:pt>
                <c:pt idx="610">
                  <c:v>-0.120836186</c:v>
                </c:pt>
                <c:pt idx="611">
                  <c:v>-0.120841054</c:v>
                </c:pt>
                <c:pt idx="612">
                  <c:v>-8.0570438999999994E-2</c:v>
                </c:pt>
                <c:pt idx="613">
                  <c:v>-8.0573685000000006E-2</c:v>
                </c:pt>
                <c:pt idx="614">
                  <c:v>-8.0583424000000001E-2</c:v>
                </c:pt>
                <c:pt idx="615">
                  <c:v>-0.128903355</c:v>
                </c:pt>
                <c:pt idx="616">
                  <c:v>-9.6680632000000002E-2</c:v>
                </c:pt>
                <c:pt idx="617">
                  <c:v>-0.128907509</c:v>
                </c:pt>
                <c:pt idx="618">
                  <c:v>-8.0567192999999995E-2</c:v>
                </c:pt>
                <c:pt idx="619">
                  <c:v>-8.0563947999999996E-2</c:v>
                </c:pt>
                <c:pt idx="620">
                  <c:v>-0.120816721</c:v>
                </c:pt>
                <c:pt idx="621">
                  <c:v>-0.12082158699999999</c:v>
                </c:pt>
                <c:pt idx="622">
                  <c:v>-0.120806991</c:v>
                </c:pt>
                <c:pt idx="623">
                  <c:v>-0.48346158500000003</c:v>
                </c:pt>
                <c:pt idx="624">
                  <c:v>-0.52381336099999998</c:v>
                </c:pt>
                <c:pt idx="625">
                  <c:v>-0.44324455000000001</c:v>
                </c:pt>
                <c:pt idx="626">
                  <c:v>-8.0583424000000001E-2</c:v>
                </c:pt>
                <c:pt idx="627">
                  <c:v>-0.120836186</c:v>
                </c:pt>
                <c:pt idx="628">
                  <c:v>-8.0554213E-2</c:v>
                </c:pt>
                <c:pt idx="629">
                  <c:v>-0.12082158699999999</c:v>
                </c:pt>
                <c:pt idx="630">
                  <c:v>-8.0550969E-2</c:v>
                </c:pt>
                <c:pt idx="631">
                  <c:v>-8.0554213E-2</c:v>
                </c:pt>
                <c:pt idx="632">
                  <c:v>-0.120826453</c:v>
                </c:pt>
                <c:pt idx="633">
                  <c:v>-8.0544481000000001E-2</c:v>
                </c:pt>
                <c:pt idx="634">
                  <c:v>-0.120845921</c:v>
                </c:pt>
                <c:pt idx="635">
                  <c:v>-8.0550969E-2</c:v>
                </c:pt>
                <c:pt idx="636">
                  <c:v>-8.0537994000000002E-2</c:v>
                </c:pt>
                <c:pt idx="637">
                  <c:v>-0.52385557699999996</c:v>
                </c:pt>
                <c:pt idx="638">
                  <c:v>-0.44326241100000002</c:v>
                </c:pt>
                <c:pt idx="639">
                  <c:v>-0.44319097499999999</c:v>
                </c:pt>
                <c:pt idx="640">
                  <c:v>-8.0576931000000004E-2</c:v>
                </c:pt>
                <c:pt idx="641">
                  <c:v>-8.0576931000000004E-2</c:v>
                </c:pt>
                <c:pt idx="642">
                  <c:v>-9.6693096000000006E-2</c:v>
                </c:pt>
                <c:pt idx="643">
                  <c:v>-9.6689979999999995E-2</c:v>
                </c:pt>
                <c:pt idx="644">
                  <c:v>-8.0567192999999995E-2</c:v>
                </c:pt>
                <c:pt idx="645">
                  <c:v>-8.0570438999999994E-2</c:v>
                </c:pt>
                <c:pt idx="646">
                  <c:v>-0.120845921</c:v>
                </c:pt>
                <c:pt idx="647">
                  <c:v>-8.0554213E-2</c:v>
                </c:pt>
                <c:pt idx="648">
                  <c:v>-8.0541237000000002E-2</c:v>
                </c:pt>
                <c:pt idx="649">
                  <c:v>-8.0544481000000001E-2</c:v>
                </c:pt>
                <c:pt idx="650">
                  <c:v>-4.0273862000000001E-2</c:v>
                </c:pt>
                <c:pt idx="651">
                  <c:v>-4.0277106E-2</c:v>
                </c:pt>
                <c:pt idx="652">
                  <c:v>-8.0557457999999998E-2</c:v>
                </c:pt>
                <c:pt idx="653">
                  <c:v>-8.0550969E-2</c:v>
                </c:pt>
                <c:pt idx="654">
                  <c:v>-8.0550969E-2</c:v>
                </c:pt>
                <c:pt idx="655">
                  <c:v>-0.120806991</c:v>
                </c:pt>
                <c:pt idx="656">
                  <c:v>-8.0537994000000002E-2</c:v>
                </c:pt>
                <c:pt idx="657">
                  <c:v>-0.56397035100000004</c:v>
                </c:pt>
                <c:pt idx="658">
                  <c:v>-0.52368675499999995</c:v>
                </c:pt>
                <c:pt idx="659">
                  <c:v>-4.0275484E-2</c:v>
                </c:pt>
                <c:pt idx="660">
                  <c:v>-8.0560701999999998E-2</c:v>
                </c:pt>
                <c:pt idx="661">
                  <c:v>-8.0547725000000001E-2</c:v>
                </c:pt>
                <c:pt idx="662">
                  <c:v>-8.0570438999999994E-2</c:v>
                </c:pt>
                <c:pt idx="663">
                  <c:v>-0.120855658</c:v>
                </c:pt>
                <c:pt idx="664">
                  <c:v>-8.0554213E-2</c:v>
                </c:pt>
                <c:pt idx="665">
                  <c:v>-8.0563947999999996E-2</c:v>
                </c:pt>
                <c:pt idx="666">
                  <c:v>-8.0557457999999998E-2</c:v>
                </c:pt>
                <c:pt idx="667">
                  <c:v>-4.0278728999999999E-2</c:v>
                </c:pt>
                <c:pt idx="668">
                  <c:v>-8.0560701999999998E-2</c:v>
                </c:pt>
                <c:pt idx="669">
                  <c:v>-8.0557457999999998E-2</c:v>
                </c:pt>
                <c:pt idx="670">
                  <c:v>-8.0554213E-2</c:v>
                </c:pt>
                <c:pt idx="671">
                  <c:v>-0.12082158699999999</c:v>
                </c:pt>
                <c:pt idx="672">
                  <c:v>-8.0550969E-2</c:v>
                </c:pt>
                <c:pt idx="673">
                  <c:v>-8.0550969E-2</c:v>
                </c:pt>
                <c:pt idx="674">
                  <c:v>-0.56376595699999998</c:v>
                </c:pt>
                <c:pt idx="675">
                  <c:v>-0.52347588</c:v>
                </c:pt>
                <c:pt idx="676">
                  <c:v>-0.52351804099999999</c:v>
                </c:pt>
                <c:pt idx="677">
                  <c:v>-0.48326688400000001</c:v>
                </c:pt>
                <c:pt idx="678">
                  <c:v>-0.52351804099999999</c:v>
                </c:pt>
                <c:pt idx="679">
                  <c:v>-0.120797262</c:v>
                </c:pt>
                <c:pt idx="680">
                  <c:v>-8.0537994000000002E-2</c:v>
                </c:pt>
                <c:pt idx="681">
                  <c:v>-0.120845921</c:v>
                </c:pt>
                <c:pt idx="682">
                  <c:v>-8.0560701999999998E-2</c:v>
                </c:pt>
                <c:pt idx="683">
                  <c:v>-8.0563947999999996E-2</c:v>
                </c:pt>
                <c:pt idx="684">
                  <c:v>-0.120811856</c:v>
                </c:pt>
                <c:pt idx="685">
                  <c:v>-8.0541237000000002E-2</c:v>
                </c:pt>
                <c:pt idx="686">
                  <c:v>-0.12082158699999999</c:v>
                </c:pt>
                <c:pt idx="687">
                  <c:v>-4.0280350999999999E-2</c:v>
                </c:pt>
                <c:pt idx="688">
                  <c:v>-8.0560701999999998E-2</c:v>
                </c:pt>
                <c:pt idx="689">
                  <c:v>-0.120826453</c:v>
                </c:pt>
                <c:pt idx="690">
                  <c:v>-8.0534751000000002E-2</c:v>
                </c:pt>
                <c:pt idx="691">
                  <c:v>-8.0528265000000002E-2</c:v>
                </c:pt>
                <c:pt idx="692">
                  <c:v>-0.120841054</c:v>
                </c:pt>
                <c:pt idx="693">
                  <c:v>-8.0554213E-2</c:v>
                </c:pt>
                <c:pt idx="694">
                  <c:v>-9.6671284999999996E-2</c:v>
                </c:pt>
                <c:pt idx="695">
                  <c:v>-9.6683747E-2</c:v>
                </c:pt>
                <c:pt idx="696">
                  <c:v>-6.4449599999999996E-2</c:v>
                </c:pt>
                <c:pt idx="697">
                  <c:v>-9.6686862999999998E-2</c:v>
                </c:pt>
                <c:pt idx="698">
                  <c:v>-8.0563947999999996E-2</c:v>
                </c:pt>
                <c:pt idx="699">
                  <c:v>-0.52343372499999996</c:v>
                </c:pt>
                <c:pt idx="700">
                  <c:v>-0.56381136499999995</c:v>
                </c:pt>
                <c:pt idx="701">
                  <c:v>-0.523560209</c:v>
                </c:pt>
                <c:pt idx="702">
                  <c:v>-0.48338368599999998</c:v>
                </c:pt>
                <c:pt idx="703">
                  <c:v>-0.120816721</c:v>
                </c:pt>
                <c:pt idx="704">
                  <c:v>-0.120836186</c:v>
                </c:pt>
                <c:pt idx="705">
                  <c:v>-0.120836186</c:v>
                </c:pt>
                <c:pt idx="706">
                  <c:v>-8.0557457999999998E-2</c:v>
                </c:pt>
                <c:pt idx="707">
                  <c:v>-8.0557457999999998E-2</c:v>
                </c:pt>
                <c:pt idx="708">
                  <c:v>-8.0557457999999998E-2</c:v>
                </c:pt>
                <c:pt idx="709">
                  <c:v>-0.12083131900000001</c:v>
                </c:pt>
                <c:pt idx="710">
                  <c:v>-8.0557457999999998E-2</c:v>
                </c:pt>
                <c:pt idx="711">
                  <c:v>-0.120816721</c:v>
                </c:pt>
                <c:pt idx="712">
                  <c:v>-0.120836186</c:v>
                </c:pt>
                <c:pt idx="713">
                  <c:v>-8.0557457999999998E-2</c:v>
                </c:pt>
                <c:pt idx="714">
                  <c:v>-0.120826453</c:v>
                </c:pt>
                <c:pt idx="715">
                  <c:v>-8.0550969E-2</c:v>
                </c:pt>
                <c:pt idx="716">
                  <c:v>-8.0547725000000001E-2</c:v>
                </c:pt>
                <c:pt idx="717">
                  <c:v>-8.0557457999999998E-2</c:v>
                </c:pt>
                <c:pt idx="718">
                  <c:v>-0.12083131900000001</c:v>
                </c:pt>
                <c:pt idx="719">
                  <c:v>-8.0557457999999998E-2</c:v>
                </c:pt>
                <c:pt idx="720">
                  <c:v>-0.120816721</c:v>
                </c:pt>
                <c:pt idx="721">
                  <c:v>-0.120836186</c:v>
                </c:pt>
                <c:pt idx="722">
                  <c:v>-8.0557457999999998E-2</c:v>
                </c:pt>
                <c:pt idx="723">
                  <c:v>-0.120826453</c:v>
                </c:pt>
                <c:pt idx="724">
                  <c:v>-8.0550969E-2</c:v>
                </c:pt>
                <c:pt idx="725">
                  <c:v>-8.0547725000000001E-2</c:v>
                </c:pt>
                <c:pt idx="726">
                  <c:v>0</c:v>
                </c:pt>
              </c:numCache>
            </c:numRef>
          </c:yVal>
          <c:smooth val="0"/>
          <c:extLst>
            <c:ext xmlns:c16="http://schemas.microsoft.com/office/drawing/2014/chart" uri="{C3380CC4-5D6E-409C-BE32-E72D297353CC}">
              <c16:uniqueId val="{00000001-E6D2-4C25-91C3-D8FD30E4CDC2}"/>
            </c:ext>
          </c:extLst>
        </c:ser>
        <c:dLbls>
          <c:showLegendKey val="0"/>
          <c:showVal val="0"/>
          <c:showCatName val="0"/>
          <c:showSerName val="0"/>
          <c:showPercent val="0"/>
          <c:showBubbleSize val="0"/>
        </c:dLbls>
        <c:axId val="425114671"/>
        <c:axId val="425115151"/>
      </c:scatterChart>
      <c:valAx>
        <c:axId val="4251146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5115151"/>
        <c:crosses val="autoZero"/>
        <c:crossBetween val="midCat"/>
      </c:valAx>
      <c:valAx>
        <c:axId val="4251151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511467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8" Type="http://schemas.openxmlformats.org/officeDocument/2006/relationships/chart" Target="../charts/chart19.xml"/><Relationship Id="rId3" Type="http://schemas.openxmlformats.org/officeDocument/2006/relationships/chart" Target="../charts/chart14.xml"/><Relationship Id="rId7" Type="http://schemas.openxmlformats.org/officeDocument/2006/relationships/chart" Target="../charts/chart18.xml"/><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chart" Target="../charts/chart17.xml"/><Relationship Id="rId11" Type="http://schemas.openxmlformats.org/officeDocument/2006/relationships/chart" Target="../charts/chart22.xml"/><Relationship Id="rId5" Type="http://schemas.openxmlformats.org/officeDocument/2006/relationships/chart" Target="../charts/chart16.xml"/><Relationship Id="rId10" Type="http://schemas.openxmlformats.org/officeDocument/2006/relationships/chart" Target="../charts/chart21.xml"/><Relationship Id="rId4" Type="http://schemas.openxmlformats.org/officeDocument/2006/relationships/chart" Target="../charts/chart15.xml"/><Relationship Id="rId9" Type="http://schemas.openxmlformats.org/officeDocument/2006/relationships/chart" Target="../charts/chart20.xml"/></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chart" Target="../charts/chart23.xml"/></Relationships>
</file>

<file path=xl/drawings/drawing1.xml><?xml version="1.0" encoding="utf-8"?>
<xdr:wsDr xmlns:xdr="http://schemas.openxmlformats.org/drawingml/2006/spreadsheetDrawing" xmlns:a="http://schemas.openxmlformats.org/drawingml/2006/main">
  <xdr:twoCellAnchor>
    <xdr:from>
      <xdr:col>24</xdr:col>
      <xdr:colOff>229057</xdr:colOff>
      <xdr:row>44</xdr:row>
      <xdr:rowOff>133065</xdr:rowOff>
    </xdr:from>
    <xdr:to>
      <xdr:col>34</xdr:col>
      <xdr:colOff>579071</xdr:colOff>
      <xdr:row>70</xdr:row>
      <xdr:rowOff>121871</xdr:rowOff>
    </xdr:to>
    <xdr:graphicFrame macro="">
      <xdr:nvGraphicFramePr>
        <xdr:cNvPr id="2" name="Chart 1">
          <a:extLst>
            <a:ext uri="{FF2B5EF4-FFF2-40B4-BE49-F238E27FC236}">
              <a16:creationId xmlns:a16="http://schemas.microsoft.com/office/drawing/2014/main" id="{3BEA98EC-6618-4536-BA59-978D2820F9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23</xdr:col>
      <xdr:colOff>539797</xdr:colOff>
      <xdr:row>1</xdr:row>
      <xdr:rowOff>155551</xdr:rowOff>
    </xdr:from>
    <xdr:to>
      <xdr:col>32</xdr:col>
      <xdr:colOff>415525</xdr:colOff>
      <xdr:row>23</xdr:row>
      <xdr:rowOff>7994</xdr:rowOff>
    </xdr:to>
    <xdr:graphicFrame macro="">
      <xdr:nvGraphicFramePr>
        <xdr:cNvPr id="3" name="Chart 2">
          <a:extLst>
            <a:ext uri="{FF2B5EF4-FFF2-40B4-BE49-F238E27FC236}">
              <a16:creationId xmlns:a16="http://schemas.microsoft.com/office/drawing/2014/main" id="{0FC3A99A-4950-48B6-9683-276A00361C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33</xdr:col>
      <xdr:colOff>140977</xdr:colOff>
      <xdr:row>18</xdr:row>
      <xdr:rowOff>3737</xdr:rowOff>
    </xdr:from>
    <xdr:to>
      <xdr:col>43</xdr:col>
      <xdr:colOff>398410</xdr:colOff>
      <xdr:row>37</xdr:row>
      <xdr:rowOff>51225</xdr:rowOff>
    </xdr:to>
    <xdr:graphicFrame macro="">
      <xdr:nvGraphicFramePr>
        <xdr:cNvPr id="4" name="Chart 3">
          <a:extLst>
            <a:ext uri="{FF2B5EF4-FFF2-40B4-BE49-F238E27FC236}">
              <a16:creationId xmlns:a16="http://schemas.microsoft.com/office/drawing/2014/main" id="{663FC1D1-B743-412B-B79C-680F431A3E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24</xdr:col>
      <xdr:colOff>229057</xdr:colOff>
      <xdr:row>44</xdr:row>
      <xdr:rowOff>133065</xdr:rowOff>
    </xdr:from>
    <xdr:to>
      <xdr:col>34</xdr:col>
      <xdr:colOff>579071</xdr:colOff>
      <xdr:row>70</xdr:row>
      <xdr:rowOff>121871</xdr:rowOff>
    </xdr:to>
    <xdr:graphicFrame macro="">
      <xdr:nvGraphicFramePr>
        <xdr:cNvPr id="2" name="Chart 1">
          <a:extLst>
            <a:ext uri="{FF2B5EF4-FFF2-40B4-BE49-F238E27FC236}">
              <a16:creationId xmlns:a16="http://schemas.microsoft.com/office/drawing/2014/main" id="{3DF63AA5-148D-4B0A-8575-E5D95A7A06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23</xdr:col>
      <xdr:colOff>539797</xdr:colOff>
      <xdr:row>1</xdr:row>
      <xdr:rowOff>155551</xdr:rowOff>
    </xdr:from>
    <xdr:to>
      <xdr:col>32</xdr:col>
      <xdr:colOff>415525</xdr:colOff>
      <xdr:row>23</xdr:row>
      <xdr:rowOff>7994</xdr:rowOff>
    </xdr:to>
    <xdr:graphicFrame macro="">
      <xdr:nvGraphicFramePr>
        <xdr:cNvPr id="3" name="Chart 2">
          <a:extLst>
            <a:ext uri="{FF2B5EF4-FFF2-40B4-BE49-F238E27FC236}">
              <a16:creationId xmlns:a16="http://schemas.microsoft.com/office/drawing/2014/main" id="{0784AEE4-F69F-4159-A5CF-7627AEB320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33</xdr:col>
      <xdr:colOff>140977</xdr:colOff>
      <xdr:row>18</xdr:row>
      <xdr:rowOff>3737</xdr:rowOff>
    </xdr:from>
    <xdr:to>
      <xdr:col>43</xdr:col>
      <xdr:colOff>398410</xdr:colOff>
      <xdr:row>37</xdr:row>
      <xdr:rowOff>51225</xdr:rowOff>
    </xdr:to>
    <xdr:graphicFrame macro="">
      <xdr:nvGraphicFramePr>
        <xdr:cNvPr id="4" name="Chart 3">
          <a:extLst>
            <a:ext uri="{FF2B5EF4-FFF2-40B4-BE49-F238E27FC236}">
              <a16:creationId xmlns:a16="http://schemas.microsoft.com/office/drawing/2014/main" id="{283A3D24-DFF2-4341-8BFA-58B4122ADD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24</xdr:col>
      <xdr:colOff>229057</xdr:colOff>
      <xdr:row>44</xdr:row>
      <xdr:rowOff>133065</xdr:rowOff>
    </xdr:from>
    <xdr:to>
      <xdr:col>34</xdr:col>
      <xdr:colOff>579071</xdr:colOff>
      <xdr:row>70</xdr:row>
      <xdr:rowOff>121871</xdr:rowOff>
    </xdr:to>
    <xdr:graphicFrame macro="">
      <xdr:nvGraphicFramePr>
        <xdr:cNvPr id="2" name="Chart 1">
          <a:extLst>
            <a:ext uri="{FF2B5EF4-FFF2-40B4-BE49-F238E27FC236}">
              <a16:creationId xmlns:a16="http://schemas.microsoft.com/office/drawing/2014/main" id="{A0142156-4F5E-4F02-9035-A782E05CC7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23</xdr:col>
      <xdr:colOff>539797</xdr:colOff>
      <xdr:row>1</xdr:row>
      <xdr:rowOff>155551</xdr:rowOff>
    </xdr:from>
    <xdr:to>
      <xdr:col>32</xdr:col>
      <xdr:colOff>415525</xdr:colOff>
      <xdr:row>23</xdr:row>
      <xdr:rowOff>7994</xdr:rowOff>
    </xdr:to>
    <xdr:graphicFrame macro="">
      <xdr:nvGraphicFramePr>
        <xdr:cNvPr id="3" name="Chart 2">
          <a:extLst>
            <a:ext uri="{FF2B5EF4-FFF2-40B4-BE49-F238E27FC236}">
              <a16:creationId xmlns:a16="http://schemas.microsoft.com/office/drawing/2014/main" id="{9DE4F6C2-0075-4C7C-AD74-1B534490B7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33</xdr:col>
      <xdr:colOff>140977</xdr:colOff>
      <xdr:row>18</xdr:row>
      <xdr:rowOff>3737</xdr:rowOff>
    </xdr:from>
    <xdr:to>
      <xdr:col>43</xdr:col>
      <xdr:colOff>398410</xdr:colOff>
      <xdr:row>37</xdr:row>
      <xdr:rowOff>51225</xdr:rowOff>
    </xdr:to>
    <xdr:graphicFrame macro="">
      <xdr:nvGraphicFramePr>
        <xdr:cNvPr id="4" name="Chart 3">
          <a:extLst>
            <a:ext uri="{FF2B5EF4-FFF2-40B4-BE49-F238E27FC236}">
              <a16:creationId xmlns:a16="http://schemas.microsoft.com/office/drawing/2014/main" id="{623B47FD-9AEB-4252-8A62-E40A636894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29</xdr:col>
      <xdr:colOff>539797</xdr:colOff>
      <xdr:row>1</xdr:row>
      <xdr:rowOff>155551</xdr:rowOff>
    </xdr:from>
    <xdr:to>
      <xdr:col>38</xdr:col>
      <xdr:colOff>415525</xdr:colOff>
      <xdr:row>23</xdr:row>
      <xdr:rowOff>7994</xdr:rowOff>
    </xdr:to>
    <xdr:graphicFrame macro="">
      <xdr:nvGraphicFramePr>
        <xdr:cNvPr id="8" name="Chart 7">
          <a:extLst>
            <a:ext uri="{FF2B5EF4-FFF2-40B4-BE49-F238E27FC236}">
              <a16:creationId xmlns:a16="http://schemas.microsoft.com/office/drawing/2014/main" id="{C296345B-AA23-4339-BEFD-F1EFF96FC2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37</xdr:col>
      <xdr:colOff>119206</xdr:colOff>
      <xdr:row>23</xdr:row>
      <xdr:rowOff>69051</xdr:rowOff>
    </xdr:from>
    <xdr:to>
      <xdr:col>47</xdr:col>
      <xdr:colOff>376639</xdr:colOff>
      <xdr:row>41</xdr:row>
      <xdr:rowOff>0</xdr:rowOff>
    </xdr:to>
    <xdr:graphicFrame macro="">
      <xdr:nvGraphicFramePr>
        <xdr:cNvPr id="9" name="Chart 8">
          <a:extLst>
            <a:ext uri="{FF2B5EF4-FFF2-40B4-BE49-F238E27FC236}">
              <a16:creationId xmlns:a16="http://schemas.microsoft.com/office/drawing/2014/main" id="{DFDBBC8F-8288-B99D-192A-C4C1690874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355781</xdr:colOff>
      <xdr:row>18</xdr:row>
      <xdr:rowOff>66479</xdr:rowOff>
    </xdr:from>
    <xdr:to>
      <xdr:col>17</xdr:col>
      <xdr:colOff>418410</xdr:colOff>
      <xdr:row>37</xdr:row>
      <xdr:rowOff>93761</xdr:rowOff>
    </xdr:to>
    <xdr:graphicFrame macro="">
      <xdr:nvGraphicFramePr>
        <xdr:cNvPr id="2" name="Chart 1">
          <a:extLst>
            <a:ext uri="{FF2B5EF4-FFF2-40B4-BE49-F238E27FC236}">
              <a16:creationId xmlns:a16="http://schemas.microsoft.com/office/drawing/2014/main" id="{7BF4B4A3-6B13-44BE-8D50-93D5A407F9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28</xdr:col>
      <xdr:colOff>282389</xdr:colOff>
      <xdr:row>37</xdr:row>
      <xdr:rowOff>114822</xdr:rowOff>
    </xdr:from>
    <xdr:to>
      <xdr:col>33</xdr:col>
      <xdr:colOff>448849</xdr:colOff>
      <xdr:row>41</xdr:row>
      <xdr:rowOff>41753</xdr:rowOff>
    </xdr:to>
    <xdr:graphicFrame macro="">
      <xdr:nvGraphicFramePr>
        <xdr:cNvPr id="9" name="Chart 8">
          <a:extLst>
            <a:ext uri="{FF2B5EF4-FFF2-40B4-BE49-F238E27FC236}">
              <a16:creationId xmlns:a16="http://schemas.microsoft.com/office/drawing/2014/main" id="{87E89294-98C2-9B98-AEF3-4E2293B6A6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33</xdr:col>
      <xdr:colOff>521918</xdr:colOff>
      <xdr:row>39</xdr:row>
      <xdr:rowOff>0</xdr:rowOff>
    </xdr:from>
    <xdr:to>
      <xdr:col>38</xdr:col>
      <xdr:colOff>511480</xdr:colOff>
      <xdr:row>46</xdr:row>
      <xdr:rowOff>1774</xdr:rowOff>
    </xdr:to>
    <xdr:graphicFrame macro="">
      <xdr:nvGraphicFramePr>
        <xdr:cNvPr id="10" name="Chart 9">
          <a:extLst>
            <a:ext uri="{FF2B5EF4-FFF2-40B4-BE49-F238E27FC236}">
              <a16:creationId xmlns:a16="http://schemas.microsoft.com/office/drawing/2014/main" id="{A074F7FA-A9FE-B609-7770-335D8E3BD6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28</xdr:col>
      <xdr:colOff>281836</xdr:colOff>
      <xdr:row>41</xdr:row>
      <xdr:rowOff>167014</xdr:rowOff>
    </xdr:from>
    <xdr:to>
      <xdr:col>33</xdr:col>
      <xdr:colOff>459289</xdr:colOff>
      <xdr:row>52</xdr:row>
      <xdr:rowOff>104384</xdr:rowOff>
    </xdr:to>
    <xdr:graphicFrame macro="">
      <xdr:nvGraphicFramePr>
        <xdr:cNvPr id="12" name="Chart 11">
          <a:extLst>
            <a:ext uri="{FF2B5EF4-FFF2-40B4-BE49-F238E27FC236}">
              <a16:creationId xmlns:a16="http://schemas.microsoft.com/office/drawing/2014/main" id="{A0CC2753-0EB6-4D44-A96E-F84F892521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33</xdr:col>
      <xdr:colOff>532357</xdr:colOff>
      <xdr:row>46</xdr:row>
      <xdr:rowOff>135700</xdr:rowOff>
    </xdr:from>
    <xdr:to>
      <xdr:col>38</xdr:col>
      <xdr:colOff>532356</xdr:colOff>
      <xdr:row>57</xdr:row>
      <xdr:rowOff>31316</xdr:rowOff>
    </xdr:to>
    <xdr:graphicFrame macro="">
      <xdr:nvGraphicFramePr>
        <xdr:cNvPr id="13" name="Chart 12">
          <a:extLst>
            <a:ext uri="{FF2B5EF4-FFF2-40B4-BE49-F238E27FC236}">
              <a16:creationId xmlns:a16="http://schemas.microsoft.com/office/drawing/2014/main" id="{C38F5518-4509-6C8A-8C40-12CFCEBB73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28</xdr:col>
      <xdr:colOff>292275</xdr:colOff>
      <xdr:row>53</xdr:row>
      <xdr:rowOff>20877</xdr:rowOff>
    </xdr:from>
    <xdr:to>
      <xdr:col>33</xdr:col>
      <xdr:colOff>448850</xdr:colOff>
      <xdr:row>63</xdr:row>
      <xdr:rowOff>20877</xdr:rowOff>
    </xdr:to>
    <xdr:graphicFrame macro="">
      <xdr:nvGraphicFramePr>
        <xdr:cNvPr id="16" name="Chart 15">
          <a:extLst>
            <a:ext uri="{FF2B5EF4-FFF2-40B4-BE49-F238E27FC236}">
              <a16:creationId xmlns:a16="http://schemas.microsoft.com/office/drawing/2014/main" id="{DF34CDFA-A7CD-97AD-64D7-F3BDC271A7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33</xdr:col>
      <xdr:colOff>532356</xdr:colOff>
      <xdr:row>57</xdr:row>
      <xdr:rowOff>126304</xdr:rowOff>
    </xdr:from>
    <xdr:to>
      <xdr:col>38</xdr:col>
      <xdr:colOff>553232</xdr:colOff>
      <xdr:row>68</xdr:row>
      <xdr:rowOff>31315</xdr:rowOff>
    </xdr:to>
    <xdr:graphicFrame macro="">
      <xdr:nvGraphicFramePr>
        <xdr:cNvPr id="17" name="Chart 16">
          <a:extLst>
            <a:ext uri="{FF2B5EF4-FFF2-40B4-BE49-F238E27FC236}">
              <a16:creationId xmlns:a16="http://schemas.microsoft.com/office/drawing/2014/main" id="{F0F49A44-1B78-9930-6820-CEA44AAABC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28</xdr:col>
      <xdr:colOff>334027</xdr:colOff>
      <xdr:row>63</xdr:row>
      <xdr:rowOff>105427</xdr:rowOff>
    </xdr:from>
    <xdr:to>
      <xdr:col>33</xdr:col>
      <xdr:colOff>501041</xdr:colOff>
      <xdr:row>73</xdr:row>
      <xdr:rowOff>62631</xdr:rowOff>
    </xdr:to>
    <xdr:graphicFrame macro="">
      <xdr:nvGraphicFramePr>
        <xdr:cNvPr id="18" name="Chart 17">
          <a:extLst>
            <a:ext uri="{FF2B5EF4-FFF2-40B4-BE49-F238E27FC236}">
              <a16:creationId xmlns:a16="http://schemas.microsoft.com/office/drawing/2014/main" id="{AED6A4BD-59A1-0974-A762-62949AA0CC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33</xdr:col>
      <xdr:colOff>542795</xdr:colOff>
      <xdr:row>68</xdr:row>
      <xdr:rowOff>115866</xdr:rowOff>
    </xdr:from>
    <xdr:to>
      <xdr:col>39</xdr:col>
      <xdr:colOff>31315</xdr:colOff>
      <xdr:row>78</xdr:row>
      <xdr:rowOff>177452</xdr:rowOff>
    </xdr:to>
    <xdr:graphicFrame macro="">
      <xdr:nvGraphicFramePr>
        <xdr:cNvPr id="19" name="Chart 18">
          <a:extLst>
            <a:ext uri="{FF2B5EF4-FFF2-40B4-BE49-F238E27FC236}">
              <a16:creationId xmlns:a16="http://schemas.microsoft.com/office/drawing/2014/main" id="{06911BDA-E5EA-F539-2FC1-43B44EA3E5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28</xdr:col>
      <xdr:colOff>323589</xdr:colOff>
      <xdr:row>73</xdr:row>
      <xdr:rowOff>147181</xdr:rowOff>
    </xdr:from>
    <xdr:to>
      <xdr:col>33</xdr:col>
      <xdr:colOff>501040</xdr:colOff>
      <xdr:row>84</xdr:row>
      <xdr:rowOff>52192</xdr:rowOff>
    </xdr:to>
    <xdr:graphicFrame macro="">
      <xdr:nvGraphicFramePr>
        <xdr:cNvPr id="20" name="Chart 19">
          <a:extLst>
            <a:ext uri="{FF2B5EF4-FFF2-40B4-BE49-F238E27FC236}">
              <a16:creationId xmlns:a16="http://schemas.microsoft.com/office/drawing/2014/main" id="{BE999BCC-2784-513B-12F5-A310AB3751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33</xdr:col>
      <xdr:colOff>542795</xdr:colOff>
      <xdr:row>79</xdr:row>
      <xdr:rowOff>42798</xdr:rowOff>
    </xdr:from>
    <xdr:to>
      <xdr:col>39</xdr:col>
      <xdr:colOff>41754</xdr:colOff>
      <xdr:row>89</xdr:row>
      <xdr:rowOff>104384</xdr:rowOff>
    </xdr:to>
    <xdr:graphicFrame macro="">
      <xdr:nvGraphicFramePr>
        <xdr:cNvPr id="21" name="Chart 20">
          <a:extLst>
            <a:ext uri="{FF2B5EF4-FFF2-40B4-BE49-F238E27FC236}">
              <a16:creationId xmlns:a16="http://schemas.microsoft.com/office/drawing/2014/main" id="{5F041A43-B91B-B064-B3E6-DD6B0E7730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99562</xdr:rowOff>
    </xdr:from>
    <xdr:to>
      <xdr:col>23</xdr:col>
      <xdr:colOff>155954</xdr:colOff>
      <xdr:row>19</xdr:row>
      <xdr:rowOff>4350</xdr:rowOff>
    </xdr:to>
    <xdr:pic>
      <xdr:nvPicPr>
        <xdr:cNvPr id="3" name="Picture 2">
          <a:extLst>
            <a:ext uri="{FF2B5EF4-FFF2-40B4-BE49-F238E27FC236}">
              <a16:creationId xmlns:a16="http://schemas.microsoft.com/office/drawing/2014/main" id="{0636999C-2DDF-7747-957F-B2256E98FF0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bwMode="auto">
        <a:xfrm>
          <a:off x="0" y="99562"/>
          <a:ext cx="14229863" cy="34146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5</xdr:col>
      <xdr:colOff>60960</xdr:colOff>
      <xdr:row>7</xdr:row>
      <xdr:rowOff>72390</xdr:rowOff>
    </xdr:from>
    <xdr:to>
      <xdr:col>12</xdr:col>
      <xdr:colOff>365760</xdr:colOff>
      <xdr:row>22</xdr:row>
      <xdr:rowOff>72390</xdr:rowOff>
    </xdr:to>
    <xdr:graphicFrame macro="">
      <xdr:nvGraphicFramePr>
        <xdr:cNvPr id="2" name="Chart 1">
          <a:extLst>
            <a:ext uri="{FF2B5EF4-FFF2-40B4-BE49-F238E27FC236}">
              <a16:creationId xmlns:a16="http://schemas.microsoft.com/office/drawing/2014/main" id="{4EDB08D8-887E-4E7F-BBF4-BE58929860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7.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8.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9.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BF998-11AA-46C8-890B-274C23C1BB64}">
  <dimension ref="A1:Z36"/>
  <sheetViews>
    <sheetView zoomScale="85" zoomScaleNormal="85" workbookViewId="0">
      <selection activeCell="M11" sqref="M11"/>
    </sheetView>
  </sheetViews>
  <sheetFormatPr defaultRowHeight="14.4" x14ac:dyDescent="0.3"/>
  <cols>
    <col min="3" max="3" width="2.5546875" customWidth="1"/>
    <col min="4" max="4" width="10.33203125" style="78" customWidth="1"/>
    <col min="5" max="5" width="11" style="78" customWidth="1"/>
    <col min="6" max="7" width="8.88671875" style="78"/>
    <col min="8" max="8" width="8.88671875" style="78" customWidth="1"/>
    <col min="9" max="9" width="10.109375" style="78" customWidth="1"/>
    <col min="10" max="10" width="10" style="78" customWidth="1"/>
    <col min="11" max="11" width="10.88671875" style="78" customWidth="1"/>
    <col min="12" max="12" width="3.44140625" style="78" customWidth="1"/>
    <col min="13" max="13" width="9.6640625" style="78" customWidth="1"/>
    <col min="14" max="14" width="10.6640625" style="78" customWidth="1"/>
    <col min="15" max="17" width="8.88671875" style="78"/>
    <col min="18" max="18" width="10.33203125" style="78" customWidth="1"/>
    <col min="19" max="19" width="10.109375" style="78" customWidth="1"/>
    <col min="20" max="20" width="11" style="78" customWidth="1"/>
    <col min="21" max="21" width="8.88671875" style="78"/>
    <col min="22" max="22" width="9.5546875" style="78" bestFit="1" customWidth="1"/>
    <col min="23" max="24" width="8.88671875" style="78"/>
  </cols>
  <sheetData>
    <row r="1" spans="1:26" s="4" customFormat="1" ht="44.4" customHeight="1" x14ac:dyDescent="0.3">
      <c r="A1" s="4" t="s">
        <v>94</v>
      </c>
      <c r="B1" s="4" t="s">
        <v>95</v>
      </c>
      <c r="D1" s="77" t="s">
        <v>410</v>
      </c>
      <c r="E1" s="77" t="s">
        <v>462</v>
      </c>
      <c r="F1" s="77" t="s">
        <v>414</v>
      </c>
      <c r="G1" s="77" t="s">
        <v>411</v>
      </c>
      <c r="H1" s="77" t="s">
        <v>412</v>
      </c>
      <c r="I1" s="77" t="s">
        <v>419</v>
      </c>
      <c r="J1" s="77" t="s">
        <v>426</v>
      </c>
      <c r="K1" s="77" t="s">
        <v>427</v>
      </c>
      <c r="L1" s="77"/>
      <c r="M1" s="77" t="s">
        <v>420</v>
      </c>
      <c r="N1" s="77" t="s">
        <v>463</v>
      </c>
      <c r="O1" s="77" t="s">
        <v>421</v>
      </c>
      <c r="P1" s="77" t="s">
        <v>422</v>
      </c>
      <c r="Q1" s="77" t="s">
        <v>428</v>
      </c>
      <c r="R1" s="77" t="s">
        <v>423</v>
      </c>
      <c r="S1" s="77" t="s">
        <v>424</v>
      </c>
      <c r="T1" s="77" t="s">
        <v>425</v>
      </c>
      <c r="U1" s="77" t="s">
        <v>430</v>
      </c>
      <c r="V1" s="77" t="s">
        <v>431</v>
      </c>
      <c r="W1" s="77" t="s">
        <v>432</v>
      </c>
      <c r="X1" s="77" t="s">
        <v>433</v>
      </c>
    </row>
    <row r="2" spans="1:26" x14ac:dyDescent="0.3">
      <c r="A2">
        <v>170</v>
      </c>
      <c r="B2">
        <v>300</v>
      </c>
      <c r="D2" s="78">
        <f>'Raw Data and Corrections'!Q5</f>
        <v>0.96295641608282601</v>
      </c>
      <c r="E2" s="78">
        <f>'Raw Data and Corrections'!AG8</f>
        <v>1.079934644179728</v>
      </c>
      <c r="F2" s="79" t="s">
        <v>413</v>
      </c>
      <c r="G2" s="79" t="s">
        <v>413</v>
      </c>
      <c r="H2" s="79" t="s">
        <v>413</v>
      </c>
      <c r="I2" s="79" t="s">
        <v>413</v>
      </c>
      <c r="J2" s="79" t="s">
        <v>413</v>
      </c>
      <c r="K2" s="79" t="s">
        <v>413</v>
      </c>
      <c r="M2" s="78">
        <f>'Raw Data and Corrections'!S5</f>
        <v>1.9201957516247901E-2</v>
      </c>
      <c r="N2" s="78">
        <f>'Raw Data and Corrections'!AI8</f>
        <v>3.5498608430005754E-2</v>
      </c>
      <c r="O2" s="79" t="s">
        <v>413</v>
      </c>
      <c r="P2" s="79" t="s">
        <v>413</v>
      </c>
      <c r="Q2" s="79" t="s">
        <v>413</v>
      </c>
      <c r="R2" s="79" t="s">
        <v>413</v>
      </c>
      <c r="S2" s="79" t="s">
        <v>413</v>
      </c>
      <c r="T2" s="79" t="s">
        <v>413</v>
      </c>
      <c r="U2" s="79"/>
      <c r="W2" s="78">
        <f>'Raw Data and Corrections'!BR5</f>
        <v>1.9747131635042235E-2</v>
      </c>
    </row>
    <row r="3" spans="1:26" x14ac:dyDescent="0.3">
      <c r="A3">
        <v>180</v>
      </c>
      <c r="B3">
        <v>463</v>
      </c>
      <c r="D3" s="78">
        <f>'Raw Data and Corrections'!Q9</f>
        <v>0.544184151846411</v>
      </c>
      <c r="E3" s="78">
        <f>'Raw Data and Corrections'!AG12</f>
        <v>1.682029378378312</v>
      </c>
      <c r="F3" s="79" t="s">
        <v>413</v>
      </c>
      <c r="G3" s="79" t="s">
        <v>413</v>
      </c>
      <c r="H3" s="79" t="s">
        <v>413</v>
      </c>
      <c r="I3" s="79" t="s">
        <v>413</v>
      </c>
      <c r="J3" s="79" t="s">
        <v>413</v>
      </c>
      <c r="K3" s="79" t="s">
        <v>413</v>
      </c>
      <c r="M3" s="78">
        <f>'Raw Data and Corrections'!S9</f>
        <v>3.0467213114754099E-2</v>
      </c>
      <c r="N3" s="78">
        <f>'Raw Data and Corrections'!AI12</f>
        <v>8.1744338181746742E-2</v>
      </c>
      <c r="O3" s="79" t="s">
        <v>413</v>
      </c>
      <c r="P3" s="79" t="s">
        <v>413</v>
      </c>
      <c r="Q3" s="79" t="s">
        <v>413</v>
      </c>
      <c r="R3" s="79" t="s">
        <v>413</v>
      </c>
      <c r="S3" s="79" t="s">
        <v>413</v>
      </c>
      <c r="T3" s="79" t="s">
        <v>413</v>
      </c>
      <c r="U3" s="79"/>
      <c r="W3" s="78">
        <f>'Raw Data and Corrections'!BR9</f>
        <v>5.5443672373077464E-2</v>
      </c>
    </row>
    <row r="4" spans="1:26" x14ac:dyDescent="0.3">
      <c r="A4">
        <v>190</v>
      </c>
      <c r="B4">
        <v>550</v>
      </c>
      <c r="D4" s="78">
        <f>'Raw Data and Corrections'!Q13</f>
        <v>0.52920163854343805</v>
      </c>
      <c r="E4" s="78">
        <f>'Raw Data and Corrections'!AG16</f>
        <v>2.2456606027787114</v>
      </c>
      <c r="F4" s="78">
        <f>'Raw Data and Corrections'!BB13</f>
        <v>0.1426419055679381</v>
      </c>
      <c r="G4" s="79" t="s">
        <v>413</v>
      </c>
      <c r="H4" s="79" t="s">
        <v>413</v>
      </c>
      <c r="I4" s="79" t="s">
        <v>413</v>
      </c>
      <c r="J4" s="79" t="s">
        <v>413</v>
      </c>
      <c r="K4" s="79" t="s">
        <v>413</v>
      </c>
      <c r="M4" s="78">
        <f>'Raw Data and Corrections'!S13</f>
        <v>5.5770491803278699E-2</v>
      </c>
      <c r="N4" s="78">
        <f>'Raw Data and Corrections'!AI16</f>
        <v>0.1475409902094329</v>
      </c>
      <c r="O4" s="79">
        <f>'Raw Data and Corrections'!BE13</f>
        <v>1.6987915797927026E-2</v>
      </c>
      <c r="P4" s="79" t="s">
        <v>413</v>
      </c>
      <c r="Q4" s="79" t="s">
        <v>413</v>
      </c>
      <c r="R4" s="79" t="s">
        <v>413</v>
      </c>
      <c r="S4" s="79" t="s">
        <v>413</v>
      </c>
      <c r="T4" s="79" t="s">
        <v>413</v>
      </c>
      <c r="U4" s="79"/>
      <c r="W4" s="78">
        <f>'Raw Data and Corrections'!BR13</f>
        <v>0.10436345349952697</v>
      </c>
    </row>
    <row r="5" spans="1:26" x14ac:dyDescent="0.3">
      <c r="A5">
        <v>200</v>
      </c>
      <c r="B5">
        <v>500</v>
      </c>
      <c r="D5" s="78">
        <f>'Raw Data and Corrections'!Q17</f>
        <v>0.51895322426698798</v>
      </c>
      <c r="E5" s="78">
        <f>'Raw Data and Corrections'!AG20</f>
        <v>2.8028239799204773</v>
      </c>
      <c r="F5" s="78">
        <f>'Raw Data and Corrections'!BB17</f>
        <v>0.13299380100956529</v>
      </c>
      <c r="G5" s="78">
        <f>D5-F4</f>
        <v>0.37631131869904988</v>
      </c>
      <c r="H5" s="78">
        <f>D5+F5</f>
        <v>0.65194702527655324</v>
      </c>
      <c r="I5" s="78" cm="1">
        <f t="array" ref="I5:I35">diffusivitiesHTWin0601bLB!P7:P37</f>
        <v>-21.950439069334358</v>
      </c>
      <c r="J5" s="78" cm="1">
        <f t="array" ref="J5:J35">diffusivitiesHTWin0601bM!P7:P37</f>
        <v>-21.682567938328461</v>
      </c>
      <c r="K5" s="78" cm="1">
        <f t="array" ref="K5:K35">diffusivitiesHTWin0601bUB!P7:P37</f>
        <v>-21.442504783214957</v>
      </c>
      <c r="M5" s="78">
        <f>'Raw Data and Corrections'!S17</f>
        <v>0.102413793103448</v>
      </c>
      <c r="N5" s="78">
        <f>'Raw Data and Corrections'!AI20</f>
        <v>0.25955013207236705</v>
      </c>
      <c r="O5" s="78">
        <f>'Raw Data and Corrections'!BE17</f>
        <v>2.9669813641736882E-2</v>
      </c>
      <c r="P5" s="78">
        <f>M5-O4</f>
        <v>8.5425877305520981E-2</v>
      </c>
      <c r="Q5" s="78">
        <f>M5+O5</f>
        <v>0.13208360674518488</v>
      </c>
      <c r="R5" s="78" cm="1">
        <f t="array" ref="R5:R35">diffusivitiesHTWin0601bLB!P49:P79</f>
        <v>-25.928249698750136</v>
      </c>
      <c r="S5" s="78" cm="1">
        <f t="array" ref="S5:S35">diffusivitiesHTWin0601bM!P49:P79</f>
        <v>-25.804652306287686</v>
      </c>
      <c r="T5" s="78" cm="1">
        <f t="array" ref="T5:T35">diffusivitiesHTWin0601bUB!P49:P79</f>
        <v>-25.499320236826751</v>
      </c>
      <c r="U5" s="79">
        <f t="shared" ref="U5:U34" si="0">(E4)/$E$36</f>
        <v>1.5367366838036753E-2</v>
      </c>
      <c r="W5" s="78">
        <f>'Raw Data and Corrections'!BR17</f>
        <v>0.19543186869752618</v>
      </c>
    </row>
    <row r="6" spans="1:26" x14ac:dyDescent="0.3">
      <c r="A6">
        <v>210</v>
      </c>
      <c r="B6">
        <v>475</v>
      </c>
      <c r="D6" s="78">
        <f>'Raw Data and Corrections'!Q21</f>
        <v>0.57702821305164198</v>
      </c>
      <c r="E6" s="78">
        <f>'Raw Data and Corrections'!AG24</f>
        <v>3.4217967693947355</v>
      </c>
      <c r="F6" s="78">
        <f>'Raw Data and Corrections'!BB21</f>
        <v>0.13406375804081494</v>
      </c>
      <c r="G6" s="78">
        <f t="shared" ref="G6:G35" si="1">D6-F5</f>
        <v>0.44403441204207672</v>
      </c>
      <c r="H6" s="78">
        <f t="shared" ref="H6:H35" si="2">D6+F6</f>
        <v>0.71109197109245692</v>
      </c>
      <c r="I6" s="78">
        <v>-21.537402647066092</v>
      </c>
      <c r="J6" s="78">
        <v>-21.316647443149691</v>
      </c>
      <c r="K6" s="78">
        <v>-21.099285992721384</v>
      </c>
      <c r="M6" s="78">
        <f>'Raw Data and Corrections'!S21</f>
        <v>0.145987300080372</v>
      </c>
      <c r="N6" s="78">
        <f>'Raw Data and Corrections'!AI24</f>
        <v>0.42289759134912647</v>
      </c>
      <c r="O6" s="78">
        <f>'Raw Data and Corrections'!BE21</f>
        <v>3.8308281275653229E-2</v>
      </c>
      <c r="P6" s="78">
        <f t="shared" ref="P6:P35" si="3">M6-O5</f>
        <v>0.11631748643863513</v>
      </c>
      <c r="Q6" s="78">
        <f t="shared" ref="Q6:Q35" si="4">M6+O6</f>
        <v>0.18429558135602522</v>
      </c>
      <c r="R6" s="78">
        <v>-25.01730230157564</v>
      </c>
      <c r="S6" s="78">
        <v>-24.859411039223229</v>
      </c>
      <c r="T6" s="78">
        <v>-24.594113895215457</v>
      </c>
      <c r="U6" s="79">
        <f t="shared" si="0"/>
        <v>1.9180113071667258E-2</v>
      </c>
      <c r="V6" s="78" cm="1">
        <f t="array" ref="V6:X6">'Raw Data and Corrections'!BQ21:BS21</f>
        <v>0.2463356218512664</v>
      </c>
      <c r="W6" s="78">
        <v>0.25054352110331207</v>
      </c>
      <c r="X6" s="78">
        <v>0.26532333804550112</v>
      </c>
    </row>
    <row r="7" spans="1:26" x14ac:dyDescent="0.3">
      <c r="A7">
        <v>220</v>
      </c>
      <c r="B7">
        <v>450</v>
      </c>
      <c r="D7" s="78">
        <f>'Raw Data and Corrections'!Q25</f>
        <v>0.63333256423751405</v>
      </c>
      <c r="E7" s="78">
        <f>'Raw Data and Corrections'!AG28</f>
        <v>4.0986662873104702</v>
      </c>
      <c r="F7" s="78">
        <f>'Raw Data and Corrections'!BB25</f>
        <v>0.13488029339869259</v>
      </c>
      <c r="G7" s="78">
        <f t="shared" si="1"/>
        <v>0.49926880619669911</v>
      </c>
      <c r="H7" s="78">
        <f t="shared" si="2"/>
        <v>0.76821285763620661</v>
      </c>
      <c r="I7" s="78">
        <v>-21.187105298805673</v>
      </c>
      <c r="J7" s="78">
        <v>-20.984047820072568</v>
      </c>
      <c r="K7" s="78">
        <v>-20.784557991747185</v>
      </c>
      <c r="M7" s="78">
        <f>'Raw Data and Corrections'!S25</f>
        <v>0.20905016447368399</v>
      </c>
      <c r="N7" s="78">
        <f>'Raw Data and Corrections'!AI28</f>
        <v>0.65557350151594507</v>
      </c>
      <c r="O7" s="78">
        <f>'Raw Data and Corrections'!BE25</f>
        <v>5.0257030981856542E-2</v>
      </c>
      <c r="P7" s="78">
        <f t="shared" si="3"/>
        <v>0.17074188319803077</v>
      </c>
      <c r="Q7" s="78">
        <f t="shared" si="4"/>
        <v>0.25930719545554054</v>
      </c>
      <c r="R7" s="78">
        <v>-24.13895370718874</v>
      </c>
      <c r="S7" s="78">
        <v>-23.993963126230277</v>
      </c>
      <c r="T7" s="78">
        <v>-23.752852694254344</v>
      </c>
      <c r="U7" s="79">
        <f t="shared" si="0"/>
        <v>2.3415829683003798E-2</v>
      </c>
      <c r="V7" s="78" cm="1">
        <f t="array" ref="V7:X7">'Raw Data and Corrections'!BQ25:BS25</f>
        <v>0.32361174925189157</v>
      </c>
      <c r="W7" s="78">
        <v>0.3268766079812821</v>
      </c>
      <c r="X7" s="78">
        <v>0.34494013781444277</v>
      </c>
    </row>
    <row r="8" spans="1:26" x14ac:dyDescent="0.3">
      <c r="A8">
        <v>230</v>
      </c>
      <c r="B8">
        <v>425</v>
      </c>
      <c r="D8" s="78">
        <f>'Raw Data and Corrections'!Q29</f>
        <v>0.78987804878048695</v>
      </c>
      <c r="E8" s="78">
        <f>'Raw Data and Corrections'!AG32</f>
        <v>4.9329186716051234</v>
      </c>
      <c r="F8" s="78">
        <f>'Raw Data and Corrections'!BB29</f>
        <v>0.15582339135746193</v>
      </c>
      <c r="G8" s="78">
        <f t="shared" si="1"/>
        <v>0.65499775538179439</v>
      </c>
      <c r="H8" s="78">
        <f t="shared" si="2"/>
        <v>0.94570144013794888</v>
      </c>
      <c r="I8" s="78">
        <v>-20.69626097483286</v>
      </c>
      <c r="J8" s="78">
        <v>-20.534731788463219</v>
      </c>
      <c r="K8" s="78">
        <v>-20.346380267330812</v>
      </c>
      <c r="M8" s="78">
        <f>'Raw Data and Corrections'!S29</f>
        <v>0.32434102141680399</v>
      </c>
      <c r="N8" s="78">
        <f>'Raw Data and Corrections'!AI32</f>
        <v>1.000444012224347</v>
      </c>
      <c r="O8" s="78">
        <f>'Raw Data and Corrections'!BE29</f>
        <v>7.2209604783353476E-2</v>
      </c>
      <c r="P8" s="78">
        <f t="shared" si="3"/>
        <v>0.27408399043494747</v>
      </c>
      <c r="Q8" s="78">
        <f t="shared" si="4"/>
        <v>0.39655062620015746</v>
      </c>
      <c r="R8" s="78">
        <v>-23.24201901355686</v>
      </c>
      <c r="S8" s="78">
        <v>-23.114410990467565</v>
      </c>
      <c r="T8" s="78">
        <v>-22.881621214698971</v>
      </c>
      <c r="U8" s="79">
        <f t="shared" si="0"/>
        <v>2.8047741633734663E-2</v>
      </c>
      <c r="V8" s="78" cm="1">
        <f t="array" ref="V8:X8">'Raw Data and Corrections'!BQ29:BS29</f>
        <v>0.40038941869906897</v>
      </c>
      <c r="W8" s="78">
        <v>0.40663708483556077</v>
      </c>
      <c r="X8" s="78">
        <v>0.42698914411006683</v>
      </c>
    </row>
    <row r="9" spans="1:26" x14ac:dyDescent="0.3">
      <c r="A9">
        <v>225</v>
      </c>
      <c r="B9">
        <v>908</v>
      </c>
      <c r="D9" s="78">
        <f>'Raw Data and Corrections'!Q33</f>
        <v>0.75127118186624997</v>
      </c>
      <c r="E9" s="78">
        <f>'Raw Data and Corrections'!AG37</f>
        <v>5.7114006753916717</v>
      </c>
      <c r="F9" s="78">
        <f>'Raw Data and Corrections'!BB33</f>
        <v>6.6994769544214849E-2</v>
      </c>
      <c r="G9" s="78">
        <f t="shared" si="1"/>
        <v>0.59544779050878804</v>
      </c>
      <c r="H9" s="78">
        <f t="shared" si="2"/>
        <v>0.81826595141046488</v>
      </c>
      <c r="I9" s="78">
        <v>-21.407593101755587</v>
      </c>
      <c r="J9" s="78">
        <v>-21.198778617593469</v>
      </c>
      <c r="K9" s="78">
        <v>-21.109949573355127</v>
      </c>
      <c r="M9" s="78">
        <f>'Raw Data and Corrections'!S33</f>
        <v>0.34826732673267302</v>
      </c>
      <c r="N9" s="78">
        <f>'Raw Data and Corrections'!AI37</f>
        <v>1.3643577781885887</v>
      </c>
      <c r="O9" s="78">
        <f>'Raw Data and Corrections'!BE33</f>
        <v>3.4625205848866775E-2</v>
      </c>
      <c r="P9" s="78">
        <f t="shared" si="3"/>
        <v>0.27605772194931955</v>
      </c>
      <c r="Q9" s="78">
        <f t="shared" si="4"/>
        <v>0.38289253258153977</v>
      </c>
      <c r="R9" s="78">
        <v>-23.65463825468753</v>
      </c>
      <c r="S9" s="78">
        <v>-23.463539705519267</v>
      </c>
      <c r="T9" s="78">
        <v>-23.358115600270732</v>
      </c>
      <c r="U9" s="79">
        <f t="shared" si="0"/>
        <v>3.3756646358295152E-2</v>
      </c>
      <c r="V9" s="78" cm="1">
        <f t="array" ref="V9:X9">'Raw Data and Corrections'!BQ33:BS33</f>
        <v>0.43990665224118908</v>
      </c>
      <c r="W9" s="78">
        <v>0.45907236510261928</v>
      </c>
      <c r="X9" s="78">
        <v>0.46933287797316953</v>
      </c>
    </row>
    <row r="10" spans="1:26" x14ac:dyDescent="0.3">
      <c r="A10">
        <v>215</v>
      </c>
      <c r="B10">
        <v>450</v>
      </c>
      <c r="D10" s="78">
        <f>'Raw Data and Corrections'!Q38</f>
        <v>0.141512821493641</v>
      </c>
      <c r="E10" s="78">
        <f>'Raw Data and Corrections'!AG42</f>
        <v>5.8728624970617931</v>
      </c>
      <c r="F10" s="78">
        <f>'Raw Data and Corrections'!BB38</f>
        <v>3.2510015207520296E-2</v>
      </c>
      <c r="G10" s="78">
        <f t="shared" si="1"/>
        <v>7.4518051949426151E-2</v>
      </c>
      <c r="H10" s="78">
        <f t="shared" si="2"/>
        <v>0.17402283670116131</v>
      </c>
      <c r="I10" s="78">
        <v>-22.515488780452156</v>
      </c>
      <c r="J10" s="78">
        <v>-21.985237781051143</v>
      </c>
      <c r="K10" s="78">
        <v>-21.798991055484599</v>
      </c>
      <c r="M10" s="78">
        <f>'Raw Data and Corrections'!S38</f>
        <v>7.1590909090909094E-2</v>
      </c>
      <c r="N10" s="80">
        <f>'Raw Data and Corrections'!AI42</f>
        <v>1.4527785385191672</v>
      </c>
      <c r="O10" s="78">
        <f>'Raw Data and Corrections'!BE38</f>
        <v>1.8584746842407716E-2</v>
      </c>
      <c r="P10" s="78">
        <f t="shared" si="3"/>
        <v>3.6965703242042319E-2</v>
      </c>
      <c r="Q10" s="78">
        <f t="shared" si="4"/>
        <v>9.0175655933316806E-2</v>
      </c>
      <c r="R10" s="78">
        <v>-24.48602633670053</v>
      </c>
      <c r="S10" s="78">
        <v>-24.001326385540441</v>
      </c>
      <c r="T10" s="78">
        <v>-23.803977501154044</v>
      </c>
      <c r="U10" s="79">
        <f t="shared" si="0"/>
        <v>3.9083906637161374E-2</v>
      </c>
      <c r="V10" s="78" cm="1">
        <f t="array" ref="V10:X10">'Raw Data and Corrections'!BQ38:BS38</f>
        <v>0.50098789808616639</v>
      </c>
      <c r="W10" s="78">
        <v>0.50098789808616639</v>
      </c>
      <c r="X10" s="78">
        <v>0.53022499821163649</v>
      </c>
    </row>
    <row r="11" spans="1:26" s="9" customFormat="1" x14ac:dyDescent="0.3">
      <c r="A11" s="9">
        <v>205</v>
      </c>
      <c r="B11" s="9">
        <v>520</v>
      </c>
      <c r="D11" s="80">
        <f>'Raw Data and Corrections'!Q43</f>
        <v>7.6269133314252294E-2</v>
      </c>
      <c r="E11" s="80">
        <f>'Raw Data and Corrections'!AG46</f>
        <v>5.9575572993078474</v>
      </c>
      <c r="F11" s="80">
        <f>'Raw Data and Corrections'!BB43</f>
        <v>1.7161164539828491E-2</v>
      </c>
      <c r="G11" s="80">
        <f t="shared" si="1"/>
        <v>4.3759118106731998E-2</v>
      </c>
      <c r="H11" s="80">
        <f t="shared" si="2"/>
        <v>9.3430297854080788E-2</v>
      </c>
      <c r="I11" s="80">
        <v>-23.235525867804814</v>
      </c>
      <c r="J11" s="80">
        <v>-22.754006884006166</v>
      </c>
      <c r="K11" s="80">
        <v>-22.568051846819976</v>
      </c>
      <c r="L11" s="80"/>
      <c r="M11" s="80">
        <f>'Raw Data and Corrections'!S43</f>
        <v>3.8451904805222398E-2</v>
      </c>
      <c r="N11" s="80">
        <f>'Raw Data and Corrections'!AI46</f>
        <v>1.5131325924103853</v>
      </c>
      <c r="O11" s="80">
        <f>'Raw Data and Corrections'!BE43</f>
        <v>9.7567832307909347E-3</v>
      </c>
      <c r="P11" s="78">
        <f t="shared" si="3"/>
        <v>1.9867157962814682E-2</v>
      </c>
      <c r="Q11" s="78">
        <f t="shared" si="4"/>
        <v>4.8208688036013331E-2</v>
      </c>
      <c r="R11" s="80">
        <v>-24.838142644154161</v>
      </c>
      <c r="S11" s="80">
        <v>-24.476322881287</v>
      </c>
      <c r="T11" s="80">
        <v>-24.32318938022177</v>
      </c>
      <c r="U11" s="79">
        <f t="shared" si="0"/>
        <v>4.0188812267545691E-2</v>
      </c>
      <c r="V11" s="80" cm="1">
        <f t="array" ref="V11:X11">'Raw Data and Corrections'!BQ43:BS43</f>
        <v>0.49926853306343966</v>
      </c>
      <c r="W11" s="80">
        <v>0.49926853306343966</v>
      </c>
      <c r="X11" s="80">
        <v>0.52774796224638176</v>
      </c>
      <c r="Y11"/>
      <c r="Z11"/>
    </row>
    <row r="12" spans="1:26" s="9" customFormat="1" x14ac:dyDescent="0.3">
      <c r="A12" s="9">
        <v>195</v>
      </c>
      <c r="B12" s="9">
        <v>1106</v>
      </c>
      <c r="D12" s="80">
        <f>'Raw Data and Corrections'!Q47</f>
        <v>6.7045156410478396E-2</v>
      </c>
      <c r="E12" s="80">
        <f>'Raw Data and Corrections'!AG50</f>
        <v>6.0383537324714629</v>
      </c>
      <c r="F12" s="80">
        <f>'Raw Data and Corrections'!BB47</f>
        <v>7.3345908498363586E-3</v>
      </c>
      <c r="G12" s="80">
        <f t="shared" si="1"/>
        <v>4.9883991870649902E-2</v>
      </c>
      <c r="H12" s="80">
        <f t="shared" si="2"/>
        <v>7.4379747260314752E-2</v>
      </c>
      <c r="I12" s="80">
        <v>-23.779248389432723</v>
      </c>
      <c r="J12" s="80">
        <v>-23.541912985852932</v>
      </c>
      <c r="K12" s="80">
        <v>-23.454409952593636</v>
      </c>
      <c r="L12" s="80"/>
      <c r="M12" s="80">
        <f>'Raw Data and Corrections'!S47</f>
        <v>3.3582644628099102E-2</v>
      </c>
      <c r="N12" s="80">
        <f>'Raw Data and Corrections'!AI50</f>
        <v>1.5941014420436159</v>
      </c>
      <c r="O12" s="80">
        <f>'Raw Data and Corrections'!BE47</f>
        <v>4.0877758151822369E-3</v>
      </c>
      <c r="P12" s="78">
        <f t="shared" si="3"/>
        <v>2.3825861397308169E-2</v>
      </c>
      <c r="Q12" s="78">
        <f t="shared" si="4"/>
        <v>3.7670420443281338E-2</v>
      </c>
      <c r="R12" s="80">
        <v>-25.015881319857559</v>
      </c>
      <c r="S12" s="80">
        <v>-24.890614190012588</v>
      </c>
      <c r="T12" s="80">
        <v>-24.840046779048713</v>
      </c>
      <c r="U12" s="79">
        <f t="shared" si="0"/>
        <v>4.0768390541208066E-2</v>
      </c>
      <c r="V12" s="80" cm="1">
        <f t="array" ref="V12:X12">'Raw Data and Corrections'!BQ47:BS47</f>
        <v>0.44642245631555177</v>
      </c>
      <c r="W12" s="80">
        <v>0.49603535655710579</v>
      </c>
      <c r="X12" s="80">
        <v>0.50960889561876377</v>
      </c>
      <c r="Y12"/>
      <c r="Z12"/>
    </row>
    <row r="13" spans="1:26" s="9" customFormat="1" x14ac:dyDescent="0.3">
      <c r="A13" s="9">
        <v>185</v>
      </c>
      <c r="B13" s="9">
        <v>740</v>
      </c>
      <c r="D13" s="80">
        <f>'Raw Data and Corrections'!Q51</f>
        <v>2.2678534031413601E-2</v>
      </c>
      <c r="E13" s="80">
        <f>'Raw Data and Corrections'!AG54</f>
        <v>6.0633601728868252</v>
      </c>
      <c r="F13" s="80">
        <f>'Raw Data and Corrections'!BB51</f>
        <v>4.6183250516809334E-3</v>
      </c>
      <c r="G13" s="80">
        <f t="shared" si="1"/>
        <v>1.5343943181577242E-2</v>
      </c>
      <c r="H13" s="80">
        <f t="shared" si="2"/>
        <v>2.7296859083094534E-2</v>
      </c>
      <c r="I13" s="80">
        <v>-24.650630718646717</v>
      </c>
      <c r="J13" s="80">
        <v>-24.304076158927465</v>
      </c>
      <c r="K13" s="80">
        <v>-24.134217331632616</v>
      </c>
      <c r="L13" s="80"/>
      <c r="M13" s="80">
        <f>'Raw Data and Corrections'!S51</f>
        <v>7.9399336711820697E-3</v>
      </c>
      <c r="N13" s="80">
        <f>'Raw Data and Corrections'!AI54</f>
        <v>1.6199227189983803</v>
      </c>
      <c r="O13" s="80">
        <f>'Raw Data and Corrections'!BE51</f>
        <v>1.8134793264172192E-3</v>
      </c>
      <c r="P13" s="78">
        <f t="shared" si="3"/>
        <v>3.8521578559998328E-3</v>
      </c>
      <c r="Q13" s="78">
        <f t="shared" si="4"/>
        <v>9.7534129975992891E-3</v>
      </c>
      <c r="R13" s="80">
        <v>-25.768906920924792</v>
      </c>
      <c r="S13" s="80">
        <v>-25.597834029923394</v>
      </c>
      <c r="T13" s="80">
        <v>-25.529394523755194</v>
      </c>
      <c r="U13" s="79">
        <f t="shared" si="0"/>
        <v>4.1321291734778387E-2</v>
      </c>
      <c r="V13" s="80" cm="1">
        <f t="array" ref="V13:X13">'Raw Data and Corrections'!BQ51:BS51</f>
        <v>0.23090846649235675</v>
      </c>
      <c r="W13" s="80">
        <v>0.34671054007806817</v>
      </c>
      <c r="X13" s="80">
        <v>0.36451263312664373</v>
      </c>
      <c r="Y13"/>
      <c r="Z13"/>
    </row>
    <row r="14" spans="1:26" s="9" customFormat="1" x14ac:dyDescent="0.3">
      <c r="A14" s="9">
        <v>175</v>
      </c>
      <c r="B14" s="9">
        <v>920</v>
      </c>
      <c r="D14" s="80">
        <f>'Raw Data and Corrections'!Q55</f>
        <v>1.80179115952207E-2</v>
      </c>
      <c r="E14" s="80">
        <f>'Raw Data and Corrections'!AG58</f>
        <v>6.0856701125021608</v>
      </c>
      <c r="F14" s="80">
        <f>'Raw Data and Corrections'!BB55</f>
        <v>3.3584635186452907E-3</v>
      </c>
      <c r="G14" s="80">
        <f t="shared" si="1"/>
        <v>1.3399586543539767E-2</v>
      </c>
      <c r="H14" s="80">
        <f t="shared" si="2"/>
        <v>2.1376375113865989E-2</v>
      </c>
      <c r="I14" s="80">
        <v>-24.863559943001146</v>
      </c>
      <c r="J14" s="80">
        <v>-24.631998482199126</v>
      </c>
      <c r="K14" s="80">
        <v>-24.491493597941922</v>
      </c>
      <c r="L14" s="80"/>
      <c r="M14" s="80">
        <f>'Raw Data and Corrections'!S55</f>
        <v>1.5191836823502501E-2</v>
      </c>
      <c r="N14" s="80">
        <f>'Raw Data and Corrections'!AI58</f>
        <v>1.6440058651952798</v>
      </c>
      <c r="O14" s="80">
        <f>'Raw Data and Corrections'!BE55</f>
        <v>3.1650678213308433E-3</v>
      </c>
      <c r="P14" s="78">
        <f t="shared" si="3"/>
        <v>1.3378357497085281E-2</v>
      </c>
      <c r="Q14" s="78">
        <f t="shared" si="4"/>
        <v>1.8356904644833343E-2</v>
      </c>
      <c r="R14" s="80">
        <v>-25.947567601065263</v>
      </c>
      <c r="S14" s="80">
        <v>-25.869836313777299</v>
      </c>
      <c r="T14" s="80">
        <v>-25.745391362107334</v>
      </c>
      <c r="U14" s="79">
        <f t="shared" si="0"/>
        <v>4.1492414273376105E-2</v>
      </c>
      <c r="V14" s="80" cm="1">
        <f t="array" ref="V14:X14">'Raw Data and Corrections'!BQ55:BS55</f>
        <v>0.8740769891586524</v>
      </c>
      <c r="W14" s="80">
        <v>0.83497021401152227</v>
      </c>
      <c r="X14" s="80">
        <v>0.96492251146666541</v>
      </c>
      <c r="Y14"/>
      <c r="Z14"/>
    </row>
    <row r="15" spans="1:26" s="9" customFormat="1" x14ac:dyDescent="0.3">
      <c r="A15" s="9">
        <v>200</v>
      </c>
      <c r="B15" s="9">
        <v>260</v>
      </c>
      <c r="D15" s="80">
        <f>'Raw Data and Corrections'!Q59</f>
        <v>2.24239448032976E-2</v>
      </c>
      <c r="E15" s="80">
        <f>'Raw Data and Corrections'!AG60</f>
        <v>6.1101517653644759</v>
      </c>
      <c r="F15" s="80">
        <f>'Raw Data and Corrections'!BB59</f>
        <v>1.3606769693483249E-2</v>
      </c>
      <c r="G15" s="80">
        <f t="shared" si="1"/>
        <v>1.9065481284652311E-2</v>
      </c>
      <c r="H15" s="80">
        <f t="shared" si="2"/>
        <v>3.6030714496780851E-2</v>
      </c>
      <c r="I15" s="80">
        <v>-23.41884787731556</v>
      </c>
      <c r="J15" s="80">
        <v>-23.271570701386704</v>
      </c>
      <c r="K15" s="80">
        <v>-22.828469240448488</v>
      </c>
      <c r="L15" s="80"/>
      <c r="M15" s="80">
        <f>'Raw Data and Corrections'!S59</f>
        <v>1.0662386255492901E-2</v>
      </c>
      <c r="N15" s="80">
        <f>'Raw Data and Corrections'!AI60</f>
        <v>1.6548136201808463</v>
      </c>
      <c r="O15" s="80">
        <f>'Raw Data and Corrections'!BE59</f>
        <v>7.6204226029924606E-3</v>
      </c>
      <c r="P15" s="78">
        <f t="shared" si="3"/>
        <v>7.4973184341620572E-3</v>
      </c>
      <c r="Q15" s="78">
        <f t="shared" si="4"/>
        <v>1.828280885848536E-2</v>
      </c>
      <c r="R15" s="80">
        <v>-25.742315167814148</v>
      </c>
      <c r="S15" s="80">
        <v>-25.396759496254209</v>
      </c>
      <c r="T15" s="80">
        <v>-24.860835161717148</v>
      </c>
      <c r="U15" s="79">
        <f t="shared" si="0"/>
        <v>4.1645084283162576E-2</v>
      </c>
      <c r="V15" s="80" cm="1">
        <f t="array" ref="V15:X15">'Raw Data and Corrections'!BQ59:BS59</f>
        <v>0.37795256911789077</v>
      </c>
      <c r="W15" s="80">
        <v>0.47087707105014914</v>
      </c>
      <c r="X15" s="80">
        <v>0.54396774342670895</v>
      </c>
      <c r="Y15"/>
      <c r="Z15"/>
    </row>
    <row r="16" spans="1:26" s="9" customFormat="1" x14ac:dyDescent="0.3">
      <c r="A16" s="9">
        <v>210</v>
      </c>
      <c r="B16" s="9">
        <v>520</v>
      </c>
      <c r="D16" s="80">
        <f>'Raw Data and Corrections'!Q61</f>
        <v>8.1207064838573401E-2</v>
      </c>
      <c r="E16" s="80">
        <f>'Raw Data and Corrections'!AG64</f>
        <v>6.2030276702175868</v>
      </c>
      <c r="F16" s="80">
        <f>'Raw Data and Corrections'!BB61</f>
        <v>1.689740953964939E-2</v>
      </c>
      <c r="G16" s="80">
        <f t="shared" si="1"/>
        <v>6.7600295145090153E-2</v>
      </c>
      <c r="H16" s="80">
        <f t="shared" si="2"/>
        <v>9.8104474378222783E-2</v>
      </c>
      <c r="I16" s="80">
        <v>-22.779111808716834</v>
      </c>
      <c r="J16" s="80">
        <v>-22.621800847002962</v>
      </c>
      <c r="K16" s="80">
        <v>-22.45327626950651</v>
      </c>
      <c r="L16" s="80"/>
      <c r="M16" s="80">
        <f>'Raw Data and Corrections'!S61</f>
        <v>0.21658617347290901</v>
      </c>
      <c r="N16" s="78">
        <f>'Raw Data and Corrections'!AI64</f>
        <v>2.3578929916624825</v>
      </c>
      <c r="O16" s="80">
        <f>'Raw Data and Corrections'!BE61</f>
        <v>5.077086075528895E-2</v>
      </c>
      <c r="P16" s="78">
        <f t="shared" si="3"/>
        <v>0.20896575086991656</v>
      </c>
      <c r="Q16" s="78">
        <f t="shared" si="4"/>
        <v>0.26735703422819795</v>
      </c>
      <c r="R16" s="80">
        <v>-21.727800043355387</v>
      </c>
      <c r="S16" s="80">
        <v>-21.718799511679897</v>
      </c>
      <c r="T16" s="80">
        <v>-21.636502435606246</v>
      </c>
      <c r="U16" s="79">
        <f t="shared" si="0"/>
        <v>4.1812615627779451E-2</v>
      </c>
      <c r="V16" s="80" cm="1">
        <f t="array" ref="V16:X16">'Raw Data and Corrections'!BQ61:BS61</f>
        <v>2.6412047083632988</v>
      </c>
      <c r="W16" s="80">
        <v>2.6412047083632988</v>
      </c>
      <c r="X16" s="80">
        <v>2.7803902578407289</v>
      </c>
      <c r="Y16"/>
      <c r="Z16"/>
    </row>
    <row r="17" spans="1:24" x14ac:dyDescent="0.3">
      <c r="A17">
        <v>220</v>
      </c>
      <c r="B17">
        <v>1167</v>
      </c>
      <c r="D17" s="78">
        <f>'Raw Data and Corrections'!Q65</f>
        <v>0.576620115600047</v>
      </c>
      <c r="E17" s="78">
        <f>'Raw Data and Corrections'!AG68</f>
        <v>6.7985876520417872</v>
      </c>
      <c r="F17" s="78">
        <f>'Raw Data and Corrections'!BB65</f>
        <v>4.1885014562295146E-2</v>
      </c>
      <c r="G17" s="78">
        <f t="shared" si="1"/>
        <v>0.55972270606039765</v>
      </c>
      <c r="H17" s="78">
        <f t="shared" si="2"/>
        <v>0.6185051301623421</v>
      </c>
      <c r="I17" s="78">
        <v>-21.545006169234689</v>
      </c>
      <c r="J17" s="78">
        <v>-21.517522386794546</v>
      </c>
      <c r="K17" s="78">
        <v>-21.446340156616461</v>
      </c>
      <c r="M17" s="78">
        <f>'Raw Data and Corrections'!S65</f>
        <v>0.31868729096989901</v>
      </c>
      <c r="N17" s="78">
        <f>'Raw Data and Corrections'!AI68</f>
        <v>2.9503223326902375</v>
      </c>
      <c r="O17" s="78">
        <f>'Raw Data and Corrections'!BE65</f>
        <v>2.5747603489509538E-2</v>
      </c>
      <c r="P17" s="78">
        <f t="shared" si="3"/>
        <v>0.26791643021461004</v>
      </c>
      <c r="Q17" s="78">
        <f t="shared" si="4"/>
        <v>0.34443489445940856</v>
      </c>
      <c r="R17" s="78">
        <v>-22.498687595702329</v>
      </c>
      <c r="S17" s="78">
        <v>-22.418610809063679</v>
      </c>
      <c r="T17" s="78">
        <v>-22.371228890923451</v>
      </c>
      <c r="U17" s="79">
        <f t="shared" si="0"/>
        <v>4.2448178320791168E-2</v>
      </c>
      <c r="V17" s="78" cm="1">
        <f t="array" ref="V17:X17">'Raw Data and Corrections'!BQ65:BS65</f>
        <v>0.47158837270546006</v>
      </c>
      <c r="W17" s="78">
        <v>0.54731846905931059</v>
      </c>
      <c r="X17" s="78">
        <v>0.55725924898041701</v>
      </c>
    </row>
    <row r="18" spans="1:24" x14ac:dyDescent="0.3">
      <c r="A18">
        <v>230</v>
      </c>
      <c r="B18">
        <v>370</v>
      </c>
      <c r="D18" s="78">
        <f>'Raw Data and Corrections'!Q69</f>
        <v>0.35768644224377999</v>
      </c>
      <c r="E18" s="78">
        <f>'Raw Data and Corrections'!AG72</f>
        <v>7.1814697077418925</v>
      </c>
      <c r="F18" s="78">
        <f>'Raw Data and Corrections'!BB69</f>
        <v>8.3512557592208367E-2</v>
      </c>
      <c r="G18" s="78">
        <f t="shared" si="1"/>
        <v>0.31580142768148484</v>
      </c>
      <c r="H18" s="78">
        <f t="shared" si="2"/>
        <v>0.44119899983598837</v>
      </c>
      <c r="I18" s="78">
        <v>-20.850912258968766</v>
      </c>
      <c r="J18" s="78">
        <v>-20.738050641338521</v>
      </c>
      <c r="K18" s="78">
        <v>-20.534789628806966</v>
      </c>
      <c r="M18" s="78">
        <f>'Raw Data and Corrections'!S69</f>
        <v>0.21132607073022699</v>
      </c>
      <c r="N18" s="78">
        <f>'Raw Data and Corrections'!AI72</f>
        <v>3.214413338430429</v>
      </c>
      <c r="O18" s="78">
        <f>'Raw Data and Corrections'!BE69</f>
        <v>5.5900246885354443E-2</v>
      </c>
      <c r="P18" s="78">
        <f t="shared" si="3"/>
        <v>0.18557846724071747</v>
      </c>
      <c r="Q18" s="78">
        <f t="shared" si="4"/>
        <v>0.26722631761558147</v>
      </c>
      <c r="R18" s="78">
        <v>-22.026683816884862</v>
      </c>
      <c r="S18" s="78">
        <v>-21.928270451891837</v>
      </c>
      <c r="T18" s="78">
        <v>-21.727243675293938</v>
      </c>
      <c r="U18" s="79">
        <f t="shared" si="0"/>
        <v>4.6523677843480556E-2</v>
      </c>
      <c r="V18" s="78" cm="1">
        <f t="array" ref="V18:X18">'Raw Data and Corrections'!BQ69:BS69</f>
        <v>0.57035381142652886</v>
      </c>
      <c r="W18" s="78">
        <v>0.58508066593169861</v>
      </c>
      <c r="X18" s="78">
        <v>0.61987308955099274</v>
      </c>
    </row>
    <row r="19" spans="1:24" x14ac:dyDescent="0.3">
      <c r="A19">
        <v>240</v>
      </c>
      <c r="B19">
        <v>320</v>
      </c>
      <c r="D19" s="78">
        <f>'Raw Data and Corrections'!Q73</f>
        <v>0.67668226199703296</v>
      </c>
      <c r="E19" s="78">
        <f>'Raw Data and Corrections'!AG76</f>
        <v>7.9194197655198151</v>
      </c>
      <c r="F19" s="78">
        <f>'Raw Data and Corrections'!BB73</f>
        <v>0.16370415300486033</v>
      </c>
      <c r="G19" s="78">
        <f t="shared" si="1"/>
        <v>0.59316970440482464</v>
      </c>
      <c r="H19" s="78">
        <f t="shared" si="2"/>
        <v>0.84038641500189326</v>
      </c>
      <c r="I19" s="78">
        <v>-19.93229562081002</v>
      </c>
      <c r="J19" s="78">
        <v>-19.817939083213641</v>
      </c>
      <c r="K19" s="78">
        <v>-19.606321688550459</v>
      </c>
      <c r="M19" s="78">
        <f>'Raw Data and Corrections'!S73</f>
        <v>0.42862847782896701</v>
      </c>
      <c r="N19" s="78">
        <f>'Raw Data and Corrections'!AI76</f>
        <v>3.8370569266360577</v>
      </c>
      <c r="O19" s="78">
        <f>'Raw Data and Corrections'!BE73</f>
        <v>0.11775479646228286</v>
      </c>
      <c r="P19" s="78">
        <f t="shared" si="3"/>
        <v>0.37272823094361257</v>
      </c>
      <c r="Q19" s="78">
        <f t="shared" si="4"/>
        <v>0.54638327429124989</v>
      </c>
      <c r="R19" s="78">
        <v>-20.877188578167328</v>
      </c>
      <c r="S19" s="78">
        <v>-20.791017055629542</v>
      </c>
      <c r="T19" s="78">
        <v>-20.601241497385082</v>
      </c>
      <c r="U19" s="79">
        <f t="shared" si="0"/>
        <v>4.9143792832524132E-2</v>
      </c>
      <c r="V19" s="78" cm="1">
        <f t="array" ref="V19:X19">'Raw Data and Corrections'!BQ73:BS73</f>
        <v>0.60763723128769265</v>
      </c>
      <c r="W19" s="78">
        <v>0.62727990840144887</v>
      </c>
      <c r="X19" s="78">
        <v>0.66602058927173602</v>
      </c>
    </row>
    <row r="20" spans="1:24" x14ac:dyDescent="0.3">
      <c r="A20">
        <v>245</v>
      </c>
      <c r="B20">
        <v>250</v>
      </c>
      <c r="D20" s="78">
        <f>'Raw Data and Corrections'!Q77</f>
        <v>0.55490965024488204</v>
      </c>
      <c r="E20" s="78">
        <f>'Raw Data and Corrections'!AG80</f>
        <v>8.5151292281677282</v>
      </c>
      <c r="F20" s="78">
        <f>'Raw Data and Corrections'!BB77</f>
        <v>0.17093539216439185</v>
      </c>
      <c r="G20" s="78">
        <f t="shared" si="1"/>
        <v>0.39120549724002174</v>
      </c>
      <c r="H20" s="78">
        <f t="shared" si="2"/>
        <v>0.72584504240927394</v>
      </c>
      <c r="I20" s="78">
        <v>-20.007752504775077</v>
      </c>
      <c r="J20" s="78">
        <v>-19.696803925442783</v>
      </c>
      <c r="K20" s="78">
        <v>-19.433686509618902</v>
      </c>
      <c r="M20" s="78">
        <f>'Raw Data and Corrections'!S77</f>
        <v>0.39881989764248399</v>
      </c>
      <c r="N20" s="78">
        <f>'Raw Data and Corrections'!AI80</f>
        <v>4.2823756563482975</v>
      </c>
      <c r="O20" s="78">
        <f>'Raw Data and Corrections'!BE77</f>
        <v>0.1402214195171109</v>
      </c>
      <c r="P20" s="78">
        <f t="shared" si="3"/>
        <v>0.28106510118020112</v>
      </c>
      <c r="Q20" s="78">
        <f t="shared" si="4"/>
        <v>0.53904131715959491</v>
      </c>
      <c r="R20" s="78">
        <v>-21.031025186279379</v>
      </c>
      <c r="S20" s="78">
        <v>-20.738316841422034</v>
      </c>
      <c r="T20" s="78">
        <v>-20.447449934962037</v>
      </c>
      <c r="U20" s="79">
        <f t="shared" si="0"/>
        <v>5.4193687385597537E-2</v>
      </c>
      <c r="V20" s="78" cm="1">
        <f t="array" ref="V20:X20">'Raw Data and Corrections'!BQ77:BS77</f>
        <v>0.6640011291093767</v>
      </c>
      <c r="W20" s="78">
        <v>0.71173723697470226</v>
      </c>
      <c r="X20" s="78">
        <v>0.76752355957979301</v>
      </c>
    </row>
    <row r="21" spans="1:24" x14ac:dyDescent="0.3">
      <c r="A21">
        <v>250</v>
      </c>
      <c r="B21">
        <v>210</v>
      </c>
      <c r="D21" s="78">
        <f>'Raw Data and Corrections'!Q81</f>
        <v>0.69344251385634403</v>
      </c>
      <c r="E21" s="78">
        <f>'Raw Data and Corrections'!AG84</f>
        <v>9.2547747615459457</v>
      </c>
      <c r="F21" s="78">
        <f>'Raw Data and Corrections'!BB81</f>
        <v>0.24861073914416129</v>
      </c>
      <c r="G21" s="78">
        <f t="shared" si="1"/>
        <v>0.52250712169195213</v>
      </c>
      <c r="H21" s="78">
        <f t="shared" si="2"/>
        <v>0.94205325300050535</v>
      </c>
      <c r="I21" s="78">
        <v>-19.47685155817673</v>
      </c>
      <c r="J21" s="78">
        <v>-19.224100029244727</v>
      </c>
      <c r="K21" s="78">
        <v>-18.919701909818322</v>
      </c>
      <c r="M21" s="78">
        <f>'Raw Data and Corrections'!S81</f>
        <v>0.443959731543624</v>
      </c>
      <c r="N21" s="78">
        <f>'Raw Data and Corrections'!AI84</f>
        <v>4.772238578295827</v>
      </c>
      <c r="O21" s="78">
        <f>'Raw Data and Corrections'!BE81</f>
        <v>0.18328170319118076</v>
      </c>
      <c r="P21" s="78">
        <f t="shared" si="3"/>
        <v>0.30373831202651314</v>
      </c>
      <c r="Q21" s="78">
        <f t="shared" si="4"/>
        <v>0.62724143473480476</v>
      </c>
      <c r="R21" s="78">
        <v>-20.681463664108968</v>
      </c>
      <c r="S21" s="78">
        <v>-20.359613910596337</v>
      </c>
      <c r="T21" s="78">
        <v>-20.021739649275059</v>
      </c>
      <c r="U21" s="79">
        <f t="shared" si="0"/>
        <v>5.8270209826287264E-2</v>
      </c>
      <c r="V21" s="78" cm="1">
        <f t="array" ref="V21:X21">'Raw Data and Corrections'!BQ81:BS81</f>
        <v>0.54406856890106969</v>
      </c>
      <c r="W21" s="78">
        <v>0.63401314754537696</v>
      </c>
      <c r="X21" s="78">
        <v>0.69230760680711456</v>
      </c>
    </row>
    <row r="22" spans="1:24" x14ac:dyDescent="0.3">
      <c r="A22">
        <v>245</v>
      </c>
      <c r="B22">
        <v>270</v>
      </c>
      <c r="D22" s="78">
        <f>'Raw Data and Corrections'!Q85</f>
        <v>0.465872340425531</v>
      </c>
      <c r="E22" s="78">
        <f>'Raw Data and Corrections'!AG88</f>
        <v>9.7499793316782419</v>
      </c>
      <c r="F22" s="78">
        <f>'Raw Data and Corrections'!BB85</f>
        <v>0.13015995584759732</v>
      </c>
      <c r="G22" s="78">
        <f t="shared" si="1"/>
        <v>0.2172616012813697</v>
      </c>
      <c r="H22" s="78">
        <f t="shared" si="2"/>
        <v>0.59603229627312837</v>
      </c>
      <c r="I22" s="78">
        <v>-20.489445792203792</v>
      </c>
      <c r="J22" s="78">
        <v>-19.80591723026787</v>
      </c>
      <c r="K22" s="78">
        <v>-19.565347123714556</v>
      </c>
      <c r="M22" s="78">
        <f>'Raw Data and Corrections'!S85</f>
        <v>0.312337571455232</v>
      </c>
      <c r="N22" s="78">
        <f>'Raw Data and Corrections'!AI88</f>
        <v>5.1104463241871612</v>
      </c>
      <c r="O22" s="78">
        <f>'Raw Data and Corrections'!BE85</f>
        <v>9.9572914304118187E-2</v>
      </c>
      <c r="P22" s="78">
        <f t="shared" si="3"/>
        <v>0.12905586826405124</v>
      </c>
      <c r="Q22" s="78">
        <f t="shared" si="4"/>
        <v>0.41191048575935019</v>
      </c>
      <c r="R22" s="78">
        <v>-21.656220477684016</v>
      </c>
      <c r="S22" s="78">
        <v>-20.893883862081967</v>
      </c>
      <c r="T22" s="78">
        <v>-20.625801119655563</v>
      </c>
      <c r="U22" s="79">
        <f t="shared" si="0"/>
        <v>6.333170675395032E-2</v>
      </c>
      <c r="V22" s="78" cm="1">
        <f t="array" ref="V22:X22">'Raw Data and Corrections'!BQ85:BS85</f>
        <v>0.4876303211023103</v>
      </c>
      <c r="W22" s="78">
        <v>0.663930241058585</v>
      </c>
      <c r="X22" s="78">
        <v>0.71151279266276379</v>
      </c>
    </row>
    <row r="23" spans="1:24" x14ac:dyDescent="0.3">
      <c r="A23">
        <v>240</v>
      </c>
      <c r="B23">
        <v>320</v>
      </c>
      <c r="D23" s="78">
        <f>'Raw Data and Corrections'!Q89</f>
        <v>0.28572750818781401</v>
      </c>
      <c r="E23" s="78">
        <f>'Raw Data and Corrections'!AG92</f>
        <v>10.053632662874906</v>
      </c>
      <c r="F23" s="78">
        <f>'Raw Data and Corrections'!BB89</f>
        <v>6.9133509342071728E-2</v>
      </c>
      <c r="G23" s="78">
        <f t="shared" si="1"/>
        <v>0.15556755234021669</v>
      </c>
      <c r="H23" s="78">
        <f t="shared" si="2"/>
        <v>0.35486101752988575</v>
      </c>
      <c r="I23" s="78">
        <v>-20.974265532479723</v>
      </c>
      <c r="J23" s="78">
        <v>-20.421440352770158</v>
      </c>
      <c r="K23" s="78">
        <v>-20.212634232665881</v>
      </c>
      <c r="M23" s="78">
        <f>'Raw Data and Corrections'!S89</f>
        <v>0.19266524672441601</v>
      </c>
      <c r="N23" s="78">
        <f>'Raw Data and Corrections'!AI92</f>
        <v>5.3197430414998124</v>
      </c>
      <c r="O23" s="78">
        <f>'Raw Data and Corrections'!BE89</f>
        <v>5.293752545351068E-2</v>
      </c>
      <c r="P23" s="78">
        <f t="shared" si="3"/>
        <v>9.3092332420297824E-2</v>
      </c>
      <c r="Q23" s="78">
        <f t="shared" si="4"/>
        <v>0.2456027721779267</v>
      </c>
      <c r="R23" s="78">
        <v>-22.12605538757785</v>
      </c>
      <c r="S23" s="78">
        <v>-21.489770094552814</v>
      </c>
      <c r="T23" s="78">
        <v>-21.259222301915567</v>
      </c>
      <c r="U23" s="79">
        <f t="shared" si="0"/>
        <v>6.6720460281388505E-2</v>
      </c>
      <c r="V23" s="78" cm="1">
        <f t="array" ref="V23:X23">'Raw Data and Corrections'!BQ89:BS89</f>
        <v>0.5170574826234231</v>
      </c>
      <c r="W23" s="78">
        <v>0.66775396750660765</v>
      </c>
      <c r="X23" s="78">
        <v>0.70900026959422713</v>
      </c>
    </row>
    <row r="24" spans="1:24" x14ac:dyDescent="0.3">
      <c r="A24">
        <v>235</v>
      </c>
      <c r="B24">
        <v>370</v>
      </c>
      <c r="D24" s="78">
        <f>'Raw Data and Corrections'!Q93</f>
        <v>0.21993533317982999</v>
      </c>
      <c r="E24" s="78">
        <f>'Raw Data and Corrections'!AG96</f>
        <v>10.28791368707695</v>
      </c>
      <c r="F24" s="78">
        <f>'Raw Data and Corrections'!BB93</f>
        <v>4.7779571417787325E-2</v>
      </c>
      <c r="G24" s="78">
        <f t="shared" si="1"/>
        <v>0.15080182383775825</v>
      </c>
      <c r="H24" s="78">
        <f t="shared" si="2"/>
        <v>0.26771490459761732</v>
      </c>
      <c r="I24" s="78">
        <v>-21.143732312650972</v>
      </c>
      <c r="J24" s="78">
        <v>-20.797640692894099</v>
      </c>
      <c r="K24" s="78">
        <v>-20.609555145443601</v>
      </c>
      <c r="M24" s="78">
        <f>'Raw Data and Corrections'!S93</f>
        <v>0.151676470588235</v>
      </c>
      <c r="N24" s="78">
        <f>'Raw Data and Corrections'!AI96</f>
        <v>5.484390100323342</v>
      </c>
      <c r="O24" s="78">
        <f>'Raw Data and Corrections'!BE93</f>
        <v>3.7292521960038655E-2</v>
      </c>
      <c r="P24" s="78">
        <f t="shared" si="3"/>
        <v>9.873894513472431E-2</v>
      </c>
      <c r="Q24" s="78">
        <f t="shared" si="4"/>
        <v>0.18896899254827365</v>
      </c>
      <c r="R24" s="78">
        <v>-22.222690881754282</v>
      </c>
      <c r="S24" s="78">
        <v>-21.839676569619595</v>
      </c>
      <c r="T24" s="78">
        <v>-21.632066420524261</v>
      </c>
      <c r="U24" s="79">
        <f t="shared" si="0"/>
        <v>6.8798402124566851E-2</v>
      </c>
      <c r="V24" s="78" cm="1">
        <f t="array" ref="V24:X24">'Raw Data and Corrections'!BQ93:BS93</f>
        <v>0.60129470083305925</v>
      </c>
      <c r="W24" s="78">
        <v>0.68294913098079513</v>
      </c>
      <c r="X24" s="78">
        <v>0.72069767315675692</v>
      </c>
    </row>
    <row r="25" spans="1:24" x14ac:dyDescent="0.3">
      <c r="A25">
        <v>230</v>
      </c>
      <c r="B25">
        <v>420</v>
      </c>
      <c r="D25" s="78">
        <f>'Raw Data and Corrections'!Q97</f>
        <v>0.14002473498233201</v>
      </c>
      <c r="E25" s="78">
        <f>'Raw Data and Corrections'!AG100</f>
        <v>10.441446014382523</v>
      </c>
      <c r="F25" s="78">
        <f>'Raw Data and Corrections'!BB97</f>
        <v>2.8018065944746637E-2</v>
      </c>
      <c r="G25" s="78">
        <f t="shared" si="1"/>
        <v>9.224516356454468E-2</v>
      </c>
      <c r="H25" s="78">
        <f t="shared" si="2"/>
        <v>0.16804280092707863</v>
      </c>
      <c r="I25" s="78">
        <v>-21.697368587802952</v>
      </c>
      <c r="J25" s="78">
        <v>-21.327000795431729</v>
      </c>
      <c r="K25" s="78">
        <v>-21.157946700239663</v>
      </c>
      <c r="M25" s="78">
        <f>'Raw Data and Corrections'!S97</f>
        <v>9.9129484321787698E-2</v>
      </c>
      <c r="N25" s="78">
        <f>'Raw Data and Corrections'!AI100</f>
        <v>5.5973108474220847</v>
      </c>
      <c r="O25" s="78">
        <f>'Raw Data and Corrections'!BE97</f>
        <v>2.2391756517430875E-2</v>
      </c>
      <c r="P25" s="78">
        <f t="shared" si="3"/>
        <v>6.1836962361749043E-2</v>
      </c>
      <c r="Q25" s="78">
        <f t="shared" si="4"/>
        <v>0.12152124083921857</v>
      </c>
      <c r="R25" s="78">
        <v>-22.715676848639493</v>
      </c>
      <c r="S25" s="78">
        <v>-22.318179775737693</v>
      </c>
      <c r="T25" s="78">
        <v>-22.135260482576932</v>
      </c>
      <c r="U25" s="79">
        <f t="shared" si="0"/>
        <v>7.0401619653363903E-2</v>
      </c>
      <c r="V25" s="78" cm="1">
        <f t="array" ref="V25:X25">'Raw Data and Corrections'!BQ97:BS97</f>
        <v>0.61052809587691792</v>
      </c>
      <c r="W25" s="78">
        <v>0.70107298990358335</v>
      </c>
      <c r="X25" s="78">
        <v>0.73667355069511375</v>
      </c>
    </row>
    <row r="26" spans="1:24" x14ac:dyDescent="0.3">
      <c r="A26">
        <v>225</v>
      </c>
      <c r="B26">
        <v>652</v>
      </c>
      <c r="D26" s="78">
        <f>'Raw Data and Corrections'!Q101</f>
        <v>0.14936733471146901</v>
      </c>
      <c r="E26" s="78">
        <f>'Raw Data and Corrections'!AG104</f>
        <v>10.603175228891002</v>
      </c>
      <c r="F26" s="78">
        <f>'Raw Data and Corrections'!BB101</f>
        <v>1.9222809007177592E-2</v>
      </c>
      <c r="G26" s="78">
        <f t="shared" si="1"/>
        <v>0.12134926876672238</v>
      </c>
      <c r="H26" s="78">
        <f t="shared" si="2"/>
        <v>0.16859014371864661</v>
      </c>
      <c r="I26" s="78">
        <v>-21.88760507196125</v>
      </c>
      <c r="J26" s="78">
        <v>-21.698774495457627</v>
      </c>
      <c r="K26" s="78">
        <v>-21.585497142483948</v>
      </c>
      <c r="M26" s="78">
        <f>'Raw Data and Corrections'!S101</f>
        <v>9.9545904641576893E-2</v>
      </c>
      <c r="N26" s="78">
        <f>'Raw Data and Corrections'!AI104</f>
        <v>5.7200357598482583</v>
      </c>
      <c r="O26" s="78">
        <f>'Raw Data and Corrections'!BE101</f>
        <v>1.4342816287205771E-2</v>
      </c>
      <c r="P26" s="78">
        <f t="shared" si="3"/>
        <v>7.7154148124146019E-2</v>
      </c>
      <c r="Q26" s="78">
        <f t="shared" si="4"/>
        <v>0.11388872092878266</v>
      </c>
      <c r="R26" s="78">
        <v>-22.85314159681916</v>
      </c>
      <c r="S26" s="78">
        <v>-22.653669017589539</v>
      </c>
      <c r="T26" s="78">
        <v>-22.541872682201333</v>
      </c>
      <c r="U26" s="79">
        <f t="shared" si="0"/>
        <v>7.1452262654484747E-2</v>
      </c>
      <c r="V26" s="78" cm="1">
        <f t="array" ref="V26:X26">'Raw Data and Corrections'!BQ101:BS101</f>
        <v>0.60623202788850183</v>
      </c>
      <c r="W26" s="78">
        <v>0.65998325068040808</v>
      </c>
      <c r="X26" s="78">
        <v>0.68136052053702778</v>
      </c>
    </row>
    <row r="27" spans="1:24" x14ac:dyDescent="0.3">
      <c r="A27">
        <v>230</v>
      </c>
      <c r="B27">
        <v>500</v>
      </c>
      <c r="D27" s="78">
        <f>'Raw Data and Corrections'!Q105</f>
        <v>0.154978273856932</v>
      </c>
      <c r="E27" s="78">
        <f>'Raw Data and Corrections'!AG108</f>
        <v>10.768685594706378</v>
      </c>
      <c r="F27" s="78">
        <f>'Raw Data and Corrections'!BB105</f>
        <v>2.5240473254976706E-2</v>
      </c>
      <c r="G27" s="78">
        <f t="shared" si="1"/>
        <v>0.1357554648497544</v>
      </c>
      <c r="H27" s="78">
        <f t="shared" si="2"/>
        <v>0.18021874711190872</v>
      </c>
      <c r="I27" s="78">
        <v>-21.516357255839608</v>
      </c>
      <c r="J27" s="78">
        <v>-21.393852004069622</v>
      </c>
      <c r="K27" s="78">
        <v>-21.250664043175302</v>
      </c>
      <c r="M27" s="78">
        <f>'Raw Data and Corrections'!S105</f>
        <v>0.105088682432432</v>
      </c>
      <c r="N27" s="78">
        <f>'Raw Data and Corrections'!AI108</f>
        <v>5.8393197940464843</v>
      </c>
      <c r="O27" s="78">
        <f>'Raw Data and Corrections'!BE105</f>
        <v>1.9244273084753682E-2</v>
      </c>
      <c r="P27" s="78">
        <f t="shared" si="3"/>
        <v>9.0745866145226228E-2</v>
      </c>
      <c r="Q27" s="78">
        <f t="shared" si="4"/>
        <v>0.12433295551718568</v>
      </c>
      <c r="R27" s="78">
        <v>-22.52237906129491</v>
      </c>
      <c r="S27" s="78">
        <v>-22.395511962211703</v>
      </c>
      <c r="T27" s="78">
        <v>-22.244281325848448</v>
      </c>
      <c r="U27" s="79">
        <f t="shared" si="0"/>
        <v>7.255899809113267E-2</v>
      </c>
      <c r="V27" s="78" cm="1">
        <f t="array" ref="V27:X27">'Raw Data and Corrections'!BQ105:BS105</f>
        <v>0.64735778437465386</v>
      </c>
      <c r="W27" s="78">
        <v>0.67150658442932287</v>
      </c>
      <c r="X27" s="78">
        <v>0.69915079084680054</v>
      </c>
    </row>
    <row r="28" spans="1:24" x14ac:dyDescent="0.3">
      <c r="A28">
        <v>235</v>
      </c>
      <c r="B28">
        <v>450</v>
      </c>
      <c r="D28" s="78">
        <f>'Raw Data and Corrections'!Q109</f>
        <v>0.19512871594315101</v>
      </c>
      <c r="E28" s="78">
        <f>'Raw Data and Corrections'!AG112</f>
        <v>10.990306586221301</v>
      </c>
      <c r="F28" s="78">
        <f>'Raw Data and Corrections'!BB109</f>
        <v>3.3604148456962642E-2</v>
      </c>
      <c r="G28" s="78">
        <f t="shared" si="1"/>
        <v>0.16988824268817432</v>
      </c>
      <c r="H28" s="78">
        <f t="shared" si="2"/>
        <v>0.22873286440011364</v>
      </c>
      <c r="I28" s="78">
        <v>-21.097166346430097</v>
      </c>
      <c r="J28" s="78">
        <v>-20.977483762557657</v>
      </c>
      <c r="K28" s="78">
        <v>-20.834665154143494</v>
      </c>
      <c r="M28" s="78">
        <f>'Raw Data and Corrections'!S109</f>
        <v>0.13692172231060101</v>
      </c>
      <c r="N28" s="78">
        <f>'Raw Data and Corrections'!AI112</f>
        <v>6.0025980750855723</v>
      </c>
      <c r="O28" s="78">
        <f>'Raw Data and Corrections'!BE109</f>
        <v>2.6557235514478934E-2</v>
      </c>
      <c r="P28" s="78">
        <f t="shared" si="3"/>
        <v>0.11767744922584733</v>
      </c>
      <c r="Q28" s="78">
        <f t="shared" si="4"/>
        <v>0.16347895782507996</v>
      </c>
      <c r="R28" s="78">
        <v>-22.075835236247507</v>
      </c>
      <c r="S28" s="78">
        <v>-21.952052462155287</v>
      </c>
      <c r="T28" s="78">
        <v>-21.799110322529891</v>
      </c>
      <c r="U28" s="79">
        <f t="shared" si="0"/>
        <v>7.3691608470383807E-2</v>
      </c>
      <c r="V28" s="78" cm="1">
        <f t="array" ref="V28:X28">'Raw Data and Corrections'!BQ109:BS109</f>
        <v>0.66975066255010252</v>
      </c>
      <c r="W28" s="78">
        <v>0.69489040437888805</v>
      </c>
      <c r="X28" s="78">
        <v>0.72518988009664143</v>
      </c>
    </row>
    <row r="29" spans="1:24" x14ac:dyDescent="0.3">
      <c r="A29">
        <v>240</v>
      </c>
      <c r="B29">
        <v>400</v>
      </c>
      <c r="D29" s="78">
        <f>'Raw Data and Corrections'!Q113</f>
        <v>0.24245710220568201</v>
      </c>
      <c r="E29" s="78">
        <f>'Raw Data and Corrections'!AG116</f>
        <v>11.253942980490033</v>
      </c>
      <c r="F29" s="78">
        <f>'Raw Data and Corrections'!BB113</f>
        <v>4.4758886448129864E-2</v>
      </c>
      <c r="G29" s="78">
        <f t="shared" si="1"/>
        <v>0.20885295374871937</v>
      </c>
      <c r="H29" s="78">
        <f t="shared" si="2"/>
        <v>0.28721598865381187</v>
      </c>
      <c r="I29" s="78">
        <v>-20.797380408845441</v>
      </c>
      <c r="J29" s="78">
        <v>-20.662635272982637</v>
      </c>
      <c r="K29" s="78">
        <v>-20.503682671436376</v>
      </c>
      <c r="M29" s="78">
        <f>'Raw Data and Corrections'!S113</f>
        <v>0.178097651218387</v>
      </c>
      <c r="N29" s="78">
        <f>'Raw Data and Corrections'!AI116</f>
        <v>6.2079236152155115</v>
      </c>
      <c r="O29" s="78">
        <f>'Raw Data and Corrections'!BE113</f>
        <v>3.7103593747011075E-2</v>
      </c>
      <c r="P29" s="78">
        <f t="shared" si="3"/>
        <v>0.15154041570390805</v>
      </c>
      <c r="Q29" s="78">
        <f t="shared" si="4"/>
        <v>0.21520124496539808</v>
      </c>
      <c r="R29" s="78">
        <v>-21.71080983725987</v>
      </c>
      <c r="S29" s="78">
        <v>-21.574476281864598</v>
      </c>
      <c r="T29" s="78">
        <v>-21.405329515715874</v>
      </c>
      <c r="U29" s="79">
        <f t="shared" si="0"/>
        <v>7.5208191640345062E-2</v>
      </c>
      <c r="V29" s="78" cm="1">
        <f t="array" ref="V29:X29">'Raw Data and Corrections'!BQ113:BS113</f>
        <v>0.70013534383247578</v>
      </c>
      <c r="W29" s="78">
        <v>0.72742534645454504</v>
      </c>
      <c r="X29" s="78">
        <v>0.76149396325349827</v>
      </c>
    </row>
    <row r="30" spans="1:24" x14ac:dyDescent="0.3">
      <c r="A30">
        <v>245</v>
      </c>
      <c r="B30">
        <v>350</v>
      </c>
      <c r="D30" s="78">
        <f>'Raw Data and Corrections'!Q117</f>
        <v>0.31499558349552398</v>
      </c>
      <c r="E30" s="78">
        <f>'Raw Data and Corrections'!AG120</f>
        <v>11.591042578381199</v>
      </c>
      <c r="F30" s="78">
        <f>'Raw Data and Corrections'!BB117</f>
        <v>6.3737960416163419E-2</v>
      </c>
      <c r="G30" s="78">
        <f t="shared" si="1"/>
        <v>0.27023669704739411</v>
      </c>
      <c r="H30" s="78">
        <f t="shared" si="2"/>
        <v>0.3787335439116874</v>
      </c>
      <c r="I30" s="78">
        <v>-20.395274731872984</v>
      </c>
      <c r="J30" s="78">
        <v>-20.254902363478742</v>
      </c>
      <c r="K30" s="78">
        <v>-20.078751032838227</v>
      </c>
      <c r="M30" s="78">
        <f>'Raw Data and Corrections'!S117</f>
        <v>0.230539629005059</v>
      </c>
      <c r="N30" s="78">
        <f>'Raw Data and Corrections'!AI120</f>
        <v>6.4597159427995257</v>
      </c>
      <c r="O30" s="78">
        <f>'Raw Data and Corrections'!BE117</f>
        <v>5.2780988622472796E-2</v>
      </c>
      <c r="P30" s="78">
        <f t="shared" si="3"/>
        <v>0.19343603525804792</v>
      </c>
      <c r="Q30" s="78">
        <f t="shared" si="4"/>
        <v>0.2833206176275318</v>
      </c>
      <c r="R30" s="78">
        <v>-21.356674993374284</v>
      </c>
      <c r="S30" s="78">
        <v>-21.200184296972292</v>
      </c>
      <c r="T30" s="78">
        <v>-21.005719170065518</v>
      </c>
      <c r="U30" s="79">
        <f t="shared" si="0"/>
        <v>7.7012292036269456E-2</v>
      </c>
      <c r="V30" s="78" cm="1">
        <f t="array" ref="V30:X30">'Raw Data and Corrections'!BQ117:BS117</f>
        <v>0.69007638471522992</v>
      </c>
      <c r="W30" s="78">
        <v>0.72478012099254785</v>
      </c>
      <c r="X30" s="78">
        <v>0.76208335558058027</v>
      </c>
    </row>
    <row r="31" spans="1:24" x14ac:dyDescent="0.3">
      <c r="A31">
        <v>250</v>
      </c>
      <c r="B31">
        <v>300</v>
      </c>
      <c r="D31" s="78">
        <f>'Raw Data and Corrections'!Q121</f>
        <v>0.37161531847225299</v>
      </c>
      <c r="E31" s="78">
        <f>'Raw Data and Corrections'!AG125</f>
        <v>11.985009660162147</v>
      </c>
      <c r="F31" s="78">
        <f>'Raw Data and Corrections'!BB121</f>
        <v>8.4753868131547158E-2</v>
      </c>
      <c r="G31" s="78">
        <f t="shared" si="1"/>
        <v>0.30787735805608957</v>
      </c>
      <c r="H31" s="78">
        <f t="shared" si="2"/>
        <v>0.45636918660380016</v>
      </c>
      <c r="I31" s="78">
        <v>-20.084831039467083</v>
      </c>
      <c r="J31" s="78">
        <v>-19.91123393367247</v>
      </c>
      <c r="K31" s="78">
        <v>-19.712544732265197</v>
      </c>
      <c r="M31" s="78">
        <f>'Raw Data and Corrections'!S121</f>
        <v>0.27770578063308499</v>
      </c>
      <c r="N31" s="78">
        <f>'Raw Data and Corrections'!AI125</f>
        <v>6.7576612046697635</v>
      </c>
      <c r="O31" s="78">
        <f>'Raw Data and Corrections'!BE121</f>
        <v>7.1912050283329212E-2</v>
      </c>
      <c r="P31" s="78">
        <f t="shared" si="3"/>
        <v>0.22492479201061219</v>
      </c>
      <c r="Q31" s="78">
        <f t="shared" si="4"/>
        <v>0.34961783091641419</v>
      </c>
      <c r="R31" s="78">
        <v>-21.026242689338634</v>
      </c>
      <c r="S31" s="78">
        <v>-20.835246744302651</v>
      </c>
      <c r="T31" s="78">
        <v>-20.613613267599511</v>
      </c>
      <c r="U31" s="79">
        <f t="shared" si="0"/>
        <v>7.9319111319351793E-2</v>
      </c>
      <c r="V31" s="78" cm="1">
        <f t="array" ref="V31:X31">'Raw Data and Corrections'!BQ121:BS121</f>
        <v>0.69946325661097597</v>
      </c>
      <c r="W31" s="78">
        <v>0.7400421564230798</v>
      </c>
      <c r="X31" s="78">
        <v>0.7831227321632469</v>
      </c>
    </row>
    <row r="32" spans="1:24" x14ac:dyDescent="0.3">
      <c r="A32">
        <v>250</v>
      </c>
      <c r="B32">
        <v>300</v>
      </c>
      <c r="D32" s="78">
        <f>'Raw Data and Corrections'!Q126</f>
        <v>0.36397906669414698</v>
      </c>
      <c r="E32" s="78">
        <f>'Raw Data and Corrections'!AG129</f>
        <v>12.371547997178904</v>
      </c>
      <c r="F32" s="78">
        <f>'Raw Data and Corrections'!BB126</f>
        <v>8.3046028335276606E-2</v>
      </c>
      <c r="G32" s="78">
        <f t="shared" si="1"/>
        <v>0.27922519856259981</v>
      </c>
      <c r="H32" s="78">
        <f t="shared" si="2"/>
        <v>0.44702509502942356</v>
      </c>
      <c r="I32" s="78">
        <v>-20.139222843943013</v>
      </c>
      <c r="J32" s="78">
        <v>-19.895423694110733</v>
      </c>
      <c r="K32" s="78">
        <v>-19.697157251036398</v>
      </c>
      <c r="M32" s="78">
        <f>'Raw Data and Corrections'!S126</f>
        <v>0.26541780987726199</v>
      </c>
      <c r="N32" s="78">
        <f>'Raw Data and Corrections'!AI129</f>
        <v>7.0412129431184551</v>
      </c>
      <c r="O32" s="78">
        <f>'Raw Data and Corrections'!BE126</f>
        <v>6.8758449030283414E-2</v>
      </c>
      <c r="P32" s="78">
        <f t="shared" si="3"/>
        <v>0.19350575959393279</v>
      </c>
      <c r="Q32" s="78">
        <f t="shared" si="4"/>
        <v>0.33417625890754543</v>
      </c>
      <c r="R32" s="78">
        <v>-21.129018782648057</v>
      </c>
      <c r="S32" s="78">
        <v>-20.841707332538054</v>
      </c>
      <c r="T32" s="78">
        <v>-20.619619406750573</v>
      </c>
      <c r="U32" s="79">
        <f t="shared" si="0"/>
        <v>8.201508267866911E-2</v>
      </c>
      <c r="V32" s="78" cm="1">
        <f t="array" ref="V32:X32">'Raw Data and Corrections'!BQ126:BS126</f>
        <v>0.72213567745695473</v>
      </c>
      <c r="W32" s="78">
        <v>0.72213567745695473</v>
      </c>
      <c r="X32" s="78">
        <v>0.76419120646621241</v>
      </c>
    </row>
    <row r="33" spans="1:24" x14ac:dyDescent="0.3">
      <c r="A33">
        <v>250</v>
      </c>
      <c r="B33">
        <v>300</v>
      </c>
      <c r="D33" s="78">
        <f>'Raw Data and Corrections'!Q130</f>
        <v>0.34519114717899502</v>
      </c>
      <c r="E33" s="78">
        <f>'Raw Data and Corrections'!AG132</f>
        <v>12.735821440305218</v>
      </c>
      <c r="F33" s="78">
        <f>'Raw Data and Corrections'!BB130</f>
        <v>7.87486757330257E-2</v>
      </c>
      <c r="G33" s="78">
        <f t="shared" si="1"/>
        <v>0.26214511884371838</v>
      </c>
      <c r="H33" s="78">
        <f t="shared" si="2"/>
        <v>0.4239398229120207</v>
      </c>
      <c r="I33" s="78">
        <v>-20.177391707403675</v>
      </c>
      <c r="J33" s="78">
        <v>-19.922193804553547</v>
      </c>
      <c r="K33" s="78">
        <v>-19.723113939809483</v>
      </c>
      <c r="M33" s="78">
        <f>'Raw Data and Corrections'!S130</f>
        <v>0.248897802473871</v>
      </c>
      <c r="N33" s="78">
        <f>'Raw Data and Corrections'!AI132</f>
        <v>7.3113384902341023</v>
      </c>
      <c r="O33" s="78">
        <f>'Raw Data and Corrections'!BE130</f>
        <v>6.4469947402812741E-2</v>
      </c>
      <c r="P33" s="78">
        <f t="shared" si="3"/>
        <v>0.18013935344358759</v>
      </c>
      <c r="Q33" s="78">
        <f t="shared" si="4"/>
        <v>0.31336774987668375</v>
      </c>
      <c r="R33" s="78">
        <v>-21.10014612117876</v>
      </c>
      <c r="S33" s="78">
        <v>-20.811359847177314</v>
      </c>
      <c r="T33" s="78">
        <v>-20.592658045022066</v>
      </c>
      <c r="U33" s="79">
        <f t="shared" si="0"/>
        <v>8.4660218107660973E-2</v>
      </c>
      <c r="V33" s="78" cm="1">
        <f t="array" ref="V33:X33">'Raw Data and Corrections'!BQ130:BS130</f>
        <v>0.646065550642557</v>
      </c>
      <c r="W33" s="78">
        <v>0.71404660877251513</v>
      </c>
      <c r="X33" s="78">
        <v>0.75562532750025968</v>
      </c>
    </row>
    <row r="34" spans="1:24" x14ac:dyDescent="0.3">
      <c r="A34">
        <v>250</v>
      </c>
      <c r="B34">
        <v>10250</v>
      </c>
      <c r="D34" s="78">
        <f>'Raw Data and Corrections'!Q133</f>
        <v>8.4829081066253593</v>
      </c>
      <c r="E34" s="78">
        <f>'Raw Data and Corrections'!AG134</f>
        <v>21.335259758696179</v>
      </c>
      <c r="F34" s="78">
        <f>'Raw Data and Corrections'!BB133</f>
        <v>4.6360959841869227E-2</v>
      </c>
      <c r="G34" s="78">
        <f t="shared" si="1"/>
        <v>8.4041594308923333</v>
      </c>
      <c r="H34" s="78">
        <f t="shared" si="2"/>
        <v>8.5292690664672293</v>
      </c>
      <c r="I34" s="78">
        <v>-19.964178996462387</v>
      </c>
      <c r="J34" s="78">
        <v>-19.957477847058563</v>
      </c>
      <c r="K34" s="78">
        <v>-19.950577148465133</v>
      </c>
      <c r="M34" s="78">
        <f>'Raw Data and Corrections'!S133</f>
        <v>6.8042168674698704</v>
      </c>
      <c r="N34" s="78">
        <f>'Raw Data and Corrections'!AI134</f>
        <v>14.159048330055668</v>
      </c>
      <c r="O34" s="78">
        <f>'Raw Data and Corrections'!BE133</f>
        <v>4.1210325239937298E-2</v>
      </c>
      <c r="P34" s="78">
        <f t="shared" si="3"/>
        <v>6.7397469200670574</v>
      </c>
      <c r="Q34" s="78">
        <f t="shared" si="4"/>
        <v>6.845427192709808</v>
      </c>
      <c r="R34" s="78">
        <v>-20.690831465345529</v>
      </c>
      <c r="S34" s="78">
        <v>-20.684508992415047</v>
      </c>
      <c r="T34" s="78">
        <v>-20.676448753441385</v>
      </c>
      <c r="U34" s="79">
        <f t="shared" si="0"/>
        <v>8.7152991781006842E-2</v>
      </c>
      <c r="V34" s="78" cm="1">
        <f t="array" ref="V34:X34">'Raw Data and Corrections'!BQ133:BS133</f>
        <v>0.79432555098625657</v>
      </c>
      <c r="W34" s="78">
        <v>0.79432555098625657</v>
      </c>
      <c r="X34" s="78">
        <v>0.79540707138495415</v>
      </c>
    </row>
    <row r="35" spans="1:24" x14ac:dyDescent="0.3">
      <c r="A35">
        <v>240</v>
      </c>
      <c r="B35">
        <v>785</v>
      </c>
      <c r="D35" s="78">
        <f>'Raw Data and Corrections'!Q135</f>
        <v>0.22612522923310299</v>
      </c>
      <c r="E35" s="78">
        <f>'Raw Data and Corrections'!AG137</f>
        <v>21.59098855850587</v>
      </c>
      <c r="F35" s="78">
        <f>'Raw Data and Corrections'!BB135</f>
        <v>1.9504846533379586E-2</v>
      </c>
      <c r="G35" s="78">
        <f t="shared" si="1"/>
        <v>0.17976426939123377</v>
      </c>
      <c r="H35" s="78">
        <f t="shared" si="2"/>
        <v>0.24563007576648258</v>
      </c>
      <c r="I35" s="78">
        <v>-20.846403395623803</v>
      </c>
      <c r="J35" s="78">
        <v>-20.647602616459306</v>
      </c>
      <c r="K35" s="78">
        <v>-20.573584114167915</v>
      </c>
      <c r="M35" s="78">
        <f>'Raw Data and Corrections'!S135</f>
        <v>0.185283164139734</v>
      </c>
      <c r="N35" s="78">
        <f>'Raw Data and Corrections'!AI137</f>
        <v>14.379338963630095</v>
      </c>
      <c r="O35" s="78">
        <f>'Raw Data and Corrections'!BE135</f>
        <v>1.7845681234329783E-2</v>
      </c>
      <c r="P35" s="78">
        <f t="shared" si="3"/>
        <v>0.14407283889979672</v>
      </c>
      <c r="Q35" s="78">
        <f t="shared" si="4"/>
        <v>0.20312884537406378</v>
      </c>
      <c r="R35" s="78">
        <v>-21.454401153590133</v>
      </c>
      <c r="S35" s="78">
        <v>-21.248852395512991</v>
      </c>
      <c r="T35" s="78">
        <v>-21.170278494399483</v>
      </c>
      <c r="U35" s="79">
        <f>(E34)/$E$36</f>
        <v>0.14600014040011008</v>
      </c>
      <c r="V35" s="78" cm="1">
        <f t="array" ref="V35:X35">'Raw Data and Corrections'!BQ135:BS135</f>
        <v>0.81143191723592045</v>
      </c>
      <c r="W35" s="78">
        <v>0.81143191723592045</v>
      </c>
      <c r="X35" s="78">
        <v>0.82900134215949495</v>
      </c>
    </row>
    <row r="36" spans="1:24" x14ac:dyDescent="0.3">
      <c r="A36" t="s">
        <v>429</v>
      </c>
      <c r="E36" s="78">
        <f>'Raw Data and Corrections'!AE139</f>
        <v>146.13177562862188</v>
      </c>
      <c r="N36" s="78">
        <f>'Raw Data and Corrections'!AG139</f>
        <v>147.56369230298958</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F1C20-89E6-4E7A-BB27-6587F81F0365}">
  <dimension ref="A1:L36"/>
  <sheetViews>
    <sheetView zoomScale="85" zoomScaleNormal="85" workbookViewId="0">
      <selection activeCell="J6" sqref="J6"/>
    </sheetView>
  </sheetViews>
  <sheetFormatPr defaultRowHeight="14.4" x14ac:dyDescent="0.3"/>
  <cols>
    <col min="3" max="3" width="2.5546875" customWidth="1"/>
    <col min="4" max="4" width="10.33203125" customWidth="1"/>
    <col min="7" max="8" width="8.88671875" customWidth="1"/>
    <col min="11" max="11" width="10.109375" customWidth="1"/>
    <col min="12" max="12" width="10" customWidth="1"/>
    <col min="13" max="13" width="3.44140625" customWidth="1"/>
  </cols>
  <sheetData>
    <row r="1" spans="1:12" s="4" customFormat="1" ht="44.4" customHeight="1" x14ac:dyDescent="0.3">
      <c r="A1" s="4" t="s">
        <v>94</v>
      </c>
      <c r="B1" s="4" t="s">
        <v>95</v>
      </c>
      <c r="D1" s="4" t="s">
        <v>410</v>
      </c>
      <c r="E1" s="4" t="s">
        <v>434</v>
      </c>
      <c r="F1" s="42" t="s">
        <v>438</v>
      </c>
      <c r="G1" s="4" t="s">
        <v>436</v>
      </c>
      <c r="H1" s="42" t="s">
        <v>438</v>
      </c>
      <c r="I1" s="4" t="s">
        <v>435</v>
      </c>
      <c r="J1" s="42" t="s">
        <v>438</v>
      </c>
      <c r="K1" s="4" t="s">
        <v>437</v>
      </c>
      <c r="L1" s="42" t="s">
        <v>438</v>
      </c>
    </row>
    <row r="2" spans="1:12" x14ac:dyDescent="0.3">
      <c r="A2">
        <v>170</v>
      </c>
      <c r="B2">
        <v>300</v>
      </c>
      <c r="D2">
        <v>0.96295641608282601</v>
      </c>
      <c r="E2">
        <v>0</v>
      </c>
      <c r="F2">
        <v>0</v>
      </c>
      <c r="G2" s="66">
        <v>0.1967747923454479</v>
      </c>
      <c r="H2" s="66">
        <v>2.2175266934817351E-2</v>
      </c>
      <c r="I2" s="66">
        <f>D2+G2-E2</f>
        <v>1.1597312084282738</v>
      </c>
      <c r="J2" s="66">
        <v>2.6265117316231646E-2</v>
      </c>
      <c r="K2" s="66">
        <v>-21.909783861687121</v>
      </c>
      <c r="L2" s="66">
        <v>4.5295180685578793E-2</v>
      </c>
    </row>
    <row r="3" spans="1:12" x14ac:dyDescent="0.3">
      <c r="A3">
        <v>180</v>
      </c>
      <c r="B3">
        <v>463</v>
      </c>
      <c r="D3">
        <v>0.544184151846411</v>
      </c>
      <c r="E3">
        <v>7.2623003005953646E-2</v>
      </c>
      <c r="F3">
        <v>1.2879227825012298E-2</v>
      </c>
      <c r="G3" s="66">
        <v>7.8160263259984125E-2</v>
      </c>
      <c r="H3" s="66">
        <v>4.9292849630535917E-3</v>
      </c>
      <c r="I3" s="66">
        <f>D3+G3-E3</f>
        <v>0.54972141210044145</v>
      </c>
      <c r="J3" s="66">
        <v>1.6048764198593045E-2</v>
      </c>
      <c r="K3" s="66">
        <v>-22.184421007270576</v>
      </c>
      <c r="L3" s="66">
        <v>8.9470864262307326E-2</v>
      </c>
    </row>
    <row r="4" spans="1:12" x14ac:dyDescent="0.3">
      <c r="A4">
        <v>190</v>
      </c>
      <c r="B4">
        <v>550</v>
      </c>
      <c r="D4">
        <v>0.52920163854343805</v>
      </c>
      <c r="E4">
        <v>1.9451379933409806E-2</v>
      </c>
      <c r="F4">
        <v>2.5358499189087418E-3</v>
      </c>
      <c r="G4" s="66">
        <v>6.7948182809747334E-2</v>
      </c>
      <c r="H4" s="66">
        <v>8.195961181018542E-3</v>
      </c>
      <c r="I4" s="66">
        <f>D4+G4-E4</f>
        <v>0.57769844141977555</v>
      </c>
      <c r="J4" s="66">
        <v>1.2950250979173827E-2</v>
      </c>
      <c r="K4" s="66">
        <v>-21.975554541085934</v>
      </c>
      <c r="L4" s="66">
        <v>8.5490762351553409E-2</v>
      </c>
    </row>
    <row r="5" spans="1:12" x14ac:dyDescent="0.3">
      <c r="A5">
        <v>200</v>
      </c>
      <c r="B5">
        <v>500</v>
      </c>
      <c r="D5">
        <v>0.51895322426698798</v>
      </c>
      <c r="E5">
        <v>3.2775020382518054E-2</v>
      </c>
      <c r="F5">
        <v>5.4235857465404404E-3</v>
      </c>
      <c r="G5">
        <v>5.3183279588532931E-2</v>
      </c>
      <c r="H5">
        <v>5.773401449484912E-3</v>
      </c>
      <c r="I5" s="66">
        <f>D5+G5-E5</f>
        <v>0.53936148347300295</v>
      </c>
      <c r="J5" s="66">
        <v>1.1455177618815199E-2</v>
      </c>
      <c r="K5">
        <v>-21.702439189377039</v>
      </c>
      <c r="L5">
        <v>8.8151326738702712E-2</v>
      </c>
    </row>
    <row r="6" spans="1:12" x14ac:dyDescent="0.3">
      <c r="A6">
        <v>210</v>
      </c>
      <c r="B6">
        <v>475</v>
      </c>
      <c r="D6">
        <v>0.57702821305164198</v>
      </c>
      <c r="E6">
        <v>1.4061491057597691E-2</v>
      </c>
      <c r="F6">
        <v>2.1106009719806212E-3</v>
      </c>
      <c r="G6">
        <v>5.5214985605355787E-2</v>
      </c>
      <c r="H6">
        <v>5.7108534338673744E-3</v>
      </c>
      <c r="I6" s="66">
        <f>D6+G6-E6</f>
        <v>0.61818170759940005</v>
      </c>
      <c r="J6" s="66">
        <v>1.1701238428196283E-2</v>
      </c>
      <c r="K6">
        <v>-21.310696745391002</v>
      </c>
      <c r="L6">
        <v>8.2220743379991648E-2</v>
      </c>
    </row>
    <row r="7" spans="1:12" x14ac:dyDescent="0.3">
      <c r="A7">
        <v>220</v>
      </c>
      <c r="B7">
        <v>450</v>
      </c>
      <c r="D7">
        <v>0.63333256423751405</v>
      </c>
      <c r="E7">
        <v>1.1048429217312555E-2</v>
      </c>
      <c r="F7">
        <v>1.7956689666237637E-3</v>
      </c>
      <c r="G7">
        <v>4.6933864159026679E-2</v>
      </c>
      <c r="H7">
        <v>4.5756477228355748E-3</v>
      </c>
      <c r="I7" s="66">
        <f>D7+G7-E7</f>
        <v>0.6692179991792282</v>
      </c>
      <c r="J7" s="66">
        <v>1.2436422611370901E-2</v>
      </c>
      <c r="K7">
        <v>-20.990584057760397</v>
      </c>
      <c r="L7">
        <v>7.982463477357192E-2</v>
      </c>
    </row>
    <row r="8" spans="1:12" x14ac:dyDescent="0.3">
      <c r="A8">
        <v>230</v>
      </c>
      <c r="B8">
        <v>425</v>
      </c>
      <c r="D8">
        <v>0.78987804878048695</v>
      </c>
      <c r="E8">
        <v>5.8701709041388637E-3</v>
      </c>
      <c r="F8">
        <v>1.8638899258493595E-3</v>
      </c>
      <c r="G8">
        <v>6.3852973450545303E-2</v>
      </c>
      <c r="H8">
        <v>3.4783534075836665E-3</v>
      </c>
      <c r="I8" s="66">
        <f>D8+G8-E8</f>
        <v>0.84786085132689337</v>
      </c>
      <c r="J8" s="66">
        <v>1.2467122897981176E-2</v>
      </c>
      <c r="K8">
        <v>-20.513906927225889</v>
      </c>
      <c r="L8">
        <v>6.6216778962641901E-2</v>
      </c>
    </row>
    <row r="9" spans="1:12" x14ac:dyDescent="0.3">
      <c r="A9">
        <v>225</v>
      </c>
      <c r="B9">
        <v>908</v>
      </c>
      <c r="D9">
        <v>0.75127118186624997</v>
      </c>
      <c r="E9">
        <v>1.947863793637887E-2</v>
      </c>
      <c r="F9">
        <v>2.4538493498737607E-3</v>
      </c>
      <c r="G9">
        <v>4.2015245291308158E-2</v>
      </c>
      <c r="H9">
        <v>4.9388402064205403E-3</v>
      </c>
      <c r="I9" s="66">
        <f>D9+G9-E9</f>
        <v>0.77380778922117932</v>
      </c>
      <c r="J9" s="66">
        <v>1.417490492811602E-2</v>
      </c>
      <c r="K9">
        <v>-21.200057638176556</v>
      </c>
      <c r="L9">
        <v>0.12143479295866241</v>
      </c>
    </row>
    <row r="10" spans="1:12" x14ac:dyDescent="0.3">
      <c r="A10">
        <v>215</v>
      </c>
      <c r="B10">
        <v>450</v>
      </c>
      <c r="D10">
        <v>0.141512821493641</v>
      </c>
      <c r="E10">
        <v>1.30975284289475E-2</v>
      </c>
      <c r="F10">
        <v>1.8524800249933894E-3</v>
      </c>
      <c r="G10">
        <v>2.7835423404272388E-2</v>
      </c>
      <c r="H10">
        <v>3.5378590512173558E-3</v>
      </c>
      <c r="I10" s="66">
        <f>D10+G10-E10</f>
        <v>0.15625071646896588</v>
      </c>
      <c r="J10" s="66">
        <v>6.4784413975517603E-3</v>
      </c>
      <c r="K10">
        <v>-22.014553440567788</v>
      </c>
      <c r="L10">
        <v>0.31623194112326086</v>
      </c>
    </row>
    <row r="11" spans="1:12" x14ac:dyDescent="0.3">
      <c r="A11">
        <v>205</v>
      </c>
      <c r="B11">
        <v>520</v>
      </c>
      <c r="D11">
        <v>7.6269133314252294E-2</v>
      </c>
      <c r="E11">
        <v>7.178946642807325E-3</v>
      </c>
      <c r="F11">
        <v>1.2252106964655628E-3</v>
      </c>
      <c r="G11">
        <v>1.2527671412278825E-2</v>
      </c>
      <c r="H11">
        <v>1.6251792718410003E-3</v>
      </c>
      <c r="I11" s="66">
        <f>D11+G11-E11</f>
        <v>8.1617858083723793E-2</v>
      </c>
      <c r="J11" s="66">
        <v>8.0957866822480816E-3</v>
      </c>
      <c r="K11">
        <v>-22.788297334130629</v>
      </c>
      <c r="L11">
        <v>0.82913173978727128</v>
      </c>
    </row>
    <row r="12" spans="1:12" x14ac:dyDescent="0.3">
      <c r="A12">
        <v>195</v>
      </c>
      <c r="B12">
        <v>1106</v>
      </c>
      <c r="D12">
        <v>6.7045156410478396E-2</v>
      </c>
      <c r="E12">
        <v>2.1161706643875824E-3</v>
      </c>
      <c r="F12">
        <v>4.022099333139018E-4</v>
      </c>
      <c r="G12">
        <v>3.0718162510601343E-2</v>
      </c>
      <c r="H12">
        <v>2.8583370762273437E-3</v>
      </c>
      <c r="I12" s="66">
        <f>D12+G12-E12</f>
        <v>9.5647148256692155E-2</v>
      </c>
      <c r="J12" s="66">
        <v>3.229441717397656E-3</v>
      </c>
      <c r="K12">
        <v>-23.369526603602075</v>
      </c>
      <c r="L12">
        <v>1.0943842268833679</v>
      </c>
    </row>
    <row r="13" spans="1:12" x14ac:dyDescent="0.3">
      <c r="A13">
        <v>185</v>
      </c>
      <c r="B13">
        <v>740</v>
      </c>
      <c r="D13">
        <v>2.2678534031413601E-2</v>
      </c>
      <c r="E13">
        <v>1.2547163577763207E-2</v>
      </c>
      <c r="F13">
        <v>1.6424097579863432E-3</v>
      </c>
      <c r="G13">
        <v>9.0187931113335108E-3</v>
      </c>
      <c r="H13">
        <v>1.0554907840374891E-3</v>
      </c>
      <c r="I13" s="66">
        <f>D13+G13-E13</f>
        <v>1.9150163564983905E-2</v>
      </c>
      <c r="J13" s="66">
        <v>1.9966670604714739E-3</v>
      </c>
      <c r="K13">
        <v>-24.566538736322304</v>
      </c>
      <c r="L13">
        <v>2.8220158173011893</v>
      </c>
    </row>
    <row r="14" spans="1:12" x14ac:dyDescent="0.3">
      <c r="A14">
        <v>175</v>
      </c>
      <c r="B14">
        <v>920</v>
      </c>
      <c r="D14">
        <v>1.80179115952207E-2</v>
      </c>
      <c r="E14">
        <v>3.6825969058136296E-3</v>
      </c>
      <c r="F14">
        <v>5.0180094803285236E-4</v>
      </c>
      <c r="G14">
        <v>4.5294537172462122E-3</v>
      </c>
      <c r="H14">
        <v>4.4232016329736658E-4</v>
      </c>
      <c r="I14" s="66">
        <f>D14+G14-E14</f>
        <v>1.8864768406653284E-2</v>
      </c>
      <c r="J14" s="66">
        <v>7.4198426911484022E-4</v>
      </c>
      <c r="K14">
        <v>-24.79615536754115</v>
      </c>
      <c r="L14">
        <v>3.796616898766414</v>
      </c>
    </row>
    <row r="15" spans="1:12" x14ac:dyDescent="0.3">
      <c r="A15">
        <v>200</v>
      </c>
      <c r="B15">
        <v>260</v>
      </c>
      <c r="D15">
        <v>2.24239448032976E-2</v>
      </c>
      <c r="E15">
        <v>6.526979738586962E-4</v>
      </c>
      <c r="F15">
        <v>1.1734453031074565E-4</v>
      </c>
      <c r="G15">
        <v>9.5398478354524214E-3</v>
      </c>
      <c r="H15">
        <v>1.2336484151398209E-3</v>
      </c>
      <c r="I15" s="66">
        <f>D15+G15-E15</f>
        <v>3.1311094664891327E-2</v>
      </c>
      <c r="J15" s="66">
        <v>1.6538991465150801E-3</v>
      </c>
      <c r="K15">
        <v>-23.0216810083603</v>
      </c>
      <c r="L15">
        <v>1.4946288944539046</v>
      </c>
    </row>
    <row r="16" spans="1:12" x14ac:dyDescent="0.3">
      <c r="A16">
        <v>210</v>
      </c>
      <c r="B16">
        <v>520</v>
      </c>
      <c r="D16">
        <v>8.1207064838573401E-2</v>
      </c>
      <c r="E16">
        <v>7.4821397764346315E-3</v>
      </c>
      <c r="F16">
        <v>9.9817571355020982E-4</v>
      </c>
      <c r="G16">
        <v>1.4484922268282383E-2</v>
      </c>
      <c r="H16">
        <v>1.3220238405334162E-3</v>
      </c>
      <c r="I16" s="66">
        <f>D16+G16-E16</f>
        <v>8.8209847330421143E-2</v>
      </c>
      <c r="J16" s="66">
        <v>3.8531533254852145E-3</v>
      </c>
      <c r="K16">
        <v>-22.669369036207119</v>
      </c>
      <c r="L16">
        <v>1.1351699905785733</v>
      </c>
    </row>
    <row r="17" spans="1:12" x14ac:dyDescent="0.3">
      <c r="A17">
        <v>220</v>
      </c>
      <c r="B17">
        <v>1167</v>
      </c>
      <c r="D17">
        <v>0.576620115600047</v>
      </c>
      <c r="E17">
        <v>2.816082253744774E-3</v>
      </c>
      <c r="F17">
        <v>1.4422237794391841E-3</v>
      </c>
      <c r="G17">
        <v>2.7620494064241833E-2</v>
      </c>
      <c r="H17">
        <v>3.237268932729014E-3</v>
      </c>
      <c r="I17" s="66">
        <f>D17+G17-E17</f>
        <v>0.60142452741054409</v>
      </c>
      <c r="J17" s="66">
        <v>2.4482953762859149E-2</v>
      </c>
      <c r="K17">
        <v>-21.503876349140512</v>
      </c>
      <c r="L17">
        <v>0.18369738646094408</v>
      </c>
    </row>
    <row r="18" spans="1:12" x14ac:dyDescent="0.3">
      <c r="A18">
        <v>230</v>
      </c>
      <c r="B18">
        <v>370</v>
      </c>
      <c r="D18">
        <v>0.35768644224377999</v>
      </c>
      <c r="E18">
        <v>8.6806278400885298E-3</v>
      </c>
      <c r="F18">
        <v>3.9575211037341865E-3</v>
      </c>
      <c r="G18">
        <v>4.223162098878841E-2</v>
      </c>
      <c r="H18">
        <v>5.1323413557861951E-3</v>
      </c>
      <c r="I18" s="66">
        <f>D18+G18-E18</f>
        <v>0.39123743539247985</v>
      </c>
      <c r="J18" s="66">
        <v>1.4831992159713469E-2</v>
      </c>
      <c r="K18">
        <v>-20.711887696632463</v>
      </c>
      <c r="L18">
        <v>0.14605297778065734</v>
      </c>
    </row>
    <row r="19" spans="1:12" x14ac:dyDescent="0.3">
      <c r="A19">
        <v>240</v>
      </c>
      <c r="B19">
        <v>320</v>
      </c>
      <c r="D19">
        <v>0.67668226199703296</v>
      </c>
      <c r="E19">
        <v>1.7244218251926482E-2</v>
      </c>
      <c r="F19">
        <v>2.4166604225733671E-3</v>
      </c>
      <c r="G19">
        <v>8.2603827257957216E-2</v>
      </c>
      <c r="H19">
        <v>9.9433066963101491E-3</v>
      </c>
      <c r="I19" s="66">
        <f>D19+G19-E19</f>
        <v>0.74204187100306374</v>
      </c>
      <c r="J19" s="66">
        <v>1.5668893362883726E-2</v>
      </c>
      <c r="K19">
        <v>-19.807148723973192</v>
      </c>
      <c r="L19">
        <v>9.8539192512642176E-2</v>
      </c>
    </row>
    <row r="20" spans="1:12" x14ac:dyDescent="0.3">
      <c r="A20">
        <v>245</v>
      </c>
      <c r="B20">
        <v>250</v>
      </c>
      <c r="D20">
        <v>0.55490965024488204</v>
      </c>
      <c r="E20">
        <v>2.1336031477067516E-2</v>
      </c>
      <c r="F20">
        <v>8.8687409865561787E-3</v>
      </c>
      <c r="G20">
        <v>5.1625825932574823E-2</v>
      </c>
      <c r="H20">
        <v>5.6475017695457397E-3</v>
      </c>
      <c r="I20" s="66">
        <f>D20+G20-E20</f>
        <v>0.58519944470038932</v>
      </c>
      <c r="J20" s="66">
        <v>1.4559819103457473E-2</v>
      </c>
      <c r="K20">
        <v>-19.710177213146256</v>
      </c>
      <c r="L20">
        <v>0.124590008582889</v>
      </c>
    </row>
    <row r="21" spans="1:12" x14ac:dyDescent="0.3">
      <c r="A21">
        <v>250</v>
      </c>
      <c r="B21">
        <v>210</v>
      </c>
      <c r="D21">
        <v>0.69344251385634403</v>
      </c>
      <c r="E21">
        <v>1.0826013529542629E-2</v>
      </c>
      <c r="F21">
        <v>4.5204916946347436E-3</v>
      </c>
      <c r="G21">
        <v>7.1847731275520604E-2</v>
      </c>
      <c r="H21">
        <v>8.15318353537604E-3</v>
      </c>
      <c r="I21" s="66">
        <f>D21+G21-E21</f>
        <v>0.75446423160232201</v>
      </c>
      <c r="J21" s="66">
        <v>1.4115074525016438E-2</v>
      </c>
      <c r="K21">
        <v>-19.199913770925956</v>
      </c>
      <c r="L21">
        <v>0.1023559143384617</v>
      </c>
    </row>
    <row r="22" spans="1:12" x14ac:dyDescent="0.3">
      <c r="A22">
        <v>245</v>
      </c>
      <c r="B22">
        <v>270</v>
      </c>
      <c r="D22">
        <v>0.465872340425531</v>
      </c>
      <c r="E22">
        <v>2.4796831581348003E-2</v>
      </c>
      <c r="F22">
        <v>3.4847092584036721E-3</v>
      </c>
      <c r="G22">
        <v>4.9782393388959373E-2</v>
      </c>
      <c r="H22">
        <v>5.8377318434053556E-3</v>
      </c>
      <c r="I22" s="66">
        <f>D22+G22-E22</f>
        <v>0.49085790223314235</v>
      </c>
      <c r="J22" s="66">
        <v>1.0074319930729742E-2</v>
      </c>
      <c r="K22">
        <v>-19.810088930197612</v>
      </c>
      <c r="L22">
        <v>0.19650341152932066</v>
      </c>
    </row>
    <row r="23" spans="1:12" x14ac:dyDescent="0.3">
      <c r="A23">
        <v>240</v>
      </c>
      <c r="B23">
        <v>320</v>
      </c>
      <c r="D23">
        <v>0.28572750818781401</v>
      </c>
      <c r="E23">
        <v>2.0741967938760625E-2</v>
      </c>
      <c r="F23">
        <v>2.8139542694149886E-3</v>
      </c>
      <c r="G23">
        <v>3.3902448389335066E-2</v>
      </c>
      <c r="H23">
        <v>4.0838832228440834E-3</v>
      </c>
      <c r="I23" s="66">
        <f>D23+G23-E23</f>
        <v>0.2988879886383885</v>
      </c>
      <c r="J23" s="66">
        <v>6.575050202324911E-3</v>
      </c>
      <c r="K23">
        <v>-20.433283586879945</v>
      </c>
      <c r="L23">
        <v>0.31182032969181128</v>
      </c>
    </row>
    <row r="24" spans="1:12" x14ac:dyDescent="0.3">
      <c r="A24">
        <v>235</v>
      </c>
      <c r="B24">
        <v>370</v>
      </c>
      <c r="D24">
        <v>0.21993533317982999</v>
      </c>
      <c r="E24">
        <v>1.6559059668874037E-2</v>
      </c>
      <c r="F24">
        <v>2.1985538636156432E-3</v>
      </c>
      <c r="G24">
        <v>2.7336589915814044E-2</v>
      </c>
      <c r="H24">
        <v>3.2876132512060282E-3</v>
      </c>
      <c r="I24" s="66">
        <f>D24+G24-E24</f>
        <v>0.23071286342677003</v>
      </c>
      <c r="J24" s="66">
        <v>5.2303781003493607E-3</v>
      </c>
      <c r="K24">
        <v>-20.809550484815411</v>
      </c>
      <c r="L24">
        <v>0.40059204686299305</v>
      </c>
    </row>
    <row r="25" spans="1:12" x14ac:dyDescent="0.3">
      <c r="A25">
        <v>230</v>
      </c>
      <c r="B25">
        <v>420</v>
      </c>
      <c r="D25">
        <v>0.14002473498233201</v>
      </c>
      <c r="E25">
        <v>1.3197895163904782E-2</v>
      </c>
      <c r="F25">
        <v>1.7550121870796289E-3</v>
      </c>
      <c r="G25">
        <v>2.5500928897779333E-2</v>
      </c>
      <c r="H25">
        <v>2.5310396172769215E-3</v>
      </c>
      <c r="I25" s="66">
        <f>D25+G25-E25</f>
        <v>0.15232776871620654</v>
      </c>
      <c r="J25" s="66">
        <v>4.0007780626060427E-3</v>
      </c>
      <c r="K25">
        <v>-21.33174752965169</v>
      </c>
      <c r="L25">
        <v>0.60267444987881724</v>
      </c>
    </row>
    <row r="26" spans="1:12" x14ac:dyDescent="0.3">
      <c r="A26">
        <v>225</v>
      </c>
      <c r="B26">
        <v>652</v>
      </c>
      <c r="D26">
        <v>0.14936733471146901</v>
      </c>
      <c r="E26">
        <v>1.2577059851797951E-2</v>
      </c>
      <c r="F26">
        <v>1.6223471435996715E-3</v>
      </c>
      <c r="G26">
        <v>1.3096268418770053E-2</v>
      </c>
      <c r="H26">
        <v>1.4655894926581716E-3</v>
      </c>
      <c r="I26" s="66">
        <f>D26+G26-E26</f>
        <v>0.14988654327844111</v>
      </c>
      <c r="J26" s="66">
        <v>3.4235100287919569E-3</v>
      </c>
      <c r="K26">
        <v>-21.772392883147436</v>
      </c>
      <c r="L26">
        <v>0.74728525131574841</v>
      </c>
    </row>
    <row r="27" spans="1:12" x14ac:dyDescent="0.3">
      <c r="A27">
        <v>230</v>
      </c>
      <c r="B27">
        <v>500</v>
      </c>
      <c r="D27">
        <v>0.154978273856932</v>
      </c>
      <c r="E27">
        <v>7.3438862175964192E-4</v>
      </c>
      <c r="F27">
        <v>1.6713368007602437E-3</v>
      </c>
      <c r="G27">
        <v>1.2823030111364956E-2</v>
      </c>
      <c r="H27">
        <v>1.3249437279511922E-3</v>
      </c>
      <c r="I27" s="66">
        <f>D27+G27-E27</f>
        <v>0.16706691534653731</v>
      </c>
      <c r="J27" s="66">
        <v>3.3746552204053587E-3</v>
      </c>
      <c r="K27">
        <v>-21.382613042681932</v>
      </c>
      <c r="L27">
        <v>0.46091762898460148</v>
      </c>
    </row>
    <row r="28" spans="1:12" x14ac:dyDescent="0.3">
      <c r="A28">
        <v>235</v>
      </c>
      <c r="B28">
        <v>450</v>
      </c>
      <c r="D28">
        <v>0.19512871594315101</v>
      </c>
      <c r="E28">
        <v>2.5731041472976221E-3</v>
      </c>
      <c r="F28">
        <v>4.1759369383014884E-4</v>
      </c>
      <c r="G28">
        <v>3.3393187413530645E-2</v>
      </c>
      <c r="H28">
        <v>1.8462032222345299E-3</v>
      </c>
      <c r="I28" s="66">
        <f>D28+G28-E28</f>
        <v>0.22594879920938404</v>
      </c>
      <c r="J28" s="66">
        <v>3.2912931015893643E-3</v>
      </c>
      <c r="K28">
        <v>-20.9560140069859</v>
      </c>
      <c r="L28">
        <v>0.36398617779747816</v>
      </c>
    </row>
    <row r="29" spans="1:12" x14ac:dyDescent="0.3">
      <c r="A29">
        <v>240</v>
      </c>
      <c r="B29">
        <v>400</v>
      </c>
      <c r="D29">
        <v>0.24245710220568201</v>
      </c>
      <c r="E29">
        <v>6.9009118417574858E-3</v>
      </c>
      <c r="F29">
        <v>1.452861557421832E-3</v>
      </c>
      <c r="G29">
        <v>2.5100285404291631E-2</v>
      </c>
      <c r="H29">
        <v>3.1600918029747794E-3</v>
      </c>
      <c r="I29" s="66">
        <f>D29+G29-E29</f>
        <v>0.26065647576821616</v>
      </c>
      <c r="J29" s="66">
        <v>1.2300621176561253E-2</v>
      </c>
      <c r="K29">
        <v>-20.671856944777279</v>
      </c>
      <c r="L29">
        <v>0.31769537306250462</v>
      </c>
    </row>
    <row r="30" spans="1:12" x14ac:dyDescent="0.3">
      <c r="A30">
        <v>245</v>
      </c>
      <c r="B30">
        <v>350</v>
      </c>
      <c r="D30">
        <v>0.31499558349552398</v>
      </c>
      <c r="E30">
        <v>5.7888532063113101E-3</v>
      </c>
      <c r="F30">
        <v>1.0496612167003583E-3</v>
      </c>
      <c r="G30">
        <v>3.9474655806621961E-2</v>
      </c>
      <c r="H30">
        <v>4.6389510287064319E-3</v>
      </c>
      <c r="I30" s="66">
        <f>D30+G30-E30</f>
        <v>0.34868138609583466</v>
      </c>
      <c r="J30" s="66">
        <v>9.3889275064231986E-3</v>
      </c>
      <c r="K30">
        <v>-20.218633946201038</v>
      </c>
      <c r="L30">
        <v>0.23960562910683172</v>
      </c>
    </row>
    <row r="31" spans="1:12" x14ac:dyDescent="0.3">
      <c r="A31">
        <v>250</v>
      </c>
      <c r="B31">
        <v>300</v>
      </c>
      <c r="D31">
        <v>0.37161531847225299</v>
      </c>
      <c r="E31">
        <v>1.64712098282036E-2</v>
      </c>
      <c r="F31">
        <v>2.2372168116405562E-3</v>
      </c>
      <c r="G31">
        <v>4.6655735861732571E-2</v>
      </c>
      <c r="H31">
        <v>5.2406207989153051E-3</v>
      </c>
      <c r="I31" s="66">
        <f>D31+G31-E31</f>
        <v>0.40179984450578193</v>
      </c>
      <c r="J31" s="66">
        <v>9.6187659471837182E-3</v>
      </c>
      <c r="K31">
        <v>-19.888260223383462</v>
      </c>
      <c r="L31">
        <v>0.20862649736028452</v>
      </c>
    </row>
    <row r="32" spans="1:12" x14ac:dyDescent="0.3">
      <c r="A32">
        <v>250</v>
      </c>
      <c r="B32">
        <v>300</v>
      </c>
      <c r="D32">
        <v>0.36397906669414698</v>
      </c>
      <c r="E32">
        <v>2.4303972553038233E-2</v>
      </c>
      <c r="F32">
        <v>4.3734466959463279E-3</v>
      </c>
      <c r="G32">
        <v>3.3873660280900018E-2</v>
      </c>
      <c r="H32">
        <v>3.8238213473074977E-3</v>
      </c>
      <c r="I32" s="66">
        <f>D32+G32-E32</f>
        <v>0.37354875442200874</v>
      </c>
      <c r="J32" s="66">
        <v>7.9898983109723994E-3</v>
      </c>
      <c r="K32">
        <v>-19.926651103099889</v>
      </c>
      <c r="L32">
        <v>0.24237546322223294</v>
      </c>
    </row>
    <row r="33" spans="1:12" x14ac:dyDescent="0.3">
      <c r="A33">
        <v>250</v>
      </c>
      <c r="B33">
        <v>300</v>
      </c>
      <c r="D33">
        <v>0.34519114717899502</v>
      </c>
      <c r="E33">
        <v>1.134404080124915E-2</v>
      </c>
      <c r="F33">
        <v>1.6046454522322363E-3</v>
      </c>
      <c r="G33">
        <v>3.9483503338332539E-2</v>
      </c>
      <c r="H33">
        <v>4.4751984212448373E-3</v>
      </c>
      <c r="I33" s="66">
        <f>D33+G33-E33</f>
        <v>0.37333060971607845</v>
      </c>
      <c r="J33" s="66">
        <v>7.912597026066984E-3</v>
      </c>
      <c r="K33">
        <v>-19.894934735605723</v>
      </c>
      <c r="L33">
        <v>0.24437761783161585</v>
      </c>
    </row>
    <row r="34" spans="1:12" x14ac:dyDescent="0.3">
      <c r="A34">
        <v>250</v>
      </c>
      <c r="B34">
        <v>10250</v>
      </c>
      <c r="D34">
        <v>8.4829081066253593</v>
      </c>
      <c r="E34">
        <v>1.9051816701553096E-2</v>
      </c>
      <c r="F34">
        <v>2.5334641758870003E-3</v>
      </c>
      <c r="G34">
        <v>0.11653021176560401</v>
      </c>
      <c r="H34">
        <v>7.3849892443793698E-3</v>
      </c>
      <c r="I34" s="66">
        <f>D34+G34-E34</f>
        <v>8.580386501689409</v>
      </c>
      <c r="J34" s="66">
        <v>0.12782739057103734</v>
      </c>
      <c r="K34">
        <v>-19.958048822713263</v>
      </c>
      <c r="L34">
        <v>0.18886234169428351</v>
      </c>
    </row>
    <row r="35" spans="1:12" x14ac:dyDescent="0.3">
      <c r="A35">
        <v>240</v>
      </c>
      <c r="B35">
        <v>785</v>
      </c>
      <c r="D35">
        <v>0.22612522923310299</v>
      </c>
      <c r="E35">
        <v>2.8968250085060851E-9</v>
      </c>
      <c r="F35">
        <v>6.8481813665915245E-9</v>
      </c>
      <c r="G35">
        <v>2.633742581425454E-2</v>
      </c>
      <c r="H35">
        <v>2.9223984631273877E-3</v>
      </c>
      <c r="I35" s="66">
        <f>D35+G35-E35</f>
        <v>0.25246265215053254</v>
      </c>
      <c r="J35" s="66">
        <v>2.2088877113003287E-2</v>
      </c>
      <c r="K35">
        <v>-20.659737239976117</v>
      </c>
      <c r="L35">
        <v>0.57969712403270901</v>
      </c>
    </row>
    <row r="36" spans="1:12" x14ac:dyDescent="0.3">
      <c r="A36" t="s">
        <v>429</v>
      </c>
      <c r="F36">
        <v>6.8481813665915245E-9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41176D-EAA9-4DD6-9E31-1BB4BD60F1D1}">
  <dimension ref="A1:CK145"/>
  <sheetViews>
    <sheetView topLeftCell="A91" zoomScale="68" zoomScaleNormal="85" workbookViewId="0">
      <selection activeCell="G146" sqref="G146"/>
    </sheetView>
  </sheetViews>
  <sheetFormatPr defaultRowHeight="14.4" x14ac:dyDescent="0.3"/>
  <cols>
    <col min="1" max="1" width="46.77734375" customWidth="1"/>
    <col min="2" max="2" width="15.6640625" customWidth="1"/>
    <col min="3" max="6" width="9" bestFit="1" customWidth="1"/>
    <col min="7" max="7" width="9.5546875" customWidth="1"/>
    <col min="8" max="8" width="10" customWidth="1"/>
    <col min="9" max="9" width="9.77734375" customWidth="1"/>
    <col min="10" max="10" width="10.109375" customWidth="1"/>
    <col min="11" max="12" width="9.77734375" customWidth="1"/>
    <col min="13" max="13" width="3.21875" customWidth="1"/>
    <col min="14" max="14" width="9.6640625" customWidth="1"/>
    <col min="15" max="15" width="10" customWidth="1"/>
    <col min="16" max="16" width="3.21875" customWidth="1"/>
    <col min="17" max="17" width="10.44140625" customWidth="1"/>
    <col min="18" max="18" width="9.88671875" customWidth="1"/>
    <col min="19" max="19" width="9.77734375" customWidth="1"/>
    <col min="20" max="20" width="9" bestFit="1" customWidth="1"/>
    <col min="21" max="21" width="3" customWidth="1"/>
    <col min="22" max="22" width="10.44140625" customWidth="1"/>
    <col min="23" max="23" width="3.21875" customWidth="1"/>
    <col min="24" max="24" width="9.5546875" customWidth="1"/>
    <col min="25" max="25" width="9" bestFit="1" customWidth="1"/>
    <col min="26" max="26" width="3.21875" customWidth="1"/>
    <col min="27" max="27" width="9.6640625" customWidth="1"/>
    <col min="28" max="28" width="10.109375" customWidth="1"/>
    <col min="29" max="29" width="9.44140625" customWidth="1"/>
    <col min="30" max="30" width="9" bestFit="1" customWidth="1"/>
    <col min="31" max="31" width="10.6640625" customWidth="1"/>
    <col min="32" max="32" width="10.33203125" customWidth="1"/>
    <col min="33" max="33" width="10.88671875" customWidth="1"/>
    <col min="34" max="34" width="9.77734375" customWidth="1"/>
    <col min="35" max="35" width="10.6640625" customWidth="1"/>
    <col min="36" max="36" width="10" customWidth="1"/>
    <col min="37" max="37" width="4.21875" customWidth="1"/>
    <col min="38" max="38" width="11.6640625" customWidth="1"/>
    <col min="39" max="39" width="11.33203125" customWidth="1"/>
    <col min="40" max="40" width="12.44140625" customWidth="1"/>
    <col min="41" max="41" width="10.5546875" customWidth="1"/>
    <col min="42" max="42" width="9" bestFit="1" customWidth="1"/>
    <col min="43" max="47" width="9" customWidth="1"/>
    <col min="48" max="48" width="12.109375" style="2" customWidth="1"/>
    <col min="49" max="49" width="9" bestFit="1" customWidth="1"/>
    <col min="50" max="50" width="12.21875" style="2" bestFit="1" customWidth="1"/>
    <col min="51" max="51" width="5.109375" style="2" customWidth="1"/>
    <col min="52" max="52" width="12.21875" bestFit="1" customWidth="1"/>
    <col min="53" max="54" width="12.21875" customWidth="1"/>
    <col min="55" max="55" width="12.109375" customWidth="1"/>
    <col min="56" max="56" width="11.77734375" customWidth="1"/>
    <col min="57" max="59" width="10.44140625" customWidth="1"/>
    <col min="60" max="60" width="9" bestFit="1" customWidth="1"/>
    <col min="61" max="61" width="9.21875" style="21" customWidth="1"/>
    <col min="62" max="62" width="11.109375" style="21" customWidth="1"/>
    <col min="63" max="63" width="10" style="49" customWidth="1"/>
    <col min="64" max="64" width="11.44140625" style="49" customWidth="1"/>
    <col min="65" max="65" width="9" customWidth="1"/>
    <col min="66" max="66" width="9.44140625" customWidth="1"/>
    <col min="67" max="67" width="10.109375" customWidth="1"/>
    <col min="68" max="73" width="9.77734375" style="49" customWidth="1"/>
    <col min="74" max="85" width="9.77734375" style="2" customWidth="1"/>
    <col min="87" max="89" width="12.21875" bestFit="1" customWidth="1"/>
    <col min="91" max="91" width="12.109375" bestFit="1" customWidth="1"/>
  </cols>
  <sheetData>
    <row r="1" spans="1:89" s="40" customFormat="1" ht="37.200000000000003" customHeight="1" x14ac:dyDescent="0.5">
      <c r="A1" s="91"/>
      <c r="B1" s="91"/>
      <c r="C1" s="91"/>
      <c r="D1" s="91"/>
      <c r="E1" s="91"/>
      <c r="F1" s="91"/>
      <c r="G1" s="91"/>
      <c r="H1" s="91"/>
      <c r="I1" s="91"/>
      <c r="J1" s="91"/>
      <c r="K1" s="91"/>
      <c r="L1" s="91"/>
      <c r="M1" s="46"/>
      <c r="N1" s="92" t="s">
        <v>164</v>
      </c>
      <c r="O1" s="91"/>
      <c r="P1" s="91"/>
      <c r="Q1" s="91"/>
      <c r="R1" s="91"/>
      <c r="S1" s="91"/>
      <c r="T1" s="91"/>
      <c r="U1" s="91"/>
      <c r="V1" s="91"/>
      <c r="W1" s="91"/>
      <c r="X1" s="91"/>
      <c r="Y1" s="91"/>
      <c r="Z1" s="91"/>
      <c r="AA1" s="91"/>
      <c r="AB1" s="91"/>
      <c r="AC1" s="91"/>
      <c r="AD1" s="91"/>
      <c r="AE1" s="91"/>
      <c r="AF1" s="91"/>
      <c r="AG1" s="91"/>
      <c r="AH1" s="91"/>
      <c r="AI1" s="91"/>
      <c r="AJ1" s="91"/>
      <c r="AK1" s="46"/>
      <c r="AL1" s="91" t="s">
        <v>455</v>
      </c>
      <c r="AM1" s="91"/>
      <c r="AN1" s="91"/>
      <c r="AO1" s="91"/>
      <c r="AP1" s="91"/>
      <c r="AQ1" s="91"/>
      <c r="AR1" s="91"/>
      <c r="AS1" s="91"/>
      <c r="AT1" s="91"/>
      <c r="AU1" s="91"/>
      <c r="AV1" s="91"/>
      <c r="AW1" s="91"/>
      <c r="AX1" s="91"/>
      <c r="AY1" s="47"/>
      <c r="AZ1" s="91" t="s">
        <v>456</v>
      </c>
      <c r="BA1" s="91"/>
      <c r="BB1" s="91"/>
      <c r="BC1" s="91"/>
      <c r="BD1" s="91"/>
      <c r="BE1" s="91"/>
      <c r="BF1" s="91"/>
      <c r="BG1" s="91"/>
      <c r="BH1" s="91"/>
      <c r="BI1" s="91"/>
      <c r="BJ1" s="91"/>
      <c r="BK1" s="91"/>
      <c r="BL1" s="91"/>
      <c r="BM1" s="91"/>
      <c r="BN1" s="91"/>
      <c r="BO1" s="91"/>
      <c r="BP1" s="91"/>
      <c r="BQ1" s="91"/>
      <c r="BR1" s="91"/>
      <c r="BS1" s="91"/>
      <c r="BT1" s="91"/>
      <c r="BU1" s="63"/>
      <c r="BV1" s="63"/>
      <c r="BW1" s="63"/>
      <c r="BX1" s="63"/>
      <c r="BY1" s="63"/>
      <c r="BZ1" s="63"/>
      <c r="CA1" s="63"/>
      <c r="CB1" s="63"/>
      <c r="CC1" s="63"/>
      <c r="CD1" s="63"/>
      <c r="CE1" s="63"/>
      <c r="CF1" s="63"/>
      <c r="CG1" s="63"/>
      <c r="CH1" s="63"/>
      <c r="CI1" s="63"/>
      <c r="CJ1" s="63"/>
      <c r="CK1" s="64"/>
    </row>
    <row r="2" spans="1:89" s="4" customFormat="1" ht="93.6" customHeight="1" x14ac:dyDescent="0.3">
      <c r="A2" s="4" t="s">
        <v>457</v>
      </c>
      <c r="B2" s="4" t="s">
        <v>152</v>
      </c>
      <c r="C2" s="4" t="s">
        <v>70</v>
      </c>
      <c r="D2" s="4" t="s">
        <v>151</v>
      </c>
      <c r="E2" s="4" t="s">
        <v>69</v>
      </c>
      <c r="F2" s="4" t="s">
        <v>66</v>
      </c>
      <c r="G2" s="4" t="s">
        <v>67</v>
      </c>
      <c r="H2" s="4" t="s">
        <v>68</v>
      </c>
      <c r="I2" s="4" t="s">
        <v>73</v>
      </c>
      <c r="J2" s="4" t="s">
        <v>74</v>
      </c>
      <c r="K2" s="4" t="s">
        <v>75</v>
      </c>
      <c r="L2" s="4" t="s">
        <v>76</v>
      </c>
      <c r="M2" s="47"/>
      <c r="N2" s="4" t="s">
        <v>62</v>
      </c>
      <c r="O2" s="4" t="s">
        <v>63</v>
      </c>
      <c r="Q2" s="4" t="s">
        <v>83</v>
      </c>
      <c r="R2" s="4" t="s">
        <v>153</v>
      </c>
      <c r="S2" s="4" t="s">
        <v>160</v>
      </c>
      <c r="T2" s="4" t="s">
        <v>153</v>
      </c>
      <c r="V2" s="4" t="s">
        <v>161</v>
      </c>
      <c r="X2" s="4" t="s">
        <v>155</v>
      </c>
      <c r="Y2" s="4" t="s">
        <v>153</v>
      </c>
      <c r="AA2" s="4" t="s">
        <v>162</v>
      </c>
      <c r="AB2" s="4" t="s">
        <v>153</v>
      </c>
      <c r="AC2" s="4" t="s">
        <v>163</v>
      </c>
      <c r="AD2" s="4" t="s">
        <v>153</v>
      </c>
      <c r="AE2" s="4" t="s">
        <v>449</v>
      </c>
      <c r="AF2" s="4" t="s">
        <v>153</v>
      </c>
      <c r="AG2" s="4" t="s">
        <v>409</v>
      </c>
      <c r="AH2" s="4" t="s">
        <v>153</v>
      </c>
      <c r="AI2" s="4" t="s">
        <v>125</v>
      </c>
      <c r="AJ2" s="4" t="s">
        <v>153</v>
      </c>
      <c r="AK2" s="47"/>
      <c r="AL2" s="43" t="s">
        <v>178</v>
      </c>
      <c r="AM2" s="42" t="s">
        <v>154</v>
      </c>
      <c r="AN2" s="43" t="s">
        <v>177</v>
      </c>
      <c r="AO2" s="42" t="s">
        <v>154</v>
      </c>
      <c r="AP2" s="4" t="s">
        <v>165</v>
      </c>
      <c r="AQ2" s="4" t="s">
        <v>136</v>
      </c>
      <c r="AR2" s="4" t="s">
        <v>166</v>
      </c>
      <c r="AS2" s="4" t="s">
        <v>153</v>
      </c>
      <c r="AT2" s="4" t="s">
        <v>167</v>
      </c>
      <c r="AU2" s="4" t="s">
        <v>153</v>
      </c>
      <c r="AV2" s="26" t="s">
        <v>93</v>
      </c>
      <c r="AW2" s="26" t="s">
        <v>159</v>
      </c>
      <c r="AX2" s="48" t="s">
        <v>168</v>
      </c>
      <c r="AY2" s="47"/>
      <c r="AZ2" s="4" t="s">
        <v>400</v>
      </c>
      <c r="BA2" s="4" t="s">
        <v>401</v>
      </c>
      <c r="BB2" s="4" t="s">
        <v>417</v>
      </c>
      <c r="BC2" s="4" t="s">
        <v>402</v>
      </c>
      <c r="BD2" s="4" t="s">
        <v>418</v>
      </c>
      <c r="BE2" s="4" t="s">
        <v>416</v>
      </c>
      <c r="BF2" s="4" t="s">
        <v>403</v>
      </c>
      <c r="BG2" s="4" t="s">
        <v>415</v>
      </c>
      <c r="BH2" s="43" t="s">
        <v>405</v>
      </c>
      <c r="BI2" s="43" t="s">
        <v>407</v>
      </c>
      <c r="BJ2" s="43" t="s">
        <v>404</v>
      </c>
      <c r="BK2" s="43" t="s">
        <v>406</v>
      </c>
      <c r="BL2" s="43" t="s">
        <v>442</v>
      </c>
      <c r="BM2" s="4" t="s">
        <v>443</v>
      </c>
      <c r="BN2" s="4" t="s">
        <v>450</v>
      </c>
      <c r="BO2" s="43" t="s">
        <v>451</v>
      </c>
      <c r="BP2" s="4" t="s">
        <v>452</v>
      </c>
      <c r="BQ2" s="43" t="s">
        <v>464</v>
      </c>
      <c r="BR2" s="4" t="s">
        <v>454</v>
      </c>
      <c r="BS2" s="43" t="s">
        <v>453</v>
      </c>
      <c r="BT2" s="43"/>
      <c r="BU2" s="67"/>
      <c r="BV2" s="67"/>
      <c r="BW2" s="67"/>
      <c r="BX2" s="67"/>
    </row>
    <row r="3" spans="1:89" x14ac:dyDescent="0.3">
      <c r="B3" s="1">
        <v>45322.723611111112</v>
      </c>
      <c r="F3" s="2"/>
      <c r="G3" s="2"/>
      <c r="H3" s="2"/>
      <c r="M3" s="47"/>
      <c r="R3" s="2"/>
      <c r="T3" s="2"/>
      <c r="U3" s="2"/>
      <c r="V3" s="2"/>
      <c r="W3" s="2"/>
      <c r="X3" s="2"/>
      <c r="Y3" s="2"/>
      <c r="Z3" s="2"/>
      <c r="AA3" s="2"/>
      <c r="AB3" s="2"/>
      <c r="AC3" s="2"/>
      <c r="AD3" s="2"/>
      <c r="AE3" s="2"/>
      <c r="AF3" s="2"/>
      <c r="AG3" s="2"/>
      <c r="AH3" s="2"/>
      <c r="AI3" s="2"/>
      <c r="AJ3" s="2"/>
      <c r="AK3" s="47"/>
      <c r="AL3" s="2"/>
      <c r="AN3" s="2"/>
      <c r="AO3" s="2"/>
      <c r="AP3" s="2"/>
      <c r="AQ3" s="2"/>
      <c r="AR3" s="2"/>
      <c r="AS3" s="2"/>
      <c r="AT3" s="2"/>
      <c r="AU3" s="2"/>
      <c r="AV3" s="22"/>
      <c r="AW3" s="22"/>
      <c r="AX3" s="49"/>
      <c r="AY3" s="47"/>
      <c r="AZ3" s="2"/>
      <c r="BA3" s="2"/>
      <c r="BB3" s="2"/>
      <c r="BC3" s="2"/>
      <c r="BD3" s="2"/>
      <c r="BE3" s="2"/>
      <c r="BF3" s="2"/>
      <c r="BG3" s="2"/>
      <c r="BH3" s="2"/>
      <c r="BI3" s="2"/>
      <c r="BJ3" s="2"/>
      <c r="BK3" s="2"/>
      <c r="BL3" s="2"/>
      <c r="BM3" s="2"/>
      <c r="BN3" s="2"/>
      <c r="BO3" s="2"/>
      <c r="BP3" s="2"/>
      <c r="BQ3" s="2"/>
      <c r="BR3" s="2"/>
      <c r="BS3" s="2"/>
      <c r="BT3" s="2"/>
      <c r="BU3" s="2"/>
      <c r="BV3"/>
      <c r="BW3"/>
      <c r="BX3"/>
      <c r="BY3"/>
      <c r="BZ3"/>
      <c r="CA3"/>
      <c r="CB3"/>
      <c r="CC3"/>
      <c r="CD3"/>
      <c r="CE3"/>
      <c r="CF3"/>
      <c r="CG3"/>
    </row>
    <row r="4" spans="1:89" x14ac:dyDescent="0.3">
      <c r="B4" s="1">
        <v>45322.783333333333</v>
      </c>
      <c r="C4">
        <v>28.4499999999999</v>
      </c>
      <c r="D4">
        <f t="shared" ref="D4:D47" si="0">I4/60</f>
        <v>60</v>
      </c>
      <c r="E4" t="s">
        <v>459</v>
      </c>
      <c r="F4" s="2">
        <v>-3.9500000000000004E-3</v>
      </c>
      <c r="G4" s="2">
        <v>0</v>
      </c>
      <c r="H4" s="2">
        <v>4.8399999999999999E-2</v>
      </c>
      <c r="I4">
        <v>3600</v>
      </c>
      <c r="J4">
        <v>3729.8040000000001</v>
      </c>
      <c r="K4">
        <f>(B4-B3)*24*3600</f>
        <v>5159.9999998463318</v>
      </c>
      <c r="L4">
        <f>K4-I4</f>
        <v>1559.9999998463318</v>
      </c>
      <c r="M4" s="47"/>
      <c r="N4">
        <v>6.2528857870469204E-3</v>
      </c>
      <c r="O4">
        <v>2.5735294117646999E-2</v>
      </c>
      <c r="Q4" s="2">
        <v>-2.4698898858835301E-5</v>
      </c>
      <c r="R4" s="2">
        <v>-3.6340364324172898E-7</v>
      </c>
      <c r="S4">
        <v>1.2455882352941101E-3</v>
      </c>
      <c r="T4" s="2">
        <v>6.2576910501714401E-6</v>
      </c>
      <c r="U4" s="2"/>
      <c r="X4" s="2"/>
      <c r="Y4" s="2"/>
      <c r="Z4" s="2"/>
      <c r="AA4" s="2"/>
      <c r="AE4" s="2"/>
      <c r="AF4" s="2"/>
      <c r="AK4" s="47"/>
      <c r="AL4" s="2">
        <f>'Fit Lambdas'!$U$2*(10000/(C4+273))+'Fit Lambdas'!$V$2</f>
        <v>22.195670957632945</v>
      </c>
      <c r="AM4">
        <f>'Fit Lambdas'!$V$4</f>
        <v>6.7480704157997479E-2</v>
      </c>
      <c r="AN4" s="2">
        <f t="shared" ref="AN4:AN67" si="1">EXP(AL4)</f>
        <v>4359708165.866889</v>
      </c>
      <c r="AO4" s="2">
        <f>AM4*AN4</f>
        <v>294196176.95606935</v>
      </c>
      <c r="AP4" s="2">
        <f>AN4*(C4+273)*$C$145*$E$144</f>
        <v>1.2523685381243125E-6</v>
      </c>
      <c r="AQ4" s="2">
        <f t="shared" ref="AQ4:AQ35" si="2">(C4+273)*$C$145*$E$144</f>
        <v>2.8725971796217468E-16</v>
      </c>
      <c r="AR4" s="2"/>
      <c r="AS4" s="2"/>
      <c r="AT4" s="2"/>
      <c r="AU4" s="2"/>
      <c r="AV4" s="22"/>
      <c r="AW4" s="22"/>
      <c r="AX4" s="49"/>
      <c r="AY4" s="47"/>
      <c r="AZ4" s="2"/>
      <c r="BA4" s="2"/>
      <c r="BB4" s="2"/>
      <c r="BC4" s="2"/>
      <c r="BD4" s="2"/>
      <c r="BE4" s="2"/>
      <c r="BF4" s="2"/>
      <c r="BG4" s="2"/>
      <c r="BH4" s="2"/>
      <c r="BI4" s="2"/>
      <c r="BJ4" s="2"/>
      <c r="BK4" s="2"/>
      <c r="BL4" s="2"/>
      <c r="BM4" s="2"/>
      <c r="BN4" s="2"/>
      <c r="BO4" s="2"/>
      <c r="BP4" s="2"/>
      <c r="BQ4" s="2"/>
      <c r="BR4" s="2"/>
      <c r="BS4" s="2"/>
      <c r="BT4" s="2"/>
      <c r="BU4" s="2"/>
      <c r="BV4"/>
      <c r="BX4"/>
      <c r="BY4"/>
      <c r="BZ4"/>
      <c r="CA4"/>
      <c r="CB4"/>
      <c r="CC4"/>
      <c r="CD4"/>
      <c r="CE4"/>
      <c r="CF4"/>
      <c r="CG4"/>
    </row>
    <row r="5" spans="1:89" s="27" customFormat="1" x14ac:dyDescent="0.3">
      <c r="B5" s="28">
        <v>45323.009722222225</v>
      </c>
      <c r="C5" s="27">
        <v>170</v>
      </c>
      <c r="D5" s="27">
        <f t="shared" si="0"/>
        <v>300</v>
      </c>
      <c r="E5" s="27" t="s">
        <v>460</v>
      </c>
      <c r="F5" s="29">
        <v>154</v>
      </c>
      <c r="G5" s="29">
        <v>0</v>
      </c>
      <c r="H5" s="29">
        <v>0.745</v>
      </c>
      <c r="I5" s="27">
        <v>18000</v>
      </c>
      <c r="J5" s="27">
        <v>18061.082999999999</v>
      </c>
      <c r="K5" s="27">
        <f t="shared" ref="K5:K68" si="3">(B5-B4)*24*3600</f>
        <v>19560.000000265427</v>
      </c>
      <c r="L5" s="27">
        <f t="shared" ref="L5:L68" si="4">K5-I5</f>
        <v>1560.0000002654269</v>
      </c>
      <c r="M5" s="47"/>
      <c r="N5" s="27">
        <v>6.2529637407975703E-3</v>
      </c>
      <c r="O5" s="27">
        <v>2.57744396191248E-2</v>
      </c>
      <c r="Q5" s="27">
        <v>0.96295641608282601</v>
      </c>
      <c r="R5" s="27">
        <v>1.40752948105895E-2</v>
      </c>
      <c r="S5" s="27">
        <v>1.9201957516247901E-2</v>
      </c>
      <c r="T5" s="29">
        <v>8.1384481978489596E-5</v>
      </c>
      <c r="U5" s="29"/>
      <c r="V5" s="29">
        <f>(1000*S5/Q5)/$AE$140</f>
        <v>1.9747131635042235E-2</v>
      </c>
      <c r="W5" s="29"/>
      <c r="X5" s="29">
        <f>S5-AVERAGE(S6:S8)</f>
        <v>1.3769740544995284E-2</v>
      </c>
      <c r="Y5" s="29">
        <f>T5+AVERAGE(S6:S8)</f>
        <v>5.5136014532311062E-3</v>
      </c>
      <c r="Z5" s="29"/>
      <c r="AA5" s="29">
        <f>(X5*1000)/Q5</f>
        <v>14.299443167956333</v>
      </c>
      <c r="AB5" s="29">
        <f>2*((1000*Y5/(2*Q5))^2+((R5/2)*1000*X5/(Q5^2))^2)^0.5</f>
        <v>5.7295155880698188</v>
      </c>
      <c r="AC5" s="29">
        <f>AA5/$AE$140</f>
        <v>1.4160685382848004E-2</v>
      </c>
      <c r="AD5" s="29">
        <f>2*(($AF$140*AA5/(2*$AE$140^2))^2+(AB5/($AE$140*2))^2)^0.5</f>
        <v>5.675885809956877E-3</v>
      </c>
      <c r="AE5" s="29">
        <f>SUM(AV$5:$AV5)</f>
        <v>1.1597312084282727</v>
      </c>
      <c r="AF5" s="29" cm="1">
        <f t="array" ref="AF5">2*SQRT(SUM((AW$5:$AW5/2)^2))</f>
        <v>2.6265117316231528E-2</v>
      </c>
      <c r="AG5" s="29">
        <f>Q5</f>
        <v>0.96295641608282601</v>
      </c>
      <c r="AH5" s="29" cm="1">
        <f t="array" ref="AH5">2*SQRT(SUM((R$5:$R5/2)^2))</f>
        <v>1.40752948105895E-2</v>
      </c>
      <c r="AI5" s="29">
        <f>S5</f>
        <v>1.9201957516247901E-2</v>
      </c>
      <c r="AJ5" s="29" cm="1">
        <f t="array" ref="AJ5">2*SQRT(SUM((T$5:$T5/2)^2))</f>
        <v>8.1384481978489596E-5</v>
      </c>
      <c r="AK5" s="47"/>
      <c r="AL5" s="29"/>
      <c r="AN5" s="29"/>
      <c r="AO5" s="29"/>
      <c r="AP5" s="29"/>
      <c r="AQ5" s="29">
        <f t="shared" si="2"/>
        <v>4.2214647555894321E-16</v>
      </c>
      <c r="AR5" s="29"/>
      <c r="AS5" s="29"/>
      <c r="AT5" s="29"/>
      <c r="AU5" s="29"/>
      <c r="AV5" s="23">
        <f>Q5+AT6-AT5</f>
        <v>1.1597312084282727</v>
      </c>
      <c r="AW5" s="23">
        <f>2*(((AU5/2)^2+(AU6/2)^2+(R5/2)^2)^(0.5))</f>
        <v>2.6265117316231528E-2</v>
      </c>
      <c r="AX5" s="50">
        <f>100*(AV5-Q5)/Q5</f>
        <v>20.434444286263695</v>
      </c>
      <c r="AY5" s="47"/>
      <c r="AZ5" s="29">
        <f t="shared" ref="AZ5:AZ36" si="5">IF((273+C5)&gt;=600, 0.00074*EXP(-6613/(1.987*(273+C5)))*128000000000000000*EXP(1174/(1.987*(273+C5))), 0.000304*EXP(-5580/(1.987*(273+C5)))*199000000000000000*EXP(680/(1.987*(273+C5))))</f>
        <v>231290665782.09772</v>
      </c>
      <c r="BA5" s="29">
        <f t="shared" ref="BA5:BA36" si="6">AZ5 * 1.17*EXP(-57/(1.987*(273+C5)))</f>
        <v>253642036662.8316</v>
      </c>
      <c r="BB5" s="29">
        <f>Q5*BD5</f>
        <v>1.038414181362675</v>
      </c>
      <c r="BC5" s="29">
        <f>AQ5*BA5*I5</f>
        <v>1.9273336529545191</v>
      </c>
      <c r="BD5" s="29">
        <f>1/(BC5-1)</f>
        <v>1.0783605197697326</v>
      </c>
      <c r="BE5" s="29">
        <f>BG5*S5</f>
        <v>2.534932935783122E-2</v>
      </c>
      <c r="BF5" s="29">
        <f>AQ5*AZ5*I5</f>
        <v>1.7574937090126923</v>
      </c>
      <c r="BG5" s="29">
        <f>1/(BF5-1)</f>
        <v>1.32014297690127</v>
      </c>
      <c r="BH5" s="29"/>
      <c r="BI5" s="29"/>
      <c r="BJ5" s="29"/>
      <c r="BK5" s="29"/>
      <c r="BL5" s="29">
        <f>BF5*1.29</f>
        <v>2.2671668846263731</v>
      </c>
      <c r="BM5" s="29"/>
      <c r="BN5" s="29"/>
      <c r="BO5" s="29"/>
      <c r="BP5" s="29"/>
      <c r="BQ5" s="29"/>
      <c r="BR5" s="29">
        <f>((1000*S5/Q5))/$AE$140</f>
        <v>1.9747131635042235E-2</v>
      </c>
      <c r="BS5" s="29"/>
      <c r="BT5" s="29"/>
      <c r="BU5" s="29"/>
    </row>
    <row r="6" spans="1:89" s="30" customFormat="1" x14ac:dyDescent="0.3">
      <c r="B6" s="31">
        <v>45323.131944444445</v>
      </c>
      <c r="C6" s="30">
        <v>100</v>
      </c>
      <c r="D6" s="30">
        <f t="shared" si="0"/>
        <v>150</v>
      </c>
      <c r="E6" s="30" t="s">
        <v>446</v>
      </c>
      <c r="F6" s="32">
        <v>9.6199999999999992</v>
      </c>
      <c r="G6" s="32">
        <v>0</v>
      </c>
      <c r="H6" s="32">
        <v>0.129</v>
      </c>
      <c r="I6" s="30">
        <v>9000</v>
      </c>
      <c r="J6" s="30">
        <v>9035.2960000000003</v>
      </c>
      <c r="K6" s="30">
        <f t="shared" si="3"/>
        <v>10559.999999846332</v>
      </c>
      <c r="L6" s="30">
        <f t="shared" si="4"/>
        <v>1559.9999998463318</v>
      </c>
      <c r="M6" s="47"/>
      <c r="N6" s="30">
        <v>6.2521891418563904E-3</v>
      </c>
      <c r="O6" s="30">
        <v>2.5777414075286401E-2</v>
      </c>
      <c r="Q6" s="30">
        <v>6.0146059544658403E-2</v>
      </c>
      <c r="R6" s="30">
        <v>8.3352382929204895E-4</v>
      </c>
      <c r="S6" s="30">
        <v>3.3252864157119399E-3</v>
      </c>
      <c r="T6" s="32">
        <v>1.4783903963577101E-5</v>
      </c>
      <c r="U6" s="32"/>
      <c r="X6" s="32"/>
      <c r="Y6" s="32"/>
      <c r="Z6" s="32"/>
      <c r="AA6" s="32"/>
      <c r="AE6" s="32">
        <f>SUM(AV$5:$AV6)</f>
        <v>1.1597312084282727</v>
      </c>
      <c r="AF6" s="32" cm="1">
        <f t="array" ref="AF6">2*SQRT(SUM((AW$5:$AW6/2)^2))</f>
        <v>2.6265117316231528E-2</v>
      </c>
      <c r="AG6" s="32">
        <f t="shared" ref="AG6:AG37" si="7">AG5+Q6</f>
        <v>1.0231024756274845</v>
      </c>
      <c r="AH6" s="32" cm="1">
        <f t="array" ref="AH6">2*SQRT(SUM((R$5:$R6/2)^2))</f>
        <v>1.4099953403433835E-2</v>
      </c>
      <c r="AI6" s="32">
        <f t="shared" ref="AI6:AI37" si="8">AI5+S6</f>
        <v>2.2527243931959842E-2</v>
      </c>
      <c r="AJ6" s="32" cm="1">
        <f t="array" ref="AJ6">2*SQRT(SUM((T$5:$T6/2)^2))</f>
        <v>8.2716369137622134E-5</v>
      </c>
      <c r="AK6" s="47"/>
      <c r="AL6" s="32">
        <f>'Fit Lambdas'!$U$2*(10000/(C6+273))+'Fit Lambdas'!$V$2</f>
        <v>25.45976456747379</v>
      </c>
      <c r="AM6" s="30">
        <f>'Fit Lambdas'!$V$4</f>
        <v>6.7480704157997479E-2</v>
      </c>
      <c r="AN6" s="32">
        <f>EXP(AL6)</f>
        <v>114034237303.31673</v>
      </c>
      <c r="AO6" s="32">
        <f t="shared" ref="AO6:AO67" si="9">AM6*AN6</f>
        <v>7695110631.3479958</v>
      </c>
      <c r="AP6" s="32">
        <f>AN6*(C6+273)*$C$145*$E$144</f>
        <v>4.053251345654956E-5</v>
      </c>
      <c r="AQ6" s="32">
        <f t="shared" si="2"/>
        <v>3.5544161486114176E-16</v>
      </c>
      <c r="AR6" s="32">
        <f>Q6/(1-EXP(-D6*60*AP6))</f>
        <v>0.19677479234544676</v>
      </c>
      <c r="AS6" s="32">
        <f>2*SQRT(
((R6/2) * (1 / (1 - EXP(-D6 * 60 * AN6 * AQ6))))^2 +
(AO6 * (-Q6 * 60 * D6 * AQ6 * EXP(-D6 * 60 * AN6 * AQ6) / (1 - EXP(-D6 * 60 * AN6 * AQ6))^2))^2
)</f>
        <v>2.2175266934817212E-2</v>
      </c>
      <c r="AT6" s="32">
        <f>AR6</f>
        <v>0.19677479234544676</v>
      </c>
      <c r="AU6" s="32">
        <f>AS6</f>
        <v>2.2175266934817212E-2</v>
      </c>
      <c r="AV6" s="24"/>
      <c r="AW6" s="24"/>
      <c r="AX6" s="51"/>
      <c r="AY6" s="47"/>
      <c r="AZ6" s="32">
        <f t="shared" si="5"/>
        <v>81368987856.687653</v>
      </c>
      <c r="BA6" s="32">
        <f t="shared" si="6"/>
        <v>88154464997.476822</v>
      </c>
      <c r="BB6" s="32"/>
      <c r="BC6" s="32"/>
      <c r="BD6" s="32"/>
      <c r="BE6" s="32"/>
      <c r="BF6" s="32"/>
      <c r="BG6" s="32"/>
      <c r="BH6" s="32"/>
      <c r="BI6" s="32"/>
      <c r="BJ6" s="32"/>
      <c r="BK6" s="32"/>
      <c r="BL6" s="32"/>
      <c r="BM6" s="32"/>
      <c r="BN6" s="32"/>
      <c r="BO6" s="32"/>
      <c r="BP6" s="32"/>
      <c r="BQ6" s="32"/>
      <c r="BR6" s="32"/>
      <c r="BS6" s="32"/>
      <c r="BT6" s="32"/>
      <c r="BU6" s="32"/>
    </row>
    <row r="7" spans="1:89" x14ac:dyDescent="0.3">
      <c r="B7" s="1">
        <v>45323.254166666666</v>
      </c>
      <c r="C7">
        <v>99.99</v>
      </c>
      <c r="D7">
        <f t="shared" si="0"/>
        <v>150</v>
      </c>
      <c r="F7" s="2">
        <v>5.53</v>
      </c>
      <c r="G7" s="2">
        <v>0</v>
      </c>
      <c r="H7" s="2">
        <v>4.02E-2</v>
      </c>
      <c r="I7">
        <v>9000</v>
      </c>
      <c r="J7">
        <v>9026.5049999999992</v>
      </c>
      <c r="K7">
        <f t="shared" si="3"/>
        <v>10559.999999846332</v>
      </c>
      <c r="L7">
        <f t="shared" si="4"/>
        <v>1559.9999998463318</v>
      </c>
      <c r="M7" s="47"/>
      <c r="N7">
        <v>6.2521891418563904E-3</v>
      </c>
      <c r="O7">
        <v>2.5777414075286401E-2</v>
      </c>
      <c r="Q7">
        <v>3.4574605954465799E-2</v>
      </c>
      <c r="R7" s="2">
        <v>4.68804196951972E-4</v>
      </c>
      <c r="S7">
        <v>1.03625204582651E-3</v>
      </c>
      <c r="T7" s="2">
        <v>4.6042688177855197E-6</v>
      </c>
      <c r="U7" s="2"/>
      <c r="X7" s="2"/>
      <c r="Y7" s="2"/>
      <c r="Z7" s="2"/>
      <c r="AA7" s="2"/>
      <c r="AE7" s="2">
        <f>SUM(AV$5:$AV7)</f>
        <v>1.1597312084282727</v>
      </c>
      <c r="AF7" s="2" cm="1">
        <f t="array" ref="AF7">2*SQRT(SUM((AW$5:$AW7/2)^2))</f>
        <v>2.6265117316231528E-2</v>
      </c>
      <c r="AG7" s="2">
        <f t="shared" si="7"/>
        <v>1.0576770815819503</v>
      </c>
      <c r="AH7" s="2" cm="1">
        <f t="array" ref="AH7">2*SQRT(SUM((R$5:$R7/2)^2))</f>
        <v>1.4107744800430902E-2</v>
      </c>
      <c r="AI7" s="2">
        <f t="shared" si="8"/>
        <v>2.3563495977786352E-2</v>
      </c>
      <c r="AJ7" s="2" cm="1">
        <f t="array" ref="AJ7">2*SQRT(SUM((T$5:$T7/2)^2))</f>
        <v>8.2844414504888619E-5</v>
      </c>
      <c r="AK7" s="47"/>
      <c r="AL7" s="2">
        <f>'Fit Lambdas'!$U$2*(10000/(C7+273))+'Fit Lambdas'!$V$2</f>
        <v>25.45939586923167</v>
      </c>
      <c r="AM7">
        <f>'Fit Lambdas'!$V$4</f>
        <v>6.7480704157997479E-2</v>
      </c>
      <c r="AN7" s="2">
        <f t="shared" si="1"/>
        <v>113992200830.34454</v>
      </c>
      <c r="AO7" s="2">
        <f t="shared" si="9"/>
        <v>7692273980.5515146</v>
      </c>
      <c r="AP7" s="2">
        <f>AN7*(C7+273)*$C$145*$E$144</f>
        <v>4.0516485682730825E-5</v>
      </c>
      <c r="AQ7" s="2">
        <f t="shared" si="2"/>
        <v>3.5543208559532784E-16</v>
      </c>
      <c r="AR7" s="2">
        <f>Q7/(1-EXP(-D7*60*AP7))</f>
        <v>0.1131519038032915</v>
      </c>
      <c r="AS7" s="2">
        <f>2*SQRT(
((R7/2) * (1 / (1 - EXP(-D7 * 60 * AN7 * AQ7))))^2 +
(AO7 * (-Q7 * 60 * D7 * AQ7 * EXP(-D7 * 60 * AN7 * AQ7) / (1 - EXP(-D7 * 60 * AN7 * AQ7))^2))^2
)</f>
        <v>1.2748342665580821E-2</v>
      </c>
      <c r="AT7" s="2">
        <f>AT6*EXP(-AP6*D6*60)</f>
        <v>0.13662873280078836</v>
      </c>
      <c r="AU7" s="2">
        <f>2*((((AU6/2)*EXP(-AP6*D6*60))^2+(AT6*EXP(-AP6*D6*60)*D6*60*AO6*AP6/AN6)^2)^0.5)</f>
        <v>1.6802410644597237E-2</v>
      </c>
      <c r="AV7" s="22"/>
      <c r="AW7" s="22"/>
      <c r="AX7" s="49"/>
      <c r="AY7" s="47"/>
      <c r="AZ7" s="2">
        <f t="shared" si="5"/>
        <v>81354566284.197021</v>
      </c>
      <c r="BA7" s="2">
        <f t="shared" si="6"/>
        <v>88138659054.577789</v>
      </c>
      <c r="BB7" s="2"/>
      <c r="BC7" s="2"/>
      <c r="BD7" s="2"/>
      <c r="BE7" s="2"/>
      <c r="BF7" s="2"/>
      <c r="BG7" s="2"/>
      <c r="BH7" s="2"/>
      <c r="BI7" s="2"/>
      <c r="BJ7" s="2"/>
      <c r="BK7" s="2"/>
      <c r="BL7" s="2"/>
      <c r="BM7" s="2"/>
      <c r="BN7" s="2"/>
      <c r="BO7" s="2"/>
      <c r="BP7" s="2"/>
      <c r="BQ7" s="2"/>
      <c r="BR7" s="2"/>
      <c r="BS7" s="2"/>
      <c r="BT7" s="2"/>
      <c r="BU7" s="2"/>
      <c r="BV7"/>
      <c r="BW7"/>
      <c r="BX7"/>
      <c r="BY7"/>
      <c r="BZ7"/>
      <c r="CA7"/>
      <c r="CB7"/>
      <c r="CC7"/>
      <c r="CD7"/>
      <c r="CE7"/>
      <c r="CF7"/>
      <c r="CG7"/>
    </row>
    <row r="8" spans="1:89" x14ac:dyDescent="0.3">
      <c r="B8" s="1">
        <v>45323.381944444445</v>
      </c>
      <c r="C8">
        <v>99.99</v>
      </c>
      <c r="D8">
        <f t="shared" si="0"/>
        <v>150</v>
      </c>
      <c r="F8" s="2">
        <v>3.56</v>
      </c>
      <c r="G8" s="2">
        <v>0</v>
      </c>
      <c r="H8" s="2">
        <v>0.46300000000000002</v>
      </c>
      <c r="I8">
        <v>9000</v>
      </c>
      <c r="J8">
        <v>9018.1039999999994</v>
      </c>
      <c r="K8">
        <f t="shared" si="3"/>
        <v>11040.000000153668</v>
      </c>
      <c r="L8">
        <f t="shared" si="4"/>
        <v>2040.0000001536682</v>
      </c>
      <c r="M8" s="47"/>
      <c r="N8">
        <v>6.2521243252184402E-3</v>
      </c>
      <c r="O8">
        <v>2.5777780674340101E-2</v>
      </c>
      <c r="Q8">
        <v>2.22575625977776E-2</v>
      </c>
      <c r="R8" s="2">
        <v>3.1133036438311598E-4</v>
      </c>
      <c r="S8">
        <v>1.19351124522194E-2</v>
      </c>
      <c r="T8" s="2">
        <v>4.9936244550118001E-5</v>
      </c>
      <c r="U8" s="2"/>
      <c r="X8" s="2"/>
      <c r="Y8" s="2"/>
      <c r="Z8" s="2"/>
      <c r="AA8" s="2"/>
      <c r="AE8" s="2">
        <f>SUM(AV$5:$AV8)</f>
        <v>1.1597312084282727</v>
      </c>
      <c r="AF8" s="2" cm="1">
        <f t="array" ref="AF8">2*SQRT(SUM((AW$5:$AW8/2)^2))</f>
        <v>2.6265117316231528E-2</v>
      </c>
      <c r="AG8" s="2">
        <f t="shared" si="7"/>
        <v>1.079934644179728</v>
      </c>
      <c r="AH8" s="2" cm="1">
        <f t="array" ref="AH8">2*SQRT(SUM((R$5:$R8/2)^2))</f>
        <v>1.4111179608731232E-2</v>
      </c>
      <c r="AI8" s="2">
        <f t="shared" si="8"/>
        <v>3.5498608430005754E-2</v>
      </c>
      <c r="AJ8" s="2" cm="1">
        <f t="array" ref="AJ8">2*SQRT(SUM((T$5:$T8/2)^2))</f>
        <v>9.6730685588529718E-5</v>
      </c>
      <c r="AK8" s="47"/>
      <c r="AL8" s="2">
        <f>'Fit Lambdas'!$U$2*(10000/(C8+273))+'Fit Lambdas'!$V$2</f>
        <v>25.45939586923167</v>
      </c>
      <c r="AM8">
        <f>'Fit Lambdas'!$V$4</f>
        <v>6.7480704157997479E-2</v>
      </c>
      <c r="AN8" s="2">
        <f t="shared" si="1"/>
        <v>113992200830.34454</v>
      </c>
      <c r="AO8" s="2">
        <f t="shared" si="9"/>
        <v>7692273980.5515146</v>
      </c>
      <c r="AP8" s="2">
        <f>AN8*(C8+273)*$C$145*$E$144</f>
        <v>4.0516485682730825E-5</v>
      </c>
      <c r="AQ8" s="2">
        <f t="shared" si="2"/>
        <v>3.5543208559532784E-16</v>
      </c>
      <c r="AR8" s="2">
        <f>Q8/(1-EXP(-D8*60*AP8))</f>
        <v>7.2842061751225026E-2</v>
      </c>
      <c r="AS8" s="2">
        <f>2*SQRT(
((R8/2) * (1 / (1 - EXP(-D8 * 60 * AN8 * AQ8))))^2 +
(AO8 * (-Q8 * 60 * D8 * AQ8 * EXP(-D8 * 60 * AN8 * AQ8) / (1 - EXP(-D8 * 60 * AN8 * AQ8))^2))^2
)</f>
        <v>8.2106187312203406E-3</v>
      </c>
      <c r="AT8" s="2">
        <f>AT7*EXP(-AP7*D7*60)</f>
        <v>9.4880565603730205E-2</v>
      </c>
      <c r="AU8" s="2">
        <f>2*((((AU7/2)*EXP(-AP7*D7*60))^2+(AT7*EXP(-AP7*D7*60)*D7*60*AO7*AP7/AN7)^2)^0.5)</f>
        <v>1.2567897460629066E-2</v>
      </c>
      <c r="AV8" s="22"/>
      <c r="AW8" s="22"/>
      <c r="AX8" s="49"/>
      <c r="AY8" s="47"/>
      <c r="AZ8" s="2">
        <f t="shared" si="5"/>
        <v>81354566284.197021</v>
      </c>
      <c r="BA8" s="2">
        <f t="shared" si="6"/>
        <v>88138659054.577789</v>
      </c>
      <c r="BB8" s="2"/>
      <c r="BC8" s="2"/>
      <c r="BD8" s="2"/>
      <c r="BE8" s="2"/>
      <c r="BF8" s="2"/>
      <c r="BG8" s="2"/>
      <c r="BH8" s="2"/>
      <c r="BI8" s="2"/>
      <c r="BJ8" s="2"/>
      <c r="BK8" s="2"/>
      <c r="BL8" s="2"/>
      <c r="BM8" s="2"/>
      <c r="BN8" s="2"/>
      <c r="BO8" s="2"/>
      <c r="BP8" s="2"/>
      <c r="BQ8" s="2"/>
      <c r="BR8" s="2"/>
      <c r="BS8" s="2"/>
      <c r="BT8" s="2"/>
      <c r="BU8" s="2"/>
      <c r="BV8"/>
      <c r="BW8"/>
      <c r="BX8"/>
      <c r="BY8"/>
      <c r="BZ8"/>
      <c r="CA8"/>
      <c r="CB8"/>
      <c r="CC8"/>
      <c r="CD8"/>
      <c r="CE8"/>
      <c r="CF8"/>
      <c r="CG8"/>
    </row>
    <row r="9" spans="1:89" s="27" customFormat="1" x14ac:dyDescent="0.3">
      <c r="B9" s="28">
        <v>45323.818055555559</v>
      </c>
      <c r="C9" s="27">
        <v>180</v>
      </c>
      <c r="D9" s="27">
        <f t="shared" si="0"/>
        <v>463</v>
      </c>
      <c r="E9" s="27" t="s">
        <v>460</v>
      </c>
      <c r="F9" s="29">
        <v>87.3</v>
      </c>
      <c r="G9" s="29">
        <v>0</v>
      </c>
      <c r="H9" s="29">
        <v>1.18</v>
      </c>
      <c r="I9" s="27">
        <v>27780</v>
      </c>
      <c r="J9" s="27">
        <v>27819.784</v>
      </c>
      <c r="K9" s="27">
        <f t="shared" si="3"/>
        <v>37680.000000237487</v>
      </c>
      <c r="L9" s="27">
        <f t="shared" si="4"/>
        <v>9900.0000002374873</v>
      </c>
      <c r="M9" s="47"/>
      <c r="N9" s="27">
        <v>6.2334954392487003E-3</v>
      </c>
      <c r="O9" s="27">
        <v>2.5819672131147501E-2</v>
      </c>
      <c r="Q9" s="27">
        <v>0.544184151846411</v>
      </c>
      <c r="R9" s="27">
        <v>8.2091700363973799E-3</v>
      </c>
      <c r="S9" s="27">
        <v>3.0467213114754099E-2</v>
      </c>
      <c r="T9" s="29">
        <v>1.21981892043964E-4</v>
      </c>
      <c r="U9" s="29"/>
      <c r="V9" s="29">
        <f>(1000*S9/Q9)/$AE$140</f>
        <v>5.5443672373077464E-2</v>
      </c>
      <c r="W9" s="29"/>
      <c r="X9" s="29">
        <f>S9-AVERAGE(S10:S12)</f>
        <v>2.5207707569091801E-2</v>
      </c>
      <c r="Y9" s="29">
        <f>T9+AVERAGE(S10:S12)</f>
        <v>5.3814874377062618E-3</v>
      </c>
      <c r="Z9" s="29"/>
      <c r="AA9" s="29">
        <f>(X9*1000)/Q9</f>
        <v>46.322017066396221</v>
      </c>
      <c r="AB9" s="29">
        <f>2*((1000*Y9/(2*Q9))^2+((R9/2)*1000*X9/(Q9^2))^2)^0.5</f>
        <v>9.9137503299082823</v>
      </c>
      <c r="AC9" s="29">
        <f>AA9/$AE$140</f>
        <v>4.587252120740453E-2</v>
      </c>
      <c r="AD9" s="29">
        <f>2*(($AF$140*AA9/(2*$AE$140^2))^2+(AB9/($AE$140*2))^2)^0.5</f>
        <v>9.8294794216970943E-3</v>
      </c>
      <c r="AE9" s="29">
        <f>SUM(AV$5:$AV9)</f>
        <v>1.709452620528715</v>
      </c>
      <c r="AF9" s="29" cm="1">
        <f t="array" ref="AF9">2*SQRT(SUM((AW$5:$AW9/2)^2))</f>
        <v>3.0780175761964776E-2</v>
      </c>
      <c r="AG9" s="29">
        <f t="shared" si="7"/>
        <v>1.624118796026139</v>
      </c>
      <c r="AH9" s="29" cm="1">
        <f t="array" ref="AH9">2*SQRT(SUM((R$5:$R9/2)^2))</f>
        <v>1.6325313553998182E-2</v>
      </c>
      <c r="AI9" s="29">
        <f t="shared" si="8"/>
        <v>6.5965821544759856E-2</v>
      </c>
      <c r="AJ9" s="29" cm="1">
        <f t="array" ref="AJ9">2*SQRT(SUM((T$5:$T9/2)^2))</f>
        <v>1.5568046608695736E-4</v>
      </c>
      <c r="AK9" s="47"/>
      <c r="AL9" s="29"/>
      <c r="AN9" s="29"/>
      <c r="AO9" s="29"/>
      <c r="AP9" s="29"/>
      <c r="AQ9" s="29">
        <f t="shared" si="2"/>
        <v>4.3167574137291486E-16</v>
      </c>
      <c r="AR9" s="29"/>
      <c r="AS9" s="29"/>
      <c r="AT9" s="29">
        <f>AT8-Q8</f>
        <v>7.2623003005952605E-2</v>
      </c>
      <c r="AU9" s="29">
        <f>AU8+R8</f>
        <v>1.2879227825012182E-2</v>
      </c>
      <c r="AV9" s="23">
        <f>Q9+AT10-AT9</f>
        <v>0.54972141210044234</v>
      </c>
      <c r="AW9" s="23">
        <f>2*(((AU9/2)^2+(AU10/2)^2+(R9/2)^2)^(0.5))</f>
        <v>1.6048764198592941E-2</v>
      </c>
      <c r="AX9" s="50">
        <f>100*(AV9-Q9)/Q9</f>
        <v>1.0175342731396118</v>
      </c>
      <c r="AY9" s="47"/>
      <c r="AZ9" s="29">
        <f t="shared" si="5"/>
        <v>261532741027.58316</v>
      </c>
      <c r="BA9" s="29">
        <f t="shared" si="6"/>
        <v>287216907620.47778</v>
      </c>
      <c r="BB9" s="29">
        <f>Q9*BD9</f>
        <v>0.22263472860867081</v>
      </c>
      <c r="BC9" s="29">
        <f>AQ9*BA9*I9</f>
        <v>3.4442913971563418</v>
      </c>
      <c r="BD9" s="29">
        <f>1/(BC9-1)</f>
        <v>0.40911652398048265</v>
      </c>
      <c r="BE9" s="29">
        <f>BG9*S9</f>
        <v>1.4261752939396678E-2</v>
      </c>
      <c r="BF9" s="29">
        <f>AQ9*AZ9*I9</f>
        <v>3.1362881017656283</v>
      </c>
      <c r="BG9" s="29">
        <f>1/(BF9-1)</f>
        <v>0.46810165687554334</v>
      </c>
      <c r="BH9" s="29"/>
      <c r="BI9" s="29"/>
      <c r="BJ9" s="29"/>
      <c r="BK9" s="29"/>
      <c r="BL9" s="29">
        <f>BF9*1.29</f>
        <v>4.0458116512776607</v>
      </c>
      <c r="BM9" s="29"/>
      <c r="BN9" s="29"/>
      <c r="BO9" s="29"/>
      <c r="BP9" s="29"/>
      <c r="BQ9" s="29"/>
      <c r="BR9" s="29">
        <f>((1000*S9/Q9))/$AE$140</f>
        <v>5.5443672373077464E-2</v>
      </c>
      <c r="BS9" s="29"/>
      <c r="BT9" s="29"/>
      <c r="BU9" s="29"/>
    </row>
    <row r="10" spans="1:89" x14ac:dyDescent="0.3">
      <c r="B10" s="1">
        <v>45324.597222222219</v>
      </c>
      <c r="C10">
        <v>95.389999999999901</v>
      </c>
      <c r="D10">
        <f t="shared" si="0"/>
        <v>150</v>
      </c>
      <c r="F10" s="2">
        <v>6.87</v>
      </c>
      <c r="G10" s="2">
        <v>0</v>
      </c>
      <c r="H10" s="2">
        <v>0.32600000000000001</v>
      </c>
      <c r="I10">
        <v>9000</v>
      </c>
      <c r="J10">
        <v>65932.548999999999</v>
      </c>
      <c r="K10">
        <f t="shared" si="3"/>
        <v>67319.999999413267</v>
      </c>
      <c r="L10">
        <f t="shared" si="4"/>
        <v>58319.999999413267</v>
      </c>
      <c r="M10" s="47"/>
      <c r="N10">
        <v>6.2327766615566504E-3</v>
      </c>
      <c r="O10">
        <v>2.5824354585140898E-2</v>
      </c>
      <c r="Q10">
        <v>4.2819175664894203E-2</v>
      </c>
      <c r="R10">
        <v>7.8537599192450797E-4</v>
      </c>
      <c r="S10">
        <v>8.4187395947559595E-3</v>
      </c>
      <c r="T10" s="2">
        <v>3.2756365185960901E-5</v>
      </c>
      <c r="U10" s="2"/>
      <c r="X10" s="2"/>
      <c r="Y10" s="2"/>
      <c r="Z10" s="2"/>
      <c r="AA10" s="2"/>
      <c r="AE10" s="2">
        <f>SUM(AV$5:$AV10)</f>
        <v>1.709452620528715</v>
      </c>
      <c r="AF10" s="2" cm="1">
        <f t="array" ref="AF10">2*SQRT(SUM((AW$5:$AW10/2)^2))</f>
        <v>3.0780175761964776E-2</v>
      </c>
      <c r="AG10" s="2">
        <f t="shared" si="7"/>
        <v>1.6669379716910331</v>
      </c>
      <c r="AH10" s="2" cm="1">
        <f t="array" ref="AH10">2*SQRT(SUM((R$5:$R10/2)^2))</f>
        <v>1.6344194017602953E-2</v>
      </c>
      <c r="AI10" s="2">
        <f t="shared" si="8"/>
        <v>7.4384561139515817E-2</v>
      </c>
      <c r="AJ10" s="2" cm="1">
        <f t="array" ref="AJ10">2*SQRT(SUM((T$5:$T10/2)^2))</f>
        <v>1.5908924219207378E-4</v>
      </c>
      <c r="AK10" s="47"/>
      <c r="AL10" s="2">
        <f>'Fit Lambdas'!$U$2*(10000/(C10+273))+'Fit Lambdas'!$V$2</f>
        <v>25.287672303491295</v>
      </c>
      <c r="AM10">
        <f>'Fit Lambdas'!$V$4</f>
        <v>6.7480704157997479E-2</v>
      </c>
      <c r="AN10" s="2">
        <f t="shared" si="1"/>
        <v>96005594570.406982</v>
      </c>
      <c r="AO10" s="2">
        <f t="shared" si="9"/>
        <v>6478525124.7182827</v>
      </c>
      <c r="AP10" s="2">
        <f>AN10*(C10+273)*$C$145*$E$144</f>
        <v>3.370263180504592E-5</v>
      </c>
      <c r="AQ10" s="2">
        <f t="shared" si="2"/>
        <v>3.5104862332090079E-16</v>
      </c>
      <c r="AR10" s="2">
        <f>Q10/(1-EXP(-D10*60*AP10))</f>
        <v>0.1636568781429017</v>
      </c>
      <c r="AS10" s="2">
        <f>2*SQRT(
((R10/2) * (1 / (1 - EXP(-D10 * 60 * AN10 * AQ10))))^2 +
(AO10 * (-Q10 * 60 * D10 * AQ10 * EXP(-D10 * 60 * AN10 * AQ10) / (1 - EXP(-D10 * 60 * AN10 * AQ10))^2))^2
)</f>
        <v>1.9143444989513619E-2</v>
      </c>
      <c r="AT10" s="2">
        <f>AT11+Q10</f>
        <v>7.8160263259983917E-2</v>
      </c>
      <c r="AU10" s="2">
        <f>AU11+R10</f>
        <v>4.9292849630535613E-3</v>
      </c>
      <c r="AV10" s="22"/>
      <c r="AW10" s="22"/>
      <c r="AX10" s="49"/>
      <c r="AY10" s="47"/>
      <c r="AZ10" s="2">
        <f t="shared" si="5"/>
        <v>74907986283.340973</v>
      </c>
      <c r="BA10" s="2">
        <f t="shared" si="6"/>
        <v>81076604496.592361</v>
      </c>
      <c r="BB10" s="2"/>
      <c r="BC10" s="2"/>
      <c r="BD10" s="2"/>
      <c r="BE10" s="2"/>
      <c r="BF10" s="2"/>
      <c r="BG10" s="2"/>
      <c r="BH10" s="2"/>
      <c r="BI10" s="2"/>
      <c r="BJ10" s="2"/>
      <c r="BK10" s="2"/>
      <c r="BL10" s="2"/>
      <c r="BM10" s="2"/>
      <c r="BN10" s="2"/>
      <c r="BO10" s="2"/>
      <c r="BP10" s="2"/>
      <c r="BQ10" s="2"/>
      <c r="BR10" s="2"/>
      <c r="BS10" s="2"/>
      <c r="BT10" s="2"/>
      <c r="BU10" s="2"/>
      <c r="BV10"/>
      <c r="BW10"/>
      <c r="BX10"/>
      <c r="BY10"/>
      <c r="BZ10"/>
      <c r="CA10"/>
      <c r="CB10"/>
      <c r="CC10"/>
      <c r="CD10"/>
      <c r="CE10"/>
      <c r="CF10"/>
      <c r="CG10"/>
    </row>
    <row r="11" spans="1:89" s="30" customFormat="1" x14ac:dyDescent="0.3">
      <c r="B11" s="31">
        <v>45324.719444444447</v>
      </c>
      <c r="C11" s="30">
        <v>95</v>
      </c>
      <c r="D11" s="30">
        <f t="shared" si="0"/>
        <v>150</v>
      </c>
      <c r="E11" s="30" t="s">
        <v>446</v>
      </c>
      <c r="F11" s="32">
        <v>1.46</v>
      </c>
      <c r="G11" s="32">
        <v>0</v>
      </c>
      <c r="H11" s="32">
        <v>2.9600000000000001E-2</v>
      </c>
      <c r="I11" s="30">
        <v>9000</v>
      </c>
      <c r="J11" s="30">
        <v>9038.848</v>
      </c>
      <c r="K11" s="30">
        <f t="shared" si="3"/>
        <v>10560.000000474975</v>
      </c>
      <c r="L11" s="30">
        <f t="shared" si="4"/>
        <v>1560.0000004749745</v>
      </c>
      <c r="M11" s="47"/>
      <c r="N11" s="30">
        <v>6.2480448958466498E-3</v>
      </c>
      <c r="O11" s="30">
        <v>2.5854017564152201E-2</v>
      </c>
      <c r="Q11" s="30">
        <v>9.1221455479361096E-3</v>
      </c>
      <c r="R11" s="32">
        <v>1.6709173124304199E-4</v>
      </c>
      <c r="S11" s="30">
        <v>7.6527891989890497E-4</v>
      </c>
      <c r="T11" s="32">
        <v>2.9757551386621998E-6</v>
      </c>
      <c r="U11" s="32"/>
      <c r="X11" s="32"/>
      <c r="Y11" s="32"/>
      <c r="Z11" s="32"/>
      <c r="AA11" s="32"/>
      <c r="AE11" s="32">
        <f>SUM(AV$5:$AV11)</f>
        <v>1.709452620528715</v>
      </c>
      <c r="AF11" s="32" cm="1">
        <f t="array" ref="AF11">2*SQRT(SUM((AW$5:$AW11/2)^2))</f>
        <v>3.0780175761964776E-2</v>
      </c>
      <c r="AG11" s="32">
        <f t="shared" si="7"/>
        <v>1.6760601172389691</v>
      </c>
      <c r="AH11" s="32" cm="1">
        <f t="array" ref="AH11">2*SQRT(SUM((R$5:$R11/2)^2))</f>
        <v>1.6345048110412458E-2</v>
      </c>
      <c r="AI11" s="32">
        <f t="shared" si="8"/>
        <v>7.5149840059414719E-2</v>
      </c>
      <c r="AJ11" s="32" cm="1">
        <f t="array" ref="AJ11">2*SQRT(SUM((T$5:$T11/2)^2))</f>
        <v>1.5911707042267208E-4</v>
      </c>
      <c r="AK11" s="47"/>
      <c r="AL11" s="32">
        <f>'Fit Lambdas'!$U$2*(10000/(C11+273))+'Fit Lambdas'!$V$2</f>
        <v>25.272915712407681</v>
      </c>
      <c r="AM11" s="30">
        <f>'Fit Lambdas'!$V$4</f>
        <v>6.7480704157997479E-2</v>
      </c>
      <c r="AN11" s="32">
        <f t="shared" si="1"/>
        <v>94599280986.297607</v>
      </c>
      <c r="AO11" s="32">
        <f t="shared" si="9"/>
        <v>6383626093.7956247</v>
      </c>
      <c r="AP11" s="32">
        <f>AN11*(C11+273)*$C$145*$E$144</f>
        <v>3.3173790351308016E-5</v>
      </c>
      <c r="AQ11" s="32">
        <f t="shared" si="2"/>
        <v>3.5067698195415599E-16</v>
      </c>
      <c r="AR11" s="32">
        <f>Q11/(1-EXP(-D11*60*AP11))</f>
        <v>3.5341087595089714E-2</v>
      </c>
      <c r="AS11" s="32">
        <f>2*SQRT(
((R11/2) * (1 / (1 - EXP(-D11 * 60 * AN11 * AQ11))))^2 +
(AO11 * (-Q11 * 60 * D11 * AQ11 * EXP(-D11 * 60 * AN11 * AQ11) / (1 - EXP(-D11 * 60 * AN11 * AQ11))^2))^2
)</f>
        <v>4.143908971129053E-3</v>
      </c>
      <c r="AT11" s="32">
        <f>AR11</f>
        <v>3.5341087595089714E-2</v>
      </c>
      <c r="AU11" s="32">
        <f>AS11</f>
        <v>4.143908971129053E-3</v>
      </c>
      <c r="AV11" s="24"/>
      <c r="AW11" s="24"/>
      <c r="AX11" s="51"/>
      <c r="AY11" s="47"/>
      <c r="AZ11" s="32">
        <f t="shared" si="5"/>
        <v>74378450025.067627</v>
      </c>
      <c r="BA11" s="32">
        <f t="shared" si="6"/>
        <v>80496818032.103622</v>
      </c>
      <c r="BB11" s="32"/>
      <c r="BC11" s="32"/>
      <c r="BD11" s="32"/>
      <c r="BE11" s="32"/>
      <c r="BF11" s="32"/>
      <c r="BG11" s="32"/>
      <c r="BH11" s="32"/>
      <c r="BI11" s="32"/>
      <c r="BJ11" s="32"/>
      <c r="BK11" s="32"/>
      <c r="BL11" s="32"/>
      <c r="BM11" s="32"/>
      <c r="BN11" s="32"/>
      <c r="BO11" s="32"/>
      <c r="BP11" s="32"/>
      <c r="BQ11" s="32"/>
      <c r="BR11" s="32"/>
      <c r="BS11" s="32"/>
      <c r="BT11" s="32"/>
      <c r="BU11" s="32"/>
    </row>
    <row r="12" spans="1:89" x14ac:dyDescent="0.3">
      <c r="B12" s="1">
        <v>45324.842361111114</v>
      </c>
      <c r="C12">
        <v>95</v>
      </c>
      <c r="D12">
        <f t="shared" si="0"/>
        <v>150</v>
      </c>
      <c r="F12" s="2">
        <v>0.95499999999999996</v>
      </c>
      <c r="G12" s="2">
        <v>0</v>
      </c>
      <c r="H12" s="2">
        <v>0.255</v>
      </c>
      <c r="I12">
        <v>9000</v>
      </c>
      <c r="J12">
        <v>9037.7240000000002</v>
      </c>
      <c r="K12">
        <f t="shared" si="3"/>
        <v>10620.00000004191</v>
      </c>
      <c r="L12">
        <f t="shared" si="4"/>
        <v>1620.0000000419095</v>
      </c>
      <c r="M12" s="47"/>
      <c r="N12">
        <v>6.25053522444284E-3</v>
      </c>
      <c r="O12">
        <v>2.5860776950321698E-2</v>
      </c>
      <c r="Q12">
        <v>5.9692611393429096E-3</v>
      </c>
      <c r="R12" s="2">
        <v>1.0929331427631799E-4</v>
      </c>
      <c r="S12">
        <v>6.5944981223320298E-3</v>
      </c>
      <c r="T12" s="2">
        <v>2.5712037153408399E-5</v>
      </c>
      <c r="U12" s="2"/>
      <c r="X12" s="2"/>
      <c r="Y12" s="2"/>
      <c r="Z12" s="2"/>
      <c r="AA12" s="2"/>
      <c r="AE12" s="2">
        <f>SUM(AV$5:$AV12)</f>
        <v>1.709452620528715</v>
      </c>
      <c r="AF12" s="2" cm="1">
        <f t="array" ref="AF12">2*SQRT(SUM((AW$5:$AW12/2)^2))</f>
        <v>3.0780175761964776E-2</v>
      </c>
      <c r="AG12" s="2">
        <f t="shared" si="7"/>
        <v>1.682029378378312</v>
      </c>
      <c r="AH12" s="2" cm="1">
        <f t="array" ref="AH12">2*SQRT(SUM((R$5:$R12/2)^2))</f>
        <v>1.6345413508389545E-2</v>
      </c>
      <c r="AI12" s="2">
        <f t="shared" si="8"/>
        <v>8.1744338181746742E-2</v>
      </c>
      <c r="AJ12" s="2" cm="1">
        <f t="array" ref="AJ12">2*SQRT(SUM((T$5:$T12/2)^2))</f>
        <v>1.6118111227582418E-4</v>
      </c>
      <c r="AK12" s="47"/>
      <c r="AL12" s="2">
        <f>'Fit Lambdas'!$U$2*(10000/(C12+273))+'Fit Lambdas'!$V$2</f>
        <v>25.272915712407681</v>
      </c>
      <c r="AM12">
        <f>'Fit Lambdas'!$V$4</f>
        <v>6.7480704157997479E-2</v>
      </c>
      <c r="AN12" s="2">
        <f t="shared" si="1"/>
        <v>94599280986.297607</v>
      </c>
      <c r="AO12" s="2">
        <f t="shared" si="9"/>
        <v>6383626093.7956247</v>
      </c>
      <c r="AP12" s="2">
        <f>AN12*(C12+273)*$C$145*$E$144</f>
        <v>3.3173790351308016E-5</v>
      </c>
      <c r="AQ12" s="2">
        <f t="shared" si="2"/>
        <v>3.5067698195415599E-16</v>
      </c>
      <c r="AR12" s="2">
        <f>Q12/(1-EXP(-D12*60*AP12))</f>
        <v>2.3126158171332036E-2</v>
      </c>
      <c r="AS12" s="2">
        <f>2*SQRT(
((R12/2) * (1 / (1 - EXP(-D12 * 60 * AN12 * AQ12))))^2 +
(AO12 * (-Q12 * 60 * D12 * AQ12 * EXP(-D12 * 60 * AN12 * AQ12) / (1 - EXP(-D12 * 60 * AN12 * AQ12))^2))^2
)</f>
        <v>2.7116227975037405E-3</v>
      </c>
      <c r="AT12" s="2">
        <f>AT11*EXP(-AP11*D11*60)</f>
        <v>2.6218942047153609E-2</v>
      </c>
      <c r="AU12" s="2">
        <f>2*((((AU11/2)*EXP(-AP11*D11*60))^2+(AT11*EXP(-AP11*D11*60)*D11*60*AO11*AP11/AN11)^2)^0.5)</f>
        <v>3.2507602049069843E-3</v>
      </c>
      <c r="AV12" s="22"/>
      <c r="AW12" s="22"/>
      <c r="AX12" s="49"/>
      <c r="AY12" s="47"/>
      <c r="AZ12" s="2">
        <f t="shared" si="5"/>
        <v>74378450025.067627</v>
      </c>
      <c r="BA12" s="2">
        <f t="shared" si="6"/>
        <v>80496818032.103622</v>
      </c>
      <c r="BB12" s="2"/>
      <c r="BC12" s="2"/>
      <c r="BD12" s="2"/>
      <c r="BE12" s="2"/>
      <c r="BF12" s="2"/>
      <c r="BG12" s="2"/>
      <c r="BH12" s="2"/>
      <c r="BI12" s="2"/>
      <c r="BJ12" s="2"/>
      <c r="BK12" s="2"/>
      <c r="BL12" s="2"/>
      <c r="BM12" s="2"/>
      <c r="BN12" s="2"/>
      <c r="BO12" s="2"/>
      <c r="BP12" s="2"/>
      <c r="BQ12" s="2"/>
      <c r="BR12" s="2"/>
      <c r="BS12" s="2"/>
      <c r="BT12" s="2"/>
      <c r="BU12" s="2"/>
      <c r="BV12"/>
      <c r="BW12"/>
      <c r="BX12"/>
      <c r="BY12"/>
      <c r="BZ12"/>
      <c r="CA12"/>
      <c r="CB12"/>
      <c r="CC12"/>
      <c r="CD12"/>
      <c r="CE12"/>
      <c r="CF12"/>
      <c r="CG12"/>
    </row>
    <row r="13" spans="1:89" s="27" customFormat="1" x14ac:dyDescent="0.3">
      <c r="B13" s="28">
        <v>45325.242361111108</v>
      </c>
      <c r="C13" s="27">
        <v>190</v>
      </c>
      <c r="D13" s="27">
        <f t="shared" si="0"/>
        <v>550</v>
      </c>
      <c r="E13" s="27" t="s">
        <v>460</v>
      </c>
      <c r="F13" s="29">
        <v>85.1</v>
      </c>
      <c r="G13" s="29">
        <v>0</v>
      </c>
      <c r="H13" s="29">
        <v>2.16</v>
      </c>
      <c r="I13" s="27">
        <v>33000</v>
      </c>
      <c r="J13" s="27">
        <v>33053.235999999997</v>
      </c>
      <c r="K13" s="27">
        <f t="shared" si="3"/>
        <v>34559.999999497086</v>
      </c>
      <c r="L13" s="27">
        <f t="shared" si="4"/>
        <v>1559.9999994970858</v>
      </c>
      <c r="M13" s="47"/>
      <c r="N13" s="27">
        <v>6.2185856468089098E-3</v>
      </c>
      <c r="O13" s="27">
        <v>2.5819672131147501E-2</v>
      </c>
      <c r="Q13" s="27">
        <v>0.52920163854343805</v>
      </c>
      <c r="R13" s="27">
        <v>9.7007569772466894E-3</v>
      </c>
      <c r="S13" s="27">
        <v>5.5770491803278699E-2</v>
      </c>
      <c r="T13" s="29">
        <v>2.3349086225683501E-4</v>
      </c>
      <c r="U13" s="29"/>
      <c r="V13" s="29">
        <f>(1000*S13/Q13)/$AE$140</f>
        <v>0.10436345349952697</v>
      </c>
      <c r="W13" s="29"/>
      <c r="X13" s="29">
        <f>S13-AVERAGE(S14:S16)</f>
        <v>5.2428438395142891E-2</v>
      </c>
      <c r="Y13" s="29">
        <f>T13+AVERAGE(S14:S16)</f>
        <v>3.5755442703926449E-3</v>
      </c>
      <c r="Z13" s="29"/>
      <c r="AA13" s="29">
        <f>(X13*1000)/Q13</f>
        <v>99.070816446157792</v>
      </c>
      <c r="AB13" s="29">
        <f>2*((1000*Y13/(2*Q13))^2+((R13/2)*1000*X13/(Q13^2))^2)^0.5</f>
        <v>6.9962988457558204</v>
      </c>
      <c r="AC13" s="29">
        <f>AA13/$AE$140</f>
        <v>9.81094610354976E-2</v>
      </c>
      <c r="AD13" s="29">
        <f>2*(($AF$140*AA13/(2*$AE$140^2))^2+(AB13/($AE$140*2))^2)^0.5</f>
        <v>7.0053504136207449E-3</v>
      </c>
      <c r="AE13" s="29">
        <f>SUM(AV$5:$AV13)</f>
        <v>2.2871510619484905</v>
      </c>
      <c r="AF13" s="29" cm="1">
        <f t="array" ref="AF13">2*SQRT(SUM((AW$5:$AW13/2)^2))</f>
        <v>3.3393535607375201E-2</v>
      </c>
      <c r="AG13" s="29">
        <f t="shared" si="7"/>
        <v>2.2112310169217499</v>
      </c>
      <c r="AH13" s="29" cm="1">
        <f t="array" ref="AH13">2*SQRT(SUM((R$5:$R13/2)^2))</f>
        <v>1.900729409179128E-2</v>
      </c>
      <c r="AI13" s="29">
        <f t="shared" si="8"/>
        <v>0.13751482998502546</v>
      </c>
      <c r="AJ13" s="29" cm="1">
        <f t="array" ref="AJ13">2*SQRT(SUM((T$5:$T13/2)^2))</f>
        <v>2.8372052042795941E-4</v>
      </c>
      <c r="AK13" s="47"/>
      <c r="AL13" s="29"/>
      <c r="AN13" s="29"/>
      <c r="AO13" s="29"/>
      <c r="AP13" s="29"/>
      <c r="AQ13" s="29">
        <f t="shared" si="2"/>
        <v>4.4120500718688645E-16</v>
      </c>
      <c r="AR13" s="29"/>
      <c r="AS13" s="29"/>
      <c r="AT13" s="29">
        <f>AT12*EXP(-AP12*D12*60)</f>
        <v>1.9451379933409615E-2</v>
      </c>
      <c r="AU13" s="29">
        <f>2*((((AU12/2)*EXP(-AP12*D12*60))^2+(AT12*EXP(-AP12*D12*60)*D12*60*AO12*AP12/AN12)^2)^0.5)</f>
        <v>2.5358499189087171E-3</v>
      </c>
      <c r="AV13" s="23">
        <f>Q13+AT14-AT13</f>
        <v>0.57769844141977533</v>
      </c>
      <c r="AW13" s="23">
        <f>2*(((AU13/2)^2+(AU14/2)^2+(R13/2)^2)^(0.5))</f>
        <v>1.2950250979173785E-2</v>
      </c>
      <c r="AX13" s="50">
        <f>100*(AV13-Q13)/Q13</f>
        <v>9.1641445045065861</v>
      </c>
      <c r="AY13" s="47"/>
      <c r="AZ13" s="29">
        <f t="shared" si="5"/>
        <v>294163452008.49536</v>
      </c>
      <c r="BA13" s="29">
        <f t="shared" si="6"/>
        <v>323494308271.20679</v>
      </c>
      <c r="BB13" s="29">
        <f>Q13*BD13</f>
        <v>0.1426419055679381</v>
      </c>
      <c r="BC13" s="29">
        <f>AQ13*BA13*I13</f>
        <v>4.7100011839885836</v>
      </c>
      <c r="BD13" s="29">
        <f>1/(BC13-1)</f>
        <v>0.26954169295571773</v>
      </c>
      <c r="BE13" s="29">
        <f>BG13*S13</f>
        <v>1.6987915797927026E-2</v>
      </c>
      <c r="BF13" s="29">
        <f>AQ13*AZ13*I13</f>
        <v>4.2829508025984078</v>
      </c>
      <c r="BG13" s="29">
        <f>1/(BF13-1)</f>
        <v>0.30460401636494661</v>
      </c>
      <c r="BH13" s="29"/>
      <c r="BI13" s="29"/>
      <c r="BJ13" s="29"/>
      <c r="BK13" s="29"/>
      <c r="BL13" s="29">
        <f>BF13*1.29</f>
        <v>5.5250065353519462</v>
      </c>
      <c r="BM13" s="29"/>
      <c r="BN13" s="29"/>
      <c r="BO13" s="29"/>
      <c r="BP13" s="29"/>
      <c r="BQ13" s="29"/>
      <c r="BR13" s="29">
        <f>((1000*S13/Q13))/$AE$140</f>
        <v>0.10436345349952697</v>
      </c>
      <c r="BS13" s="29"/>
      <c r="BT13" s="29"/>
      <c r="BU13" s="29"/>
    </row>
    <row r="14" spans="1:89" s="30" customFormat="1" x14ac:dyDescent="0.3">
      <c r="B14" s="31">
        <v>45325.363888888889</v>
      </c>
      <c r="C14" s="30">
        <v>90</v>
      </c>
      <c r="D14" s="30">
        <f t="shared" si="0"/>
        <v>150</v>
      </c>
      <c r="E14" s="30" t="s">
        <v>446</v>
      </c>
      <c r="F14" s="32">
        <v>2.35</v>
      </c>
      <c r="G14" s="32">
        <v>0</v>
      </c>
      <c r="H14" s="32">
        <v>7.9000000000000001E-2</v>
      </c>
      <c r="I14" s="30">
        <v>9000</v>
      </c>
      <c r="J14" s="30">
        <v>9125.0849999999991</v>
      </c>
      <c r="K14" s="30">
        <f t="shared" si="3"/>
        <v>10500.000000279397</v>
      </c>
      <c r="L14" s="30">
        <f t="shared" si="4"/>
        <v>1500.0000002793968</v>
      </c>
      <c r="M14" s="47"/>
      <c r="N14" s="30">
        <v>6.2389602795729698E-3</v>
      </c>
      <c r="O14" s="30">
        <v>2.5819672131147501E-2</v>
      </c>
      <c r="Q14" s="30">
        <v>1.4661556656996399E-2</v>
      </c>
      <c r="R14" s="30">
        <v>2.6841603575216203E-4</v>
      </c>
      <c r="S14" s="30">
        <v>2.0397540983606499E-3</v>
      </c>
      <c r="T14" s="32">
        <v>8.5397120918009396E-6</v>
      </c>
      <c r="U14" s="32"/>
      <c r="X14" s="32"/>
      <c r="Y14" s="32"/>
      <c r="Z14" s="32"/>
      <c r="AA14" s="32"/>
      <c r="AE14" s="32">
        <f>SUM(AV$5:$AV14)</f>
        <v>2.2871510619484905</v>
      </c>
      <c r="AF14" s="32" cm="1">
        <f t="array" ref="AF14">2*SQRT(SUM((AW$5:$AW14/2)^2))</f>
        <v>3.3393535607375201E-2</v>
      </c>
      <c r="AG14" s="32">
        <f t="shared" si="7"/>
        <v>2.2258925735787463</v>
      </c>
      <c r="AH14" s="32" cm="1">
        <f t="array" ref="AH14">2*SQRT(SUM((R$5:$R14/2)^2))</f>
        <v>1.9009189247837285E-2</v>
      </c>
      <c r="AI14" s="32">
        <f t="shared" si="8"/>
        <v>0.13955458408338611</v>
      </c>
      <c r="AJ14" s="32" cm="1">
        <f t="array" ref="AJ14">2*SQRT(SUM((T$5:$T14/2)^2))</f>
        <v>2.838490098529903E-4</v>
      </c>
      <c r="AK14" s="47"/>
      <c r="AL14" s="32">
        <f>'Fit Lambdas'!$U$2*(10000/(C14+273))+'Fit Lambdas'!$V$2</f>
        <v>25.080919505962346</v>
      </c>
      <c r="AM14" s="30">
        <f>'Fit Lambdas'!$V$4</f>
        <v>6.7480704157997479E-2</v>
      </c>
      <c r="AN14" s="32">
        <f t="shared" si="1"/>
        <v>78073732528.776489</v>
      </c>
      <c r="AO14" s="32">
        <f t="shared" si="9"/>
        <v>5268470447.2849903</v>
      </c>
      <c r="AP14" s="32">
        <f>AN14*(C14+273)*$C$145*$E$144</f>
        <v>2.7006668217909542E-5</v>
      </c>
      <c r="AQ14" s="32">
        <f t="shared" si="2"/>
        <v>3.4591234904717017E-16</v>
      </c>
      <c r="AR14" s="32">
        <f>Q14/(1-EXP(-D14*60*AP14))</f>
        <v>6.7948182809746918E-2</v>
      </c>
      <c r="AS14" s="32">
        <f>2*SQRT(
((R14/2) * (1 / (1 - EXP(-D14 * 60 * AN14 * AQ14))))^2 +
(AO14 * (-Q14 * 60 * D14 * AQ14 * EXP(-D14 * 60 * AN14 * AQ14) / (1 - EXP(-D14 * 60 * AN14 * AQ14))^2))^2
)</f>
        <v>8.1959611810184848E-3</v>
      </c>
      <c r="AT14" s="32">
        <f>AR14</f>
        <v>6.7948182809746918E-2</v>
      </c>
      <c r="AU14" s="32">
        <f>AS14</f>
        <v>8.1959611810184848E-3</v>
      </c>
      <c r="AV14" s="24"/>
      <c r="AW14" s="24"/>
      <c r="AX14" s="51"/>
      <c r="AY14" s="47"/>
      <c r="AZ14" s="32">
        <f t="shared" si="5"/>
        <v>67820444032.070572</v>
      </c>
      <c r="BA14" s="32">
        <f t="shared" si="6"/>
        <v>73320582427.391632</v>
      </c>
      <c r="BB14" s="32"/>
      <c r="BC14" s="32"/>
      <c r="BD14" s="32"/>
      <c r="BE14" s="32"/>
      <c r="BF14" s="32"/>
      <c r="BG14" s="32"/>
      <c r="BH14" s="32"/>
      <c r="BI14" s="32"/>
      <c r="BJ14" s="32"/>
      <c r="BK14" s="32"/>
      <c r="BL14" s="32"/>
      <c r="BM14" s="32"/>
      <c r="BN14" s="32"/>
      <c r="BO14" s="32"/>
      <c r="BP14" s="32"/>
      <c r="BQ14" s="32"/>
      <c r="BR14" s="32"/>
      <c r="BS14" s="32"/>
      <c r="BT14" s="32"/>
      <c r="BU14" s="32"/>
    </row>
    <row r="15" spans="1:89" x14ac:dyDescent="0.3">
      <c r="B15" s="1">
        <v>45325.504166666666</v>
      </c>
      <c r="C15">
        <v>89.99</v>
      </c>
      <c r="D15">
        <f t="shared" si="0"/>
        <v>150</v>
      </c>
      <c r="F15" s="2">
        <v>1.84</v>
      </c>
      <c r="G15" s="2" t="s">
        <v>381</v>
      </c>
      <c r="H15" s="2">
        <v>0.157</v>
      </c>
      <c r="I15">
        <v>9000</v>
      </c>
      <c r="J15">
        <v>9127.4930000000004</v>
      </c>
      <c r="K15">
        <f t="shared" si="3"/>
        <v>12119.999999902211</v>
      </c>
      <c r="L15">
        <f>K15-I15</f>
        <v>3119.9999999022111</v>
      </c>
      <c r="M15" s="47"/>
      <c r="N15">
        <v>6.2282600378410604E-3</v>
      </c>
      <c r="O15">
        <v>2.5832387347966401E-2</v>
      </c>
      <c r="Q15">
        <v>1.1459998469627501E-2</v>
      </c>
      <c r="R15" s="2">
        <v>2.0545162025806401E-4</v>
      </c>
      <c r="S15">
        <v>4.05568481363073E-3</v>
      </c>
      <c r="T15" s="2">
        <v>1.6973616731622001E-5</v>
      </c>
      <c r="U15" s="2"/>
      <c r="X15" s="2"/>
      <c r="Y15" s="2"/>
      <c r="Z15" s="2"/>
      <c r="AA15" s="2"/>
      <c r="AE15" s="2">
        <f>SUM(AV$5:$AV15)</f>
        <v>2.2871510619484905</v>
      </c>
      <c r="AF15" s="2" cm="1">
        <f t="array" ref="AF15">2*SQRT(SUM((AW$5:$AW15/2)^2))</f>
        <v>3.3393535607375201E-2</v>
      </c>
      <c r="AG15" s="2">
        <f t="shared" si="7"/>
        <v>2.2373525720483736</v>
      </c>
      <c r="AH15" s="2" cm="1">
        <f t="array" ref="AH15">2*SQRT(SUM((R$5:$R15/2)^2))</f>
        <v>1.901029947760843E-2</v>
      </c>
      <c r="AI15" s="2">
        <f t="shared" si="8"/>
        <v>0.14361026889701684</v>
      </c>
      <c r="AJ15" s="2" cm="1">
        <f t="array" ref="AJ15">2*SQRT(SUM((T$5:$T15/2)^2))</f>
        <v>2.8435605156119855E-4</v>
      </c>
      <c r="AK15" s="47"/>
      <c r="AL15" s="2">
        <f>'Fit Lambdas'!$U$2*(10000/(C15+273))+'Fit Lambdas'!$V$2</f>
        <v>25.080530213673455</v>
      </c>
      <c r="AM15">
        <f>'Fit Lambdas'!$V$4</f>
        <v>6.7480704157997479E-2</v>
      </c>
      <c r="AN15" s="2">
        <f t="shared" si="1"/>
        <v>78043344941.948532</v>
      </c>
      <c r="AO15" s="2">
        <f t="shared" si="9"/>
        <v>5266419871.5281782</v>
      </c>
      <c r="AP15" s="2">
        <f>AN15*(C15+273)*$C$145*$E$144</f>
        <v>2.699541308058904E-5</v>
      </c>
      <c r="AQ15" s="2">
        <f t="shared" si="2"/>
        <v>3.459028197813562E-16</v>
      </c>
      <c r="AR15" s="2">
        <f>Q15/(1-EXP(-D15*60*AP15))</f>
        <v>5.3130297621980675E-2</v>
      </c>
      <c r="AS15" s="2">
        <f>2*SQRT(
((R15/2) * (1 / (1 - EXP(-D15 * 60 * AN15 * AQ15))))^2 +
(AO15 * (-Q15 * 60 * D15 * AQ15 * EXP(-D15 * 60 * AN15 * AQ15) / (1 - EXP(-D15 * 60 * AN15 * AQ15))^2))^2
)</f>
        <v>6.4059154922549927E-3</v>
      </c>
      <c r="AT15" s="2">
        <f>AT14-Q14</f>
        <v>5.3286626152750517E-2</v>
      </c>
      <c r="AU15" s="2">
        <f>AU14+R14</f>
        <v>8.4643772167706469E-3</v>
      </c>
      <c r="AV15" s="22"/>
      <c r="AW15" s="22"/>
      <c r="AX15" s="49"/>
      <c r="AY15" s="47"/>
      <c r="AZ15" s="2">
        <f t="shared" si="5"/>
        <v>67807752416.268387</v>
      </c>
      <c r="BA15" s="2">
        <f t="shared" si="6"/>
        <v>73306701944.978058</v>
      </c>
      <c r="BB15" s="2"/>
      <c r="BC15" s="2"/>
      <c r="BD15" s="2"/>
      <c r="BE15" s="2"/>
      <c r="BF15" s="2"/>
      <c r="BG15" s="2"/>
      <c r="BH15" s="2"/>
      <c r="BI15" s="2"/>
      <c r="BJ15" s="2"/>
      <c r="BK15" s="2"/>
      <c r="BL15" s="2"/>
      <c r="BM15" s="2"/>
      <c r="BN15" s="2"/>
      <c r="BO15" s="2"/>
      <c r="BP15" s="2"/>
      <c r="BQ15" s="2"/>
      <c r="BR15" s="2"/>
      <c r="BS15" s="2"/>
      <c r="BT15" s="2"/>
      <c r="BU15" s="2"/>
      <c r="BV15"/>
      <c r="BW15"/>
      <c r="BX15"/>
      <c r="BY15"/>
      <c r="BZ15"/>
      <c r="CA15"/>
      <c r="CB15"/>
      <c r="CC15"/>
      <c r="CD15"/>
      <c r="CE15"/>
      <c r="CF15"/>
      <c r="CG15"/>
    </row>
    <row r="16" spans="1:89" x14ac:dyDescent="0.3">
      <c r="B16" s="1">
        <v>45325.626388888886</v>
      </c>
      <c r="C16">
        <v>90</v>
      </c>
      <c r="D16">
        <f t="shared" si="0"/>
        <v>150</v>
      </c>
      <c r="F16" s="2">
        <v>1.34</v>
      </c>
      <c r="G16" s="2">
        <v>0</v>
      </c>
      <c r="H16" s="2">
        <v>0.152</v>
      </c>
      <c r="I16">
        <v>9000</v>
      </c>
      <c r="J16">
        <v>9130.2990000000009</v>
      </c>
      <c r="K16">
        <f t="shared" si="3"/>
        <v>10559.999999846332</v>
      </c>
      <c r="L16">
        <f t="shared" si="4"/>
        <v>1559.9999998463318</v>
      </c>
      <c r="M16" s="47"/>
      <c r="N16">
        <v>6.2000229330879397E-3</v>
      </c>
      <c r="O16">
        <v>2.58600086343161E-2</v>
      </c>
      <c r="Q16">
        <v>8.3080307303378398E-3</v>
      </c>
      <c r="R16" s="2">
        <v>1.4060465304651699E-4</v>
      </c>
      <c r="S16">
        <v>3.9307213124160504E-3</v>
      </c>
      <c r="T16" s="2">
        <v>1.6443346729890101E-5</v>
      </c>
      <c r="U16" s="2"/>
      <c r="X16" s="2"/>
      <c r="Y16" s="2"/>
      <c r="Z16" s="2"/>
      <c r="AA16" s="2"/>
      <c r="AE16" s="2">
        <f>SUM(AV$5:$AV16)</f>
        <v>2.2871510619484905</v>
      </c>
      <c r="AF16" s="2" cm="1">
        <f t="array" ref="AF16">2*SQRT(SUM((AW$5:$AW16/2)^2))</f>
        <v>3.3393535607375201E-2</v>
      </c>
      <c r="AG16" s="2">
        <f t="shared" si="7"/>
        <v>2.2456606027787114</v>
      </c>
      <c r="AH16" s="2" cm="1">
        <f t="array" ref="AH16">2*SQRT(SUM((R$5:$R16/2)^2))</f>
        <v>1.9010819443064986E-2</v>
      </c>
      <c r="AI16" s="2">
        <f t="shared" si="8"/>
        <v>0.1475409902094329</v>
      </c>
      <c r="AJ16" s="2" cm="1">
        <f t="array" ref="AJ16">2*SQRT(SUM((T$5:$T16/2)^2))</f>
        <v>2.8483108627949016E-4</v>
      </c>
      <c r="AK16" s="47"/>
      <c r="AL16" s="2">
        <f>'Fit Lambdas'!$U$2*(10000/(C16+273))+'Fit Lambdas'!$V$2</f>
        <v>25.080919505962346</v>
      </c>
      <c r="AM16">
        <f>'Fit Lambdas'!$V$4</f>
        <v>6.7480704157997479E-2</v>
      </c>
      <c r="AN16" s="2">
        <f t="shared" si="1"/>
        <v>78073732528.776489</v>
      </c>
      <c r="AO16" s="2">
        <f t="shared" si="9"/>
        <v>5268470447.2849903</v>
      </c>
      <c r="AP16" s="2">
        <f>AN16*(C16+273)*$C$145*$E$144</f>
        <v>2.7006668217909542E-5</v>
      </c>
      <c r="AQ16" s="2">
        <f t="shared" si="2"/>
        <v>3.4591234904717017E-16</v>
      </c>
      <c r="AR16" s="2">
        <f>Q16/(1-EXP(-D16*60*AP16))</f>
        <v>3.8503114236823385E-2</v>
      </c>
      <c r="AS16" s="2">
        <f>2*SQRT(
((R16/2) * (1 / (1 - EXP(-D16 * 60 * AN16 * AQ16))))^2 +
(AO16 * (-Q16 * 60 * D16 * AQ16 * EXP(-D16 * 60 * AN16 * AQ16) / (1 - EXP(-D16 * 60 * AN16 * AQ16))^2))^2
)</f>
        <v>4.6364885442345474E-3</v>
      </c>
      <c r="AT16" s="2">
        <f>AT15*EXP(-AP15*D15*60)</f>
        <v>4.1792908227302757E-2</v>
      </c>
      <c r="AU16" s="2">
        <f>2*((((AU15/2)*EXP(-AP15*D15*60))^2+(AT15*EXP(-AP15*D15*60)*D15*60*AO15*AP15/AN15)^2)^0.5)</f>
        <v>6.7786109970954019E-3</v>
      </c>
      <c r="AV16" s="22"/>
      <c r="AW16" s="22"/>
      <c r="AX16" s="49"/>
      <c r="AY16" s="47"/>
      <c r="AZ16" s="2">
        <f t="shared" si="5"/>
        <v>67820444032.070572</v>
      </c>
      <c r="BA16" s="2">
        <f t="shared" si="6"/>
        <v>73320582427.391632</v>
      </c>
      <c r="BB16" s="2"/>
      <c r="BC16" s="2"/>
      <c r="BD16" s="2"/>
      <c r="BE16" s="2"/>
      <c r="BF16" s="2"/>
      <c r="BG16" s="2"/>
      <c r="BH16" s="2"/>
      <c r="BI16" s="2"/>
      <c r="BJ16" s="2"/>
      <c r="BK16" s="2"/>
      <c r="BL16" s="2"/>
      <c r="BM16" s="2"/>
      <c r="BN16" s="2"/>
      <c r="BO16" s="2"/>
      <c r="BP16" s="2"/>
      <c r="BQ16" s="2"/>
      <c r="BR16" s="2"/>
      <c r="BS16" s="2"/>
      <c r="BT16" s="2"/>
      <c r="BU16" s="2"/>
      <c r="BV16"/>
      <c r="BW16"/>
      <c r="BX16"/>
      <c r="BY16"/>
      <c r="BZ16"/>
      <c r="CA16"/>
      <c r="CB16"/>
      <c r="CC16"/>
      <c r="CD16"/>
      <c r="CE16"/>
      <c r="CF16"/>
      <c r="CG16"/>
    </row>
    <row r="17" spans="2:85" s="27" customFormat="1" x14ac:dyDescent="0.3">
      <c r="B17" s="28">
        <v>45325.999305555553</v>
      </c>
      <c r="C17" s="27">
        <v>200</v>
      </c>
      <c r="D17" s="27">
        <f t="shared" si="0"/>
        <v>500</v>
      </c>
      <c r="E17" s="27" t="s">
        <v>460</v>
      </c>
      <c r="F17" s="29">
        <v>83.3</v>
      </c>
      <c r="G17" s="29">
        <v>1.7600000000000001E-3</v>
      </c>
      <c r="H17" s="29">
        <v>3.96</v>
      </c>
      <c r="I17" s="27">
        <v>30000</v>
      </c>
      <c r="J17" s="27">
        <v>30127.625</v>
      </c>
      <c r="K17" s="27">
        <f t="shared" si="3"/>
        <v>32220.00000004191</v>
      </c>
      <c r="L17" s="27">
        <f t="shared" si="4"/>
        <v>2220.0000000419095</v>
      </c>
      <c r="M17" s="47"/>
      <c r="N17" s="27">
        <v>6.2299306634692403E-3</v>
      </c>
      <c r="O17" s="27">
        <v>2.5862068965517199E-2</v>
      </c>
      <c r="Q17" s="27">
        <v>0.51895322426698798</v>
      </c>
      <c r="R17" s="27">
        <v>8.2748805206850906E-3</v>
      </c>
      <c r="S17" s="27">
        <v>0.102413793103448</v>
      </c>
      <c r="T17" s="27">
        <v>4.7358684190665899E-4</v>
      </c>
      <c r="V17" s="29">
        <f>(1000*S17/Q17)/$AE$140</f>
        <v>0.19543186869752618</v>
      </c>
      <c r="W17" s="29"/>
      <c r="X17" s="29">
        <f>S17-AVERAGE(S18:S20)</f>
        <v>9.9215343516952631E-2</v>
      </c>
      <c r="Y17" s="29">
        <f>T17+AVERAGE(S18:S20)</f>
        <v>3.6720364284020257E-3</v>
      </c>
      <c r="Z17" s="29"/>
      <c r="AA17" s="29">
        <f>(X17*1000)/Q17</f>
        <v>191.18359589555013</v>
      </c>
      <c r="AB17" s="29">
        <f>2*((1000*Y17/(2*Q17))^2+((R17/2)*1000*X17/(Q17^2))^2)^0.5</f>
        <v>7.7046058777579924</v>
      </c>
      <c r="AC17" s="29">
        <f>AA17/$AE$140</f>
        <v>0.18932840391332248</v>
      </c>
      <c r="AD17" s="29">
        <f>2*(($AF$140*AA17/(2*$AE$140^2))^2+(AB17/($AE$140*2))^2)^0.5</f>
        <v>7.8871382626912387E-3</v>
      </c>
      <c r="AE17" s="29">
        <f>SUM(AV$5:$AV17)</f>
        <v>2.8265125454214934</v>
      </c>
      <c r="AF17" s="29" cm="1">
        <f t="array" ref="AF17">2*SQRT(SUM((AW$5:$AW17/2)^2))</f>
        <v>3.5303672820821898E-2</v>
      </c>
      <c r="AG17" s="29">
        <f t="shared" si="7"/>
        <v>2.7646138270456992</v>
      </c>
      <c r="AH17" s="29" cm="1">
        <f t="array" ref="AH17">2*SQRT(SUM((R$5:$R17/2)^2))</f>
        <v>2.0733665945230986E-2</v>
      </c>
      <c r="AI17" s="29">
        <f t="shared" si="8"/>
        <v>0.2499547833128809</v>
      </c>
      <c r="AJ17" s="29" cm="1">
        <f t="array" ref="AJ17">2*SQRT(SUM((T$5:$T17/2)^2))</f>
        <v>5.5264205824229228E-4</v>
      </c>
      <c r="AK17" s="47"/>
      <c r="AL17" s="29"/>
      <c r="AN17" s="29"/>
      <c r="AO17" s="29"/>
      <c r="AP17" s="29"/>
      <c r="AQ17" s="29">
        <f t="shared" si="2"/>
        <v>4.5073427300085809E-16</v>
      </c>
      <c r="AR17" s="29"/>
      <c r="AS17" s="29"/>
      <c r="AT17" s="29">
        <f>AT16*EXP(-AP16*D16*60)</f>
        <v>3.2775020382517693E-2</v>
      </c>
      <c r="AU17" s="29">
        <f>2*((((AU16/2)*EXP(-AP16*D16*60))^2+(AT16*EXP(-AP16*D16*60)*D16*60*AO16*AP16/AN16)^2)^0.5)</f>
        <v>5.4235857465403893E-3</v>
      </c>
      <c r="AV17" s="23">
        <f>Q17+AT18-AT17</f>
        <v>0.53936148347300295</v>
      </c>
      <c r="AW17" s="23">
        <f>2*(((AU17/2)^2+(AU18/2)^2+(R17/2)^2)^(0.5))</f>
        <v>1.1455177618815154E-2</v>
      </c>
      <c r="AX17" s="50">
        <f>100*(AV17-Q17)/Q17</f>
        <v>3.9325816377461114</v>
      </c>
      <c r="AY17" s="47"/>
      <c r="AZ17" s="29">
        <f t="shared" si="5"/>
        <v>329224588875.15717</v>
      </c>
      <c r="BA17" s="29">
        <f t="shared" si="6"/>
        <v>362525927700.55493</v>
      </c>
      <c r="BB17" s="29">
        <f>Q17*BD17</f>
        <v>0.13299380100956529</v>
      </c>
      <c r="BC17" s="29">
        <f>AQ17*BA17*I17</f>
        <v>4.9020858139821382</v>
      </c>
      <c r="BD17" s="29">
        <f>1/(BC17-1)</f>
        <v>0.2562731953297267</v>
      </c>
      <c r="BE17" s="29">
        <f>BG17*S17</f>
        <v>2.9669813641736882E-2</v>
      </c>
      <c r="BF17" s="29">
        <f>AQ17*AZ17*I17</f>
        <v>4.4517841716195106</v>
      </c>
      <c r="BG17" s="29">
        <f>1/(BF17-1)</f>
        <v>0.28970525104726325</v>
      </c>
      <c r="BH17" s="29">
        <f>Q17-BB13</f>
        <v>0.37631131869904988</v>
      </c>
      <c r="BI17" s="29">
        <f>Q17+BB17</f>
        <v>0.65194702527655324</v>
      </c>
      <c r="BJ17" s="29">
        <f>X17-BE13</f>
        <v>8.2227427719025609E-2</v>
      </c>
      <c r="BK17" s="29">
        <f>X17+BE17</f>
        <v>0.12888515715868951</v>
      </c>
      <c r="BL17" s="29">
        <f>BF17*1.29</f>
        <v>5.7428015813891689</v>
      </c>
      <c r="BM17" s="29">
        <f>Q17 / (BL17-1)</f>
        <v>0.10941913030968213</v>
      </c>
      <c r="BN17" s="29"/>
      <c r="BO17" s="29"/>
      <c r="BP17" s="29"/>
      <c r="BQ17" s="29"/>
      <c r="BR17" s="29">
        <f>((1000*S17/Q17))/$AE$140</f>
        <v>0.19543186869752618</v>
      </c>
      <c r="BS17" s="29"/>
      <c r="BT17" s="29"/>
      <c r="BU17" s="29"/>
    </row>
    <row r="18" spans="2:85" s="30" customFormat="1" x14ac:dyDescent="0.3">
      <c r="B18" s="31">
        <v>45326.121527777781</v>
      </c>
      <c r="C18" s="30">
        <v>105</v>
      </c>
      <c r="D18" s="30">
        <f t="shared" si="0"/>
        <v>150</v>
      </c>
      <c r="E18" s="30" t="s">
        <v>447</v>
      </c>
      <c r="F18" s="32">
        <v>3.06</v>
      </c>
      <c r="G18" s="32">
        <v>0</v>
      </c>
      <c r="H18" s="32">
        <v>0.14399999999999999</v>
      </c>
      <c r="I18" s="30">
        <v>9000</v>
      </c>
      <c r="J18" s="30">
        <v>9129.0259999999998</v>
      </c>
      <c r="K18" s="30">
        <f t="shared" si="3"/>
        <v>10560.000000474975</v>
      </c>
      <c r="L18" s="30">
        <f t="shared" si="4"/>
        <v>1560.0000004749745</v>
      </c>
      <c r="M18" s="47"/>
      <c r="N18" s="30">
        <v>6.22508308337288E-3</v>
      </c>
      <c r="O18" s="30">
        <v>2.5862068965517199E-2</v>
      </c>
      <c r="Q18" s="30">
        <v>1.9048754235121E-2</v>
      </c>
      <c r="R18" s="30">
        <v>3.2080198326958702E-4</v>
      </c>
      <c r="S18" s="30">
        <v>3.7241379310344802E-3</v>
      </c>
      <c r="T18" s="32">
        <v>1.5955219583769799E-5</v>
      </c>
      <c r="U18" s="32"/>
      <c r="X18" s="32"/>
      <c r="Y18" s="32"/>
      <c r="Z18" s="32"/>
      <c r="AA18" s="32"/>
      <c r="AE18" s="32">
        <f>SUM(AV$5:$AV18)</f>
        <v>2.8265125454214934</v>
      </c>
      <c r="AF18" s="32" cm="1">
        <f t="array" ref="AF18">2*SQRT(SUM((AW$5:$AW18/2)^2))</f>
        <v>3.5303672820821898E-2</v>
      </c>
      <c r="AG18" s="32">
        <f t="shared" si="7"/>
        <v>2.7836625812808204</v>
      </c>
      <c r="AH18" s="32" cm="1">
        <f t="array" ref="AH18">2*SQRT(SUM((R$5:$R18/2)^2))</f>
        <v>2.073614760366305E-2</v>
      </c>
      <c r="AI18" s="32">
        <f t="shared" si="8"/>
        <v>0.25367892124391539</v>
      </c>
      <c r="AJ18" s="32" cm="1">
        <f t="array" ref="AJ18">2*SQRT(SUM((T$5:$T18/2)^2))</f>
        <v>5.5287233026282256E-4</v>
      </c>
      <c r="AK18" s="47"/>
      <c r="AL18" s="32">
        <f>'Fit Lambdas'!$U$2*(10000/(C18+273))+'Fit Lambdas'!$V$2</f>
        <v>25.64167033113603</v>
      </c>
      <c r="AM18" s="30">
        <f>'Fit Lambdas'!$V$4</f>
        <v>6.7480704157997479E-2</v>
      </c>
      <c r="AN18" s="32">
        <f t="shared" si="1"/>
        <v>136784199007.97165</v>
      </c>
      <c r="AO18" s="32">
        <f t="shared" si="9"/>
        <v>9230294066.7455864</v>
      </c>
      <c r="AP18" s="32">
        <f>AN18*(C18+273)*$C$145*$E$144</f>
        <v>4.9270523078630311E-5</v>
      </c>
      <c r="AQ18" s="32">
        <f t="shared" si="2"/>
        <v>3.6020624776812763E-16</v>
      </c>
      <c r="AR18" s="32">
        <f>Q18/(1-EXP(-D18*60*AP18))</f>
        <v>5.3183279588532632E-2</v>
      </c>
      <c r="AS18" s="32">
        <f>2*SQRT(
((R18/2) * (1 / (1 - EXP(-D18 * 60 * AN18 * AQ18))))^2 +
(AO18 * (-Q18 * 60 * D18 * AQ18 * EXP(-D18 * 60 * AN18 * AQ18) / (1 - EXP(-D18 * 60 * AN18 * AQ18))^2))^2
)</f>
        <v>5.7734014494848695E-3</v>
      </c>
      <c r="AT18" s="32" cm="1">
        <f t="array" ref="AT18:AU18">AR18:AS18</f>
        <v>5.3183279588532632E-2</v>
      </c>
      <c r="AU18" s="32">
        <v>5.7734014494848695E-3</v>
      </c>
      <c r="AV18" s="24"/>
      <c r="AW18" s="24"/>
      <c r="AX18" s="51"/>
      <c r="AY18" s="47"/>
      <c r="AZ18" s="32">
        <f t="shared" si="5"/>
        <v>88805250970.861771</v>
      </c>
      <c r="BA18" s="32">
        <f t="shared" si="6"/>
        <v>96308773299.869202</v>
      </c>
      <c r="BB18" s="32"/>
      <c r="BC18" s="32"/>
      <c r="BD18" s="32"/>
      <c r="BE18" s="32"/>
      <c r="BF18" s="32"/>
      <c r="BG18" s="32"/>
      <c r="BH18" s="32"/>
      <c r="BI18" s="32"/>
      <c r="BJ18" s="32"/>
      <c r="BK18" s="32"/>
      <c r="BL18" s="32"/>
      <c r="BM18" s="32"/>
      <c r="BN18" s="32"/>
      <c r="BO18" s="32"/>
      <c r="BP18" s="32"/>
      <c r="BQ18" s="32"/>
      <c r="BR18" s="32"/>
      <c r="BS18" s="32"/>
      <c r="BT18" s="32"/>
      <c r="BU18" s="32"/>
    </row>
    <row r="19" spans="2:85" s="8" customFormat="1" x14ac:dyDescent="0.3">
      <c r="B19" s="33">
        <v>45326.243750000001</v>
      </c>
      <c r="C19" s="8">
        <v>105</v>
      </c>
      <c r="D19" s="8">
        <f t="shared" si="0"/>
        <v>150</v>
      </c>
      <c r="E19" s="8" t="s">
        <v>448</v>
      </c>
      <c r="F19" s="34">
        <v>1.79</v>
      </c>
      <c r="G19" s="34">
        <v>0</v>
      </c>
      <c r="H19" s="34">
        <v>0.187</v>
      </c>
      <c r="I19" s="8">
        <v>9000</v>
      </c>
      <c r="J19" s="8">
        <v>9127.5550000000003</v>
      </c>
      <c r="K19" s="8">
        <f t="shared" si="3"/>
        <v>10559.999999846332</v>
      </c>
      <c r="L19" s="8">
        <f t="shared" si="4"/>
        <v>1559.9999998463318</v>
      </c>
      <c r="M19" s="47"/>
      <c r="N19" s="8">
        <v>6.2200776141821497E-3</v>
      </c>
      <c r="O19" s="8">
        <v>2.5862068965517199E-2</v>
      </c>
      <c r="Q19" s="8">
        <v>1.1133938929386E-2</v>
      </c>
      <c r="R19" s="34">
        <v>1.97822390402907E-4</v>
      </c>
      <c r="S19" s="8">
        <v>4.83620689655172E-3</v>
      </c>
      <c r="T19" s="34">
        <v>1.9021875098818201E-5</v>
      </c>
      <c r="U19" s="34"/>
      <c r="X19" s="34"/>
      <c r="Y19" s="34"/>
      <c r="Z19" s="34"/>
      <c r="AA19" s="34"/>
      <c r="AE19" s="34">
        <f>SUM(AV$5:$AV19)</f>
        <v>2.8265125454214934</v>
      </c>
      <c r="AF19" s="34" cm="1">
        <f t="array" ref="AF19">2*SQRT(SUM((AW$5:$AW19/2)^2))</f>
        <v>3.5303672820821898E-2</v>
      </c>
      <c r="AG19" s="34">
        <f t="shared" si="7"/>
        <v>2.7947965202102063</v>
      </c>
      <c r="AH19" s="34" cm="1">
        <f t="array" ref="AH19">2*SQRT(SUM((R$5:$R19/2)^2))</f>
        <v>2.0737091192813074E-2</v>
      </c>
      <c r="AI19" s="34">
        <f t="shared" si="8"/>
        <v>0.25851512814046712</v>
      </c>
      <c r="AJ19" s="34" cm="1">
        <f t="array" ref="AJ19">2*SQRT(SUM((T$5:$T19/2)^2))</f>
        <v>5.5319946249297685E-4</v>
      </c>
      <c r="AK19" s="47"/>
      <c r="AL19" s="34">
        <f>'Fit Lambdas'!$U$2*(10000/(C19+273))+'Fit Lambdas'!$V$2</f>
        <v>25.64167033113603</v>
      </c>
      <c r="AM19" s="8">
        <f>'Fit Lambdas'!$V$4</f>
        <v>6.7480704157997479E-2</v>
      </c>
      <c r="AN19" s="34">
        <f t="shared" si="1"/>
        <v>136784199007.97165</v>
      </c>
      <c r="AO19" s="34">
        <f t="shared" si="9"/>
        <v>9230294066.7455864</v>
      </c>
      <c r="AP19" s="34">
        <f>AN19*(C19+273)*$C$145*$E$144</f>
        <v>4.9270523078630311E-5</v>
      </c>
      <c r="AQ19" s="34">
        <f t="shared" si="2"/>
        <v>3.6020624776812763E-16</v>
      </c>
      <c r="AR19" s="34">
        <f>Q19/(1-EXP(-D19*60*AP19))</f>
        <v>3.1085465206508397E-2</v>
      </c>
      <c r="AS19" s="34">
        <f>2*SQRT(
((R19/2) * (1 / (1 - EXP(-D19 * 60 * AN19 * AQ19))))^2 +
(AO19 * (-Q19 * 60 * D19 * AQ19 * EXP(-D19 * 60 * AN19 * AQ19) / (1 - EXP(-D19 * 60 * AN19 * AQ19))^2))^2
)</f>
        <v>3.3791229610469894E-3</v>
      </c>
      <c r="AT19" s="34">
        <f>AT18*EXP(-AP18*D18*60)</f>
        <v>3.4134525353411632E-2</v>
      </c>
      <c r="AU19" s="34">
        <f>2*((((AU18/2)*EXP(-AP18*D18*60))^2+(AT18*EXP(-AP18*D18*60)*D18*60*AO18*AP18/AN18)^2)^0.5)</f>
        <v>4.2313279163210286E-3</v>
      </c>
      <c r="AV19" s="25"/>
      <c r="AW19" s="25"/>
      <c r="AX19" s="52"/>
      <c r="AY19" s="47"/>
      <c r="AZ19" s="34">
        <f t="shared" si="5"/>
        <v>88805250970.861771</v>
      </c>
      <c r="BA19" s="34">
        <f t="shared" si="6"/>
        <v>96308773299.869202</v>
      </c>
      <c r="BB19" s="34"/>
      <c r="BC19" s="34"/>
      <c r="BD19" s="34"/>
      <c r="BE19" s="34"/>
      <c r="BF19" s="34"/>
      <c r="BG19" s="34"/>
      <c r="BH19" s="34"/>
      <c r="BI19" s="34"/>
      <c r="BJ19" s="34"/>
      <c r="BK19" s="34"/>
      <c r="BL19" s="34"/>
      <c r="BM19" s="34"/>
      <c r="BN19" s="34"/>
      <c r="BO19" s="34"/>
      <c r="BP19" s="34"/>
      <c r="BQ19" s="34"/>
      <c r="BR19" s="34"/>
      <c r="BS19" s="34"/>
      <c r="BT19" s="34"/>
      <c r="BU19" s="34"/>
    </row>
    <row r="20" spans="2:85" s="8" customFormat="1" x14ac:dyDescent="0.3">
      <c r="B20" s="33">
        <v>45326.365972222222</v>
      </c>
      <c r="C20" s="8">
        <v>105</v>
      </c>
      <c r="D20" s="8">
        <f t="shared" si="0"/>
        <v>150</v>
      </c>
      <c r="E20" s="8" t="s">
        <v>448</v>
      </c>
      <c r="F20" s="34">
        <v>1.29</v>
      </c>
      <c r="G20" s="34">
        <v>0</v>
      </c>
      <c r="H20" s="34">
        <v>0.04</v>
      </c>
      <c r="I20" s="8">
        <v>9000</v>
      </c>
      <c r="J20" s="8">
        <v>9129.5280000000002</v>
      </c>
      <c r="K20" s="8">
        <f t="shared" si="3"/>
        <v>10559.999999846332</v>
      </c>
      <c r="L20" s="8">
        <f t="shared" si="4"/>
        <v>1559.9999998463318</v>
      </c>
      <c r="M20" s="47"/>
      <c r="N20" s="8">
        <v>6.2228369847062001E-3</v>
      </c>
      <c r="O20" s="8">
        <v>2.5875098297497599E-2</v>
      </c>
      <c r="Q20" s="8">
        <v>8.0274597102710007E-3</v>
      </c>
      <c r="R20" s="34">
        <v>1.4295914720050801E-4</v>
      </c>
      <c r="S20" s="8">
        <v>1.0350039318999E-3</v>
      </c>
      <c r="T20" s="34">
        <v>4.1228764773535601E-6</v>
      </c>
      <c r="U20" s="34"/>
      <c r="X20" s="34"/>
      <c r="Y20" s="34"/>
      <c r="Z20" s="34"/>
      <c r="AA20" s="34"/>
      <c r="AE20" s="34">
        <f>SUM(AV$5:$AV20)</f>
        <v>2.8265125454214934</v>
      </c>
      <c r="AF20" s="34" cm="1">
        <f t="array" ref="AF20">2*SQRT(SUM((AW$5:$AW20/2)^2))</f>
        <v>3.5303672820821898E-2</v>
      </c>
      <c r="AG20" s="34">
        <f t="shared" si="7"/>
        <v>2.8028239799204773</v>
      </c>
      <c r="AH20" s="34" cm="1">
        <f t="array" ref="AH20">2*SQRT(SUM((R$5:$R20/2)^2))</f>
        <v>2.0737583959005781E-2</v>
      </c>
      <c r="AI20" s="34">
        <f t="shared" si="8"/>
        <v>0.25955013207236705</v>
      </c>
      <c r="AJ20" s="34" cm="1">
        <f t="array" ref="AJ20">2*SQRT(SUM((T$5:$T20/2)^2))</f>
        <v>5.5321482573496348E-4</v>
      </c>
      <c r="AK20" s="47"/>
      <c r="AL20" s="34">
        <f>'Fit Lambdas'!$U$2*(10000/(C20+273))+'Fit Lambdas'!$V$2</f>
        <v>25.64167033113603</v>
      </c>
      <c r="AM20" s="8">
        <f>'Fit Lambdas'!$V$4</f>
        <v>6.7480704157997479E-2</v>
      </c>
      <c r="AN20" s="34">
        <f t="shared" si="1"/>
        <v>136784199007.97165</v>
      </c>
      <c r="AO20" s="34">
        <f t="shared" si="9"/>
        <v>9230294066.7455864</v>
      </c>
      <c r="AP20" s="34">
        <f>AN20*(C20+273)*$C$145*$E$144</f>
        <v>4.9270523078630311E-5</v>
      </c>
      <c r="AQ20" s="34">
        <f t="shared" si="2"/>
        <v>3.6020624776812763E-16</v>
      </c>
      <c r="AR20" s="34">
        <f>Q20/(1-EXP(-D20*60*AP20))</f>
        <v>2.2412312578944452E-2</v>
      </c>
      <c r="AS20" s="34">
        <f>2*SQRT(
((R20/2) * (1 / (1 - EXP(-D20 * 60 * AN20 * AQ20))))^2 +
(AO20 * (-Q20 * 60 * D20 * AQ20 * EXP(-D20 * 60 * AN20 * AQ20) / (1 - EXP(-D20 * 60 * AN20 * AQ20))^2))^2
)</f>
        <v>2.4364654854791405E-3</v>
      </c>
      <c r="AT20" s="34">
        <f>AT19*EXP(-AP19*D19*60)</f>
        <v>2.1908498876288447E-2</v>
      </c>
      <c r="AU20" s="34">
        <f>2*((((AU19/2)*EXP(-AP19*D19*60))^2+(AT19*EXP(-AP19*D19*60)*D19*60*AO19*AP19/AN19)^2)^0.5)</f>
        <v>3.0157255316585053E-3</v>
      </c>
      <c r="AV20" s="25"/>
      <c r="AW20" s="25"/>
      <c r="AX20" s="52"/>
      <c r="AY20" s="47"/>
      <c r="AZ20" s="34">
        <f t="shared" si="5"/>
        <v>88805250970.861771</v>
      </c>
      <c r="BA20" s="34">
        <f t="shared" si="6"/>
        <v>96308773299.869202</v>
      </c>
      <c r="BB20" s="34"/>
      <c r="BC20" s="34"/>
      <c r="BD20" s="34"/>
      <c r="BE20" s="34"/>
      <c r="BF20" s="34"/>
      <c r="BG20" s="34"/>
      <c r="BH20" s="34"/>
      <c r="BI20" s="34"/>
      <c r="BJ20" s="34"/>
      <c r="BK20" s="34"/>
      <c r="BL20" s="34"/>
      <c r="BM20" s="34"/>
      <c r="BN20" s="34"/>
      <c r="BO20" s="34"/>
      <c r="BP20" s="34"/>
      <c r="BQ20" s="34"/>
      <c r="BR20" s="34"/>
      <c r="BS20" s="34"/>
      <c r="BT20" s="34"/>
      <c r="BU20" s="34"/>
    </row>
    <row r="21" spans="2:85" s="27" customFormat="1" x14ac:dyDescent="0.3">
      <c r="B21" s="28">
        <v>45326.713888888888</v>
      </c>
      <c r="C21" s="27">
        <v>210</v>
      </c>
      <c r="D21" s="27">
        <f t="shared" si="0"/>
        <v>475</v>
      </c>
      <c r="E21" s="27" t="s">
        <v>460</v>
      </c>
      <c r="F21" s="29">
        <v>93</v>
      </c>
      <c r="G21" s="29">
        <v>0</v>
      </c>
      <c r="H21" s="29">
        <v>5.64</v>
      </c>
      <c r="I21" s="27">
        <v>28500</v>
      </c>
      <c r="J21" s="27">
        <v>28626.294999999998</v>
      </c>
      <c r="K21" s="27">
        <f t="shared" si="3"/>
        <v>30059.999999916181</v>
      </c>
      <c r="L21" s="27">
        <f t="shared" si="4"/>
        <v>1559.999999916181</v>
      </c>
      <c r="M21" s="47"/>
      <c r="N21" s="27">
        <v>6.2046044414155099E-3</v>
      </c>
      <c r="O21" s="27">
        <v>2.5884273063895801E-2</v>
      </c>
      <c r="Q21" s="27">
        <v>0.57702821305164198</v>
      </c>
      <c r="R21" s="27">
        <v>9.9925220714020494E-3</v>
      </c>
      <c r="S21" s="27">
        <v>0.145987300080372</v>
      </c>
      <c r="T21" s="27">
        <v>6.1153078265526503E-4</v>
      </c>
      <c r="V21" s="29">
        <f>(1000*S21/Q21)/$AE$140</f>
        <v>0.25054352110331207</v>
      </c>
      <c r="W21" s="29"/>
      <c r="X21" s="29">
        <f>S21-AVERAGE(S22:S24)</f>
        <v>0.14020058034824287</v>
      </c>
      <c r="Y21" s="29">
        <f>T21+AVERAGE(S22:S24)</f>
        <v>6.3982505147843951E-3</v>
      </c>
      <c r="Z21" s="29"/>
      <c r="AA21" s="29">
        <f>(X21*1000)/Q21</f>
        <v>242.9700613888275</v>
      </c>
      <c r="AB21" s="29">
        <f>2*((1000*Y21/(2*Q21))^2+((R21/2)*1000*X21/(Q21^2))^2)^0.5</f>
        <v>11.859745403862284</v>
      </c>
      <c r="AC21" s="29">
        <f>AA21/$AE$140</f>
        <v>0.24061234807300425</v>
      </c>
      <c r="AD21" s="29">
        <f>2*(($AF$140*AA21/(2*$AE$140^2))^2+(AB21/($AE$140*2))^2)^0.5</f>
        <v>1.2016046039837728E-2</v>
      </c>
      <c r="AE21" s="29">
        <f>SUM(AV$5:$AV21)</f>
        <v>3.4446942530208933</v>
      </c>
      <c r="AF21" s="29" cm="1">
        <f t="array" ref="AF21">2*SQRT(SUM((AW$5:$AW21/2)^2))</f>
        <v>3.7192315004488975E-2</v>
      </c>
      <c r="AG21" s="29">
        <f t="shared" si="7"/>
        <v>3.3798521929721193</v>
      </c>
      <c r="AH21" s="29" cm="1">
        <f t="array" ref="AH21">2*SQRT(SUM((R$5:$R21/2)^2))</f>
        <v>2.3019510980997641E-2</v>
      </c>
      <c r="AI21" s="29">
        <f t="shared" si="8"/>
        <v>0.40553743215273907</v>
      </c>
      <c r="AJ21" s="29" cm="1">
        <f t="array" ref="AJ21">2*SQRT(SUM((T$5:$T21/2)^2))</f>
        <v>8.246311548492011E-4</v>
      </c>
      <c r="AK21" s="47"/>
      <c r="AL21" s="29"/>
      <c r="AN21" s="29"/>
      <c r="AO21" s="29"/>
      <c r="AP21" s="29"/>
      <c r="AQ21" s="29">
        <f t="shared" si="2"/>
        <v>4.6026353881482974E-16</v>
      </c>
      <c r="AR21" s="29"/>
      <c r="AS21" s="29"/>
      <c r="AT21" s="29">
        <f>AT20*EXP(-AP20*D20*60)</f>
        <v>1.4061491057597481E-2</v>
      </c>
      <c r="AU21" s="29">
        <f>2*((((AU20/2)*EXP(-AP20*D20*60))^2+(AT20*EXP(-AP20*D20*60)*D20*60*AO20*AP20/AN20)^2)^0.5)</f>
        <v>2.1106009719805948E-3</v>
      </c>
      <c r="AV21" s="23">
        <f>Q21+AT22-AT21</f>
        <v>0.61818170759940005</v>
      </c>
      <c r="AW21" s="23">
        <f>2*(((AU21/2)^2+(AU22/2)^2+(R21/2)^2)^(0.5))</f>
        <v>1.1701238428196261E-2</v>
      </c>
      <c r="AX21" s="50">
        <f>100*(AV21-Q21)/Q21</f>
        <v>7.1319726864161117</v>
      </c>
      <c r="AY21" s="47"/>
      <c r="AZ21" s="29">
        <f t="shared" si="5"/>
        <v>366750591482.20825</v>
      </c>
      <c r="BA21" s="29">
        <f t="shared" si="6"/>
        <v>404355126454.80823</v>
      </c>
      <c r="BB21" s="29">
        <f>Q21*BD21</f>
        <v>0.13406375804081494</v>
      </c>
      <c r="BC21" s="29">
        <f>AQ21*BA21*I21</f>
        <v>5.3041327610402282</v>
      </c>
      <c r="BD21" s="29">
        <f>1/(BC21-1)</f>
        <v>0.23233484084220457</v>
      </c>
      <c r="BE21" s="29">
        <f>BG21*S21</f>
        <v>3.8308281275653229E-2</v>
      </c>
      <c r="BF21" s="29">
        <f>AQ21*AZ21*I21</f>
        <v>4.810854865293944</v>
      </c>
      <c r="BG21" s="29">
        <f>1/(BF21-1)</f>
        <v>0.26240831397363296</v>
      </c>
      <c r="BH21" s="29">
        <f>Q21-BB17</f>
        <v>0.44403441204207672</v>
      </c>
      <c r="BI21" s="29">
        <f>Q21+BB21</f>
        <v>0.71109197109245692</v>
      </c>
      <c r="BJ21" s="29">
        <f>X21-BE17</f>
        <v>0.110530766706506</v>
      </c>
      <c r="BK21" s="29">
        <f>X21+BE21</f>
        <v>0.17850886162389609</v>
      </c>
      <c r="BL21" s="29">
        <f>BF21*1.29</f>
        <v>6.2060027762291883</v>
      </c>
      <c r="BM21" s="29">
        <f>Q21 / (BL21-1)</f>
        <v>0.11083901370286918</v>
      </c>
      <c r="BN21" s="29">
        <f>(1000*(S21+BE21)/(Q21+BM21))/$AE$140</f>
        <v>0.26532333804550112</v>
      </c>
      <c r="BO21" s="29">
        <f>(1000*(S21-BE17)/(Q21-BM17))/$AE$140</f>
        <v>0.2463356218512664</v>
      </c>
      <c r="BP21" s="29">
        <f>(1000*(S21+BE21-BE17)/(Q21+BM21-BM17))/$AE$140</f>
        <v>0.26471748041415444</v>
      </c>
      <c r="BQ21" s="29">
        <f>MIN(BN21:BP21)</f>
        <v>0.2463356218512664</v>
      </c>
      <c r="BR21" s="29">
        <f>((1000*S21/Q21))/$AE$140</f>
        <v>0.25054352110331207</v>
      </c>
      <c r="BS21" s="29">
        <f>MAX(BN21:BP21)</f>
        <v>0.26532333804550112</v>
      </c>
      <c r="BT21" s="29"/>
      <c r="BU21" s="29"/>
    </row>
    <row r="22" spans="2:85" s="30" customFormat="1" x14ac:dyDescent="0.3">
      <c r="B22" s="31">
        <v>45326.836111111108</v>
      </c>
      <c r="C22" s="30">
        <v>109.99</v>
      </c>
      <c r="D22" s="30">
        <f t="shared" si="0"/>
        <v>150</v>
      </c>
      <c r="E22" s="30" t="s">
        <v>447</v>
      </c>
      <c r="F22" s="32">
        <v>3.71</v>
      </c>
      <c r="G22" s="32">
        <v>0</v>
      </c>
      <c r="H22" s="32">
        <v>0.374</v>
      </c>
      <c r="I22" s="30">
        <v>9000</v>
      </c>
      <c r="J22" s="30">
        <v>9128.3590000000004</v>
      </c>
      <c r="K22" s="30">
        <f t="shared" si="3"/>
        <v>10559.999999846332</v>
      </c>
      <c r="L22" s="30">
        <f t="shared" si="4"/>
        <v>1559.9999998463318</v>
      </c>
      <c r="M22" s="47"/>
      <c r="N22" s="30">
        <v>6.1766665928778596E-3</v>
      </c>
      <c r="O22" s="30">
        <v>2.5862223658382699E-2</v>
      </c>
      <c r="Q22" s="30">
        <v>2.2915433059576801E-2</v>
      </c>
      <c r="R22" s="30">
        <v>3.9302180452129102E-4</v>
      </c>
      <c r="S22" s="30">
        <v>9.6724716482351498E-3</v>
      </c>
      <c r="T22" s="32">
        <v>4.0523335595436699E-5</v>
      </c>
      <c r="U22" s="32"/>
      <c r="X22" s="32"/>
      <c r="Y22" s="32"/>
      <c r="Z22" s="32"/>
      <c r="AA22" s="32"/>
      <c r="AE22" s="32">
        <f>SUM(AV$5:$AV22)</f>
        <v>3.4446942530208933</v>
      </c>
      <c r="AF22" s="32" cm="1">
        <f t="array" ref="AF22">2*SQRT(SUM((AW$5:$AW22/2)^2))</f>
        <v>3.7192315004488975E-2</v>
      </c>
      <c r="AG22" s="32">
        <f t="shared" si="7"/>
        <v>3.4027676260316961</v>
      </c>
      <c r="AH22" s="32" cm="1">
        <f t="array" ref="AH22">2*SQRT(SUM((R$5:$R22/2)^2))</f>
        <v>2.3022865849913216E-2</v>
      </c>
      <c r="AI22" s="32">
        <f t="shared" si="8"/>
        <v>0.41520990380097422</v>
      </c>
      <c r="AJ22" s="32" cm="1">
        <f t="array" ref="AJ22">2*SQRT(SUM((T$5:$T22/2)^2))</f>
        <v>8.2562623642645186E-4</v>
      </c>
      <c r="AK22" s="47"/>
      <c r="AL22" s="32">
        <f>'Fit Lambdas'!$U$2*(10000/(C22+273))+'Fit Lambdas'!$V$2</f>
        <v>25.81847690088021</v>
      </c>
      <c r="AM22" s="30">
        <f>'Fit Lambdas'!$V$4</f>
        <v>6.7480704157997479E-2</v>
      </c>
      <c r="AN22" s="32">
        <f t="shared" si="1"/>
        <v>163238294705.30197</v>
      </c>
      <c r="AO22" s="32">
        <f t="shared" si="9"/>
        <v>11015435072.264488</v>
      </c>
      <c r="AP22" s="32">
        <f>AN22*(C22+273)*$C$145*$E$144</f>
        <v>5.9575668637396499E-5</v>
      </c>
      <c r="AQ22" s="32">
        <f t="shared" si="2"/>
        <v>3.6496135140929944E-16</v>
      </c>
      <c r="AR22" s="32">
        <f>Q22/(1-EXP(-D22*60*AP22))</f>
        <v>5.5214985605355503E-2</v>
      </c>
      <c r="AS22" s="32">
        <f>2*SQRT(
((R22/2) * (1 / (1 - EXP(-D22 * 60 * AN22 * AQ22))))^2 +
(AO22 * (-Q22 * 60 * D22 * AQ22 * EXP(-D22 * 60 * AN22 * AQ22) / (1 - EXP(-D22 * 60 * AN22 * AQ22))^2))^2
)</f>
        <v>5.7108534338673354E-3</v>
      </c>
      <c r="AT22" s="32" cm="1">
        <f t="array" ref="AT22:AU22">AR22:AS22</f>
        <v>5.5214985605355503E-2</v>
      </c>
      <c r="AU22" s="32">
        <v>5.7108534338673354E-3</v>
      </c>
      <c r="AV22" s="24"/>
      <c r="AW22" s="24"/>
      <c r="AX22" s="51"/>
      <c r="AY22" s="47"/>
      <c r="AZ22" s="32">
        <f t="shared" si="5"/>
        <v>96683803668.873611</v>
      </c>
      <c r="BA22" s="32">
        <f t="shared" si="6"/>
        <v>104956744957.584</v>
      </c>
      <c r="BB22" s="32"/>
      <c r="BC22" s="32"/>
      <c r="BD22" s="32"/>
      <c r="BE22" s="32"/>
      <c r="BF22" s="32"/>
      <c r="BG22" s="32"/>
      <c r="BH22" s="32"/>
      <c r="BI22" s="32"/>
      <c r="BJ22" s="32"/>
      <c r="BK22" s="32"/>
      <c r="BL22" s="32"/>
      <c r="BM22" s="32"/>
      <c r="BN22" s="32"/>
      <c r="BO22" s="32"/>
      <c r="BP22" s="32"/>
      <c r="BQ22" s="32"/>
      <c r="BR22" s="32"/>
      <c r="BS22" s="32"/>
      <c r="BT22" s="32"/>
      <c r="BU22" s="32"/>
    </row>
    <row r="23" spans="2:85" s="8" customFormat="1" x14ac:dyDescent="0.3">
      <c r="B23" s="33">
        <v>45326.958333333336</v>
      </c>
      <c r="C23" s="8">
        <v>110</v>
      </c>
      <c r="D23" s="8">
        <f t="shared" si="0"/>
        <v>150</v>
      </c>
      <c r="E23" s="8" t="s">
        <v>448</v>
      </c>
      <c r="F23" s="34">
        <v>1.86</v>
      </c>
      <c r="G23" s="34">
        <v>0</v>
      </c>
      <c r="H23" s="34">
        <v>0.17100000000000001</v>
      </c>
      <c r="I23" s="8">
        <v>9000</v>
      </c>
      <c r="J23" s="8">
        <v>9129.1620000000003</v>
      </c>
      <c r="K23" s="8">
        <f t="shared" si="3"/>
        <v>10560.000000474975</v>
      </c>
      <c r="L23" s="8">
        <f t="shared" si="4"/>
        <v>1560.0000004749745</v>
      </c>
      <c r="M23" s="47"/>
      <c r="N23" s="8">
        <v>6.18899770477654E-3</v>
      </c>
      <c r="O23" s="8">
        <v>2.58744490134829E-2</v>
      </c>
      <c r="Q23" s="8">
        <v>1.1511535730884301E-2</v>
      </c>
      <c r="R23" s="34">
        <v>2.0127918995059701E-4</v>
      </c>
      <c r="S23" s="8">
        <v>4.4245307813055804E-3</v>
      </c>
      <c r="T23" s="34">
        <v>1.8146534997503102E-5</v>
      </c>
      <c r="U23" s="34"/>
      <c r="X23" s="34"/>
      <c r="Y23" s="34"/>
      <c r="Z23" s="34"/>
      <c r="AA23" s="34"/>
      <c r="AE23" s="34">
        <f>SUM(AV$5:$AV23)</f>
        <v>3.4446942530208933</v>
      </c>
      <c r="AF23" s="34" cm="1">
        <f t="array" ref="AF23">2*SQRT(SUM((AW$5:$AW23/2)^2))</f>
        <v>3.7192315004488975E-2</v>
      </c>
      <c r="AG23" s="34">
        <f t="shared" si="7"/>
        <v>3.4142791617625803</v>
      </c>
      <c r="AH23" s="34" cm="1">
        <f t="array" ref="AH23">2*SQRT(SUM((R$5:$R23/2)^2))</f>
        <v>2.3023745682564496E-2</v>
      </c>
      <c r="AI23" s="34">
        <f t="shared" si="8"/>
        <v>0.41963443458227978</v>
      </c>
      <c r="AJ23" s="34" cm="1">
        <f t="array" ref="AJ23">2*SQRT(SUM((T$5:$T23/2)^2))</f>
        <v>8.2582563474871808E-4</v>
      </c>
      <c r="AK23" s="47"/>
      <c r="AL23" s="34">
        <f>'Fit Lambdas'!$U$2*(10000/(C23+273))+'Fit Lambdas'!$V$2</f>
        <v>25.818826597052521</v>
      </c>
      <c r="AM23" s="8">
        <f>'Fit Lambdas'!$V$4</f>
        <v>6.7480704157997479E-2</v>
      </c>
      <c r="AN23" s="34">
        <f t="shared" si="1"/>
        <v>163295388494.29288</v>
      </c>
      <c r="AO23" s="34">
        <f t="shared" si="9"/>
        <v>11019287801.348642</v>
      </c>
      <c r="AP23" s="34">
        <f>AN23*(C23+273)*$C$145*$E$144</f>
        <v>5.9598061748946858E-5</v>
      </c>
      <c r="AQ23" s="34">
        <f t="shared" si="2"/>
        <v>3.6497088067511346E-16</v>
      </c>
      <c r="AR23" s="34">
        <f>Q23/(1-EXP(-D23*60*AP23))</f>
        <v>2.7729294486729776E-2</v>
      </c>
      <c r="AS23" s="34">
        <f>2*SQRT(
((R23/2) * (1 / (1 - EXP(-D23 * 60 * AN23 * AQ23))))^2 +
(AO23 * (-Q23 * 60 * D23 * AQ23 * EXP(-D23 * 60 * AN23 * AQ23) / (1 - EXP(-D23 * 60 * AN23 * AQ23))^2))^2
)</f>
        <v>2.8692691871340572E-3</v>
      </c>
      <c r="AT23" s="34">
        <f>AT22*EXP(-AP22*D22*60)</f>
        <v>3.2299552545778695E-2</v>
      </c>
      <c r="AU23" s="34">
        <f>2*((((AU22/2)*EXP(-AP22*D22*60))^2+(AT22*EXP(-AP22*D22*60)*D22*60*AO22*AP22/AN22)^2)^0.5)</f>
        <v>4.0771906554461198E-3</v>
      </c>
      <c r="AV23" s="25"/>
      <c r="AW23" s="25"/>
      <c r="AX23" s="52"/>
      <c r="AY23" s="47"/>
      <c r="AZ23" s="34">
        <f t="shared" si="5"/>
        <v>96700059240.232132</v>
      </c>
      <c r="BA23" s="34">
        <f t="shared" si="6"/>
        <v>104974596762.32733</v>
      </c>
      <c r="BB23" s="34"/>
      <c r="BC23" s="34"/>
      <c r="BD23" s="34"/>
      <c r="BE23" s="34"/>
      <c r="BF23" s="34"/>
      <c r="BG23" s="34"/>
      <c r="BH23" s="34"/>
      <c r="BI23" s="34"/>
      <c r="BJ23" s="34"/>
      <c r="BK23" s="34"/>
      <c r="BL23" s="34"/>
      <c r="BM23" s="34"/>
      <c r="BN23" s="34"/>
      <c r="BO23" s="34"/>
      <c r="BP23" s="34"/>
      <c r="BQ23" s="34"/>
      <c r="BR23" s="34"/>
      <c r="BS23" s="34"/>
      <c r="BT23" s="34"/>
      <c r="BU23" s="34"/>
    </row>
    <row r="24" spans="2:85" s="8" customFormat="1" x14ac:dyDescent="0.3">
      <c r="B24" s="33">
        <v>45327.080555555556</v>
      </c>
      <c r="C24" s="8">
        <v>110</v>
      </c>
      <c r="D24" s="8">
        <f t="shared" si="0"/>
        <v>150</v>
      </c>
      <c r="E24" s="8" t="s">
        <v>448</v>
      </c>
      <c r="F24" s="34">
        <v>1.21</v>
      </c>
      <c r="G24" s="34">
        <v>0</v>
      </c>
      <c r="H24" s="34">
        <v>0.126</v>
      </c>
      <c r="I24" s="8">
        <v>9000</v>
      </c>
      <c r="J24" s="8">
        <v>9128.9069999999992</v>
      </c>
      <c r="K24" s="8">
        <f t="shared" si="3"/>
        <v>10559.999999846332</v>
      </c>
      <c r="L24" s="8">
        <f t="shared" si="4"/>
        <v>1559.9999998463318</v>
      </c>
      <c r="M24" s="47"/>
      <c r="N24" s="8">
        <v>6.2128988695499196E-3</v>
      </c>
      <c r="O24" s="8">
        <v>2.5898069578148102E-2</v>
      </c>
      <c r="Q24" s="8">
        <v>7.5176076321554E-3</v>
      </c>
      <c r="R24" s="34">
        <v>1.3622341234475701E-4</v>
      </c>
      <c r="S24" s="8">
        <v>3.2631567668466601E-3</v>
      </c>
      <c r="T24" s="34">
        <v>1.28462509090073E-5</v>
      </c>
      <c r="U24" s="34"/>
      <c r="X24" s="34"/>
      <c r="Y24" s="34"/>
      <c r="Z24" s="34"/>
      <c r="AA24" s="34"/>
      <c r="AE24" s="34">
        <f>SUM(AV$5:$AV24)</f>
        <v>3.4446942530208933</v>
      </c>
      <c r="AF24" s="34" cm="1">
        <f t="array" ref="AF24">2*SQRT(SUM((AW$5:$AW24/2)^2))</f>
        <v>3.7192315004488975E-2</v>
      </c>
      <c r="AG24" s="34">
        <f t="shared" si="7"/>
        <v>3.4217967693947355</v>
      </c>
      <c r="AH24" s="34" cm="1">
        <f t="array" ref="AH24">2*SQRT(SUM((R$5:$R24/2)^2))</f>
        <v>2.3024148672067729E-2</v>
      </c>
      <c r="AI24" s="34">
        <f t="shared" si="8"/>
        <v>0.42289759134912647</v>
      </c>
      <c r="AJ24" s="34" cm="1">
        <f t="array" ref="AJ24">2*SQRT(SUM((T$5:$T24/2)^2))</f>
        <v>8.2592554456835897E-4</v>
      </c>
      <c r="AK24" s="47"/>
      <c r="AL24" s="34">
        <f>'Fit Lambdas'!$U$2*(10000/(C24+273))+'Fit Lambdas'!$V$2</f>
        <v>25.818826597052521</v>
      </c>
      <c r="AM24" s="8">
        <f>'Fit Lambdas'!$V$4</f>
        <v>6.7480704157997479E-2</v>
      </c>
      <c r="AN24" s="34">
        <f t="shared" si="1"/>
        <v>163295388494.29288</v>
      </c>
      <c r="AO24" s="34">
        <f t="shared" si="9"/>
        <v>11019287801.348642</v>
      </c>
      <c r="AP24" s="34">
        <f>AN24*(C24+273)*$C$145*$E$144</f>
        <v>5.9598061748946858E-5</v>
      </c>
      <c r="AQ24" s="34">
        <f t="shared" si="2"/>
        <v>3.6497088067511346E-16</v>
      </c>
      <c r="AR24" s="34">
        <f>Q24/(1-EXP(-D24*60*AP24))</f>
        <v>1.8108613893144818E-2</v>
      </c>
      <c r="AS24" s="34">
        <f>2*SQRT(
((R24/2) * (1 / (1 - EXP(-D24 * 60 * AN24 * AQ24))))^2 +
(AO24 * (-Q24 * 60 * D24 * AQ24 * EXP(-D24 * 60 * AN24 * AQ24) / (1 - EXP(-D24 * 60 * AN24 * AQ24))^2))^2
)</f>
        <v>1.875755216798725E-3</v>
      </c>
      <c r="AT24" s="34">
        <f>AT23*EXP(-AP23*D23*60)</f>
        <v>1.8890720474690675E-2</v>
      </c>
      <c r="AU24" s="34">
        <f>2*((((AU23/2)*EXP(-AP23*D23*60))^2+(AT23*EXP(-AP23*D23*60)*D23*60*AO23*AP23/AN23)^2)^0.5)</f>
        <v>2.7488824354726625E-3</v>
      </c>
      <c r="AV24" s="25"/>
      <c r="AW24" s="25"/>
      <c r="AX24" s="52"/>
      <c r="AY24" s="47"/>
      <c r="AZ24" s="34">
        <f t="shared" si="5"/>
        <v>96700059240.232132</v>
      </c>
      <c r="BA24" s="34">
        <f t="shared" si="6"/>
        <v>104974596762.32733</v>
      </c>
      <c r="BB24" s="34"/>
      <c r="BC24" s="34"/>
      <c r="BD24" s="34"/>
      <c r="BE24" s="34"/>
      <c r="BF24" s="34"/>
      <c r="BG24" s="34"/>
      <c r="BH24" s="34"/>
      <c r="BI24" s="34"/>
      <c r="BJ24" s="34"/>
      <c r="BK24" s="34"/>
      <c r="BL24" s="34"/>
      <c r="BM24" s="34"/>
      <c r="BN24" s="34"/>
      <c r="BO24" s="34"/>
      <c r="BP24" s="34"/>
      <c r="BQ24" s="34"/>
      <c r="BR24" s="34"/>
      <c r="BS24" s="34"/>
      <c r="BT24" s="34"/>
      <c r="BU24" s="34"/>
    </row>
    <row r="25" spans="2:85" s="27" customFormat="1" x14ac:dyDescent="0.3">
      <c r="B25" s="28">
        <v>45327.411111111112</v>
      </c>
      <c r="C25" s="27">
        <v>220</v>
      </c>
      <c r="D25" s="27">
        <f t="shared" si="0"/>
        <v>450</v>
      </c>
      <c r="E25" s="27" t="s">
        <v>460</v>
      </c>
      <c r="F25" s="29">
        <v>102</v>
      </c>
      <c r="G25" s="29">
        <v>0</v>
      </c>
      <c r="H25" s="29">
        <v>8.07</v>
      </c>
      <c r="I25" s="27">
        <v>27000</v>
      </c>
      <c r="J25" s="27">
        <v>27130.368999999999</v>
      </c>
      <c r="K25" s="27">
        <f t="shared" si="3"/>
        <v>28560.000000055879</v>
      </c>
      <c r="L25" s="27">
        <f t="shared" si="4"/>
        <v>1560.0000000558794</v>
      </c>
      <c r="M25" s="47"/>
      <c r="N25" s="27">
        <v>6.2091427866422999E-3</v>
      </c>
      <c r="O25" s="27">
        <v>2.5904605263157798E-2</v>
      </c>
      <c r="Q25" s="27">
        <v>0.63333256423751405</v>
      </c>
      <c r="R25" s="27">
        <v>1.1423818461767999E-2</v>
      </c>
      <c r="S25" s="27">
        <v>0.20905016447368399</v>
      </c>
      <c r="T25" s="27">
        <v>9.6717726032338996E-4</v>
      </c>
      <c r="V25" s="29">
        <f>(1000*S25/Q25)/$AE$140</f>
        <v>0.3268766079812821</v>
      </c>
      <c r="W25" s="29"/>
      <c r="X25" s="29">
        <f>S25-AVERAGE(S26:S28)</f>
        <v>0.20117491590930578</v>
      </c>
      <c r="Y25" s="29">
        <f>T25+AVERAGE(S26:S28)</f>
        <v>8.8424258247016031E-3</v>
      </c>
      <c r="Z25" s="29"/>
      <c r="AA25" s="29">
        <f>(X25*1000)/Q25</f>
        <v>317.64498980327284</v>
      </c>
      <c r="AB25" s="29">
        <f>2*((1000*Y25/(2*Q25))^2+((R25/2)*1000*X25/(Q25^2))^2)^0.5</f>
        <v>15.091657559142021</v>
      </c>
      <c r="AC25" s="29">
        <f>AA25/$AE$140</f>
        <v>0.31456265193052058</v>
      </c>
      <c r="AD25" s="29">
        <f>2*(($AF$140*AA25/(2*$AE$140^2))^2+(AB25/($AE$140*2))^2)^0.5</f>
        <v>1.5309487627497715E-2</v>
      </c>
      <c r="AE25" s="29">
        <f>SUM(AV$5:$AV25)</f>
        <v>4.1139122522001212</v>
      </c>
      <c r="AF25" s="29" cm="1">
        <f t="array" ref="AF25">2*SQRT(SUM((AW$5:$AW25/2)^2))</f>
        <v>3.9216487639279388E-2</v>
      </c>
      <c r="AG25" s="29">
        <f t="shared" si="7"/>
        <v>4.0551293336322498</v>
      </c>
      <c r="AH25" s="29" cm="1">
        <f t="array" ref="AH25">2*SQRT(SUM((R$5:$R25/2)^2))</f>
        <v>2.5702432770477381E-2</v>
      </c>
      <c r="AI25" s="29">
        <f t="shared" si="8"/>
        <v>0.63194775582281049</v>
      </c>
      <c r="AJ25" s="29" cm="1">
        <f t="array" ref="AJ25">2*SQRT(SUM((T$5:$T25/2)^2))</f>
        <v>1.2718430949048701E-3</v>
      </c>
      <c r="AK25" s="47"/>
      <c r="AL25" s="29"/>
      <c r="AN25" s="29"/>
      <c r="AO25" s="29"/>
      <c r="AP25" s="29"/>
      <c r="AQ25" s="29">
        <f t="shared" si="2"/>
        <v>4.6979280462880138E-16</v>
      </c>
      <c r="AR25" s="29"/>
      <c r="AS25" s="29"/>
      <c r="AT25" s="29">
        <f>AT24*EXP(-AP24*D24*60)</f>
        <v>1.1048429217312371E-2</v>
      </c>
      <c r="AU25" s="29">
        <f>2*((((AU24/2)*EXP(-AP24*D24*60))^2+(AT24*EXP(-AP24*D24*60)*D24*60*AO24*AP24/AN24)^2)^0.5)</f>
        <v>1.7956689666237403E-3</v>
      </c>
      <c r="AV25" s="23">
        <f>Q25+AT26-AT25</f>
        <v>0.66921799917922808</v>
      </c>
      <c r="AW25" s="23">
        <f>2*(((AU25/2)^2+(AU26/2)^2+(R25/2)^2)^(0.5))</f>
        <v>1.2436422611370885E-2</v>
      </c>
      <c r="AX25" s="50">
        <f>100*(AV25-Q25)/Q25</f>
        <v>5.666128187316164</v>
      </c>
      <c r="AY25" s="47"/>
      <c r="AZ25" s="29">
        <f t="shared" si="5"/>
        <v>406768781741.35809</v>
      </c>
      <c r="BA25" s="29">
        <f t="shared" si="6"/>
        <v>449017166292.49164</v>
      </c>
      <c r="BB25" s="29">
        <f>Q25*BD25</f>
        <v>0.13488029339869259</v>
      </c>
      <c r="BC25" s="29">
        <f>AQ25*BA25*I25</f>
        <v>5.6955159147337167</v>
      </c>
      <c r="BD25" s="29">
        <f>1/(BC25-1)</f>
        <v>0.21296914293532113</v>
      </c>
      <c r="BE25" s="29">
        <f>BG25*S25</f>
        <v>5.0257030981856542E-2</v>
      </c>
      <c r="BF25" s="29">
        <f>AQ25*AZ25*I25</f>
        <v>5.1596202638622621</v>
      </c>
      <c r="BG25" s="29">
        <f>1/(BF25-1)</f>
        <v>0.2404065603506525</v>
      </c>
      <c r="BH25" s="29">
        <f>Q25-BB21</f>
        <v>0.49926880619669911</v>
      </c>
      <c r="BI25" s="29">
        <f>Q25+BB25</f>
        <v>0.76821285763620661</v>
      </c>
      <c r="BJ25" s="29">
        <f>X25-BE21</f>
        <v>0.16286663463365256</v>
      </c>
      <c r="BK25" s="29">
        <f>X25+BE25</f>
        <v>0.25143194689116233</v>
      </c>
      <c r="BL25" s="29">
        <f>BF25*1.29</f>
        <v>6.6559101403823187</v>
      </c>
      <c r="BM25" s="29">
        <f>Q25 / (BL25-1)</f>
        <v>0.11197712631882499</v>
      </c>
      <c r="BN25" s="29">
        <f>(1000*(S25+BE25)/(Q25+BM25))/$AE$140</f>
        <v>0.34454261688463245</v>
      </c>
      <c r="BO25" s="29">
        <f>(1000*(S25-BE21)/(Q25-BM21))/$AE$140</f>
        <v>0.32361174925189157</v>
      </c>
      <c r="BP25" s="29">
        <f>(1000*(S25+BE25-BE21)/(Q25+BM25-BM21))/$AE$140</f>
        <v>0.34494013781444277</v>
      </c>
      <c r="BQ25" s="29">
        <f>MIN(BN25:BP25)</f>
        <v>0.32361174925189157</v>
      </c>
      <c r="BR25" s="29">
        <f>((1000*S25/Q25))/$AE$140</f>
        <v>0.3268766079812821</v>
      </c>
      <c r="BS25" s="29">
        <f>MAX(BN25:BP25)</f>
        <v>0.34494013781444277</v>
      </c>
      <c r="BT25" s="29"/>
      <c r="BU25" s="29"/>
    </row>
    <row r="26" spans="2:85" s="30" customFormat="1" x14ac:dyDescent="0.3">
      <c r="B26" s="31">
        <v>45327.533333333333</v>
      </c>
      <c r="C26" s="30">
        <v>115</v>
      </c>
      <c r="D26" s="30">
        <f t="shared" si="0"/>
        <v>150</v>
      </c>
      <c r="E26" s="30" t="s">
        <v>446</v>
      </c>
      <c r="F26" s="32">
        <v>3.59</v>
      </c>
      <c r="G26" s="32">
        <v>0</v>
      </c>
      <c r="H26" s="32">
        <v>0.32900000000000001</v>
      </c>
      <c r="I26" s="30">
        <v>9000</v>
      </c>
      <c r="J26" s="30">
        <v>9127.9359999999997</v>
      </c>
      <c r="K26" s="30">
        <f t="shared" si="3"/>
        <v>10559.999999846332</v>
      </c>
      <c r="L26" s="30">
        <f t="shared" si="4"/>
        <v>1559.9999998463318</v>
      </c>
      <c r="M26" s="47"/>
      <c r="N26" s="30">
        <v>6.2194485886968298E-3</v>
      </c>
      <c r="O26" s="30">
        <v>2.5904605263157798E-2</v>
      </c>
      <c r="Q26" s="30">
        <v>2.2327820433421599E-2</v>
      </c>
      <c r="R26" s="30">
        <v>3.7376858861582298E-4</v>
      </c>
      <c r="S26" s="30">
        <v>8.5226151315789395E-3</v>
      </c>
      <c r="T26" s="32">
        <v>3.8388012157614297E-5</v>
      </c>
      <c r="U26" s="32"/>
      <c r="X26" s="32"/>
      <c r="Y26" s="32"/>
      <c r="Z26" s="32"/>
      <c r="AA26" s="32"/>
      <c r="AE26" s="32">
        <f>SUM(AV$5:$AV26)</f>
        <v>4.1139122522001212</v>
      </c>
      <c r="AF26" s="32" cm="1">
        <f t="array" ref="AF26">2*SQRT(SUM((AW$5:$AW26/2)^2))</f>
        <v>3.9216487639279388E-2</v>
      </c>
      <c r="AG26" s="32">
        <f t="shared" si="7"/>
        <v>4.0774571540656712</v>
      </c>
      <c r="AH26" s="32" cm="1">
        <f t="array" ref="AH26">2*SQRT(SUM((R$5:$R26/2)^2))</f>
        <v>2.5705150325931677E-2</v>
      </c>
      <c r="AI26" s="32">
        <f t="shared" si="8"/>
        <v>0.64047037095438941</v>
      </c>
      <c r="AJ26" s="32" cm="1">
        <f t="array" ref="AJ26">2*SQRT(SUM((T$5:$T26/2)^2))</f>
        <v>1.2724222952835321E-3</v>
      </c>
      <c r="AK26" s="47"/>
      <c r="AL26" s="32">
        <f>'Fit Lambdas'!$U$2*(10000/(C26+273))+'Fit Lambdas'!$V$2</f>
        <v>25.991416979826834</v>
      </c>
      <c r="AM26" s="30">
        <f>'Fit Lambdas'!$V$4</f>
        <v>6.7480704157997479E-2</v>
      </c>
      <c r="AN26" s="32">
        <f t="shared" si="1"/>
        <v>194056847187.76276</v>
      </c>
      <c r="AO26" s="32">
        <f t="shared" si="9"/>
        <v>13095092694.911144</v>
      </c>
      <c r="AP26" s="32">
        <f>AN26*(C26+273)*$C$145*$E$144</f>
        <v>7.1749708059090411E-5</v>
      </c>
      <c r="AQ26" s="32">
        <f t="shared" si="2"/>
        <v>3.6973551358209923E-16</v>
      </c>
      <c r="AR26" s="32">
        <f>Q26/(1-EXP(-D26*60*AP26))</f>
        <v>4.693386415902645E-2</v>
      </c>
      <c r="AS26" s="32">
        <f>2*SQRT(
((R26/2) * (1 / (1 - EXP(-D26 * 60 * AN26 * AQ26))))^2 +
(AO26 * (-Q26 * 60 * D26 * AQ26 * EXP(-D26 * 60 * AN26 * AQ26) / (1 - EXP(-D26 * 60 * AN26 * AQ26))^2))^2
)</f>
        <v>4.5756477228355427E-3</v>
      </c>
      <c r="AT26" s="32" cm="1">
        <f t="array" ref="AT26:AU26">AR26:AS26</f>
        <v>4.693386415902645E-2</v>
      </c>
      <c r="AU26" s="32">
        <v>4.5756477228355427E-3</v>
      </c>
      <c r="AV26" s="24"/>
      <c r="AW26" s="24"/>
      <c r="AX26" s="51"/>
      <c r="AY26" s="47"/>
      <c r="AZ26" s="32">
        <f t="shared" si="5"/>
        <v>105065839002.11293</v>
      </c>
      <c r="BA26" s="32">
        <f t="shared" si="6"/>
        <v>114166368820.14638</v>
      </c>
      <c r="BB26" s="32"/>
      <c r="BC26" s="32"/>
      <c r="BD26" s="32"/>
      <c r="BE26" s="32"/>
      <c r="BF26" s="32"/>
      <c r="BG26" s="32"/>
      <c r="BH26" s="32"/>
      <c r="BI26" s="32"/>
      <c r="BJ26" s="32"/>
      <c r="BK26" s="32"/>
      <c r="BL26" s="32"/>
      <c r="BM26" s="32"/>
      <c r="BN26" s="32"/>
      <c r="BO26" s="32"/>
      <c r="BP26" s="32"/>
      <c r="BQ26" s="32"/>
      <c r="BR26" s="32"/>
      <c r="BS26" s="32"/>
      <c r="BT26" s="32"/>
      <c r="BU26" s="32"/>
    </row>
    <row r="27" spans="2:85" x14ac:dyDescent="0.3">
      <c r="B27" s="1">
        <v>45327.65902777778</v>
      </c>
      <c r="C27">
        <v>115</v>
      </c>
      <c r="D27">
        <f t="shared" si="0"/>
        <v>150</v>
      </c>
      <c r="F27" s="2">
        <v>2.15</v>
      </c>
      <c r="G27" s="2">
        <v>0</v>
      </c>
      <c r="H27" s="2">
        <v>0.29499999999999998</v>
      </c>
      <c r="I27">
        <v>9000</v>
      </c>
      <c r="J27">
        <v>9128.5789999999997</v>
      </c>
      <c r="K27">
        <f t="shared" si="3"/>
        <v>10860.000000195578</v>
      </c>
      <c r="L27">
        <f t="shared" si="4"/>
        <v>1860.0000001955777</v>
      </c>
      <c r="M27" s="47"/>
      <c r="N27">
        <v>6.2368414150355796E-3</v>
      </c>
      <c r="O27">
        <v>2.5904605263157798E-2</v>
      </c>
      <c r="Q27">
        <v>1.34092090423265E-2</v>
      </c>
      <c r="R27" s="2">
        <v>2.01020797692531E-4</v>
      </c>
      <c r="S27">
        <v>7.6418585526315704E-3</v>
      </c>
      <c r="T27" s="2">
        <v>3.2517587604878397E-5</v>
      </c>
      <c r="U27" s="2"/>
      <c r="X27" s="2"/>
      <c r="Y27" s="2"/>
      <c r="Z27" s="2"/>
      <c r="AA27" s="2"/>
      <c r="AE27" s="2">
        <f>SUM(AV$5:$AV27)</f>
        <v>4.1139122522001212</v>
      </c>
      <c r="AF27" s="2" cm="1">
        <f t="array" ref="AF27">2*SQRT(SUM((AW$5:$AW27/2)^2))</f>
        <v>3.9216487639279388E-2</v>
      </c>
      <c r="AG27" s="2">
        <f t="shared" si="7"/>
        <v>4.090866363107998</v>
      </c>
      <c r="AH27" s="2" cm="1">
        <f t="array" ref="AH27">2*SQRT(SUM((R$5:$R27/2)^2))</f>
        <v>2.5705936330735948E-2</v>
      </c>
      <c r="AI27" s="2">
        <f t="shared" si="8"/>
        <v>0.64811222950702096</v>
      </c>
      <c r="AJ27" s="2" cm="1">
        <f t="array" ref="AJ27">2*SQRT(SUM((T$5:$T27/2)^2))</f>
        <v>1.2728377316210627E-3</v>
      </c>
      <c r="AK27" s="47"/>
      <c r="AL27" s="2">
        <f>'Fit Lambdas'!$U$2*(10000/(C27+273))+'Fit Lambdas'!$V$2</f>
        <v>25.991416979826834</v>
      </c>
      <c r="AM27">
        <f>'Fit Lambdas'!$V$4</f>
        <v>6.7480704157997479E-2</v>
      </c>
      <c r="AN27" s="2">
        <f t="shared" si="1"/>
        <v>194056847187.76276</v>
      </c>
      <c r="AO27" s="2">
        <f t="shared" si="9"/>
        <v>13095092694.911144</v>
      </c>
      <c r="AP27" s="2">
        <f>AN27*(C27+273)*$C$145*$E$144</f>
        <v>7.1749708059090411E-5</v>
      </c>
      <c r="AQ27" s="2">
        <f t="shared" si="2"/>
        <v>3.6973551358209923E-16</v>
      </c>
      <c r="AR27" s="2">
        <f>Q27/(1-EXP(-D27*60*AP27))</f>
        <v>2.818662921215986E-2</v>
      </c>
      <c r="AS27" s="2">
        <f>2*SQRT(
((R27/2) * (1 / (1 - EXP(-D27 * 60 * AN27 * AQ27))))^2 +
(AO27 * (-Q27 * 60 * D27 * AQ27 * EXP(-D27 * 60 * AN27 * AQ27) / (1 - EXP(-D27 * 60 * AN27 * AQ27))^2))^2
)</f>
        <v>2.7399201527442407E-3</v>
      </c>
      <c r="AT27" s="2">
        <f>AT26*EXP(-AP26*D26*60)</f>
        <v>2.4606043725604852E-2</v>
      </c>
      <c r="AU27" s="2">
        <f>2*((((AU26/2)*EXP(-AP26*D26*60))^2+(AT26*EXP(-AP26*D26*60)*D26*60*AO26*AP26/AN26)^2)^0.5)</f>
        <v>3.2176449274119931E-3</v>
      </c>
      <c r="AV27" s="22"/>
      <c r="AW27" s="22"/>
      <c r="AX27" s="49"/>
      <c r="AY27" s="47"/>
      <c r="AZ27" s="2">
        <f t="shared" si="5"/>
        <v>105065839002.11293</v>
      </c>
      <c r="BA27" s="2">
        <f t="shared" si="6"/>
        <v>114166368820.14638</v>
      </c>
      <c r="BB27" s="2"/>
      <c r="BC27" s="2"/>
      <c r="BD27" s="2"/>
      <c r="BE27" s="2"/>
      <c r="BF27" s="2"/>
      <c r="BG27" s="2"/>
      <c r="BH27" s="2"/>
      <c r="BI27" s="2"/>
      <c r="BJ27" s="2"/>
      <c r="BK27" s="2"/>
      <c r="BL27" s="2"/>
      <c r="BM27" s="2"/>
      <c r="BN27" s="2"/>
      <c r="BO27" s="2"/>
      <c r="BP27" s="2"/>
      <c r="BQ27" s="2"/>
      <c r="BR27" s="2"/>
      <c r="BS27" s="2"/>
      <c r="BT27" s="2"/>
      <c r="BU27" s="2"/>
      <c r="BV27"/>
      <c r="BW27"/>
      <c r="BX27"/>
      <c r="BY27"/>
      <c r="BZ27"/>
      <c r="CA27"/>
      <c r="CB27"/>
      <c r="CC27"/>
      <c r="CD27"/>
      <c r="CE27"/>
      <c r="CF27"/>
      <c r="CG27"/>
    </row>
    <row r="28" spans="2:85" x14ac:dyDescent="0.3">
      <c r="B28" s="1">
        <v>45327.78125</v>
      </c>
      <c r="C28">
        <v>115</v>
      </c>
      <c r="D28">
        <f t="shared" si="0"/>
        <v>150</v>
      </c>
      <c r="F28" s="2">
        <v>1.25</v>
      </c>
      <c r="G28" s="2">
        <v>0</v>
      </c>
      <c r="H28" s="2">
        <v>0.28799999999999998</v>
      </c>
      <c r="I28">
        <v>9000</v>
      </c>
      <c r="J28">
        <v>9128.2749999999996</v>
      </c>
      <c r="K28">
        <f t="shared" si="3"/>
        <v>10559.999999846332</v>
      </c>
      <c r="L28">
        <f t="shared" si="4"/>
        <v>1559.9999998463318</v>
      </c>
      <c r="M28" s="47"/>
      <c r="N28">
        <v>6.2399393619778998E-3</v>
      </c>
      <c r="O28">
        <v>2.5907194475431002E-2</v>
      </c>
      <c r="Q28">
        <v>7.7999242024723798E-3</v>
      </c>
      <c r="R28" s="2">
        <v>1.1374610396681001E-4</v>
      </c>
      <c r="S28">
        <v>7.4612720089241302E-3</v>
      </c>
      <c r="T28" s="2">
        <v>3.1275993887812099E-5</v>
      </c>
      <c r="U28" s="2"/>
      <c r="X28" s="2"/>
      <c r="Y28" s="2"/>
      <c r="Z28" s="2"/>
      <c r="AA28" s="2"/>
      <c r="AE28" s="2">
        <f>SUM(AV$5:$AV28)</f>
        <v>4.1139122522001212</v>
      </c>
      <c r="AF28" s="2" cm="1">
        <f t="array" ref="AF28">2*SQRT(SUM((AW$5:$AW28/2)^2))</f>
        <v>3.9216487639279388E-2</v>
      </c>
      <c r="AG28" s="2">
        <f t="shared" si="7"/>
        <v>4.0986662873104702</v>
      </c>
      <c r="AH28" s="2" cm="1">
        <f t="array" ref="AH28">2*SQRT(SUM((R$5:$R28/2)^2))</f>
        <v>2.5706187986864523E-2</v>
      </c>
      <c r="AI28" s="2">
        <f t="shared" si="8"/>
        <v>0.65557350151594507</v>
      </c>
      <c r="AJ28" s="2" cm="1">
        <f t="array" ref="AJ28">2*SQRT(SUM((T$5:$T28/2)^2))</f>
        <v>1.2732219283502477E-3</v>
      </c>
      <c r="AK28" s="47"/>
      <c r="AL28" s="2">
        <f>'Fit Lambdas'!$U$2*(10000/(C28+273))+'Fit Lambdas'!$V$2</f>
        <v>25.991416979826834</v>
      </c>
      <c r="AM28">
        <f>'Fit Lambdas'!$V$4</f>
        <v>6.7480704157997479E-2</v>
      </c>
      <c r="AN28" s="2">
        <f t="shared" si="1"/>
        <v>194056847187.76276</v>
      </c>
      <c r="AO28" s="2">
        <f t="shared" si="9"/>
        <v>13095092694.911144</v>
      </c>
      <c r="AP28" s="2">
        <f>AN28*(C28+273)*$C$145*$E$144</f>
        <v>7.1749708059090411E-5</v>
      </c>
      <c r="AQ28" s="2">
        <f t="shared" si="2"/>
        <v>3.6973551358209923E-16</v>
      </c>
      <c r="AR28" s="2">
        <f>Q28/(1-EXP(-D28*60*AP28))</f>
        <v>1.6395715115191913E-2</v>
      </c>
      <c r="AS28" s="2">
        <f>2*SQRT(
((R28/2) * (1 / (1 - EXP(-D28 * 60 * AN28 * AQ28))))^2 +
(AO28 * (-Q28 * 60 * D28 * AQ28 * EXP(-D28 * 60 * AN28 * AQ28) / (1 - EXP(-D28 * 60 * AN28 * AQ28))^2))^2
)</f>
        <v>1.5927494786934992E-3</v>
      </c>
      <c r="AT28" s="2">
        <f>AT27-Q27</f>
        <v>1.1196834683278352E-2</v>
      </c>
      <c r="AU28" s="2">
        <f>AU27+R27</f>
        <v>3.4186657251045242E-3</v>
      </c>
      <c r="AV28" s="22"/>
      <c r="AW28" s="22"/>
      <c r="AX28" s="49"/>
      <c r="AY28" s="47"/>
      <c r="AZ28" s="2">
        <f t="shared" si="5"/>
        <v>105065839002.11293</v>
      </c>
      <c r="BA28" s="2">
        <f t="shared" si="6"/>
        <v>114166368820.14638</v>
      </c>
      <c r="BB28" s="2"/>
      <c r="BC28" s="2"/>
      <c r="BD28" s="2"/>
      <c r="BE28" s="2"/>
      <c r="BF28" s="2"/>
      <c r="BG28" s="2"/>
      <c r="BH28" s="2"/>
      <c r="BI28" s="2"/>
      <c r="BJ28" s="2"/>
      <c r="BK28" s="2"/>
      <c r="BL28" s="2"/>
      <c r="BM28" s="2"/>
      <c r="BN28" s="2"/>
      <c r="BO28" s="2"/>
      <c r="BP28" s="2"/>
      <c r="BQ28" s="2"/>
      <c r="BR28" s="2"/>
      <c r="BS28" s="2"/>
      <c r="BT28" s="2"/>
      <c r="BU28" s="2"/>
      <c r="BV28"/>
      <c r="BW28"/>
      <c r="BX28"/>
      <c r="BY28"/>
      <c r="BZ28"/>
      <c r="CA28"/>
      <c r="CB28"/>
      <c r="CC28"/>
      <c r="CD28"/>
      <c r="CE28"/>
      <c r="CF28"/>
      <c r="CG28"/>
    </row>
    <row r="29" spans="2:85" s="27" customFormat="1" x14ac:dyDescent="0.3">
      <c r="B29" s="28">
        <v>45328.094444444447</v>
      </c>
      <c r="C29" s="27">
        <v>230</v>
      </c>
      <c r="D29" s="27">
        <f t="shared" si="0"/>
        <v>425</v>
      </c>
      <c r="E29" s="27" t="s">
        <v>460</v>
      </c>
      <c r="F29" s="29">
        <v>127</v>
      </c>
      <c r="G29" s="29">
        <v>0</v>
      </c>
      <c r="H29" s="29">
        <v>12.5</v>
      </c>
      <c r="I29" s="27">
        <v>25500</v>
      </c>
      <c r="J29" s="27">
        <v>25626.655999999999</v>
      </c>
      <c r="K29" s="27">
        <f t="shared" si="3"/>
        <v>27060.000000195578</v>
      </c>
      <c r="L29" s="27">
        <f t="shared" si="4"/>
        <v>1560.0000001955777</v>
      </c>
      <c r="M29" s="47"/>
      <c r="N29" s="27">
        <v>6.2195121951219498E-3</v>
      </c>
      <c r="O29" s="27">
        <v>2.5947281713344299E-2</v>
      </c>
      <c r="Q29" s="27">
        <v>0.78987804878048695</v>
      </c>
      <c r="R29" s="27">
        <v>1.18260781863488E-2</v>
      </c>
      <c r="S29" s="27">
        <v>0.32434102141680399</v>
      </c>
      <c r="T29" s="27">
        <v>1.3404084162086101E-3</v>
      </c>
      <c r="V29" s="29">
        <f>(1000*S29/Q29)/$AE$140</f>
        <v>0.40663708483556077</v>
      </c>
      <c r="W29" s="29"/>
      <c r="X29" s="29">
        <f>S29-AVERAGE(S30:S32)</f>
        <v>0.3174978583196047</v>
      </c>
      <c r="Y29" s="29">
        <f>T29+AVERAGE(S30:S32)</f>
        <v>8.1835715134079209E-3</v>
      </c>
      <c r="Z29" s="29"/>
      <c r="AA29" s="29">
        <f>(X29*1000)/Q29</f>
        <v>401.95807290732768</v>
      </c>
      <c r="AB29" s="29">
        <f>2*((1000*Y29/(2*Q29))^2+((R29/2)*1000*X29/(Q29^2))^2)^0.5</f>
        <v>11.981605900209221</v>
      </c>
      <c r="AC29" s="29">
        <f>AA29/$AE$140</f>
        <v>0.3980575845283103</v>
      </c>
      <c r="AD29" s="29">
        <f>2*(($AF$140*AA29/(2*$AE$140^2))^2+(AB29/($AE$140*2))^2)^0.5</f>
        <v>1.2587075607737469E-2</v>
      </c>
      <c r="AE29" s="29">
        <f>SUM(AV$5:$AV29)</f>
        <v>4.9617731035270145</v>
      </c>
      <c r="AF29" s="29" cm="1">
        <f t="array" ref="AF29">2*SQRT(SUM((AW$5:$AW29/2)^2))</f>
        <v>4.1150480630426652E-2</v>
      </c>
      <c r="AG29" s="29">
        <f t="shared" si="7"/>
        <v>4.8885443360909573</v>
      </c>
      <c r="AH29" s="29" cm="1">
        <f t="array" ref="AH29">2*SQRT(SUM((R$5:$R29/2)^2))</f>
        <v>2.8296010780420142E-2</v>
      </c>
      <c r="AI29" s="29">
        <f t="shared" si="8"/>
        <v>0.97991452293274905</v>
      </c>
      <c r="AJ29" s="29" cm="1">
        <f t="array" ref="AJ29">2*SQRT(SUM((T$5:$T29/2)^2))</f>
        <v>1.8487262645061322E-3</v>
      </c>
      <c r="AK29" s="47"/>
      <c r="AL29" s="29"/>
      <c r="AN29" s="29"/>
      <c r="AO29" s="29"/>
      <c r="AP29" s="29"/>
      <c r="AQ29" s="29">
        <f t="shared" si="2"/>
        <v>4.7932207044277302E-16</v>
      </c>
      <c r="AR29" s="29"/>
      <c r="AS29" s="29"/>
      <c r="AT29" s="29">
        <f>AT28*EXP(-AP28*D28*60)</f>
        <v>5.870170904138718E-3</v>
      </c>
      <c r="AU29" s="29">
        <f>2*((((AU28/2)*EXP(-AP28*D28*60))^2+(AT28*EXP(-AP28*D28*60)*D28*60*AO28*AP28/AN28)^2)^0.5)</f>
        <v>1.8638899258493376E-3</v>
      </c>
      <c r="AV29" s="23">
        <f>Q29+AT30-AT29</f>
        <v>0.84786085132689337</v>
      </c>
      <c r="AW29" s="23">
        <f>2*(((AU29/2)^2+(AU30/2)^2+(R29/2)^2)^(0.5))</f>
        <v>1.2467122897981167E-2</v>
      </c>
      <c r="AX29" s="50">
        <f>100*(AV29-Q29)/Q29</f>
        <v>7.3407284372476944</v>
      </c>
      <c r="AY29" s="47"/>
      <c r="AZ29" s="29">
        <f t="shared" si="5"/>
        <v>449299634150.43091</v>
      </c>
      <c r="BA29" s="29">
        <f t="shared" si="6"/>
        <v>496539487006.60864</v>
      </c>
      <c r="BB29" s="29">
        <f>Q29*BD29</f>
        <v>0.15582339135746193</v>
      </c>
      <c r="BC29" s="29">
        <f>AQ29*BA29*I29</f>
        <v>6.0690595416993016</v>
      </c>
      <c r="BD29" s="29">
        <f>1/(BC29-1)</f>
        <v>0.1972752522975435</v>
      </c>
      <c r="BE29" s="29">
        <f>BG29*S29</f>
        <v>7.2209604783353476E-2</v>
      </c>
      <c r="BF29" s="29">
        <f>AQ29*AZ29*I29</f>
        <v>5.4916603876992074</v>
      </c>
      <c r="BG29" s="29">
        <f>1/(BF29-1)</f>
        <v>0.22263481957331074</v>
      </c>
      <c r="BH29" s="29">
        <f>Q29-BB25</f>
        <v>0.65499775538179439</v>
      </c>
      <c r="BI29" s="29">
        <f>Q29+BB29</f>
        <v>0.94570144013794888</v>
      </c>
      <c r="BJ29" s="29">
        <f>X29-BE25</f>
        <v>0.26724082733774818</v>
      </c>
      <c r="BK29" s="29">
        <f>X29+BE29</f>
        <v>0.38970746310295817</v>
      </c>
      <c r="BL29" s="29">
        <f>BF29*1.29</f>
        <v>7.0842419001319774</v>
      </c>
      <c r="BM29" s="29">
        <f>Q29 / (BL29-1)</f>
        <v>0.12982357732412861</v>
      </c>
      <c r="BN29" s="29">
        <f>(1000*(S29+BE29)/(Q29+BM29))/$AE$140</f>
        <v>0.42698914411006683</v>
      </c>
      <c r="BO29" s="29">
        <f>(1000*(S29-BE25)/(Q29-BM25))/$AE$140</f>
        <v>0.40038941869906897</v>
      </c>
      <c r="BP29" s="29">
        <f>(1000*(S29+BE29-BE25)/(Q29+BM29-BM25))/$AE$140</f>
        <v>0.42456711342330478</v>
      </c>
      <c r="BQ29" s="29">
        <f>MIN(BN29:BP29)</f>
        <v>0.40038941869906897</v>
      </c>
      <c r="BR29" s="29">
        <f>((1000*S29/Q29))/$AE$140</f>
        <v>0.40663708483556077</v>
      </c>
      <c r="BS29" s="29">
        <f>MAX(BN29:BP29)</f>
        <v>0.42698914411006683</v>
      </c>
      <c r="BT29" s="29"/>
      <c r="BU29" s="29"/>
    </row>
    <row r="30" spans="2:85" x14ac:dyDescent="0.3">
      <c r="B30" s="1">
        <v>45328.522916666669</v>
      </c>
      <c r="C30">
        <v>85.009999999999906</v>
      </c>
      <c r="D30">
        <f t="shared" si="0"/>
        <v>150</v>
      </c>
      <c r="F30" s="2">
        <v>5.53</v>
      </c>
      <c r="G30" s="2">
        <v>0</v>
      </c>
      <c r="H30" s="2">
        <v>0.627</v>
      </c>
      <c r="I30">
        <v>9000</v>
      </c>
      <c r="J30">
        <v>9124.2909999999993</v>
      </c>
      <c r="K30">
        <f t="shared" si="3"/>
        <v>37019.99999997206</v>
      </c>
      <c r="L30">
        <f t="shared" si="4"/>
        <v>28019.99999997206</v>
      </c>
      <c r="M30" s="47"/>
      <c r="N30">
        <v>6.2099608210223201E-3</v>
      </c>
      <c r="O30">
        <v>2.5947281713344299E-2</v>
      </c>
      <c r="Q30">
        <v>3.4341083340253403E-2</v>
      </c>
      <c r="R30" s="2">
        <v>4.7740278661688901E-4</v>
      </c>
      <c r="S30">
        <v>1.6268945634266799E-2</v>
      </c>
      <c r="T30" s="2">
        <v>6.3388239870227397E-5</v>
      </c>
      <c r="U30" s="2"/>
      <c r="V30" s="2"/>
      <c r="W30" s="2"/>
      <c r="X30" s="2"/>
      <c r="Y30" s="2"/>
      <c r="Z30" s="2"/>
      <c r="AA30" s="2"/>
      <c r="AB30" s="2"/>
      <c r="AC30" s="2"/>
      <c r="AD30" s="2"/>
      <c r="AE30" s="2">
        <f>SUM(AV$5:$AV30)</f>
        <v>4.9617731035270145</v>
      </c>
      <c r="AF30" s="2" cm="1">
        <f t="array" ref="AF30">2*SQRT(SUM((AW$5:$AW30/2)^2))</f>
        <v>4.1150480630426652E-2</v>
      </c>
      <c r="AG30" s="2">
        <f t="shared" si="7"/>
        <v>4.9228854194312106</v>
      </c>
      <c r="AH30" s="2" cm="1">
        <f t="array" ref="AH30">2*SQRT(SUM((R$5:$R30/2)^2))</f>
        <v>2.8300037800439815E-2</v>
      </c>
      <c r="AI30" s="2">
        <f t="shared" si="8"/>
        <v>0.9961834685670159</v>
      </c>
      <c r="AJ30" s="2" cm="1">
        <f t="array" ref="AJ30">2*SQRT(SUM((T$5:$T30/2)^2))</f>
        <v>1.8498126580896357E-3</v>
      </c>
      <c r="AK30" s="47"/>
      <c r="AL30" s="2">
        <f>'Fit Lambdas'!$U$2*(10000/(C30+273))+'Fit Lambdas'!$V$2</f>
        <v>24.88396049709683</v>
      </c>
      <c r="AM30">
        <f>'Fit Lambdas'!$V$4</f>
        <v>6.7480704157997479E-2</v>
      </c>
      <c r="AN30" s="2">
        <f t="shared" si="1"/>
        <v>64116045995.987526</v>
      </c>
      <c r="AO30" s="2">
        <f t="shared" si="9"/>
        <v>4326595931.6357927</v>
      </c>
      <c r="AP30" s="2">
        <f>AN30*(C30+273)*$C$145*$E$144</f>
        <v>2.1873653638315384E-5</v>
      </c>
      <c r="AQ30" s="2">
        <f t="shared" si="2"/>
        <v>3.4115724540599822E-16</v>
      </c>
      <c r="AR30" s="2">
        <f>Q30/(1-EXP(-D30*60*AP30))</f>
        <v>0.19217518786842641</v>
      </c>
      <c r="AS30" s="2">
        <f>2*SQRT(
((R30/2) * (1 / (1 - EXP(-D30 * 60 * AN30 * AQ30))))^2 +
(AO30 * (-Q30 * 60 * D30 * AQ30 * EXP(-D30 * 60 * AN30 * AQ30) / (1 - EXP(-D30 * 60 * AN30 * AQ30))^2))^2
)</f>
        <v>2.3618584587753545E-2</v>
      </c>
      <c r="AT30" s="2">
        <f>AT31+Q30</f>
        <v>6.3852973450545164E-2</v>
      </c>
      <c r="AU30" s="2">
        <f>AU31+R30</f>
        <v>3.4783534075836465E-3</v>
      </c>
      <c r="AV30" s="22"/>
      <c r="AW30" s="22"/>
      <c r="AX30" s="49"/>
      <c r="AY30" s="47"/>
      <c r="AZ30" s="2">
        <f t="shared" si="5"/>
        <v>61693294182.493675</v>
      </c>
      <c r="BA30" s="2">
        <f t="shared" si="6"/>
        <v>66623105422.359612</v>
      </c>
      <c r="BB30" s="2"/>
      <c r="BC30" s="2"/>
      <c r="BD30" s="2"/>
      <c r="BE30" s="2"/>
      <c r="BF30" s="2"/>
      <c r="BG30" s="2"/>
      <c r="BH30" s="2"/>
      <c r="BI30" s="2"/>
      <c r="BJ30" s="2"/>
      <c r="BK30" s="2"/>
      <c r="BL30" s="2"/>
      <c r="BM30" s="2"/>
      <c r="BN30" s="2"/>
      <c r="BO30" s="2"/>
      <c r="BP30" s="2"/>
      <c r="BQ30" s="2"/>
      <c r="BR30" s="2"/>
      <c r="BS30" s="2"/>
      <c r="BT30" s="2"/>
      <c r="BU30" s="2"/>
      <c r="BV30"/>
      <c r="BW30"/>
      <c r="BX30"/>
      <c r="BY30"/>
      <c r="BZ30"/>
      <c r="CA30"/>
      <c r="CB30"/>
      <c r="CC30"/>
      <c r="CD30"/>
      <c r="CE30"/>
      <c r="CF30"/>
      <c r="CG30"/>
    </row>
    <row r="31" spans="2:85" x14ac:dyDescent="0.3">
      <c r="B31" s="1">
        <v>45328.645833333336</v>
      </c>
      <c r="C31">
        <v>85</v>
      </c>
      <c r="D31">
        <f t="shared" si="0"/>
        <v>150</v>
      </c>
      <c r="F31" s="2">
        <v>0.93500000000000005</v>
      </c>
      <c r="G31" s="2">
        <v>0</v>
      </c>
      <c r="H31" s="2">
        <v>0.121</v>
      </c>
      <c r="I31">
        <v>9000</v>
      </c>
      <c r="J31">
        <v>9127.5310000000009</v>
      </c>
      <c r="K31">
        <f t="shared" si="3"/>
        <v>10620.00000004191</v>
      </c>
      <c r="L31">
        <f t="shared" si="4"/>
        <v>1620.0000000419095</v>
      </c>
      <c r="M31" s="47"/>
      <c r="N31">
        <v>6.2086956521739097E-3</v>
      </c>
      <c r="O31">
        <v>2.5947281713344299E-2</v>
      </c>
      <c r="Q31">
        <v>5.8051304347826E-3</v>
      </c>
      <c r="R31" s="2">
        <v>8.13428865864297E-5</v>
      </c>
      <c r="S31">
        <v>3.1396210873146598E-3</v>
      </c>
      <c r="T31" s="2">
        <v>1.23070198387767E-5</v>
      </c>
      <c r="U31" s="2"/>
      <c r="X31" s="2"/>
      <c r="Y31" s="2"/>
      <c r="Z31" s="2"/>
      <c r="AA31" s="2"/>
      <c r="AE31" s="2">
        <f>SUM(AV$5:$AV31)</f>
        <v>4.9617731035270145</v>
      </c>
      <c r="AF31" s="2" cm="1">
        <f t="array" ref="AF31">2*SQRT(SUM((AW$5:$AW31/2)^2))</f>
        <v>4.1150480630426652E-2</v>
      </c>
      <c r="AG31" s="2">
        <f t="shared" si="7"/>
        <v>4.9286905498659932</v>
      </c>
      <c r="AH31" s="2" cm="1">
        <f t="array" ref="AH31">2*SQRT(SUM((R$5:$R31/2)^2))</f>
        <v>2.83001547022542E-2</v>
      </c>
      <c r="AI31" s="2">
        <f t="shared" si="8"/>
        <v>0.99932308965433059</v>
      </c>
      <c r="AJ31" s="2" cm="1">
        <f t="array" ref="AJ31">2*SQRT(SUM((T$5:$T31/2)^2))</f>
        <v>1.8498535976573809E-3</v>
      </c>
      <c r="AK31" s="47"/>
      <c r="AL31" s="2">
        <f>'Fit Lambdas'!$U$2*(10000/(C31+273))+'Fit Lambdas'!$V$2</f>
        <v>24.8835602769906</v>
      </c>
      <c r="AM31">
        <f>'Fit Lambdas'!$V$4</f>
        <v>6.7480704157997479E-2</v>
      </c>
      <c r="AN31" s="2">
        <f t="shared" si="1"/>
        <v>64090390599.493225</v>
      </c>
      <c r="AO31" s="2">
        <f t="shared" si="9"/>
        <v>4324864687.4149046</v>
      </c>
      <c r="AP31" s="2">
        <f>AN31*(C31+273)*$C$145*$E$144</f>
        <v>2.1864290379549456E-5</v>
      </c>
      <c r="AQ31" s="2">
        <f t="shared" si="2"/>
        <v>3.4114771614018435E-16</v>
      </c>
      <c r="AR31" s="2">
        <f>Q31/(1-EXP(-D31*60*AP31))</f>
        <v>3.2498517533648318E-2</v>
      </c>
      <c r="AS31" s="2">
        <f>2*SQRT(
((R31/2) * (1 / (1 - EXP(-D31 * 60 * AN31 * AQ31))))^2 +
(AO31 * (-Q31 * 60 * D31 * AQ31 * EXP(-D31 * 60 * AN31 * AQ31) / (1 - EXP(-D31 * 60 * AN31 * AQ31))^2))^2
)</f>
        <v>3.9946899126815094E-3</v>
      </c>
      <c r="AT31" s="2">
        <f>AT32+Q31</f>
        <v>2.9511890110291754E-2</v>
      </c>
      <c r="AU31" s="2">
        <f>AU32+R31</f>
        <v>3.0009506209667577E-3</v>
      </c>
      <c r="AV31" s="22"/>
      <c r="AW31" s="22"/>
      <c r="AX31" s="49"/>
      <c r="AY31" s="47"/>
      <c r="AZ31" s="2">
        <f t="shared" si="5"/>
        <v>61681425125.664085</v>
      </c>
      <c r="BA31" s="2">
        <f t="shared" si="6"/>
        <v>66610138841.468307</v>
      </c>
      <c r="BB31" s="2"/>
      <c r="BC31" s="2"/>
      <c r="BD31" s="2"/>
      <c r="BE31" s="2"/>
      <c r="BF31" s="2"/>
      <c r="BG31" s="2"/>
      <c r="BH31" s="2"/>
      <c r="BI31" s="2"/>
      <c r="BJ31" s="2"/>
      <c r="BK31" s="2"/>
      <c r="BL31" s="2"/>
      <c r="BM31" s="2"/>
      <c r="BN31" s="2"/>
      <c r="BO31" s="2"/>
      <c r="BP31" s="2"/>
      <c r="BQ31" s="2"/>
      <c r="BR31" s="2"/>
      <c r="BS31" s="2"/>
      <c r="BT31" s="2"/>
      <c r="BU31" s="2"/>
      <c r="BV31"/>
      <c r="BW31"/>
      <c r="BX31"/>
      <c r="BY31"/>
      <c r="BZ31"/>
      <c r="CA31"/>
      <c r="CB31"/>
      <c r="CC31"/>
      <c r="CD31"/>
      <c r="CE31"/>
      <c r="CF31"/>
      <c r="CG31"/>
    </row>
    <row r="32" spans="2:85" s="30" customFormat="1" x14ac:dyDescent="0.3">
      <c r="B32" s="31">
        <v>45328.768055555556</v>
      </c>
      <c r="C32" s="30">
        <v>84.959999999999894</v>
      </c>
      <c r="D32" s="30">
        <f t="shared" si="0"/>
        <v>150</v>
      </c>
      <c r="E32" s="30" t="s">
        <v>446</v>
      </c>
      <c r="F32" s="32">
        <v>0.68100000000000005</v>
      </c>
      <c r="G32" s="32">
        <v>0</v>
      </c>
      <c r="H32" s="32">
        <v>4.3200000000000002E-2</v>
      </c>
      <c r="I32" s="30">
        <v>9000</v>
      </c>
      <c r="J32" s="30">
        <v>8219.518</v>
      </c>
      <c r="K32" s="30">
        <f t="shared" si="3"/>
        <v>10559.999999846332</v>
      </c>
      <c r="L32" s="30">
        <f t="shared" si="4"/>
        <v>1559.9999998463318</v>
      </c>
      <c r="M32" s="47"/>
      <c r="N32" s="30">
        <v>6.2086956521739097E-3</v>
      </c>
      <c r="O32" s="30">
        <v>2.5947281713344299E-2</v>
      </c>
      <c r="Q32" s="30">
        <v>4.2281217391304301E-3</v>
      </c>
      <c r="R32" s="32">
        <v>6.6747034559970503E-5</v>
      </c>
      <c r="S32" s="30">
        <v>1.1209225700164699E-3</v>
      </c>
      <c r="T32" s="32">
        <v>4.5553949021524998E-6</v>
      </c>
      <c r="U32" s="32"/>
      <c r="X32" s="32"/>
      <c r="Y32" s="32"/>
      <c r="Z32" s="32"/>
      <c r="AA32" s="32"/>
      <c r="AE32" s="32">
        <f>SUM(AV$5:$AV32)</f>
        <v>4.9617731035270145</v>
      </c>
      <c r="AF32" s="32" cm="1">
        <f t="array" ref="AF32">2*SQRT(SUM((AW$5:$AW32/2)^2))</f>
        <v>4.1150480630426652E-2</v>
      </c>
      <c r="AG32" s="32">
        <f t="shared" si="7"/>
        <v>4.9329186716051234</v>
      </c>
      <c r="AH32" s="32" cm="1">
        <f t="array" ref="AH32">2*SQRT(SUM((R$5:$R32/2)^2))</f>
        <v>2.8300233414905663E-2</v>
      </c>
      <c r="AI32" s="32">
        <f t="shared" si="8"/>
        <v>1.000444012224347</v>
      </c>
      <c r="AJ32" s="32" cm="1">
        <f t="array" ref="AJ32">2*SQRT(SUM((T$5:$T32/2)^2))</f>
        <v>1.8498592066394323E-3</v>
      </c>
      <c r="AK32" s="47"/>
      <c r="AL32" s="32">
        <f>'Fit Lambdas'!$U$2*(10000/(C32+273))+'Fit Lambdas'!$V$2</f>
        <v>24.881959172954019</v>
      </c>
      <c r="AM32" s="30">
        <f>'Fit Lambdas'!$V$4</f>
        <v>6.7480704157997479E-2</v>
      </c>
      <c r="AN32" s="32">
        <f t="shared" si="1"/>
        <v>63987857321.524895</v>
      </c>
      <c r="AO32" s="32">
        <f t="shared" si="9"/>
        <v>4317945669.6179743</v>
      </c>
      <c r="AP32" s="32">
        <f>AN32*(C32+273)*$C$145*$E$144</f>
        <v>2.1826872356737053E-5</v>
      </c>
      <c r="AQ32" s="32">
        <f t="shared" si="2"/>
        <v>3.4110959907692837E-16</v>
      </c>
      <c r="AR32" s="32">
        <f>Q32/(1-EXP(-D32*60*AP32))</f>
        <v>2.3706759675509153E-2</v>
      </c>
      <c r="AS32" s="32">
        <f>2*SQRT(
((R32/2) * (1 / (1 - EXP(-D32 * 60 * AN32 * AQ32))))^2 +
(AO32 * (-Q32 * 60 * D32 * AQ32 * EXP(-D32 * 60 * AN32 * AQ32) / (1 - EXP(-D32 * 60 * AN32 * AQ32))^2))^2
)</f>
        <v>2.9196077343803281E-3</v>
      </c>
      <c r="AT32" s="32" cm="1">
        <f t="array" ref="AT32:AU32">AR32:AS32</f>
        <v>2.3706759675509153E-2</v>
      </c>
      <c r="AU32" s="32">
        <v>2.9196077343803281E-3</v>
      </c>
      <c r="AV32" s="24"/>
      <c r="AW32" s="24"/>
      <c r="AX32" s="51"/>
      <c r="AY32" s="47"/>
      <c r="AZ32" s="32">
        <f t="shared" si="5"/>
        <v>61633965102.84819</v>
      </c>
      <c r="BA32" s="32">
        <f t="shared" si="6"/>
        <v>66558290510.947922</v>
      </c>
      <c r="BB32" s="32"/>
      <c r="BC32" s="32"/>
      <c r="BD32" s="32"/>
      <c r="BE32" s="32"/>
      <c r="BF32" s="32"/>
      <c r="BG32" s="32"/>
      <c r="BH32" s="32"/>
      <c r="BI32" s="32"/>
      <c r="BJ32" s="32"/>
      <c r="BK32" s="32"/>
      <c r="BL32" s="32"/>
      <c r="BM32" s="32"/>
      <c r="BN32" s="32"/>
      <c r="BO32" s="32"/>
      <c r="BP32" s="32"/>
      <c r="BQ32" s="32"/>
      <c r="BR32" s="32"/>
      <c r="BS32" s="32"/>
      <c r="BT32" s="32"/>
      <c r="BU32" s="32"/>
    </row>
    <row r="33" spans="1:85" s="27" customFormat="1" x14ac:dyDescent="0.3">
      <c r="B33" s="28">
        <v>45329.416666666664</v>
      </c>
      <c r="C33" s="27">
        <v>225</v>
      </c>
      <c r="D33" s="27">
        <f t="shared" si="0"/>
        <v>908</v>
      </c>
      <c r="E33" s="27" t="s">
        <v>460</v>
      </c>
      <c r="F33" s="29">
        <v>120</v>
      </c>
      <c r="G33" s="29">
        <v>0</v>
      </c>
      <c r="H33" s="29">
        <v>13.4</v>
      </c>
      <c r="I33" s="27">
        <v>54480</v>
      </c>
      <c r="J33" s="27">
        <v>54635.563000000002</v>
      </c>
      <c r="K33" s="27">
        <f t="shared" si="3"/>
        <v>56039.999999734573</v>
      </c>
      <c r="L33" s="27">
        <f t="shared" si="4"/>
        <v>1559.9999997345731</v>
      </c>
      <c r="M33" s="47"/>
      <c r="N33" s="27">
        <v>6.2605931822187497E-3</v>
      </c>
      <c r="O33" s="27">
        <v>2.5990099009900899E-2</v>
      </c>
      <c r="Q33" s="27">
        <v>0.75127118186624997</v>
      </c>
      <c r="R33" s="27">
        <v>1.30581166522855E-2</v>
      </c>
      <c r="S33" s="27">
        <v>0.34826732673267302</v>
      </c>
      <c r="T33" s="27">
        <v>1.60772558430234E-3</v>
      </c>
      <c r="V33" s="29">
        <f>(1000*S33/Q33)/$AE$140</f>
        <v>0.45907236510261928</v>
      </c>
      <c r="W33" s="29"/>
      <c r="X33" s="29">
        <f>S33-AVERAGE(S34:S37)</f>
        <v>0.3443557169247809</v>
      </c>
      <c r="Y33" s="29">
        <f>T33+AVERAGE(S34:S37)</f>
        <v>5.5193353921944802E-3</v>
      </c>
      <c r="Z33" s="29"/>
      <c r="AA33" s="29">
        <f>(X33*1000)/Q33</f>
        <v>458.36407044039538</v>
      </c>
      <c r="AB33" s="29">
        <f>2*((1000*Y33/(2*Q33))^2+((R33/2)*1000*X33/(Q33^2))^2)^0.5</f>
        <v>10.837269175321746</v>
      </c>
      <c r="AC33" s="29">
        <f>AA33/$AE$140</f>
        <v>0.4539162340847761</v>
      </c>
      <c r="AD33" s="29">
        <f>2*(($AF$140*AA33/(2*$AE$140^2))^2+(AB33/($AE$140*2))^2)^0.5</f>
        <v>1.1752740602404225E-2</v>
      </c>
      <c r="AE33" s="29">
        <f>SUM(AV$5:$AV33)</f>
        <v>5.7355808927481942</v>
      </c>
      <c r="AF33" s="29" cm="1">
        <f t="array" ref="AF33">2*SQRT(SUM((AW$5:$AW33/2)^2))</f>
        <v>4.3523441796763346E-2</v>
      </c>
      <c r="AG33" s="29">
        <f t="shared" si="7"/>
        <v>5.6841898534713735</v>
      </c>
      <c r="AH33" s="29" cm="1">
        <f t="array" ref="AH33">2*SQRT(SUM((R$5:$R33/2)^2))</f>
        <v>3.1167573242760479E-2</v>
      </c>
      <c r="AI33" s="29">
        <f t="shared" si="8"/>
        <v>1.34871133895702</v>
      </c>
      <c r="AJ33" s="29" cm="1">
        <f t="array" ref="AJ33">2*SQRT(SUM((T$5:$T33/2)^2))</f>
        <v>2.4508693638806965E-3</v>
      </c>
      <c r="AK33" s="47"/>
      <c r="AL33" s="29"/>
      <c r="AN33" s="29"/>
      <c r="AO33" s="29"/>
      <c r="AP33" s="29"/>
      <c r="AQ33" s="29">
        <f t="shared" si="2"/>
        <v>4.745574375357872E-16</v>
      </c>
      <c r="AR33" s="29"/>
      <c r="AS33" s="29"/>
      <c r="AT33" s="29">
        <f>AT32*EXP(-AP32*D32*60)</f>
        <v>1.9478637936378721E-2</v>
      </c>
      <c r="AU33" s="29">
        <f>2*((((AU32/2)*EXP(-AP32*D32*60))^2+(AT32*EXP(-AP32*D32*60)*D32*60*AO32*AP32/AN32)^2)^0.5)</f>
        <v>2.4538493498737417E-3</v>
      </c>
      <c r="AV33" s="23">
        <f>Q33+AT34-AT33</f>
        <v>0.77380778922117921</v>
      </c>
      <c r="AW33" s="23">
        <f>2*(((AU33/2)^2+(AU34/2)^2+(R33/2)^2)^(0.5))</f>
        <v>1.4174904928116006E-2</v>
      </c>
      <c r="AX33" s="50">
        <f>100*(AV33-Q33)/Q33</f>
        <v>2.9997965979402452</v>
      </c>
      <c r="AY33" s="47"/>
      <c r="AZ33" s="29">
        <f t="shared" si="5"/>
        <v>427719104955.93579</v>
      </c>
      <c r="BA33" s="29">
        <f t="shared" si="6"/>
        <v>472419373721.47552</v>
      </c>
      <c r="BB33" s="29">
        <f>Q33*BD33</f>
        <v>6.6994769544214849E-2</v>
      </c>
      <c r="BC33" s="29">
        <f>AQ33*BA33*I33</f>
        <v>12.213878142687394</v>
      </c>
      <c r="BD33" s="29">
        <f>1/(BC33-1)</f>
        <v>8.9175215503131108E-2</v>
      </c>
      <c r="BE33" s="29">
        <f>BG33*S33</f>
        <v>3.4625205848866775E-2</v>
      </c>
      <c r="BF33" s="29">
        <f>AQ33*AZ33*I33</f>
        <v>11.058202346949258</v>
      </c>
      <c r="BG33" s="29">
        <f>1/(BF33-1)</f>
        <v>9.942134444166445E-2</v>
      </c>
      <c r="BH33" s="29">
        <f>Q33-BB29</f>
        <v>0.59544779050878804</v>
      </c>
      <c r="BI33" s="29">
        <f>Q33+BB33</f>
        <v>0.81826595141046488</v>
      </c>
      <c r="BJ33" s="29">
        <f>X33-BE29</f>
        <v>0.27214611214142742</v>
      </c>
      <c r="BK33" s="29">
        <f>X33+BE33</f>
        <v>0.3789809227736477</v>
      </c>
      <c r="BL33" s="29">
        <f>BF33*1.29</f>
        <v>14.265081027564543</v>
      </c>
      <c r="BM33" s="29">
        <f>Q33 / (BL33-1)</f>
        <v>5.6635250120608022E-2</v>
      </c>
      <c r="BN33" s="29">
        <f>(1000*(S33+BE33)/(Q33+BM33))/$AE$140</f>
        <v>0.46933287797316953</v>
      </c>
      <c r="BO33" s="29">
        <f>(1000*(S33-BE29)/(Q33-BM29))/$AE$140</f>
        <v>0.43990665224118908</v>
      </c>
      <c r="BP33" s="29">
        <f>(1000*(S33+BE33-BE29)/(Q33+BM33-BM29))/$AE$140</f>
        <v>0.45373238049959108</v>
      </c>
      <c r="BQ33" s="29">
        <f>MIN(BN33:BP33)</f>
        <v>0.43990665224118908</v>
      </c>
      <c r="BR33" s="29">
        <f>((1000*S33/Q33))/$AE$140</f>
        <v>0.45907236510261928</v>
      </c>
      <c r="BS33" s="29">
        <f>MAX(BN33:BP33)</f>
        <v>0.46933287797316953</v>
      </c>
      <c r="BT33" s="29"/>
      <c r="BU33" s="29"/>
    </row>
    <row r="34" spans="1:85" s="30" customFormat="1" x14ac:dyDescent="0.3">
      <c r="B34" s="31">
        <v>45329.518055555556</v>
      </c>
      <c r="C34" s="30">
        <v>99.86</v>
      </c>
      <c r="D34" s="30">
        <f t="shared" si="0"/>
        <v>120</v>
      </c>
      <c r="E34" s="30" t="s">
        <v>447</v>
      </c>
      <c r="F34" s="32">
        <v>1.69</v>
      </c>
      <c r="G34" s="32">
        <v>0</v>
      </c>
      <c r="H34" s="32">
        <v>0.14899999999999999</v>
      </c>
      <c r="I34" s="30">
        <v>7200</v>
      </c>
      <c r="J34" s="30">
        <v>7326.3419999999996</v>
      </c>
      <c r="K34" s="30">
        <f t="shared" si="3"/>
        <v>8760.0000002654269</v>
      </c>
      <c r="L34" s="30">
        <f t="shared" si="4"/>
        <v>1560.0000002654269</v>
      </c>
      <c r="M34" s="47"/>
      <c r="N34" s="30">
        <v>6.2625738048337001E-3</v>
      </c>
      <c r="O34" s="30">
        <v>2.5990099009900899E-2</v>
      </c>
      <c r="Q34" s="30">
        <v>1.0583749730168899E-2</v>
      </c>
      <c r="R34" s="32">
        <v>1.7919806178688199E-4</v>
      </c>
      <c r="S34" s="30">
        <v>3.8725247524752401E-3</v>
      </c>
      <c r="T34" s="32">
        <v>1.7923631463329201E-5</v>
      </c>
      <c r="U34" s="32"/>
      <c r="X34" s="32"/>
      <c r="Y34" s="32"/>
      <c r="Z34" s="32"/>
      <c r="AA34" s="32"/>
      <c r="AE34" s="32">
        <f>SUM(AV$5:$AV34)</f>
        <v>5.7355808927481942</v>
      </c>
      <c r="AF34" s="32" cm="1">
        <f t="array" ref="AF34">2*SQRT(SUM((AW$5:$AW34/2)^2))</f>
        <v>4.3523441796763346E-2</v>
      </c>
      <c r="AG34" s="32">
        <f t="shared" si="7"/>
        <v>5.6947736032015426</v>
      </c>
      <c r="AH34" s="32" cm="1">
        <f t="array" ref="AH34">2*SQRT(SUM((R$5:$R34/2)^2))</f>
        <v>3.1168088388417201E-2</v>
      </c>
      <c r="AI34" s="32">
        <f t="shared" si="8"/>
        <v>1.3525838637094953</v>
      </c>
      <c r="AJ34" s="32" cm="1">
        <f t="array" ref="AJ34">2*SQRT(SUM((T$5:$T34/2)^2))</f>
        <v>2.4509349023125447E-3</v>
      </c>
      <c r="AK34" s="47"/>
      <c r="AL34" s="32">
        <f>'Fit Lambdas'!$U$2*(10000/(C34+273))+'Fit Lambdas'!$V$2</f>
        <v>25.454600992398426</v>
      </c>
      <c r="AM34" s="30">
        <f>'Fit Lambdas'!$V$4</f>
        <v>6.7480704157997479E-2</v>
      </c>
      <c r="AN34" s="32">
        <f t="shared" si="1"/>
        <v>113446930563.98146</v>
      </c>
      <c r="AO34" s="32">
        <f t="shared" si="9"/>
        <v>7655478759.020915</v>
      </c>
      <c r="AP34" s="32">
        <f>AN34*(C34+273)*$C$145*$E$144</f>
        <v>4.0308625277301677E-5</v>
      </c>
      <c r="AQ34" s="32">
        <f t="shared" si="2"/>
        <v>3.5530820513974619E-16</v>
      </c>
      <c r="AR34" s="32">
        <f>Q34/(1-EXP(-D34*60*AP34))</f>
        <v>4.2015245291307901E-2</v>
      </c>
      <c r="AS34" s="32">
        <f>2*SQRT(
((R34/2) * (1 / (1 - EXP(-D34 * 60 * AN34 * AQ34))))^2 +
(AO34 * (-Q34 * 60 * D34 * AQ34 * EXP(-D34 * 60 * AN34 * AQ34) / (1 - EXP(-D34 * 60 * AN34 * AQ34))^2))^2
)</f>
        <v>4.9388402064205091E-3</v>
      </c>
      <c r="AT34" s="32" cm="1">
        <f t="array" ref="AT34:AU34">AR34:AS34</f>
        <v>4.2015245291307901E-2</v>
      </c>
      <c r="AU34" s="32">
        <v>4.9388402064205091E-3</v>
      </c>
      <c r="AV34" s="24"/>
      <c r="AW34" s="24"/>
      <c r="AX34" s="51"/>
      <c r="AY34" s="47"/>
      <c r="AZ34" s="32">
        <f t="shared" si="5"/>
        <v>81167248049.789017</v>
      </c>
      <c r="BA34" s="32">
        <f t="shared" si="6"/>
        <v>87933362538.821121</v>
      </c>
      <c r="BB34" s="32"/>
      <c r="BC34" s="32"/>
      <c r="BD34" s="32"/>
      <c r="BE34" s="32"/>
      <c r="BF34" s="32"/>
      <c r="BG34" s="32"/>
      <c r="BH34" s="32"/>
      <c r="BI34" s="32"/>
      <c r="BJ34" s="32"/>
      <c r="BK34" s="32"/>
      <c r="BL34" s="32"/>
      <c r="BM34" s="32"/>
      <c r="BN34" s="32"/>
      <c r="BO34" s="32"/>
      <c r="BP34" s="32"/>
      <c r="BQ34" s="32"/>
      <c r="BR34" s="32"/>
      <c r="BS34" s="32"/>
      <c r="BT34" s="32"/>
      <c r="BU34" s="32"/>
    </row>
    <row r="35" spans="1:85" s="8" customFormat="1" x14ac:dyDescent="0.3">
      <c r="B35" s="33">
        <v>45329.619444444441</v>
      </c>
      <c r="C35" s="8">
        <v>100</v>
      </c>
      <c r="D35" s="8">
        <f t="shared" si="0"/>
        <v>120</v>
      </c>
      <c r="E35" s="8" t="s">
        <v>448</v>
      </c>
      <c r="F35" s="34">
        <v>1.19</v>
      </c>
      <c r="G35" s="34">
        <v>0</v>
      </c>
      <c r="H35" s="34">
        <v>0.124</v>
      </c>
      <c r="I35" s="8">
        <v>7200</v>
      </c>
      <c r="J35" s="8">
        <v>7324.7139999999999</v>
      </c>
      <c r="K35" s="8">
        <f t="shared" si="3"/>
        <v>8759.9999996367842</v>
      </c>
      <c r="L35" s="8">
        <f t="shared" si="4"/>
        <v>1559.9999996367842</v>
      </c>
      <c r="M35" s="47"/>
      <c r="N35" s="8">
        <v>6.25857059078333E-3</v>
      </c>
      <c r="O35" s="8">
        <v>2.5990099009900899E-2</v>
      </c>
      <c r="Q35" s="8">
        <v>7.4476990030321599E-3</v>
      </c>
      <c r="R35" s="34">
        <v>1.22691391867855E-4</v>
      </c>
      <c r="S35" s="8">
        <v>3.22277227722772E-3</v>
      </c>
      <c r="T35" s="34">
        <v>1.41967006788208E-5</v>
      </c>
      <c r="U35" s="34"/>
      <c r="X35" s="34"/>
      <c r="Y35" s="34"/>
      <c r="Z35" s="34"/>
      <c r="AA35" s="34"/>
      <c r="AE35" s="34">
        <f>SUM(AV$5:$AV35)</f>
        <v>5.7355808927481942</v>
      </c>
      <c r="AF35" s="34" cm="1">
        <f t="array" ref="AF35">2*SQRT(SUM((AW$5:$AW35/2)^2))</f>
        <v>4.3523441796763346E-2</v>
      </c>
      <c r="AG35" s="34">
        <f t="shared" si="7"/>
        <v>5.7022213022045749</v>
      </c>
      <c r="AH35" s="34" cm="1">
        <f t="array" ref="AH35">2*SQRT(SUM((R$5:$R35/2)^2))</f>
        <v>3.1168329871294444E-2</v>
      </c>
      <c r="AI35" s="34">
        <f t="shared" si="8"/>
        <v>1.3558066359867231</v>
      </c>
      <c r="AJ35" s="34" cm="1">
        <f t="array" ref="AJ35">2*SQRT(SUM((T$5:$T35/2)^2))</f>
        <v>2.4509760181780581E-3</v>
      </c>
      <c r="AK35" s="47"/>
      <c r="AL35" s="34">
        <f>'Fit Lambdas'!$U$2*(10000/(C35+273))+'Fit Lambdas'!$V$2</f>
        <v>25.45976456747379</v>
      </c>
      <c r="AM35" s="8">
        <f>'Fit Lambdas'!$V$4</f>
        <v>6.7480704157997479E-2</v>
      </c>
      <c r="AN35" s="34">
        <f t="shared" si="1"/>
        <v>114034237303.31673</v>
      </c>
      <c r="AO35" s="34">
        <f t="shared" si="9"/>
        <v>7695110631.3479958</v>
      </c>
      <c r="AP35" s="34">
        <f>AN35*(C35+273)*$C$145*$E$144</f>
        <v>4.053251345654956E-5</v>
      </c>
      <c r="AQ35" s="34">
        <f t="shared" si="2"/>
        <v>3.5544161486114176E-16</v>
      </c>
      <c r="AR35" s="34">
        <f>Q35/(1-EXP(-D35*60*AP35))</f>
        <v>2.9425035462201172E-2</v>
      </c>
      <c r="AS35" s="34">
        <f>2*SQRT(
((R35/2) * (1 / (1 - EXP(-D35 * 60 * AN35 * AQ35))))^2 +
(AO35 * (-Q35 * 60 * D35 * AQ35 * EXP(-D35 * 60 * AN35 * AQ35) / (1 - EXP(-D35 * 60 * AN35 * AQ35))^2))^2
)</f>
        <v>3.4540998007322674E-3</v>
      </c>
      <c r="AT35" s="34">
        <f>AT34*EXP(-AP34*D34*60)</f>
        <v>3.1431495561139E-2</v>
      </c>
      <c r="AU35" s="34">
        <f>2*((((AU34/2)*EXP(-AP34*D34*60))^2+(AT34*EXP(-AP34*D34*60)*D34*60*AO34*AP34/AN34)^2)^0.5)</f>
        <v>3.8944505590554758E-3</v>
      </c>
      <c r="AV35" s="25"/>
      <c r="AW35" s="25"/>
      <c r="AX35" s="52"/>
      <c r="AY35" s="47"/>
      <c r="AZ35" s="34">
        <f t="shared" si="5"/>
        <v>81368987856.687653</v>
      </c>
      <c r="BA35" s="34">
        <f t="shared" si="6"/>
        <v>88154464997.476822</v>
      </c>
      <c r="BB35" s="34"/>
      <c r="BC35" s="34"/>
      <c r="BD35" s="34"/>
      <c r="BE35" s="34"/>
      <c r="BF35" s="34"/>
      <c r="BG35" s="34"/>
      <c r="BH35" s="34"/>
      <c r="BI35" s="34"/>
      <c r="BJ35" s="34"/>
      <c r="BK35" s="34"/>
      <c r="BL35" s="34"/>
      <c r="BM35" s="34"/>
      <c r="BN35" s="34"/>
      <c r="BO35" s="34"/>
      <c r="BP35" s="34"/>
      <c r="BQ35" s="34"/>
      <c r="BR35" s="34"/>
      <c r="BS35" s="34"/>
      <c r="BT35" s="34"/>
      <c r="BU35" s="34"/>
    </row>
    <row r="36" spans="1:85" s="8" customFormat="1" x14ac:dyDescent="0.3">
      <c r="B36" s="33">
        <v>45329.720833333333</v>
      </c>
      <c r="C36" s="8">
        <v>100</v>
      </c>
      <c r="D36" s="8">
        <f t="shared" si="0"/>
        <v>120</v>
      </c>
      <c r="E36" s="8" t="s">
        <v>448</v>
      </c>
      <c r="F36" s="34">
        <v>0.78600000000000003</v>
      </c>
      <c r="G36" s="34">
        <v>0</v>
      </c>
      <c r="H36" s="34">
        <v>0.186</v>
      </c>
      <c r="I36" s="8">
        <v>7200</v>
      </c>
      <c r="J36" s="8">
        <v>7324.4070000000002</v>
      </c>
      <c r="K36" s="8">
        <f t="shared" si="3"/>
        <v>8760.0000002654269</v>
      </c>
      <c r="L36" s="8">
        <f t="shared" si="4"/>
        <v>1560.0000002654269</v>
      </c>
      <c r="M36" s="47"/>
      <c r="N36" s="8">
        <v>6.2550481403230301E-3</v>
      </c>
      <c r="O36" s="8">
        <v>2.5990099009900899E-2</v>
      </c>
      <c r="Q36" s="8">
        <v>4.9164678382939003E-3</v>
      </c>
      <c r="R36" s="34">
        <v>7.9749570211355101E-5</v>
      </c>
      <c r="S36" s="8">
        <v>4.8341584158415798E-3</v>
      </c>
      <c r="T36" s="34">
        <v>2.0568625086483599E-5</v>
      </c>
      <c r="U36" s="34"/>
      <c r="X36" s="34"/>
      <c r="Y36" s="34"/>
      <c r="Z36" s="34"/>
      <c r="AA36" s="34"/>
      <c r="AE36" s="34">
        <f>SUM(AV$5:$AV36)</f>
        <v>5.7355808927481942</v>
      </c>
      <c r="AF36" s="34" cm="1">
        <f t="array" ref="AF36">2*SQRT(SUM((AW$5:$AW36/2)^2))</f>
        <v>4.3523441796763346E-2</v>
      </c>
      <c r="AG36" s="34">
        <f t="shared" si="7"/>
        <v>5.7071377700428689</v>
      </c>
      <c r="AH36" s="34" cm="1">
        <f t="array" ref="AH36">2*SQRT(SUM((R$5:$R36/2)^2))</f>
        <v>3.1168431897671312E-2</v>
      </c>
      <c r="AI36" s="34">
        <f t="shared" si="8"/>
        <v>1.3606407944025647</v>
      </c>
      <c r="AJ36" s="34" cm="1">
        <f t="array" ref="AJ36">2*SQRT(SUM((T$5:$T36/2)^2))</f>
        <v>2.4510623227535274E-3</v>
      </c>
      <c r="AK36" s="47"/>
      <c r="AL36" s="34">
        <f>'Fit Lambdas'!$U$2*(10000/(C36+273))+'Fit Lambdas'!$V$2</f>
        <v>25.45976456747379</v>
      </c>
      <c r="AM36" s="8">
        <f>'Fit Lambdas'!$V$4</f>
        <v>6.7480704157997479E-2</v>
      </c>
      <c r="AN36" s="34">
        <f t="shared" si="1"/>
        <v>114034237303.31673</v>
      </c>
      <c r="AO36" s="34">
        <f t="shared" si="9"/>
        <v>7695110631.3479958</v>
      </c>
      <c r="AP36" s="34">
        <f>AN36*(C36+273)*$C$145*$E$144</f>
        <v>4.053251345654956E-5</v>
      </c>
      <c r="AQ36" s="34">
        <f t="shared" ref="AQ36:AQ67" si="10">(C36+273)*$C$145*$E$144</f>
        <v>3.5544161486114176E-16</v>
      </c>
      <c r="AR36" s="34">
        <f>Q36/(1-EXP(-D36*60*AP36))</f>
        <v>1.9424420942853841E-2</v>
      </c>
      <c r="AS36" s="34">
        <f>2*SQRT(
((R36/2) * (1 / (1 - EXP(-D36 * 60 * AN36 * AQ36))))^2 +
(AO36 * (-Q36 * 60 * D36 * AQ36 * EXP(-D36 * 60 * AN36 * AQ36) / (1 - EXP(-D36 * 60 * AN36 * AQ36))^2))^2
)</f>
        <v>2.2794793808443808E-3</v>
      </c>
      <c r="AT36" s="34">
        <f>AT35*EXP(-AP35*D35*60)</f>
        <v>2.3475946333162193E-2</v>
      </c>
      <c r="AU36" s="34">
        <f>2*((((AU35/2)*EXP(-AP35*D35*60))^2+(AT35*EXP(-AP35*D35*60)*D35*60*AO35*AP35/AN35)^2)^0.5)</f>
        <v>3.0521610108312498E-3</v>
      </c>
      <c r="AV36" s="25"/>
      <c r="AW36" s="25"/>
      <c r="AX36" s="52"/>
      <c r="AY36" s="47"/>
      <c r="AZ36" s="34">
        <f t="shared" si="5"/>
        <v>81368987856.687653</v>
      </c>
      <c r="BA36" s="34">
        <f t="shared" si="6"/>
        <v>88154464997.476822</v>
      </c>
      <c r="BB36" s="34"/>
      <c r="BC36" s="34"/>
      <c r="BD36" s="34"/>
      <c r="BE36" s="34"/>
      <c r="BF36" s="34"/>
      <c r="BG36" s="34"/>
      <c r="BH36" s="34"/>
      <c r="BI36" s="34"/>
      <c r="BJ36" s="34"/>
      <c r="BK36" s="34"/>
      <c r="BL36" s="34"/>
      <c r="BM36" s="34"/>
      <c r="BN36" s="34"/>
      <c r="BO36" s="34"/>
      <c r="BP36" s="34"/>
      <c r="BQ36" s="34"/>
      <c r="BR36" s="34"/>
      <c r="BS36" s="34"/>
      <c r="BT36" s="34"/>
      <c r="BU36" s="34"/>
    </row>
    <row r="37" spans="1:85" s="8" customFormat="1" x14ac:dyDescent="0.3">
      <c r="B37" s="33">
        <v>45329.822222222225</v>
      </c>
      <c r="C37" s="8">
        <v>99.99</v>
      </c>
      <c r="D37" s="8">
        <f t="shared" si="0"/>
        <v>120</v>
      </c>
      <c r="E37" s="8" t="s">
        <v>448</v>
      </c>
      <c r="F37" s="34">
        <v>0.68200000000000005</v>
      </c>
      <c r="G37" s="34">
        <v>0</v>
      </c>
      <c r="H37" s="34">
        <v>0.14299999999999999</v>
      </c>
      <c r="I37" s="8">
        <v>7200</v>
      </c>
      <c r="J37" s="8">
        <v>7329.0789999999997</v>
      </c>
      <c r="K37" s="8">
        <f t="shared" si="3"/>
        <v>8760.0000002654269</v>
      </c>
      <c r="L37" s="8">
        <f t="shared" si="4"/>
        <v>1560.0000002654269</v>
      </c>
      <c r="M37" s="47"/>
      <c r="N37" s="8">
        <v>6.2505943530833498E-3</v>
      </c>
      <c r="O37" s="8">
        <v>2.5992893608559501E-2</v>
      </c>
      <c r="Q37" s="8">
        <v>4.2629053488028399E-3</v>
      </c>
      <c r="R37" s="34">
        <v>6.8351505282079601E-5</v>
      </c>
      <c r="S37" s="8">
        <v>3.7169837860240198E-3</v>
      </c>
      <c r="T37" s="34">
        <v>1.5599912757482299E-5</v>
      </c>
      <c r="U37" s="34"/>
      <c r="X37" s="34"/>
      <c r="Y37" s="34"/>
      <c r="Z37" s="34"/>
      <c r="AA37" s="34"/>
      <c r="AE37" s="34">
        <f>SUM(AV$5:$AV37)</f>
        <v>5.7355808927481942</v>
      </c>
      <c r="AF37" s="34" cm="1">
        <f t="array" ref="AF37">2*SQRT(SUM((AW$5:$AW37/2)^2))</f>
        <v>4.3523441796763346E-2</v>
      </c>
      <c r="AG37" s="34">
        <f t="shared" si="7"/>
        <v>5.7114006753916717</v>
      </c>
      <c r="AH37" s="34" cm="1">
        <f t="array" ref="AH37">2*SQRT(SUM((R$5:$R37/2)^2))</f>
        <v>3.1168506844057333E-2</v>
      </c>
      <c r="AI37" s="34">
        <f t="shared" si="8"/>
        <v>1.3643577781885887</v>
      </c>
      <c r="AJ37" s="34" cm="1">
        <f t="array" ref="AJ37">2*SQRT(SUM((T$5:$T37/2)^2))</f>
        <v>2.4511119654760691E-3</v>
      </c>
      <c r="AK37" s="47"/>
      <c r="AL37" s="34">
        <f>'Fit Lambdas'!$U$2*(10000/(C37+273))+'Fit Lambdas'!$V$2</f>
        <v>25.45939586923167</v>
      </c>
      <c r="AM37" s="8">
        <f>'Fit Lambdas'!$V$4</f>
        <v>6.7480704157997479E-2</v>
      </c>
      <c r="AN37" s="34">
        <f t="shared" si="1"/>
        <v>113992200830.34454</v>
      </c>
      <c r="AO37" s="34">
        <f t="shared" si="9"/>
        <v>7692273980.5515146</v>
      </c>
      <c r="AP37" s="34">
        <f>AN37*(C37+273)*$C$145*$E$144</f>
        <v>4.0516485682730825E-5</v>
      </c>
      <c r="AQ37" s="34">
        <f t="shared" si="10"/>
        <v>3.5543208559532784E-16</v>
      </c>
      <c r="AR37" s="34">
        <f>Q37/(1-EXP(-D37*60*AP37))</f>
        <v>1.6848005419772254E-2</v>
      </c>
      <c r="AS37" s="34">
        <f>2*SQRT(
((R37/2) * (1 / (1 - EXP(-D37 * 60 * AN37 * AQ37))))^2 +
(AO37 * (-Q37 * 60 * D37 * AQ37 * EXP(-D37 * 60 * AN37 * AQ37) / (1 - EXP(-D37 * 60 * AN37 * AQ37))^2))^2
)</f>
        <v>1.9768184853475855E-3</v>
      </c>
      <c r="AT37" s="34">
        <f>AT36*EXP(-AP36*D36*60)</f>
        <v>1.7534006778821574E-2</v>
      </c>
      <c r="AU37" s="34">
        <f>2*((((AU36/2)*EXP(-AP36*D36*60))^2+(AT36*EXP(-AP36*D36*60)*D36*60*AO36*AP36/AN36)^2)^0.5)</f>
        <v>2.3819464837707602E-3</v>
      </c>
      <c r="AV37" s="25"/>
      <c r="AW37" s="25"/>
      <c r="AX37" s="52"/>
      <c r="AY37" s="47"/>
      <c r="AZ37" s="34">
        <f t="shared" ref="AZ37:AZ68" si="11">IF((273+C37)&gt;=600, 0.00074*EXP(-6613/(1.987*(273+C37)))*128000000000000000*EXP(1174/(1.987*(273+C37))), 0.000304*EXP(-5580/(1.987*(273+C37)))*199000000000000000*EXP(680/(1.987*(273+C37))))</f>
        <v>81354566284.197021</v>
      </c>
      <c r="BA37" s="34">
        <f t="shared" ref="BA37:BA68" si="12">AZ37 * 1.17*EXP(-57/(1.987*(273+C37)))</f>
        <v>88138659054.577789</v>
      </c>
      <c r="BB37" s="34"/>
      <c r="BC37" s="34"/>
      <c r="BD37" s="34"/>
      <c r="BE37" s="34"/>
      <c r="BF37" s="34"/>
      <c r="BG37" s="34"/>
      <c r="BH37" s="34"/>
      <c r="BI37" s="34"/>
      <c r="BJ37" s="34"/>
      <c r="BK37" s="34"/>
      <c r="BL37" s="34"/>
      <c r="BM37" s="34"/>
      <c r="BN37" s="34"/>
      <c r="BO37" s="34"/>
      <c r="BP37" s="34"/>
      <c r="BQ37" s="34"/>
      <c r="BR37" s="34"/>
      <c r="BS37" s="34"/>
      <c r="BT37" s="34"/>
      <c r="BU37" s="34"/>
    </row>
    <row r="38" spans="1:85" s="27" customFormat="1" x14ac:dyDescent="0.3">
      <c r="B38" s="28">
        <v>45330.152777777781</v>
      </c>
      <c r="C38" s="27">
        <v>215</v>
      </c>
      <c r="D38" s="27">
        <f t="shared" si="0"/>
        <v>450</v>
      </c>
      <c r="E38" s="27" t="s">
        <v>460</v>
      </c>
      <c r="F38" s="29">
        <v>22.7</v>
      </c>
      <c r="G38" s="29">
        <v>0</v>
      </c>
      <c r="H38" s="29">
        <v>2.75</v>
      </c>
      <c r="I38" s="27">
        <v>27000</v>
      </c>
      <c r="J38" s="27">
        <v>27125.348999999998</v>
      </c>
      <c r="K38" s="27">
        <f t="shared" si="3"/>
        <v>28560.000000055879</v>
      </c>
      <c r="L38" s="27">
        <f t="shared" si="4"/>
        <v>1560.0000000558794</v>
      </c>
      <c r="M38" s="47"/>
      <c r="N38" s="27">
        <v>6.2340449997199E-3</v>
      </c>
      <c r="O38" s="27">
        <v>2.6033057851239601E-2</v>
      </c>
      <c r="Q38" s="27">
        <v>0.141512821493641</v>
      </c>
      <c r="R38" s="27">
        <v>5.1011835913082303E-3</v>
      </c>
      <c r="S38" s="27">
        <v>7.1590909090909094E-2</v>
      </c>
      <c r="T38" s="27">
        <v>2.2087206993923699E-3</v>
      </c>
      <c r="V38" s="29">
        <f>(1000*S38/Q38)/$AE$140</f>
        <v>0.50098789808616639</v>
      </c>
      <c r="W38" s="29"/>
      <c r="X38" s="29">
        <f>S38-AVERAGE(S39:S42)</f>
        <v>6.7383446280991757E-2</v>
      </c>
      <c r="Y38" s="29">
        <f>T38+AVERAGE(S39:S42)</f>
        <v>6.416183509309701E-3</v>
      </c>
      <c r="Z38" s="29"/>
      <c r="AA38" s="29">
        <f>(X38*1000)/Q38</f>
        <v>476.16495501801364</v>
      </c>
      <c r="AB38" s="29">
        <f>2*((1000*Y38/(2*Q38))^2+((R38/2)*1000*X38/(Q38^2))^2)^0.5</f>
        <v>48.48022895175793</v>
      </c>
      <c r="AC38" s="29">
        <f>AA38/$AE$140</f>
        <v>0.4715443838720989</v>
      </c>
      <c r="AD38" s="29">
        <f>2*(($AF$140*AA38/(2*$AE$140^2))^2+(AB38/($AE$140*2))^2)^0.5</f>
        <v>4.8267026362079697E-2</v>
      </c>
      <c r="AE38" s="29">
        <f>SUM(AV$5:$AV38)</f>
        <v>5.8918316092171601</v>
      </c>
      <c r="AF38" s="29" cm="1">
        <f t="array" ref="AF38">2*SQRT(SUM((AW$5:$AW38/2)^2))</f>
        <v>4.400295659132189E-2</v>
      </c>
      <c r="AG38" s="29">
        <f t="shared" ref="AG38:AG69" si="13">AG37+Q38</f>
        <v>5.8529134968853125</v>
      </c>
      <c r="AH38" s="29" cm="1">
        <f t="array" ref="AH38">2*SQRT(SUM((R$5:$R38/2)^2))</f>
        <v>3.1583190037111214E-2</v>
      </c>
      <c r="AI38" s="29">
        <f t="shared" ref="AI38:AI69" si="14">AI37+S38</f>
        <v>1.4359486872794978</v>
      </c>
      <c r="AJ38" s="29" cm="1">
        <f t="array" ref="AJ38">2*SQRT(SUM((T$5:$T38/2)^2))</f>
        <v>3.2994540450238547E-3</v>
      </c>
      <c r="AK38" s="47"/>
      <c r="AL38" s="29"/>
      <c r="AN38" s="29"/>
      <c r="AO38" s="29"/>
      <c r="AP38" s="29"/>
      <c r="AQ38" s="29">
        <f t="shared" si="10"/>
        <v>4.6502817172181556E-16</v>
      </c>
      <c r="AR38" s="29"/>
      <c r="AS38" s="29"/>
      <c r="AT38" s="29">
        <f>AT37*EXP(-AP37*D37*60)</f>
        <v>1.3097528428947316E-2</v>
      </c>
      <c r="AU38" s="29">
        <f>2*((((AU37/2)*EXP(-AP37*D37*60))^2+(AT37*EXP(-AP37*D37*60)*D37*60*AO37*AP37/AN37)^2)^0.5)</f>
        <v>1.8524800249933666E-3</v>
      </c>
      <c r="AV38" s="23">
        <f>Q38+AT39-AT38</f>
        <v>0.15625071646896596</v>
      </c>
      <c r="AW38" s="23">
        <f>2*(((AU38/2)^2+(AU39/2)^2+(R38/2)^2)^(0.5))</f>
        <v>6.4784413975517447E-3</v>
      </c>
      <c r="AX38" s="50">
        <f>100*(AV38-Q38)/Q38</f>
        <v>10.414529807101063</v>
      </c>
      <c r="AY38" s="47"/>
      <c r="AZ38" s="29">
        <f t="shared" si="11"/>
        <v>386446726405.9859</v>
      </c>
      <c r="BA38" s="29">
        <f t="shared" si="12"/>
        <v>426330146446.07654</v>
      </c>
      <c r="BB38" s="29">
        <f>Q38*BD38</f>
        <v>3.2510015207520296E-2</v>
      </c>
      <c r="BC38" s="29">
        <f>AQ38*BA38*I38</f>
        <v>5.3528992708962475</v>
      </c>
      <c r="BD38" s="29">
        <f>1/(BC38-1)</f>
        <v>0.22973194134908234</v>
      </c>
      <c r="BE38" s="29">
        <f>BG38*S38</f>
        <v>1.8584746842407716E-2</v>
      </c>
      <c r="BF38" s="29">
        <f>AQ38*AZ38*I38</f>
        <v>4.8521325955083201</v>
      </c>
      <c r="BG38" s="29">
        <f>1/(BF38-1)</f>
        <v>0.25959646383045698</v>
      </c>
      <c r="BH38" s="29">
        <f>Q38-BB33</f>
        <v>7.4518051949426151E-2</v>
      </c>
      <c r="BI38" s="29">
        <f>Q38+BB38</f>
        <v>0.17402283670116131</v>
      </c>
      <c r="BJ38" s="29">
        <f>X38-BE33</f>
        <v>3.2758240432124983E-2</v>
      </c>
      <c r="BK38" s="29">
        <f>X38+BE38</f>
        <v>8.596819312339947E-2</v>
      </c>
      <c r="BL38" s="29">
        <f>BF38*1.29</f>
        <v>6.2592510482057335</v>
      </c>
      <c r="BM38" s="29">
        <f>Q38 / (BL38-1)</f>
        <v>2.6907409476472903E-2</v>
      </c>
      <c r="BN38" s="29">
        <f>(1000*(S38+BE38)/(Q38+BM38))/$AE$140</f>
        <v>0.53022499821163649</v>
      </c>
      <c r="BO38" s="29">
        <f>(1000*(S38-BE34)/(Q38-BM34))/$AE$140</f>
        <v>0.50098789808616639</v>
      </c>
      <c r="BP38" s="29">
        <f>(1000*(S38+BE38-BE34)/(Q38+BM38-BM34))/$AE$140</f>
        <v>0.53022499821163649</v>
      </c>
      <c r="BQ38" s="29">
        <f>MIN(BN38:BP38)</f>
        <v>0.50098789808616639</v>
      </c>
      <c r="BR38" s="29">
        <f>((1000*S38/Q38))/$AE$140</f>
        <v>0.50098789808616639</v>
      </c>
      <c r="BS38" s="29">
        <f>MAX(BN38:BP38)</f>
        <v>0.53022499821163649</v>
      </c>
      <c r="BT38" s="29"/>
      <c r="BU38" s="29"/>
    </row>
    <row r="39" spans="1:85" x14ac:dyDescent="0.3">
      <c r="B39" s="1">
        <v>45330.254166666666</v>
      </c>
      <c r="C39">
        <v>110</v>
      </c>
      <c r="D39">
        <f t="shared" si="0"/>
        <v>120</v>
      </c>
      <c r="F39" s="2">
        <v>1</v>
      </c>
      <c r="G39" s="2">
        <v>0</v>
      </c>
      <c r="H39" s="2">
        <v>0.152</v>
      </c>
      <c r="I39">
        <v>7200</v>
      </c>
      <c r="J39">
        <v>7324.4369999999999</v>
      </c>
      <c r="K39">
        <f t="shared" si="3"/>
        <v>8759.9999996367842</v>
      </c>
      <c r="L39">
        <f t="shared" si="4"/>
        <v>1559.9999996367842</v>
      </c>
      <c r="M39" s="47"/>
      <c r="N39">
        <v>6.2235374577745096E-3</v>
      </c>
      <c r="O39">
        <v>2.6033057851239601E-2</v>
      </c>
      <c r="Q39">
        <v>6.2235374577745096E-3</v>
      </c>
      <c r="R39">
        <v>5.1765378238661803E-4</v>
      </c>
      <c r="S39">
        <v>3.95702479338842E-3</v>
      </c>
      <c r="T39">
        <v>3.6787273936767699E-4</v>
      </c>
      <c r="AE39" s="2">
        <f>SUM(AV$5:$AV39)</f>
        <v>5.8918316092171601</v>
      </c>
      <c r="AF39" s="2" cm="1">
        <f t="array" ref="AF39">2*SQRT(SUM((AW$5:$AW39/2)^2))</f>
        <v>4.400295659132189E-2</v>
      </c>
      <c r="AG39" s="2">
        <f t="shared" si="13"/>
        <v>5.8591370343430871</v>
      </c>
      <c r="AH39" s="2" cm="1">
        <f t="array" ref="AH39">2*SQRT(SUM((R$5:$R39/2)^2))</f>
        <v>3.1587431968406361E-2</v>
      </c>
      <c r="AI39" s="2">
        <f t="shared" si="14"/>
        <v>1.4399057120728862</v>
      </c>
      <c r="AJ39" s="2" cm="1">
        <f t="array" ref="AJ39">2*SQRT(SUM((T$5:$T39/2)^2))</f>
        <v>3.3198986953812547E-3</v>
      </c>
      <c r="AK39" s="47"/>
      <c r="AL39" s="2">
        <f>'Fit Lambdas'!$U$2*(10000/(C39+273))+'Fit Lambdas'!$V$2</f>
        <v>25.818826597052521</v>
      </c>
      <c r="AM39">
        <f>'Fit Lambdas'!$V$4</f>
        <v>6.7480704157997479E-2</v>
      </c>
      <c r="AN39" s="2">
        <f t="shared" si="1"/>
        <v>163295388494.29288</v>
      </c>
      <c r="AO39" s="2">
        <f t="shared" si="9"/>
        <v>11019287801.348642</v>
      </c>
      <c r="AP39" s="2">
        <f>AN39*(C39+273)*$C$145*$E$144</f>
        <v>5.9598061748946858E-5</v>
      </c>
      <c r="AQ39" s="2">
        <f t="shared" si="10"/>
        <v>3.6497088067511346E-16</v>
      </c>
      <c r="AR39" s="2">
        <f>Q39/(1-EXP(-D39*60*AP39))</f>
        <v>1.783713040515527E-2</v>
      </c>
      <c r="AS39" s="2">
        <f>2*SQRT(
((R39/2) * (1 / (1 - EXP(-D39 * 60 * AN39 * AQ39))))^2 +
(AO39 * (-Q39 * 60 * D39 * AQ39 * EXP(-D39 * 60 * AN39 * AQ39) / (1 - EXP(-D39 * 60 * AN39 * AQ39))^2))^2
)</f>
        <v>2.4324911114983533E-3</v>
      </c>
      <c r="AT39" s="2">
        <f>AT40+Q39</f>
        <v>2.7835423404272291E-2</v>
      </c>
      <c r="AU39" s="2">
        <f>AU40+R39</f>
        <v>3.5378590512173389E-3</v>
      </c>
      <c r="AV39" s="22"/>
      <c r="AW39" s="22"/>
      <c r="AX39" s="49"/>
      <c r="AY39" s="47"/>
      <c r="AZ39" s="2">
        <f t="shared" si="11"/>
        <v>96700059240.232132</v>
      </c>
      <c r="BA39" s="2">
        <f t="shared" si="12"/>
        <v>104974596762.32733</v>
      </c>
      <c r="BB39" s="2"/>
      <c r="BC39" s="2"/>
      <c r="BD39" s="2"/>
      <c r="BE39" s="2"/>
      <c r="BF39" s="2"/>
      <c r="BG39" s="2"/>
      <c r="BH39" s="2"/>
      <c r="BI39" s="2"/>
      <c r="BJ39" s="2"/>
      <c r="BK39" s="2"/>
      <c r="BL39" s="2"/>
      <c r="BM39" s="2"/>
      <c r="BN39" s="2"/>
      <c r="BO39" s="2"/>
      <c r="BP39" s="2"/>
      <c r="BQ39" s="2"/>
      <c r="BR39" s="2"/>
      <c r="BS39" s="2"/>
      <c r="BT39" s="2"/>
      <c r="BU39" s="2"/>
      <c r="BV39"/>
      <c r="BW39"/>
      <c r="BX39"/>
      <c r="BY39"/>
      <c r="BZ39"/>
      <c r="CA39"/>
      <c r="CB39"/>
      <c r="CC39"/>
      <c r="CD39"/>
      <c r="CE39"/>
      <c r="CF39"/>
      <c r="CG39"/>
    </row>
    <row r="40" spans="1:85" x14ac:dyDescent="0.3">
      <c r="B40" s="1">
        <v>45330.374305555553</v>
      </c>
      <c r="C40">
        <v>110</v>
      </c>
      <c r="D40">
        <f t="shared" si="0"/>
        <v>120</v>
      </c>
      <c r="F40" s="2">
        <v>0.752</v>
      </c>
      <c r="G40" s="2">
        <v>0</v>
      </c>
      <c r="H40" s="2">
        <v>0.46600000000000003</v>
      </c>
      <c r="I40">
        <v>7200</v>
      </c>
      <c r="J40">
        <v>7328.951</v>
      </c>
      <c r="K40">
        <f t="shared" si="3"/>
        <v>10379.999999888241</v>
      </c>
      <c r="L40">
        <f t="shared" si="4"/>
        <v>3179.9999998882413</v>
      </c>
      <c r="M40" s="47"/>
      <c r="N40">
        <v>6.2196625450180697E-3</v>
      </c>
      <c r="O40">
        <v>2.6033057851239601E-2</v>
      </c>
      <c r="Q40">
        <v>4.67718623385359E-3</v>
      </c>
      <c r="R40">
        <v>4.8454755082717298E-4</v>
      </c>
      <c r="S40">
        <v>1.2131404958677599E-2</v>
      </c>
      <c r="T40">
        <v>1.4505933040221499E-3</v>
      </c>
      <c r="AE40" s="2">
        <f>SUM(AV$5:$AV40)</f>
        <v>5.8918316092171601</v>
      </c>
      <c r="AF40" s="2" cm="1">
        <f t="array" ref="AF40">2*SQRT(SUM((AW$5:$AW40/2)^2))</f>
        <v>4.400295659132189E-2</v>
      </c>
      <c r="AG40" s="2">
        <f t="shared" si="13"/>
        <v>5.8638142205769404</v>
      </c>
      <c r="AH40" s="2" cm="1">
        <f t="array" ref="AH40">2*SQRT(SUM((R$5:$R40/2)^2))</f>
        <v>3.1591148201477459E-2</v>
      </c>
      <c r="AI40" s="2">
        <f t="shared" si="14"/>
        <v>1.4520371170315638</v>
      </c>
      <c r="AJ40" s="2" cm="1">
        <f t="array" ref="AJ40">2*SQRT(SUM((T$5:$T40/2)^2))</f>
        <v>3.6229750594322417E-3</v>
      </c>
      <c r="AK40" s="47"/>
      <c r="AL40" s="2">
        <f>'Fit Lambdas'!$U$2*(10000/(C40+273))+'Fit Lambdas'!$V$2</f>
        <v>25.818826597052521</v>
      </c>
      <c r="AM40">
        <f>'Fit Lambdas'!$V$4</f>
        <v>6.7480704157997479E-2</v>
      </c>
      <c r="AN40" s="2">
        <f t="shared" si="1"/>
        <v>163295388494.29288</v>
      </c>
      <c r="AO40" s="2">
        <f t="shared" si="9"/>
        <v>11019287801.348642</v>
      </c>
      <c r="AP40" s="2">
        <f>AN40*(C40+273)*$C$145*$E$144</f>
        <v>5.9598061748946858E-5</v>
      </c>
      <c r="AQ40" s="2">
        <f t="shared" si="10"/>
        <v>3.6497088067511346E-16</v>
      </c>
      <c r="AR40" s="2">
        <f>Q40/(1-EXP(-D40*60*AP40))</f>
        <v>1.3405170507686895E-2</v>
      </c>
      <c r="AS40" s="2">
        <f>2*SQRT(
((R40/2) * (1 / (1 - EXP(-D40 * 60 * AN40 * AQ40))))^2 +
(AO40 * (-Q40 * 60 * D40 * AQ40 * EXP(-D40 * 60 * AN40 * AQ40) / (1 - EXP(-D40 * 60 * AN40 * AQ40))^2))^2
)</f>
        <v>2.0068216900989248E-3</v>
      </c>
      <c r="AT40" s="2">
        <f>AT41+Q40</f>
        <v>2.161188594649778E-2</v>
      </c>
      <c r="AU40" s="2">
        <f>AU41+R40</f>
        <v>3.0202052688307209E-3</v>
      </c>
      <c r="AV40" s="22"/>
      <c r="AW40" s="22"/>
      <c r="AX40" s="49"/>
      <c r="AY40" s="47"/>
      <c r="AZ40" s="2">
        <f t="shared" si="11"/>
        <v>96700059240.232132</v>
      </c>
      <c r="BA40" s="2">
        <f t="shared" si="12"/>
        <v>104974596762.32733</v>
      </c>
      <c r="BB40" s="2"/>
      <c r="BC40" s="2"/>
      <c r="BD40" s="2"/>
      <c r="BE40" s="2"/>
      <c r="BF40" s="2"/>
      <c r="BG40" s="2"/>
      <c r="BH40" s="2"/>
      <c r="BI40" s="2"/>
      <c r="BJ40" s="2"/>
      <c r="BK40" s="2"/>
      <c r="BL40" s="2"/>
      <c r="BM40" s="2"/>
      <c r="BN40" s="2"/>
      <c r="BO40" s="2"/>
      <c r="BP40" s="2"/>
      <c r="BQ40" s="2"/>
      <c r="BR40" s="2"/>
      <c r="BS40" s="2"/>
      <c r="BT40" s="2"/>
      <c r="BU40" s="2"/>
      <c r="BV40"/>
      <c r="BW40"/>
      <c r="BX40"/>
      <c r="BY40"/>
      <c r="BZ40"/>
      <c r="CA40"/>
      <c r="CB40"/>
      <c r="CC40"/>
      <c r="CD40"/>
      <c r="CE40"/>
      <c r="CF40"/>
      <c r="CG40"/>
    </row>
    <row r="41" spans="1:85" s="30" customFormat="1" x14ac:dyDescent="0.3">
      <c r="B41" s="31">
        <v>45330.475694444445</v>
      </c>
      <c r="C41" s="30">
        <v>110</v>
      </c>
      <c r="D41" s="30">
        <f t="shared" si="0"/>
        <v>120</v>
      </c>
      <c r="E41" s="30" t="s">
        <v>446</v>
      </c>
      <c r="F41" s="32">
        <v>0.94899999999999995</v>
      </c>
      <c r="G41" s="32">
        <v>0</v>
      </c>
      <c r="H41" s="32">
        <v>-5.8199999999999997E-3</v>
      </c>
      <c r="I41" s="30">
        <v>7200</v>
      </c>
      <c r="J41" s="30">
        <v>7329.33</v>
      </c>
      <c r="K41" s="30">
        <f t="shared" si="3"/>
        <v>8760.0000002654269</v>
      </c>
      <c r="L41" s="30">
        <f t="shared" si="4"/>
        <v>1560.0000002654269</v>
      </c>
      <c r="M41" s="47"/>
      <c r="N41" s="30">
        <v>6.2262077552783703E-3</v>
      </c>
      <c r="O41" s="30">
        <v>2.6033057851239601E-2</v>
      </c>
      <c r="Q41" s="30">
        <v>5.9086711597591702E-3</v>
      </c>
      <c r="R41" s="30">
        <v>6.1235273507157699E-4</v>
      </c>
      <c r="S41" s="30">
        <v>-1.5151239669421401E-4</v>
      </c>
      <c r="T41" s="32">
        <v>-1.8076683693016001E-5</v>
      </c>
      <c r="U41" s="32"/>
      <c r="X41" s="32"/>
      <c r="Y41" s="32"/>
      <c r="Z41" s="32"/>
      <c r="AA41" s="32"/>
      <c r="AE41" s="32">
        <f>SUM(AV$5:$AV41)</f>
        <v>5.8918316092171601</v>
      </c>
      <c r="AF41" s="32" cm="1">
        <f t="array" ref="AF41">2*SQRT(SUM((AW$5:$AW41/2)^2))</f>
        <v>4.400295659132189E-2</v>
      </c>
      <c r="AG41" s="32">
        <f t="shared" si="13"/>
        <v>5.8697228917366999</v>
      </c>
      <c r="AH41" s="32" cm="1">
        <f t="array" ref="AH41">2*SQRT(SUM((R$5:$R41/2)^2))</f>
        <v>3.1597082469111956E-2</v>
      </c>
      <c r="AI41" s="32">
        <f t="shared" si="14"/>
        <v>1.4518856046348696</v>
      </c>
      <c r="AJ41" s="32" cm="1">
        <f t="array" ref="AJ41">2*SQRT(SUM((T$5:$T41/2)^2))</f>
        <v>3.6230201555831005E-3</v>
      </c>
      <c r="AK41" s="47"/>
      <c r="AL41" s="32">
        <f>'Fit Lambdas'!$U$2*(10000/(C41+273))+'Fit Lambdas'!$V$2</f>
        <v>25.818826597052521</v>
      </c>
      <c r="AM41" s="30">
        <f>'Fit Lambdas'!$V$4</f>
        <v>6.7480704157997479E-2</v>
      </c>
      <c r="AN41" s="32">
        <f t="shared" si="1"/>
        <v>163295388494.29288</v>
      </c>
      <c r="AO41" s="32">
        <f t="shared" si="9"/>
        <v>11019287801.348642</v>
      </c>
      <c r="AP41" s="32">
        <f>AN41*(C41+273)*$C$145*$E$144</f>
        <v>5.9598061748946858E-5</v>
      </c>
      <c r="AQ41" s="32">
        <f t="shared" si="10"/>
        <v>3.6497088067511346E-16</v>
      </c>
      <c r="AR41" s="32">
        <f>Q41/(1-EXP(-D41*60*AP41))</f>
        <v>1.6934699712644191E-2</v>
      </c>
      <c r="AS41" s="32">
        <f>2*SQRT(
((R41/2) * (1 / (1 - EXP(-D41 * 60 * AN41 * AQ41))))^2 +
(AO41 * (-Q41 * 60 * D41 * AQ41 * EXP(-D41 * 60 * AN41 * AQ41) / (1 - EXP(-D41 * 60 * AN41 * AQ41))^2))^2
)</f>
        <v>2.5356577180035479E-3</v>
      </c>
      <c r="AT41" s="32" cm="1">
        <f t="array" ref="AT41:AU41">AR41:AS41</f>
        <v>1.6934699712644191E-2</v>
      </c>
      <c r="AU41" s="32">
        <v>2.5356577180035479E-3</v>
      </c>
      <c r="AV41" s="24"/>
      <c r="AW41" s="24"/>
      <c r="AX41" s="51"/>
      <c r="AY41" s="47"/>
      <c r="AZ41" s="32">
        <f t="shared" si="11"/>
        <v>96700059240.232132</v>
      </c>
      <c r="BA41" s="32">
        <f t="shared" si="12"/>
        <v>104974596762.32733</v>
      </c>
      <c r="BB41" s="32"/>
      <c r="BC41" s="32"/>
      <c r="BD41" s="32"/>
      <c r="BE41" s="32"/>
      <c r="BF41" s="32"/>
      <c r="BG41" s="32"/>
      <c r="BH41" s="32"/>
      <c r="BI41" s="32"/>
      <c r="BJ41" s="32"/>
      <c r="BK41" s="32"/>
      <c r="BL41" s="32"/>
      <c r="BM41" s="32"/>
      <c r="BN41" s="32"/>
      <c r="BO41" s="32"/>
      <c r="BP41" s="32"/>
      <c r="BQ41" s="32"/>
      <c r="BR41" s="32"/>
      <c r="BS41" s="32"/>
      <c r="BT41" s="32"/>
      <c r="BU41" s="32"/>
    </row>
    <row r="42" spans="1:85" x14ac:dyDescent="0.3">
      <c r="B42" s="1">
        <v>45330.57708333333</v>
      </c>
      <c r="C42">
        <v>110</v>
      </c>
      <c r="D42">
        <f t="shared" si="0"/>
        <v>120</v>
      </c>
      <c r="F42" s="2">
        <v>0.503</v>
      </c>
      <c r="G42" s="2">
        <v>0</v>
      </c>
      <c r="H42" s="2">
        <v>3.4299999999999997E-2</v>
      </c>
      <c r="I42">
        <v>7200</v>
      </c>
      <c r="J42">
        <v>7329.8010000000004</v>
      </c>
      <c r="K42">
        <f t="shared" si="3"/>
        <v>8759.9999996367842</v>
      </c>
      <c r="L42">
        <f t="shared" si="4"/>
        <v>1559.9999996367842</v>
      </c>
      <c r="M42" s="47"/>
      <c r="N42">
        <v>6.2417600896480102E-3</v>
      </c>
      <c r="O42">
        <v>2.6033057851239601E-2</v>
      </c>
      <c r="Q42">
        <v>3.1396053250929501E-3</v>
      </c>
      <c r="R42">
        <v>3.2488261216261798E-4</v>
      </c>
      <c r="S42">
        <v>8.9293388429752003E-4</v>
      </c>
      <c r="T42">
        <v>1.0623926996572399E-4</v>
      </c>
      <c r="AE42" s="2">
        <f>SUM(AV$5:$AV42)</f>
        <v>5.8918316092171601</v>
      </c>
      <c r="AF42" s="2" cm="1">
        <f t="array" ref="AF42">2*SQRT(SUM((AW$5:$AW42/2)^2))</f>
        <v>4.400295659132189E-2</v>
      </c>
      <c r="AG42" s="2">
        <f t="shared" si="13"/>
        <v>5.8728624970617931</v>
      </c>
      <c r="AH42" s="2" cm="1">
        <f t="array" ref="AH42">2*SQRT(SUM((R$5:$R42/2)^2))</f>
        <v>3.1598752653729037E-2</v>
      </c>
      <c r="AI42" s="2">
        <f t="shared" si="14"/>
        <v>1.4527785385191672</v>
      </c>
      <c r="AJ42" s="2" cm="1">
        <f t="array" ref="AJ42">2*SQRT(SUM((T$5:$T42/2)^2))</f>
        <v>3.6245774692016505E-3</v>
      </c>
      <c r="AK42" s="47"/>
      <c r="AL42" s="2">
        <f>'Fit Lambdas'!$U$2*(10000/(C42+273))+'Fit Lambdas'!$V$2</f>
        <v>25.818826597052521</v>
      </c>
      <c r="AM42">
        <f>'Fit Lambdas'!$V$4</f>
        <v>6.7480704157997479E-2</v>
      </c>
      <c r="AN42" s="2">
        <f t="shared" si="1"/>
        <v>163295388494.29288</v>
      </c>
      <c r="AO42" s="2">
        <f t="shared" si="9"/>
        <v>11019287801.348642</v>
      </c>
      <c r="AP42" s="2">
        <f>AN42*(C42+273)*$C$145*$E$144</f>
        <v>5.9598061748946858E-5</v>
      </c>
      <c r="AQ42" s="2">
        <f t="shared" si="10"/>
        <v>3.6497088067511346E-16</v>
      </c>
      <c r="AR42" s="2">
        <f>Q42/(1-EXP(-D42*60*AP42))</f>
        <v>8.9983469986904506E-3</v>
      </c>
      <c r="AS42" s="2">
        <f>2*SQRT(
((R42/2) * (1 / (1 - EXP(-D42 * 60 * AN42 * AQ42))))^2 +
(AO42 * (-Q42 * 60 * D42 * AQ42 * EXP(-D42 * 60 * AN42 * AQ42) / (1 - EXP(-D42 * 60 * AN42 * AQ42))^2))^2
)</f>
        <v>1.3463554257876304E-3</v>
      </c>
      <c r="AT42" s="2">
        <f>AT41*EXP(-AP41*D41*60)</f>
        <v>1.1026028552885021E-2</v>
      </c>
      <c r="AU42" s="2">
        <f>2*((((AU41/2)*EXP(-AP41*D41*60))^2+(AT41*EXP(-AP41*D41*60)*D41*60*AO41*AP41/AN41)^2)^0.5)</f>
        <v>1.7701293724238371E-3</v>
      </c>
      <c r="AV42" s="22"/>
      <c r="AW42" s="22"/>
      <c r="AX42" s="49"/>
      <c r="AY42" s="47"/>
      <c r="AZ42" s="2">
        <f t="shared" si="11"/>
        <v>96700059240.232132</v>
      </c>
      <c r="BA42" s="2">
        <f t="shared" si="12"/>
        <v>104974596762.32733</v>
      </c>
      <c r="BB42" s="2"/>
      <c r="BC42" s="2"/>
      <c r="BD42" s="2"/>
      <c r="BE42" s="2"/>
      <c r="BF42" s="2"/>
      <c r="BG42" s="2"/>
      <c r="BH42" s="2"/>
      <c r="BI42" s="2"/>
      <c r="BJ42" s="2"/>
      <c r="BK42" s="2"/>
      <c r="BL42" s="2"/>
      <c r="BM42" s="2"/>
      <c r="BN42" s="2"/>
      <c r="BO42" s="2"/>
      <c r="BP42" s="2"/>
      <c r="BQ42" s="2"/>
      <c r="BR42" s="2"/>
      <c r="BS42" s="2"/>
      <c r="BT42" s="2"/>
      <c r="BU42" s="2"/>
      <c r="BV42"/>
      <c r="BW42"/>
      <c r="BX42"/>
      <c r="BY42"/>
      <c r="BZ42"/>
      <c r="CA42"/>
      <c r="CB42"/>
      <c r="CC42"/>
      <c r="CD42"/>
      <c r="CE42"/>
      <c r="CF42"/>
      <c r="CG42"/>
    </row>
    <row r="43" spans="1:85" s="70" customFormat="1" x14ac:dyDescent="0.3">
      <c r="A43" s="70" t="s">
        <v>458</v>
      </c>
      <c r="B43" s="71">
        <v>45331.148611111108</v>
      </c>
      <c r="C43" s="70">
        <v>205</v>
      </c>
      <c r="D43" s="70">
        <f t="shared" si="0"/>
        <v>520</v>
      </c>
      <c r="E43" s="70" t="s">
        <v>460</v>
      </c>
      <c r="F43" s="72">
        <v>11.9</v>
      </c>
      <c r="G43" s="72">
        <v>0</v>
      </c>
      <c r="H43" s="72">
        <v>1.43</v>
      </c>
      <c r="I43" s="70">
        <v>31200</v>
      </c>
      <c r="J43" s="70">
        <v>31324.581999999999</v>
      </c>
      <c r="K43" s="70">
        <f t="shared" si="3"/>
        <v>49380.00000002794</v>
      </c>
      <c r="L43" s="70">
        <f t="shared" si="4"/>
        <v>18180.00000002794</v>
      </c>
      <c r="M43" s="73"/>
      <c r="N43" s="70">
        <v>6.4091708667438898E-3</v>
      </c>
      <c r="O43" s="70">
        <v>2.6889443919736002E-2</v>
      </c>
      <c r="Q43" s="70">
        <v>7.6269133314252294E-2</v>
      </c>
      <c r="R43" s="70">
        <v>7.8357777589790102E-3</v>
      </c>
      <c r="S43" s="70">
        <v>3.8451904805222398E-2</v>
      </c>
      <c r="T43" s="70">
        <v>4.4113712431420402E-3</v>
      </c>
      <c r="V43" s="72">
        <f>(1000*S43/Q43)/$AE$140</f>
        <v>0.49926853306343966</v>
      </c>
      <c r="W43" s="72"/>
      <c r="X43" s="72">
        <f>S43-AVERAGE(S44:S46)</f>
        <v>3.115118844322376E-2</v>
      </c>
      <c r="Y43" s="72">
        <f>T43+AVERAGE(S44:S46)</f>
        <v>1.1712087605140677E-2</v>
      </c>
      <c r="Z43" s="72"/>
      <c r="AA43" s="72">
        <f>(X43*1000)/Q43</f>
        <v>408.43768756190372</v>
      </c>
      <c r="AB43" s="72">
        <f>2*((1000*Y43/(2*Q43))^2+((R43/2)*1000*X43/(Q43^2))^2)^0.5</f>
        <v>159.19268234134992</v>
      </c>
      <c r="AC43" s="72">
        <f>AA43/$AE$140</f>
        <v>0.40447432281999135</v>
      </c>
      <c r="AD43" s="72">
        <f>2*(($AF$140*AA43/(2*$AE$140^2))^2+(AB43/($AE$140*2))^2)^0.5</f>
        <v>0.15770570317695312</v>
      </c>
      <c r="AE43" s="72">
        <f>SUM(AV$5:$AV43)</f>
        <v>5.9734494673008838</v>
      </c>
      <c r="AF43" s="72" cm="1">
        <f t="array" ref="AF43">2*SQRT(SUM((AW$5:$AW43/2)^2))</f>
        <v>4.4741501436387048E-2</v>
      </c>
      <c r="AG43" s="72">
        <f t="shared" si="13"/>
        <v>5.9491316303760451</v>
      </c>
      <c r="AH43" s="72" cm="1">
        <f t="array" ref="AH43">2*SQRT(SUM((R$5:$R43/2)^2))</f>
        <v>3.2555807198711234E-2</v>
      </c>
      <c r="AI43" s="72">
        <f t="shared" si="14"/>
        <v>1.4912304433243895</v>
      </c>
      <c r="AJ43" s="72" cm="1">
        <f t="array" ref="AJ43">2*SQRT(SUM((T$5:$T43/2)^2))</f>
        <v>5.7094446380593616E-3</v>
      </c>
      <c r="AK43" s="73"/>
      <c r="AL43" s="72"/>
      <c r="AN43" s="72"/>
      <c r="AO43" s="72"/>
      <c r="AP43" s="72"/>
      <c r="AQ43" s="72">
        <f t="shared" si="10"/>
        <v>4.5549890590784391E-16</v>
      </c>
      <c r="AR43" s="72"/>
      <c r="AS43" s="72"/>
      <c r="AT43" s="72">
        <f>AT42*EXP(-AP42*D42*60)</f>
        <v>7.17894664280724E-3</v>
      </c>
      <c r="AU43" s="72">
        <f>2*((((AU42/2)*EXP(-AP42*D42*60))^2+(AT42*EXP(-AP42*D42*60)*D42*60*AO42*AP42/AN42)^2)^0.5)</f>
        <v>1.2252106964655493E-3</v>
      </c>
      <c r="AV43" s="74">
        <f>Q43+AT44-AT43</f>
        <v>8.1617858083723835E-2</v>
      </c>
      <c r="AW43" s="74">
        <f>2*(((AU43/2)^2+(AU44/2)^2+(R43/2)^2)^(0.5))</f>
        <v>8.0957866822480781E-3</v>
      </c>
      <c r="AX43" s="75">
        <f>100*(AV43-Q43)/Q43</f>
        <v>7.0129612558112457</v>
      </c>
      <c r="AY43" s="73"/>
      <c r="AZ43" s="72">
        <f t="shared" si="11"/>
        <v>347677610520.19244</v>
      </c>
      <c r="BA43" s="72">
        <f t="shared" si="12"/>
        <v>383088439025.48938</v>
      </c>
      <c r="BB43" s="72">
        <f>Q43*BD43</f>
        <v>1.7161164539828491E-2</v>
      </c>
      <c r="BC43" s="72">
        <f>AQ43*BA43*I43</f>
        <v>5.444286583072091</v>
      </c>
      <c r="BD43" s="72">
        <f>1/(BC43-1)</f>
        <v>0.22500799201584226</v>
      </c>
      <c r="BE43" s="72">
        <f>BG43*S43</f>
        <v>9.7567832307909347E-3</v>
      </c>
      <c r="BF43" s="72">
        <f>AQ43*AZ43*I43</f>
        <v>4.9410432614587556</v>
      </c>
      <c r="BG43" s="72">
        <f>1/(BF43-1)</f>
        <v>0.25373991952320146</v>
      </c>
      <c r="BH43" s="72">
        <f>Q43-BB38</f>
        <v>4.3759118106731998E-2</v>
      </c>
      <c r="BI43" s="72">
        <f>Q43+BB43</f>
        <v>9.3430297854080788E-2</v>
      </c>
      <c r="BJ43" s="72">
        <f>X43-BE38</f>
        <v>1.2566441600816044E-2</v>
      </c>
      <c r="BK43" s="72">
        <f>X43+BE43</f>
        <v>4.0907971674014693E-2</v>
      </c>
      <c r="BL43" s="72">
        <f>BF43*1.29</f>
        <v>6.3739458072817952</v>
      </c>
      <c r="BM43" s="72">
        <f>Q43 / (BL43-1)</f>
        <v>1.4192389735472623E-2</v>
      </c>
      <c r="BN43" s="72">
        <f>(1000*(S43+BE43)/(Q43+BM43))/$AE$140</f>
        <v>0.52774796224638176</v>
      </c>
      <c r="BO43" s="72">
        <f>(1000*(S43-BE39)/(Q43-BM39))/$AE$140</f>
        <v>0.49926853306343966</v>
      </c>
      <c r="BP43" s="72">
        <f>(1000*(S43+BE43-BE39)/(Q43+BM43-BM39))/$AE$140</f>
        <v>0.52774796224638176</v>
      </c>
      <c r="BQ43" s="72">
        <f>MIN(BN43:BP43)</f>
        <v>0.49926853306343966</v>
      </c>
      <c r="BR43" s="29">
        <f>((1000*S43/Q43))/$AE$140</f>
        <v>0.49926853306343966</v>
      </c>
      <c r="BS43" s="72">
        <f>MAX(BN43:BP43)</f>
        <v>0.52774796224638176</v>
      </c>
      <c r="BT43" s="72"/>
      <c r="BU43" s="72"/>
    </row>
    <row r="44" spans="1:85" x14ac:dyDescent="0.3">
      <c r="B44" s="1">
        <v>45331.275000000001</v>
      </c>
      <c r="C44">
        <v>115</v>
      </c>
      <c r="D44">
        <f t="shared" si="0"/>
        <v>150</v>
      </c>
      <c r="F44" s="2">
        <v>0.77600000000000002</v>
      </c>
      <c r="G44" s="2">
        <v>0</v>
      </c>
      <c r="H44" s="2">
        <v>0.22500000000000001</v>
      </c>
      <c r="I44">
        <v>9000</v>
      </c>
      <c r="J44">
        <v>9129.4480000000003</v>
      </c>
      <c r="K44">
        <f t="shared" si="3"/>
        <v>10920.000000391155</v>
      </c>
      <c r="L44">
        <f t="shared" si="4"/>
        <v>1920.0000003911555</v>
      </c>
      <c r="M44" s="47"/>
      <c r="N44">
        <v>6.2223910876263496E-3</v>
      </c>
      <c r="O44">
        <v>2.60604678825452E-2</v>
      </c>
      <c r="Q44">
        <v>4.8285754839980499E-3</v>
      </c>
      <c r="R44">
        <v>5.1122593874018002E-4</v>
      </c>
      <c r="S44">
        <v>5.8636052735726802E-3</v>
      </c>
      <c r="T44">
        <v>6.9281250406146196E-4</v>
      </c>
      <c r="AE44" s="2">
        <f>SUM(AV$5:$AV44)</f>
        <v>5.9734494673008838</v>
      </c>
      <c r="AF44" s="2" cm="1">
        <f t="array" ref="AF44">2*SQRT(SUM((AW$5:$AW44/2)^2))</f>
        <v>4.4741501436387048E-2</v>
      </c>
      <c r="AG44" s="2">
        <f t="shared" si="13"/>
        <v>5.9539602058600432</v>
      </c>
      <c r="AH44" s="2" cm="1">
        <f t="array" ref="AH44">2*SQRT(SUM((R$5:$R44/2)^2))</f>
        <v>3.2559820858231066E-2</v>
      </c>
      <c r="AI44" s="2">
        <f t="shared" si="14"/>
        <v>1.4970940485979622</v>
      </c>
      <c r="AJ44" s="2" cm="1">
        <f t="array" ref="AJ44">2*SQRT(SUM((T$5:$T44/2)^2))</f>
        <v>5.7513256942072679E-3</v>
      </c>
      <c r="AK44" s="47"/>
      <c r="AL44" s="2">
        <f>'Fit Lambdas'!$U$2*(10000/(C44+273))+'Fit Lambdas'!$V$2</f>
        <v>25.991416979826834</v>
      </c>
      <c r="AM44">
        <f>'Fit Lambdas'!$V$4</f>
        <v>6.7480704157997479E-2</v>
      </c>
      <c r="AN44" s="2">
        <f t="shared" si="1"/>
        <v>194056847187.76276</v>
      </c>
      <c r="AO44" s="2">
        <f t="shared" si="9"/>
        <v>13095092694.911144</v>
      </c>
      <c r="AP44" s="2">
        <f>AN44*(C44+273)*$C$145*$E$144</f>
        <v>7.1749708059090411E-5</v>
      </c>
      <c r="AQ44" s="2">
        <f t="shared" si="10"/>
        <v>3.6973551358209923E-16</v>
      </c>
      <c r="AR44" s="2">
        <f>Q44/(1-EXP(-D44*60*AP44))</f>
        <v>1.0149835561573495E-2</v>
      </c>
      <c r="AS44" s="2">
        <f>2*SQRT(
((R44/2) * (1 / (1 - EXP(-D44 * 60 * AN44 * AQ44))))^2 +
(AO44 * (-Q44 * 60 * D44 * AQ44 * EXP(-D44 * 60 * AN44 * AQ44) / (1 - EXP(-D44 * 60 * AN44 * AQ44))^2))^2
)</f>
        <v>1.4508898096194877E-3</v>
      </c>
      <c r="AT44" s="2">
        <f>AT45+Q44</f>
        <v>1.2527671412278786E-2</v>
      </c>
      <c r="AU44" s="2">
        <f>AU45+R44</f>
        <v>1.6251792718409938E-3</v>
      </c>
      <c r="AV44" s="22"/>
      <c r="AW44" s="22"/>
      <c r="AX44" s="49"/>
      <c r="AY44" s="47"/>
      <c r="AZ44" s="2">
        <f t="shared" si="11"/>
        <v>105065839002.11293</v>
      </c>
      <c r="BA44" s="2">
        <f t="shared" si="12"/>
        <v>114166368820.14638</v>
      </c>
      <c r="BB44" s="2"/>
      <c r="BC44" s="2"/>
      <c r="BD44" s="2"/>
      <c r="BE44" s="2"/>
      <c r="BF44" s="2"/>
      <c r="BG44" s="2"/>
      <c r="BH44" s="2"/>
      <c r="BI44" s="2"/>
      <c r="BJ44" s="2"/>
      <c r="BK44" s="2"/>
      <c r="BL44" s="2"/>
      <c r="BM44" s="2"/>
      <c r="BN44" s="2"/>
      <c r="BO44" s="2"/>
      <c r="BP44" s="2"/>
      <c r="BQ44" s="2"/>
      <c r="BR44" s="2"/>
      <c r="BS44" s="2"/>
      <c r="BT44" s="2"/>
      <c r="BU44" s="2"/>
      <c r="BV44"/>
      <c r="BW44"/>
      <c r="BX44"/>
      <c r="BY44"/>
      <c r="BZ44"/>
      <c r="CA44"/>
      <c r="CB44"/>
      <c r="CC44"/>
      <c r="CD44"/>
      <c r="CE44"/>
      <c r="CF44"/>
      <c r="CG44"/>
    </row>
    <row r="45" spans="1:85" s="30" customFormat="1" x14ac:dyDescent="0.3">
      <c r="B45" s="31">
        <v>45331.397222222222</v>
      </c>
      <c r="C45" s="30">
        <v>115</v>
      </c>
      <c r="D45" s="30">
        <f t="shared" si="0"/>
        <v>150</v>
      </c>
      <c r="E45" s="30" t="s">
        <v>446</v>
      </c>
      <c r="F45" s="32">
        <v>0.59099999999999997</v>
      </c>
      <c r="G45" s="32">
        <v>0</v>
      </c>
      <c r="H45" s="32">
        <v>0.19</v>
      </c>
      <c r="I45" s="30">
        <v>9000</v>
      </c>
      <c r="J45" s="30">
        <v>9128.5689999999995</v>
      </c>
      <c r="K45" s="30">
        <f t="shared" si="3"/>
        <v>10559.999999846332</v>
      </c>
      <c r="L45" s="30">
        <f t="shared" si="4"/>
        <v>1559.9999998463318</v>
      </c>
      <c r="M45" s="47"/>
      <c r="N45" s="30">
        <v>6.19743911290924E-3</v>
      </c>
      <c r="O45" s="30">
        <v>2.6040721506737498E-2</v>
      </c>
      <c r="Q45" s="30">
        <v>3.6626865157293599E-3</v>
      </c>
      <c r="R45" s="30">
        <v>3.9634548341569201E-4</v>
      </c>
      <c r="S45" s="30">
        <v>4.9477370862801304E-3</v>
      </c>
      <c r="T45" s="30">
        <v>5.85036575764367E-4</v>
      </c>
      <c r="AE45" s="32">
        <f>SUM(AV$5:$AV45)</f>
        <v>5.9734494673008838</v>
      </c>
      <c r="AF45" s="32" cm="1">
        <f t="array" ref="AF45">2*SQRT(SUM((AW$5:$AW45/2)^2))</f>
        <v>4.4741501436387048E-2</v>
      </c>
      <c r="AG45" s="32">
        <f t="shared" si="13"/>
        <v>5.9576228923757721</v>
      </c>
      <c r="AH45" s="32" cm="1">
        <f t="array" ref="AH45">2*SQRT(SUM((R$5:$R45/2)^2))</f>
        <v>3.2562233093912998E-2</v>
      </c>
      <c r="AI45" s="32">
        <f t="shared" si="14"/>
        <v>1.5020417856842423</v>
      </c>
      <c r="AJ45" s="32" cm="1">
        <f t="array" ref="AJ45">2*SQRT(SUM((T$5:$T45/2)^2))</f>
        <v>5.7810046735693619E-3</v>
      </c>
      <c r="AK45" s="47"/>
      <c r="AL45" s="32">
        <f>'Fit Lambdas'!$U$2*(10000/(C45+273))+'Fit Lambdas'!$V$2</f>
        <v>25.991416979826834</v>
      </c>
      <c r="AM45" s="30">
        <f>'Fit Lambdas'!$V$4</f>
        <v>6.7480704157997479E-2</v>
      </c>
      <c r="AN45" s="32">
        <f t="shared" si="1"/>
        <v>194056847187.76276</v>
      </c>
      <c r="AO45" s="32">
        <f t="shared" si="9"/>
        <v>13095092694.911144</v>
      </c>
      <c r="AP45" s="32">
        <f>AN45*(C45+273)*$C$145*$E$144</f>
        <v>7.1749708059090411E-5</v>
      </c>
      <c r="AQ45" s="32">
        <f t="shared" si="10"/>
        <v>3.6973551358209923E-16</v>
      </c>
      <c r="AR45" s="32">
        <f>Q45/(1-EXP(-D45*60*AP45))</f>
        <v>7.6990959282807366E-3</v>
      </c>
      <c r="AS45" s="32">
        <f>2*SQRT(
((R45/2) * (1 / (1 - EXP(-D45 * 60 * AN45 * AQ45))))^2 +
(AO45 * (-Q45 * 60 * D45 * AQ45 * EXP(-D45 * 60 * AN45 * AQ45) / (1 - EXP(-D45 * 60 * AN45 * AQ45))^2))^2
)</f>
        <v>1.1139533331008136E-3</v>
      </c>
      <c r="AT45" s="32" cm="1">
        <f t="array" ref="AT45:AU45">AR45:AS45</f>
        <v>7.6990959282807366E-3</v>
      </c>
      <c r="AU45" s="32">
        <v>1.1139533331008136E-3</v>
      </c>
      <c r="AV45" s="24"/>
      <c r="AW45" s="24"/>
      <c r="AX45" s="51"/>
      <c r="AY45" s="47"/>
      <c r="AZ45" s="32">
        <f t="shared" si="11"/>
        <v>105065839002.11293</v>
      </c>
      <c r="BA45" s="32">
        <f t="shared" si="12"/>
        <v>114166368820.14638</v>
      </c>
      <c r="BB45" s="32"/>
      <c r="BC45" s="32"/>
      <c r="BD45" s="32"/>
      <c r="BE45" s="32"/>
      <c r="BF45" s="32"/>
      <c r="BG45" s="32"/>
      <c r="BH45" s="32"/>
      <c r="BI45" s="32"/>
      <c r="BJ45" s="32"/>
      <c r="BK45" s="32"/>
      <c r="BL45" s="32"/>
      <c r="BM45" s="32"/>
      <c r="BN45" s="32"/>
      <c r="BO45" s="32"/>
      <c r="BP45" s="32"/>
      <c r="BQ45" s="32"/>
      <c r="BR45" s="32"/>
      <c r="BS45" s="32"/>
      <c r="BT45" s="32"/>
      <c r="BU45" s="32"/>
    </row>
    <row r="46" spans="1:85" x14ac:dyDescent="0.3">
      <c r="B46" s="1">
        <v>45331.540972222225</v>
      </c>
      <c r="C46">
        <v>115</v>
      </c>
      <c r="D46">
        <f t="shared" si="0"/>
        <v>150</v>
      </c>
      <c r="F46" s="2">
        <v>-1.06E-2</v>
      </c>
      <c r="G46" s="2">
        <v>0</v>
      </c>
      <c r="H46" s="2">
        <v>0.42599999999999999</v>
      </c>
      <c r="I46">
        <v>9000</v>
      </c>
      <c r="J46">
        <v>9129.4539999999997</v>
      </c>
      <c r="K46">
        <f t="shared" si="3"/>
        <v>12420.000000251457</v>
      </c>
      <c r="L46">
        <f t="shared" si="4"/>
        <v>3420.0000002514571</v>
      </c>
      <c r="M46" s="47"/>
      <c r="N46">
        <v>6.1880252759547996E-3</v>
      </c>
      <c r="O46">
        <v>2.6034757573105801E-2</v>
      </c>
      <c r="Q46" s="2">
        <v>-6.5593067925120898E-5</v>
      </c>
      <c r="R46" s="2">
        <v>-7.0894824866621797E-6</v>
      </c>
      <c r="S46">
        <v>1.10908067261431E-2</v>
      </c>
      <c r="T46">
        <v>1.2870092699348099E-3</v>
      </c>
      <c r="AE46" s="2">
        <f>SUM(AV$5:$AV46)</f>
        <v>5.9734494673008838</v>
      </c>
      <c r="AF46" s="2" cm="1">
        <f t="array" ref="AF46">2*SQRT(SUM((AW$5:$AW46/2)^2))</f>
        <v>4.4741501436387048E-2</v>
      </c>
      <c r="AG46" s="2">
        <f t="shared" si="13"/>
        <v>5.9575572993078474</v>
      </c>
      <c r="AH46" s="2" cm="1">
        <f t="array" ref="AH46">2*SQRT(SUM((R$5:$R46/2)^2))</f>
        <v>3.2562233865677657E-2</v>
      </c>
      <c r="AI46" s="2">
        <f t="shared" si="14"/>
        <v>1.5131325924103853</v>
      </c>
      <c r="AJ46" s="2" cm="1">
        <f t="array" ref="AJ46">2*SQRT(SUM((T$5:$T46/2)^2))</f>
        <v>5.9225339084490632E-3</v>
      </c>
      <c r="AK46" s="47"/>
      <c r="AL46" s="2">
        <f>'Fit Lambdas'!$U$2*(10000/(C46+273))+'Fit Lambdas'!$V$2</f>
        <v>25.991416979826834</v>
      </c>
      <c r="AM46">
        <f>'Fit Lambdas'!$V$4</f>
        <v>6.7480704157997479E-2</v>
      </c>
      <c r="AN46" s="2">
        <f t="shared" si="1"/>
        <v>194056847187.76276</v>
      </c>
      <c r="AO46" s="2">
        <f t="shared" si="9"/>
        <v>13095092694.911144</v>
      </c>
      <c r="AP46" s="2">
        <f>AN46*(C46+273)*$C$145*$E$144</f>
        <v>7.1749708059090411E-5</v>
      </c>
      <c r="AQ46" s="2">
        <f t="shared" si="10"/>
        <v>3.6973551358209923E-16</v>
      </c>
      <c r="AR46" s="2">
        <f>Q46/(1-EXP(-D46*60*AP46))</f>
        <v>-1.3787893668131102E-4</v>
      </c>
      <c r="AS46" s="2">
        <f>2*SQRT(
((R46/2) * (1 / (1 - EXP(-D46 * 60 * AN46 * AQ46))))^2 +
(AO46 * (-Q46 * 60 * D46 * AQ46 * EXP(-D46 * 60 * AN46 * AQ46) / (1 - EXP(-D46 * 60 * AN46 * AQ46))^2))^2
)</f>
        <v>1.9935899338228696E-5</v>
      </c>
      <c r="AT46" s="2">
        <f>AT45*EXP(-AP45*D45*60)</f>
        <v>4.0364094125513771E-3</v>
      </c>
      <c r="AU46" s="2">
        <f>2*((((AU45/2)*EXP(-AP45*D45*60))^2+(AT45*EXP(-AP45*D45*60)*D45*60*AO45*AP45/AN45)^2)^0.5)</f>
        <v>6.8177576452444952E-4</v>
      </c>
      <c r="AV46" s="22"/>
      <c r="AW46" s="22"/>
      <c r="AX46" s="49"/>
      <c r="AY46" s="47"/>
      <c r="AZ46" s="2">
        <f t="shared" si="11"/>
        <v>105065839002.11293</v>
      </c>
      <c r="BA46" s="2">
        <f t="shared" si="12"/>
        <v>114166368820.14638</v>
      </c>
      <c r="BB46" s="2"/>
      <c r="BC46" s="2"/>
      <c r="BD46" s="2"/>
      <c r="BE46" s="2"/>
      <c r="BF46" s="2"/>
      <c r="BG46" s="2"/>
      <c r="BH46" s="2"/>
      <c r="BI46" s="2"/>
      <c r="BJ46" s="2"/>
      <c r="BK46" s="2"/>
      <c r="BL46" s="2"/>
      <c r="BM46" s="2"/>
      <c r="BN46" s="2"/>
      <c r="BO46" s="2"/>
      <c r="BP46" s="2"/>
      <c r="BQ46" s="2"/>
      <c r="BR46" s="2"/>
      <c r="BS46" s="2"/>
      <c r="BT46" s="2"/>
      <c r="BU46" s="2"/>
      <c r="BV46"/>
      <c r="BW46"/>
      <c r="BX46"/>
      <c r="BY46"/>
      <c r="BZ46"/>
      <c r="CA46"/>
      <c r="CB46"/>
      <c r="CC46"/>
      <c r="CD46"/>
      <c r="CE46"/>
      <c r="CF46"/>
      <c r="CG46"/>
    </row>
    <row r="47" spans="1:85" s="70" customFormat="1" x14ac:dyDescent="0.3">
      <c r="A47" s="70" t="s">
        <v>458</v>
      </c>
      <c r="B47" s="71">
        <v>45332.32708333333</v>
      </c>
      <c r="C47" s="70">
        <v>195</v>
      </c>
      <c r="D47" s="70">
        <f t="shared" si="0"/>
        <v>1106</v>
      </c>
      <c r="E47" s="70" t="s">
        <v>460</v>
      </c>
      <c r="F47" s="72">
        <v>10.9</v>
      </c>
      <c r="G47" s="72">
        <v>0</v>
      </c>
      <c r="H47" s="72">
        <v>1.29</v>
      </c>
      <c r="I47" s="70">
        <v>66360</v>
      </c>
      <c r="J47" s="70">
        <v>66479.634999999995</v>
      </c>
      <c r="K47" s="70">
        <f t="shared" si="3"/>
        <v>67919.999999483116</v>
      </c>
      <c r="L47" s="70">
        <f t="shared" si="4"/>
        <v>1559.999999483116</v>
      </c>
      <c r="M47" s="73"/>
      <c r="N47" s="70">
        <v>6.1509317807778296E-3</v>
      </c>
      <c r="O47" s="70">
        <v>2.6033057851239601E-2</v>
      </c>
      <c r="Q47" s="70">
        <v>6.7045156410478396E-2</v>
      </c>
      <c r="R47" s="70">
        <v>1.44825071526862E-3</v>
      </c>
      <c r="S47" s="70">
        <v>3.3582644628099102E-2</v>
      </c>
      <c r="T47" s="72">
        <v>1.7718206848745099E-4</v>
      </c>
      <c r="U47" s="72"/>
      <c r="V47" s="72">
        <f>(1000*S47/Q47)/$AE$140</f>
        <v>0.49603535655710579</v>
      </c>
      <c r="W47" s="72"/>
      <c r="X47" s="72">
        <f>S47-AVERAGE(S48:S50)</f>
        <v>1.7787242959722026E-2</v>
      </c>
      <c r="Y47" s="72">
        <f>T47+AVERAGE(S48:S50)</f>
        <v>1.5972583736864526E-2</v>
      </c>
      <c r="Z47" s="72"/>
      <c r="AA47" s="72">
        <f>(X47*1000)/Q47</f>
        <v>265.3024306606298</v>
      </c>
      <c r="AB47" s="72">
        <f>2*((1000*Y47/(2*Q47))^2+((R47/2)*1000*X47/(Q47^2))^2)^0.5</f>
        <v>238.30512494298162</v>
      </c>
      <c r="AC47" s="72">
        <f>AA47/$AE$140</f>
        <v>0.26272801029824683</v>
      </c>
      <c r="AD47" s="72">
        <f>2*(($AF$140*AA47/(2*$AE$140^2))^2+(AB47/($AE$140*2))^2)^0.5</f>
        <v>0.23600896722616704</v>
      </c>
      <c r="AE47" s="72">
        <f>SUM(AV$5:$AV47)</f>
        <v>6.0690966155575756</v>
      </c>
      <c r="AF47" s="72" cm="1">
        <f t="array" ref="AF47">2*SQRT(SUM((AW$5:$AW47/2)^2))</f>
        <v>4.4857900581595347E-2</v>
      </c>
      <c r="AG47" s="72">
        <f t="shared" si="13"/>
        <v>6.024602455718326</v>
      </c>
      <c r="AH47" s="72" cm="1">
        <f t="array" ref="AH47">2*SQRT(SUM((R$5:$R47/2)^2))</f>
        <v>3.2594424438197413E-2</v>
      </c>
      <c r="AI47" s="72">
        <f t="shared" si="14"/>
        <v>1.5467152370384845</v>
      </c>
      <c r="AJ47" s="72" cm="1">
        <f t="array" ref="AJ47">2*SQRT(SUM((T$5:$T47/2)^2))</f>
        <v>5.9251836580921629E-3</v>
      </c>
      <c r="AK47" s="73"/>
      <c r="AL47" s="72"/>
      <c r="AN47" s="72"/>
      <c r="AO47" s="72"/>
      <c r="AP47" s="72"/>
      <c r="AQ47" s="72">
        <f t="shared" si="10"/>
        <v>4.4596964009387227E-16</v>
      </c>
      <c r="AR47" s="72"/>
      <c r="AS47" s="72"/>
      <c r="AT47" s="72">
        <f>AT46*EXP(-AP46*D46*60)</f>
        <v>2.1161706643875533E-3</v>
      </c>
      <c r="AU47" s="72">
        <f>2*((((AU46/2)*EXP(-AP46*D46*60))^2+(AT46*EXP(-AP46*D46*60)*D46*60*AO46*AP46/AN46)^2)^0.5)</f>
        <v>4.0220993331389725E-4</v>
      </c>
      <c r="AV47" s="74">
        <f>Q47+AT48-AT47</f>
        <v>9.5647148256692044E-2</v>
      </c>
      <c r="AW47" s="74">
        <f>2*(((AU47/2)^2+(AU48/2)^2+(R47/2)^2)^(0.5))</f>
        <v>3.2294417173976387E-3</v>
      </c>
      <c r="AX47" s="75">
        <f>100*(AV47-Q47)/Q47</f>
        <v>42.660787710152142</v>
      </c>
      <c r="AY47" s="73"/>
      <c r="AZ47" s="72">
        <f t="shared" si="11"/>
        <v>311387894957.35785</v>
      </c>
      <c r="BA47" s="72">
        <f t="shared" si="12"/>
        <v>342662937842.04254</v>
      </c>
      <c r="BB47" s="72">
        <f>Q47*BD47</f>
        <v>7.3345908498363586E-3</v>
      </c>
      <c r="BC47" s="72">
        <f>AQ47*BA47*I47</f>
        <v>10.14095384229568</v>
      </c>
      <c r="BD47" s="72">
        <f>1/(BC47-1)</f>
        <v>0.1093977737173277</v>
      </c>
      <c r="BE47" s="72">
        <f>BG47*S47</f>
        <v>4.0877758151822369E-3</v>
      </c>
      <c r="BF47" s="72">
        <f>AQ47*AZ47*I47</f>
        <v>9.2153831683653511</v>
      </c>
      <c r="BG47" s="72">
        <f>1/(BF47-1)</f>
        <v>0.12172286788164187</v>
      </c>
      <c r="BH47" s="72">
        <f>Q47-BB43</f>
        <v>4.9883991870649902E-2</v>
      </c>
      <c r="BI47" s="72">
        <f>Q47+BB47</f>
        <v>7.4379747260314752E-2</v>
      </c>
      <c r="BJ47" s="72">
        <f>X47-BE43</f>
        <v>8.030459728931091E-3</v>
      </c>
      <c r="BK47" s="72">
        <f>X47+BE47</f>
        <v>2.1875018774904262E-2</v>
      </c>
      <c r="BL47" s="72">
        <f>BF47*1.29</f>
        <v>11.887844287191303</v>
      </c>
      <c r="BM47" s="72">
        <f>Q47 / (BL47-1)</f>
        <v>6.157798976731489E-3</v>
      </c>
      <c r="BN47" s="72">
        <f>(1000*(S47+BE47)/(Q47+BM47))/$AE$140</f>
        <v>0.50960889561876377</v>
      </c>
      <c r="BO47" s="72">
        <f>(1000*(S47-BE43)/(Q47-BM43))/$AE$140</f>
        <v>0.44642245631555177</v>
      </c>
      <c r="BP47" s="72">
        <f>(1000*(S47+BE47-BE43)/(Q47+BM47-BM43))/$AE$140</f>
        <v>0.46843765692190248</v>
      </c>
      <c r="BQ47" s="72">
        <f>MIN(BN47:BP47)</f>
        <v>0.44642245631555177</v>
      </c>
      <c r="BR47" s="29">
        <f>((1000*S47/Q47))/$AE$140</f>
        <v>0.49603535655710579</v>
      </c>
      <c r="BS47" s="72">
        <f>MAX(BN47:BP47)</f>
        <v>0.50960889561876377</v>
      </c>
      <c r="BT47" s="72"/>
    </row>
    <row r="48" spans="1:85" x14ac:dyDescent="0.3">
      <c r="B48" s="1">
        <v>45332.866666666669</v>
      </c>
      <c r="C48">
        <v>26</v>
      </c>
      <c r="D48" s="37">
        <f>K48/60</f>
        <v>777.00000000768341</v>
      </c>
      <c r="F48" s="2">
        <v>1.28</v>
      </c>
      <c r="G48" s="2">
        <v>0</v>
      </c>
      <c r="H48" s="2">
        <v>4.5199999999999997E-2</v>
      </c>
      <c r="I48">
        <f>D48*60</f>
        <v>46620.000000461005</v>
      </c>
      <c r="J48">
        <v>186.58199999999999</v>
      </c>
      <c r="K48">
        <f t="shared" si="3"/>
        <v>46620.000000461005</v>
      </c>
      <c r="L48">
        <f t="shared" si="4"/>
        <v>0</v>
      </c>
      <c r="M48" s="47"/>
      <c r="N48">
        <v>6.1885167058906001E-3</v>
      </c>
      <c r="O48">
        <v>2.6033057851239601E-2</v>
      </c>
      <c r="Q48">
        <v>7.9213013835399797E-3</v>
      </c>
      <c r="R48" s="2">
        <v>1.7186420137959199E-4</v>
      </c>
      <c r="S48">
        <v>1.17669421487603E-3</v>
      </c>
      <c r="T48" s="2">
        <v>6.4610474500057298E-6</v>
      </c>
      <c r="U48" s="2"/>
      <c r="X48" s="2"/>
      <c r="Y48" s="2"/>
      <c r="Z48" s="2"/>
      <c r="AA48" s="2"/>
      <c r="AE48" s="2">
        <f>SUM(AV$5:$AV48)</f>
        <v>6.0690966155575756</v>
      </c>
      <c r="AF48" s="2" cm="1">
        <f t="array" ref="AF48">2*SQRT(SUM((AW$5:$AW48/2)^2))</f>
        <v>4.4857900581595347E-2</v>
      </c>
      <c r="AG48" s="2">
        <f t="shared" si="13"/>
        <v>6.0325237571018659</v>
      </c>
      <c r="AH48" s="2" cm="1">
        <f t="array" ref="AH48">2*SQRT(SUM((R$5:$R48/2)^2))</f>
        <v>3.2594877538672802E-2</v>
      </c>
      <c r="AI48" s="2">
        <f t="shared" si="14"/>
        <v>1.5478919312533606</v>
      </c>
      <c r="AJ48" s="2" cm="1">
        <f t="array" ref="AJ48">2*SQRT(SUM((T$5:$T48/2)^2))</f>
        <v>5.9251871807780533E-3</v>
      </c>
      <c r="AK48" s="47"/>
      <c r="AL48" s="2">
        <f>'Fit Lambdas'!$U$2*(10000/(C48+273))+'Fit Lambdas'!$V$2</f>
        <v>22.056240807500409</v>
      </c>
      <c r="AM48">
        <f>'Fit Lambdas'!$V$4</f>
        <v>6.7480704157997479E-2</v>
      </c>
      <c r="AN48" s="2">
        <f t="shared" si="1"/>
        <v>3792308628.8822436</v>
      </c>
      <c r="AO48" s="2">
        <f t="shared" si="9"/>
        <v>255907656.66142374</v>
      </c>
      <c r="AP48" s="2">
        <f>AN48*(C48+273)*$C$145*$E$144</f>
        <v>1.0805237174997918E-6</v>
      </c>
      <c r="AQ48" s="2">
        <f t="shared" si="10"/>
        <v>2.8492504783775176E-16</v>
      </c>
      <c r="AR48" s="2">
        <f>Q48/(1-EXP(-D48*60*AP48))</f>
        <v>0.16124365172978278</v>
      </c>
      <c r="AS48" s="2">
        <f>2*SQRT(
((R48/2) * (1 / (1 - EXP(-D48 * 60 * AN48 * AQ48))))^2 +
(AO48 * (-Q48 * 60 * D48 * AQ48 * EXP(-D48 * 60 * AN48 * AQ48) / (1 - EXP(-D48 * 60 * AN48 * AQ48))^2))^2
)</f>
        <v>2.1504633316073087E-2</v>
      </c>
      <c r="AT48" s="2">
        <f>AT49+Q48</f>
        <v>3.0718162510601207E-2</v>
      </c>
      <c r="AU48" s="2">
        <f>AU49+R48</f>
        <v>2.8583370762273247E-3</v>
      </c>
      <c r="AV48" s="22"/>
      <c r="AW48" s="22"/>
      <c r="AX48" s="49"/>
      <c r="AY48" s="47"/>
      <c r="AZ48" s="2">
        <f t="shared" si="11"/>
        <v>15843245574.991554</v>
      </c>
      <c r="BA48" s="2">
        <f t="shared" si="12"/>
        <v>16840819425.918863</v>
      </c>
      <c r="BB48" s="2"/>
      <c r="BC48" s="2"/>
      <c r="BD48" s="2"/>
      <c r="BE48" s="2"/>
      <c r="BF48" s="2"/>
      <c r="BG48" s="2"/>
      <c r="BH48" s="2"/>
      <c r="BI48" s="2"/>
      <c r="BJ48" s="2"/>
      <c r="BK48" s="2"/>
      <c r="BL48" s="2"/>
      <c r="BM48" s="2"/>
      <c r="BN48" s="2"/>
      <c r="BO48" s="2"/>
      <c r="BP48" s="2"/>
      <c r="BQ48" s="2"/>
      <c r="BR48" s="2"/>
      <c r="BS48" s="2"/>
      <c r="BT48" s="2"/>
      <c r="BU48"/>
      <c r="BV48"/>
      <c r="BW48"/>
      <c r="BX48"/>
      <c r="BY48"/>
      <c r="BZ48"/>
      <c r="CA48"/>
      <c r="CB48"/>
      <c r="CC48"/>
      <c r="CD48"/>
      <c r="CE48"/>
      <c r="CF48"/>
      <c r="CG48"/>
    </row>
    <row r="49" spans="1:85" s="30" customFormat="1" x14ac:dyDescent="0.3">
      <c r="B49" s="31">
        <v>45332.993055555555</v>
      </c>
      <c r="C49" s="30">
        <v>95</v>
      </c>
      <c r="D49" s="30">
        <f t="shared" ref="D49:D80" si="15">I49/60</f>
        <v>150</v>
      </c>
      <c r="E49" s="30" t="s">
        <v>446</v>
      </c>
      <c r="F49" s="32">
        <v>0.94899999999999995</v>
      </c>
      <c r="G49" s="32">
        <v>0</v>
      </c>
      <c r="H49" s="32">
        <v>1.0900000000000001</v>
      </c>
      <c r="I49" s="30">
        <v>9000</v>
      </c>
      <c r="J49" s="30">
        <v>9128.5220000000008</v>
      </c>
      <c r="K49" s="30">
        <f t="shared" si="3"/>
        <v>10919.999999762513</v>
      </c>
      <c r="L49" s="30">
        <f t="shared" si="4"/>
        <v>1919.9999997625127</v>
      </c>
      <c r="M49" s="47"/>
      <c r="N49" s="30">
        <v>6.2004888099120902E-3</v>
      </c>
      <c r="O49" s="30">
        <v>2.6033057851239601E-2</v>
      </c>
      <c r="Q49" s="30">
        <v>5.8842638806065701E-3</v>
      </c>
      <c r="R49" s="32">
        <v>1.2811692649028901E-4</v>
      </c>
      <c r="S49" s="30">
        <v>2.8376033057851201E-2</v>
      </c>
      <c r="T49" s="32">
        <v>1.56973692678986E-4</v>
      </c>
      <c r="U49" s="32"/>
      <c r="X49" s="32"/>
      <c r="Y49" s="32"/>
      <c r="Z49" s="32"/>
      <c r="AA49" s="32"/>
      <c r="AE49" s="32">
        <f>SUM(AV$5:$AV49)</f>
        <v>6.0690966155575756</v>
      </c>
      <c r="AF49" s="32" cm="1">
        <f t="array" ref="AF49">2*SQRT(SUM((AW$5:$AW49/2)^2))</f>
        <v>4.4857900581595347E-2</v>
      </c>
      <c r="AG49" s="32">
        <f t="shared" si="13"/>
        <v>6.0384080209824722</v>
      </c>
      <c r="AH49" s="32" cm="1">
        <f t="array" ref="AH49">2*SQRT(SUM((R$5:$R49/2)^2))</f>
        <v>3.2595129324914943E-2</v>
      </c>
      <c r="AI49" s="32">
        <f t="shared" si="14"/>
        <v>1.5762679643112119</v>
      </c>
      <c r="AJ49" s="32" cm="1">
        <f t="array" ref="AJ49">2*SQRT(SUM((T$5:$T49/2)^2))</f>
        <v>5.9272661377273968E-3</v>
      </c>
      <c r="AK49" s="47"/>
      <c r="AL49" s="32">
        <f>'Fit Lambdas'!$U$2*(10000/(C49+273))+'Fit Lambdas'!$V$2</f>
        <v>25.272915712407681</v>
      </c>
      <c r="AM49" s="30">
        <f>'Fit Lambdas'!$V$4</f>
        <v>6.7480704157997479E-2</v>
      </c>
      <c r="AN49" s="32">
        <f t="shared" si="1"/>
        <v>94599280986.297607</v>
      </c>
      <c r="AO49" s="32">
        <f t="shared" si="9"/>
        <v>6383626093.7956247</v>
      </c>
      <c r="AP49" s="32">
        <f>AN49*(C49+273)*$C$145*$E$144</f>
        <v>3.3173790351308016E-5</v>
      </c>
      <c r="AQ49" s="32">
        <f t="shared" si="10"/>
        <v>3.5067698195415599E-16</v>
      </c>
      <c r="AR49" s="32">
        <f>Q49/(1-EXP(-D49*60*AP49))</f>
        <v>2.2796861127061228E-2</v>
      </c>
      <c r="AS49" s="32">
        <f>2*SQRT(
((R49/2) * (1 / (1 - EXP(-D49 * 60 * AN49 * AQ49))))^2 +
(AO49 * (-Q49 * 60 * D49 * AQ49 * EXP(-D49 * 60 * AN49 * AQ49) / (1 - EXP(-D49 * 60 * AN49 * AQ49))^2))^2
)</f>
        <v>2.6864728748477325E-3</v>
      </c>
      <c r="AT49" s="32" cm="1">
        <f t="array" ref="AT49:AU49">AR49:AS49</f>
        <v>2.2796861127061228E-2</v>
      </c>
      <c r="AU49" s="32">
        <v>2.6864728748477325E-3</v>
      </c>
      <c r="AV49" s="32"/>
      <c r="AW49" s="32"/>
      <c r="AX49" s="51"/>
      <c r="AY49" s="47"/>
      <c r="AZ49" s="32">
        <f t="shared" si="11"/>
        <v>74378450025.067627</v>
      </c>
      <c r="BA49" s="32">
        <f t="shared" si="12"/>
        <v>80496818032.103622</v>
      </c>
      <c r="BB49" s="32"/>
      <c r="BC49" s="32"/>
      <c r="BD49" s="32"/>
      <c r="BE49" s="32"/>
      <c r="BF49" s="32"/>
      <c r="BG49" s="32"/>
      <c r="BH49" s="32"/>
      <c r="BI49" s="32"/>
      <c r="BJ49" s="32"/>
      <c r="BK49" s="32"/>
      <c r="BL49" s="32"/>
      <c r="BM49" s="32"/>
      <c r="BN49" s="32"/>
      <c r="BO49" s="32"/>
      <c r="BP49" s="32"/>
      <c r="BQ49" s="32"/>
      <c r="BR49" s="32"/>
      <c r="BS49" s="32"/>
      <c r="BT49" s="32"/>
    </row>
    <row r="50" spans="1:85" x14ac:dyDescent="0.3">
      <c r="B50" s="1">
        <v>45333.140277777777</v>
      </c>
      <c r="C50">
        <v>95</v>
      </c>
      <c r="D50">
        <f t="shared" si="15"/>
        <v>150</v>
      </c>
      <c r="F50" s="2">
        <v>-8.7399999999999995E-3</v>
      </c>
      <c r="G50" s="2">
        <v>0</v>
      </c>
      <c r="H50" s="2">
        <v>0.68500000000000005</v>
      </c>
      <c r="I50">
        <v>9000</v>
      </c>
      <c r="J50">
        <v>9125.9959999999992</v>
      </c>
      <c r="K50">
        <f t="shared" si="3"/>
        <v>12719.99999997206</v>
      </c>
      <c r="L50">
        <f t="shared" si="4"/>
        <v>3719.9999999720603</v>
      </c>
      <c r="M50" s="47"/>
      <c r="N50">
        <v>6.2115001154924203E-3</v>
      </c>
      <c r="O50">
        <v>2.60342740619036E-2</v>
      </c>
      <c r="Q50" s="2">
        <v>-5.4288511009403798E-5</v>
      </c>
      <c r="R50" s="2">
        <v>-1.1919127212803099E-6</v>
      </c>
      <c r="S50">
        <v>1.7833477732403999E-2</v>
      </c>
      <c r="T50" s="2">
        <v>9.8885668615163302E-5</v>
      </c>
      <c r="U50" s="2"/>
      <c r="X50" s="2"/>
      <c r="Y50" s="2"/>
      <c r="Z50" s="2"/>
      <c r="AA50" s="2"/>
      <c r="AE50" s="2">
        <f>SUM(AV$5:$AV50)</f>
        <v>6.0690966155575756</v>
      </c>
      <c r="AF50" s="2" cm="1">
        <f t="array" ref="AF50">2*SQRT(SUM((AW$5:$AW50/2)^2))</f>
        <v>4.4857900581595347E-2</v>
      </c>
      <c r="AG50" s="2">
        <f t="shared" si="13"/>
        <v>6.0383537324714629</v>
      </c>
      <c r="AH50" s="2" cm="1">
        <f t="array" ref="AH50">2*SQRT(SUM((R$5:$R50/2)^2))</f>
        <v>3.2595129346707399E-2</v>
      </c>
      <c r="AI50" s="2">
        <f t="shared" si="14"/>
        <v>1.5941014420436159</v>
      </c>
      <c r="AJ50" s="2" cm="1">
        <f t="array" ref="AJ50">2*SQRT(SUM((T$5:$T50/2)^2))</f>
        <v>5.9280909442169759E-3</v>
      </c>
      <c r="AK50" s="47"/>
      <c r="AL50" s="2">
        <f>'Fit Lambdas'!$U$2*(10000/(C50+273))+'Fit Lambdas'!$V$2</f>
        <v>25.272915712407681</v>
      </c>
      <c r="AM50">
        <f>'Fit Lambdas'!$V$4</f>
        <v>6.7480704157997479E-2</v>
      </c>
      <c r="AN50" s="2">
        <f t="shared" si="1"/>
        <v>94599280986.297607</v>
      </c>
      <c r="AO50" s="2">
        <f t="shared" si="9"/>
        <v>6383626093.7956247</v>
      </c>
      <c r="AP50" s="2">
        <f>AN50*(C50+273)*$C$145*$E$144</f>
        <v>3.3173790351308016E-5</v>
      </c>
      <c r="AQ50" s="2">
        <f t="shared" si="10"/>
        <v>3.5067698195415599E-16</v>
      </c>
      <c r="AR50" s="2">
        <f>Q50/(1-EXP(-D50*60*AP50))</f>
        <v>-2.1032497375843994E-4</v>
      </c>
      <c r="AS50" s="2">
        <f>2*SQRT(
((R50/2) * (1 / (1 - EXP(-D50 * 60 * AN50 * AQ50))))^2 +
(AO50 * (-Q50 * 60 * D50 * AQ50 * EXP(-D50 * 60 * AN50 * AQ50) / (1 - EXP(-D50 * 60 * AN50 * AQ50))^2))^2
)</f>
        <v>2.4792647010116761E-5</v>
      </c>
      <c r="AT50" s="2">
        <f>AT49*EXP(-AP49*D49*60)</f>
        <v>1.691259724645466E-2</v>
      </c>
      <c r="AU50" s="2">
        <f>2*((((AU49/2)*EXP(-AP49*D49*60))^2+(AT49*EXP(-AP49*D49*60)*D49*60*AO49*AP49/AN49)^2)^0.5)</f>
        <v>2.1063389806092255E-3</v>
      </c>
      <c r="AV50" s="22"/>
      <c r="AW50" s="22"/>
      <c r="AX50" s="49"/>
      <c r="AY50" s="47"/>
      <c r="AZ50" s="2">
        <f t="shared" si="11"/>
        <v>74378450025.067627</v>
      </c>
      <c r="BA50" s="2">
        <f t="shared" si="12"/>
        <v>80496818032.103622</v>
      </c>
      <c r="BB50" s="2"/>
      <c r="BC50" s="2"/>
      <c r="BD50" s="2"/>
      <c r="BE50" s="2"/>
      <c r="BF50" s="2"/>
      <c r="BG50" s="2"/>
      <c r="BH50" s="2"/>
      <c r="BI50" s="2"/>
      <c r="BJ50" s="2"/>
      <c r="BK50" s="2"/>
      <c r="BL50" s="2"/>
      <c r="BM50" s="2"/>
      <c r="BN50" s="2"/>
      <c r="BO50" s="2"/>
      <c r="BP50" s="2"/>
      <c r="BQ50" s="2"/>
      <c r="BR50" s="2"/>
      <c r="BS50" s="2"/>
      <c r="BT50" s="2"/>
      <c r="BU50"/>
      <c r="BV50"/>
      <c r="BW50"/>
      <c r="BX50"/>
      <c r="BY50"/>
      <c r="BZ50"/>
      <c r="CA50"/>
      <c r="CB50"/>
      <c r="CC50"/>
      <c r="CD50"/>
      <c r="CE50"/>
      <c r="CF50"/>
      <c r="CG50"/>
    </row>
    <row r="51" spans="1:85" s="70" customFormat="1" x14ac:dyDescent="0.3">
      <c r="A51" s="70" t="s">
        <v>458</v>
      </c>
      <c r="B51" s="71">
        <v>45333.672222222223</v>
      </c>
      <c r="C51" s="70">
        <v>185</v>
      </c>
      <c r="D51" s="70">
        <f t="shared" si="15"/>
        <v>740</v>
      </c>
      <c r="E51" s="70" t="s">
        <v>460</v>
      </c>
      <c r="F51" s="72">
        <v>3.64</v>
      </c>
      <c r="G51" s="72">
        <v>0</v>
      </c>
      <c r="H51" s="72">
        <v>0.30399999999999999</v>
      </c>
      <c r="I51" s="70">
        <v>44400</v>
      </c>
      <c r="J51" s="70">
        <v>44525.35</v>
      </c>
      <c r="K51" s="70">
        <f t="shared" si="3"/>
        <v>45960.000000195578</v>
      </c>
      <c r="L51" s="70">
        <f t="shared" si="4"/>
        <v>1560.0000001955777</v>
      </c>
      <c r="M51" s="73"/>
      <c r="N51" s="70">
        <v>6.2303664921465902E-3</v>
      </c>
      <c r="O51" s="70">
        <v>2.6118202865730501E-2</v>
      </c>
      <c r="Q51" s="70">
        <v>2.2678534031413601E-2</v>
      </c>
      <c r="R51" s="70">
        <v>4.1845996469789599E-4</v>
      </c>
      <c r="S51" s="70">
        <v>7.9399336711820697E-3</v>
      </c>
      <c r="T51" s="72">
        <v>4.1864933422355398E-5</v>
      </c>
      <c r="U51" s="72"/>
      <c r="V51" s="72">
        <f>(1000*S51/Q51)/$AE$140</f>
        <v>0.34671054007806817</v>
      </c>
      <c r="W51" s="72"/>
      <c r="X51" s="72">
        <f>S51-AVERAGE(S52:S54)</f>
        <v>1.9794859099880515E-3</v>
      </c>
      <c r="Y51" s="72">
        <f>T51+AVERAGE(S52:S54)</f>
        <v>6.0023126946163732E-3</v>
      </c>
      <c r="Z51" s="72"/>
      <c r="AA51" s="72">
        <f>(X51*1000)/Q51</f>
        <v>87.284562011200947</v>
      </c>
      <c r="AB51" s="72">
        <f>2*((1000*Y51/(2*Q51))^2+((R51/2)*1000*X51/(Q51^2))^2)^0.5</f>
        <v>264.67424287581741</v>
      </c>
      <c r="AC51" s="72">
        <f>AA51/$AE$140</f>
        <v>8.6437577107203747E-2</v>
      </c>
      <c r="AD51" s="72">
        <f>2*(($AF$140*AA51/(2*$AE$140^2))^2+(AB51/($AE$140*2))^2)^0.5</f>
        <v>0.26210750574052621</v>
      </c>
      <c r="AE51" s="72">
        <f>SUM(AV$5:$AV51)</f>
        <v>6.0882467791225592</v>
      </c>
      <c r="AF51" s="72" cm="1">
        <f t="array" ref="AF51">2*SQRT(SUM((AW$5:$AW51/2)^2))</f>
        <v>4.4902315351646002E-2</v>
      </c>
      <c r="AG51" s="72">
        <f t="shared" si="13"/>
        <v>6.0610322665028766</v>
      </c>
      <c r="AH51" s="72" cm="1">
        <f t="array" ref="AH51">2*SQRT(SUM((R$5:$R51/2)^2))</f>
        <v>3.2597815354263246E-2</v>
      </c>
      <c r="AI51" s="72">
        <f t="shared" si="14"/>
        <v>1.602041375714798</v>
      </c>
      <c r="AJ51" s="72" cm="1">
        <f t="array" ref="AJ51">2*SQRT(SUM((T$5:$T51/2)^2))</f>
        <v>5.9282387701203275E-3</v>
      </c>
      <c r="AK51" s="73"/>
      <c r="AL51" s="72"/>
      <c r="AN51" s="72"/>
      <c r="AO51" s="72"/>
      <c r="AP51" s="72"/>
      <c r="AQ51" s="72">
        <f t="shared" si="10"/>
        <v>4.3644037427990068E-16</v>
      </c>
      <c r="AR51" s="72"/>
      <c r="AS51" s="72"/>
      <c r="AT51" s="72">
        <f>AT50*EXP(-AP50*D50*60)</f>
        <v>1.2547163577763086E-2</v>
      </c>
      <c r="AU51" s="72">
        <f>2*((((AU50/2)*EXP(-AP50*D50*60))^2+(AT50*EXP(-AP50*D50*60)*D50*60*AO50*AP50/AN50)^2)^0.5)</f>
        <v>1.6424097579863276E-3</v>
      </c>
      <c r="AV51" s="74">
        <f>Q51+AT52-AT51</f>
        <v>1.9150163564983974E-2</v>
      </c>
      <c r="AW51" s="74">
        <f>2*(((AU51/2)^2+(AU52/2)^2+(R51/2)^2)^(0.5))</f>
        <v>1.996667060471457E-3</v>
      </c>
      <c r="AX51" s="75">
        <f>100*(AV51-Q51)/Q51</f>
        <v>-15.558194641427164</v>
      </c>
      <c r="AY51" s="73"/>
      <c r="AZ51" s="72">
        <f t="shared" si="11"/>
        <v>277546730471.91608</v>
      </c>
      <c r="BA51" s="72">
        <f t="shared" si="12"/>
        <v>305014363640.75323</v>
      </c>
      <c r="BB51" s="72">
        <f>Q51*BD51</f>
        <v>4.6183250516809334E-3</v>
      </c>
      <c r="BC51" s="72">
        <f>AQ51*BA51*I51</f>
        <v>5.910553886448354</v>
      </c>
      <c r="BD51" s="72">
        <f>1/(BC51-1)</f>
        <v>0.20364301525326869</v>
      </c>
      <c r="BE51" s="72">
        <f>BG51*S51</f>
        <v>1.8134793264172192E-3</v>
      </c>
      <c r="BF51" s="72">
        <f>AQ51*AZ51*I51</f>
        <v>5.3782873923732639</v>
      </c>
      <c r="BG51" s="72">
        <f>1/(BF51-1)</f>
        <v>0.2283998080486779</v>
      </c>
      <c r="BH51" s="72">
        <f>Q51-BB47</f>
        <v>1.5343943181577242E-2</v>
      </c>
      <c r="BI51" s="72">
        <f>Q51+BB51</f>
        <v>2.7296859083094534E-2</v>
      </c>
      <c r="BJ51" s="72">
        <f>X51-BE47</f>
        <v>-2.1082899051941854E-3</v>
      </c>
      <c r="BK51" s="72">
        <f>X51+BE51</f>
        <v>3.7929652364052709E-3</v>
      </c>
      <c r="BL51" s="72">
        <f>BF51*1.29</f>
        <v>6.9379907361615105</v>
      </c>
      <c r="BM51" s="72">
        <f>Q51 / (BL51-1)</f>
        <v>3.8192269134582151E-3</v>
      </c>
      <c r="BN51" s="72">
        <f>(1000*(S51+BE51)/(Q51+BM51))/$AE$140</f>
        <v>0.36451263312664373</v>
      </c>
      <c r="BO51" s="72">
        <f>(1000*(S51-BE47)/(Q51-BM47))/$AE$140</f>
        <v>0.23090846649235675</v>
      </c>
      <c r="BP51" s="72">
        <f>(1000*(S51+BE51-BE47)/(Q51+BM51-BM47))/$AE$140</f>
        <v>0.27584414549824543</v>
      </c>
      <c r="BQ51" s="72">
        <f>MIN(BN51:BP51)</f>
        <v>0.23090846649235675</v>
      </c>
      <c r="BR51" s="29">
        <f>((1000*S51/Q51))/$AE$140</f>
        <v>0.34671054007806817</v>
      </c>
      <c r="BS51" s="72">
        <f>MAX(BN51:BP51)</f>
        <v>0.36451263312664373</v>
      </c>
      <c r="BT51" s="72"/>
    </row>
    <row r="52" spans="1:85" s="30" customFormat="1" x14ac:dyDescent="0.3">
      <c r="B52" s="31">
        <v>45333.794444444444</v>
      </c>
      <c r="C52" s="30">
        <v>95</v>
      </c>
      <c r="D52" s="30">
        <f t="shared" si="15"/>
        <v>150</v>
      </c>
      <c r="E52" s="30" t="s">
        <v>446</v>
      </c>
      <c r="F52" s="32">
        <v>0.373</v>
      </c>
      <c r="G52" s="32">
        <v>0</v>
      </c>
      <c r="H52" s="32">
        <v>3.56E-2</v>
      </c>
      <c r="I52" s="30">
        <v>9000</v>
      </c>
      <c r="J52" s="30">
        <v>9127.4410000000007</v>
      </c>
      <c r="K52" s="30">
        <f t="shared" si="3"/>
        <v>10559.999999846332</v>
      </c>
      <c r="L52" s="30">
        <f t="shared" si="4"/>
        <v>1559.9999998463318</v>
      </c>
      <c r="M52" s="47"/>
      <c r="N52" s="30">
        <v>6.2410358819005897E-3</v>
      </c>
      <c r="O52" s="30">
        <v>2.6119402985074602E-2</v>
      </c>
      <c r="Q52" s="30">
        <v>2.3279063839489202E-3</v>
      </c>
      <c r="R52" s="32">
        <v>3.9191053589740702E-5</v>
      </c>
      <c r="S52" s="30">
        <v>9.29850746268656E-4</v>
      </c>
      <c r="T52" s="32">
        <v>4.6911004159342199E-6</v>
      </c>
      <c r="U52" s="32"/>
      <c r="X52" s="32"/>
      <c r="Y52" s="32"/>
      <c r="Z52" s="32"/>
      <c r="AA52" s="32"/>
      <c r="AE52" s="32">
        <f>SUM(AV$5:$AV52)</f>
        <v>6.0882467791225592</v>
      </c>
      <c r="AF52" s="32" cm="1">
        <f t="array" ref="AF52">2*SQRT(SUM((AW$5:$AW52/2)^2))</f>
        <v>4.4902315351646002E-2</v>
      </c>
      <c r="AG52" s="32">
        <f t="shared" si="13"/>
        <v>6.0633601728868252</v>
      </c>
      <c r="AH52" s="32" cm="1">
        <f t="array" ref="AH52">2*SQRT(SUM((R$5:$R52/2)^2))</f>
        <v>3.2597838913175248E-2</v>
      </c>
      <c r="AI52" s="32">
        <f t="shared" si="14"/>
        <v>1.6029712264610667</v>
      </c>
      <c r="AJ52" s="32" cm="1">
        <f t="array" ref="AJ52">2*SQRT(SUM((T$5:$T52/2)^2))</f>
        <v>5.9282406261875779E-3</v>
      </c>
      <c r="AK52" s="47"/>
      <c r="AL52" s="32">
        <f>'Fit Lambdas'!$U$2*(10000/(C52+273))+'Fit Lambdas'!$V$2</f>
        <v>25.272915712407681</v>
      </c>
      <c r="AM52" s="30">
        <f>'Fit Lambdas'!$V$4</f>
        <v>6.7480704157997479E-2</v>
      </c>
      <c r="AN52" s="32">
        <f t="shared" si="1"/>
        <v>94599280986.297607</v>
      </c>
      <c r="AO52" s="32">
        <f t="shared" si="9"/>
        <v>6383626093.7956247</v>
      </c>
      <c r="AP52" s="32">
        <f>AN52*(C52+273)*$C$145*$E$144</f>
        <v>3.3173790351308016E-5</v>
      </c>
      <c r="AQ52" s="32">
        <f t="shared" si="10"/>
        <v>3.5067698195415599E-16</v>
      </c>
      <c r="AR52" s="32">
        <f>Q52/(1-EXP(-D52*60*AP52))</f>
        <v>9.018793111333457E-3</v>
      </c>
      <c r="AS52" s="32">
        <f>2*SQRT(
((R52/2) * (1 / (1 - EXP(-D52 * 60 * AN52 * AQ52))))^2 +
(AO52 * (-Q52 * 60 * D52 * AQ52 * EXP(-D52 * 60 * AN52 * AQ52) / (1 - EXP(-D52 * 60 * AN52 * AQ52))^2))^2
)</f>
        <v>1.0554907840374817E-3</v>
      </c>
      <c r="AT52" s="32" cm="1">
        <f t="array" ref="AT52:AU52">AR52:AS52</f>
        <v>9.018793111333457E-3</v>
      </c>
      <c r="AU52" s="32">
        <v>1.0554907840374817E-3</v>
      </c>
      <c r="AV52" s="24"/>
      <c r="AW52" s="24"/>
      <c r="AX52" s="51"/>
      <c r="AY52" s="47"/>
      <c r="AZ52" s="32">
        <f t="shared" si="11"/>
        <v>74378450025.067627</v>
      </c>
      <c r="BA52" s="32">
        <f t="shared" si="12"/>
        <v>80496818032.103622</v>
      </c>
      <c r="BB52" s="32"/>
      <c r="BC52" s="32"/>
      <c r="BD52" s="32"/>
      <c r="BE52" s="32"/>
      <c r="BF52" s="32"/>
      <c r="BG52" s="32"/>
      <c r="BH52" s="32"/>
      <c r="BI52" s="32"/>
      <c r="BJ52" s="32"/>
      <c r="BK52" s="32"/>
      <c r="BL52" s="32"/>
      <c r="BM52" s="32"/>
      <c r="BN52" s="32"/>
      <c r="BO52" s="32"/>
      <c r="BP52" s="32"/>
      <c r="BQ52" s="32"/>
      <c r="BR52" s="32"/>
      <c r="BS52" s="32"/>
      <c r="BT52" s="32"/>
      <c r="BU52" s="32"/>
    </row>
    <row r="53" spans="1:85" x14ac:dyDescent="0.3">
      <c r="B53" s="1">
        <v>45333.916666666664</v>
      </c>
      <c r="C53">
        <v>95</v>
      </c>
      <c r="D53">
        <f t="shared" si="15"/>
        <v>150</v>
      </c>
      <c r="F53" s="2">
        <v>0</v>
      </c>
      <c r="G53" s="2">
        <v>0</v>
      </c>
      <c r="H53" s="2">
        <v>0.26400000000000001</v>
      </c>
      <c r="I53">
        <v>9000</v>
      </c>
      <c r="J53">
        <v>9128.2530000000006</v>
      </c>
      <c r="K53">
        <f t="shared" si="3"/>
        <v>10559.999999846332</v>
      </c>
      <c r="L53">
        <f t="shared" si="4"/>
        <v>1559.9999998463318</v>
      </c>
      <c r="M53" s="47"/>
      <c r="N53">
        <v>6.2583606300620001E-3</v>
      </c>
      <c r="O53">
        <v>2.6119402985074602E-2</v>
      </c>
      <c r="Q53">
        <v>0</v>
      </c>
      <c r="R53">
        <v>0</v>
      </c>
      <c r="S53">
        <v>6.8955223880597001E-3</v>
      </c>
      <c r="T53" s="2">
        <v>3.3284447537149201E-5</v>
      </c>
      <c r="U53" s="2"/>
      <c r="X53" s="2"/>
      <c r="Y53" s="2"/>
      <c r="Z53" s="2"/>
      <c r="AA53" s="2"/>
      <c r="AE53" s="2">
        <f>SUM(AV$5:$AV53)</f>
        <v>6.0882467791225592</v>
      </c>
      <c r="AF53" s="2" cm="1">
        <f t="array" ref="AF53">2*SQRT(SUM((AW$5:$AW53/2)^2))</f>
        <v>4.4902315351646002E-2</v>
      </c>
      <c r="AG53" s="2">
        <f t="shared" si="13"/>
        <v>6.0633601728868252</v>
      </c>
      <c r="AH53" s="2" cm="1">
        <f t="array" ref="AH53">2*SQRT(SUM((R$5:$R53/2)^2))</f>
        <v>3.2597838913175248E-2</v>
      </c>
      <c r="AI53" s="2">
        <f t="shared" si="14"/>
        <v>1.6098667488491265</v>
      </c>
      <c r="AJ53" s="2" cm="1">
        <f t="array" ref="AJ53">2*SQRT(SUM((T$5:$T53/2)^2))</f>
        <v>5.92833406417256E-3</v>
      </c>
      <c r="AK53" s="47"/>
      <c r="AL53" s="2">
        <f>'Fit Lambdas'!$U$2*(10000/(C53+273))+'Fit Lambdas'!$V$2</f>
        <v>25.272915712407681</v>
      </c>
      <c r="AM53">
        <f>'Fit Lambdas'!$V$4</f>
        <v>6.7480704157997479E-2</v>
      </c>
      <c r="AN53" s="2">
        <f t="shared" si="1"/>
        <v>94599280986.297607</v>
      </c>
      <c r="AO53" s="2">
        <f t="shared" si="9"/>
        <v>6383626093.7956247</v>
      </c>
      <c r="AP53" s="2">
        <f>AN53*(C53+273)*$C$145*$E$144</f>
        <v>3.3173790351308016E-5</v>
      </c>
      <c r="AQ53" s="2">
        <f t="shared" si="10"/>
        <v>3.5067698195415599E-16</v>
      </c>
      <c r="AR53" s="2">
        <f>Q53/(1-EXP(-D53*60*AP53))</f>
        <v>0</v>
      </c>
      <c r="AS53" s="2">
        <f>2*SQRT(
((R53/2) * (1 / (1 - EXP(-D53 * 60 * AN53 * AQ53))))^2 +
(AO53 * (-Q53 * 60 * D53 * AQ53 * EXP(-D53 * 60 * AN53 * AQ53) / (1 - EXP(-D53 * 60 * AN53 * AQ53))^2))^2
)</f>
        <v>0</v>
      </c>
      <c r="AT53" s="2">
        <f>AT52*EXP(-AP52*D52*60)</f>
        <v>6.6908867273845372E-3</v>
      </c>
      <c r="AU53" s="2">
        <f>2*((((AU52/2)*EXP(-AP52*D52*60))^2+(AT52*EXP(-AP52*D52*60)*D52*60*AO52*AP52/AN52)^2)^0.5)</f>
        <v>8.2816406702509407E-4</v>
      </c>
      <c r="AV53" s="22"/>
      <c r="AW53" s="22"/>
      <c r="AX53" s="49"/>
      <c r="AY53" s="47"/>
      <c r="AZ53" s="2">
        <f t="shared" si="11"/>
        <v>74378450025.067627</v>
      </c>
      <c r="BA53" s="2">
        <f t="shared" si="12"/>
        <v>80496818032.103622</v>
      </c>
      <c r="BB53" s="2"/>
      <c r="BC53" s="2"/>
      <c r="BD53" s="2"/>
      <c r="BE53" s="2"/>
      <c r="BF53" s="2"/>
      <c r="BG53" s="2"/>
      <c r="BH53" s="2"/>
      <c r="BI53" s="2"/>
      <c r="BJ53" s="2"/>
      <c r="BK53" s="2"/>
      <c r="BL53" s="2"/>
      <c r="BM53" s="2"/>
      <c r="BN53" s="2"/>
      <c r="BO53" s="2"/>
      <c r="BP53" s="2"/>
      <c r="BQ53" s="2"/>
      <c r="BR53" s="2"/>
      <c r="BS53" s="2"/>
      <c r="BT53" s="2"/>
      <c r="BU53" s="2"/>
      <c r="BV53"/>
      <c r="BW53"/>
      <c r="BX53"/>
      <c r="BY53"/>
      <c r="BZ53"/>
      <c r="CA53"/>
      <c r="CB53"/>
      <c r="CC53"/>
      <c r="CD53"/>
      <c r="CE53"/>
      <c r="CF53"/>
      <c r="CG53"/>
    </row>
    <row r="54" spans="1:85" x14ac:dyDescent="0.3">
      <c r="B54" s="1">
        <v>45334.041666666664</v>
      </c>
      <c r="C54">
        <v>95</v>
      </c>
      <c r="D54">
        <f t="shared" si="15"/>
        <v>150</v>
      </c>
      <c r="F54" s="2">
        <v>0</v>
      </c>
      <c r="G54" s="2">
        <v>0</v>
      </c>
      <c r="H54" s="2">
        <v>0.38500000000000001</v>
      </c>
      <c r="I54">
        <v>9000</v>
      </c>
      <c r="J54">
        <v>9130.3619999999992</v>
      </c>
      <c r="K54">
        <f t="shared" si="3"/>
        <v>10800</v>
      </c>
      <c r="L54">
        <f t="shared" si="4"/>
        <v>1800</v>
      </c>
      <c r="M54" s="47"/>
      <c r="N54">
        <v>6.2631578947368403E-3</v>
      </c>
      <c r="O54">
        <v>2.6119402985074602E-2</v>
      </c>
      <c r="Q54">
        <v>0</v>
      </c>
      <c r="R54">
        <v>0</v>
      </c>
      <c r="S54">
        <v>1.0055970149253701E-2</v>
      </c>
      <c r="T54" s="2">
        <v>4.5970617241161898E-5</v>
      </c>
      <c r="U54" s="2"/>
      <c r="X54" s="2"/>
      <c r="Y54" s="2"/>
      <c r="Z54" s="2"/>
      <c r="AA54" s="2"/>
      <c r="AE54" s="2">
        <f>SUM(AV$5:$AV54)</f>
        <v>6.0882467791225592</v>
      </c>
      <c r="AF54" s="2" cm="1">
        <f t="array" ref="AF54">2*SQRT(SUM((AW$5:$AW54/2)^2))</f>
        <v>4.4902315351646002E-2</v>
      </c>
      <c r="AG54" s="2">
        <f t="shared" si="13"/>
        <v>6.0633601728868252</v>
      </c>
      <c r="AH54" s="2" cm="1">
        <f t="array" ref="AH54">2*SQRT(SUM((R$5:$R54/2)^2))</f>
        <v>3.2597838913175248E-2</v>
      </c>
      <c r="AI54" s="2">
        <f t="shared" si="14"/>
        <v>1.6199227189983803</v>
      </c>
      <c r="AJ54" s="2" cm="1">
        <f t="array" ref="AJ54">2*SQRT(SUM((T$5:$T54/2)^2))</f>
        <v>5.9285122985516595E-3</v>
      </c>
      <c r="AK54" s="47"/>
      <c r="AL54" s="2">
        <f>'Fit Lambdas'!$U$2*(10000/(C54+273))+'Fit Lambdas'!$V$2</f>
        <v>25.272915712407681</v>
      </c>
      <c r="AM54">
        <f>'Fit Lambdas'!$V$4</f>
        <v>6.7480704157997479E-2</v>
      </c>
      <c r="AN54" s="2">
        <f t="shared" si="1"/>
        <v>94599280986.297607</v>
      </c>
      <c r="AO54" s="2">
        <f t="shared" si="9"/>
        <v>6383626093.7956247</v>
      </c>
      <c r="AP54" s="2">
        <f>AN54*(C54+273)*$C$145*$E$144</f>
        <v>3.3173790351308016E-5</v>
      </c>
      <c r="AQ54" s="2">
        <f t="shared" si="10"/>
        <v>3.5067698195415599E-16</v>
      </c>
      <c r="AR54" s="2">
        <f>Q54/(1-EXP(-D54*60*AP54))</f>
        <v>0</v>
      </c>
      <c r="AS54" s="2">
        <f>2*SQRT(
((R54/2) * (1 / (1 - EXP(-D54 * 60 * AN54 * AQ54))))^2 +
(AO54 * (-Q54 * 60 * D54 * AQ54 * EXP(-D54 * 60 * AN54 * AQ54) / (1 - EXP(-D54 * 60 * AN54 * AQ54))^2))^2
)</f>
        <v>0</v>
      </c>
      <c r="AT54" s="2">
        <f>AT53*EXP(-AP53*D53*60)</f>
        <v>4.9638532169490558E-3</v>
      </c>
      <c r="AU54" s="2">
        <f>2*((((AU53/2)*EXP(-AP53*D53*60))^2+(AT53*EXP(-AP53*D53*60)*D53*60*AO53*AP53/AN53)^2)^0.5)</f>
        <v>6.4613834762803377E-4</v>
      </c>
      <c r="AV54" s="22"/>
      <c r="AW54" s="22"/>
      <c r="AX54" s="49"/>
      <c r="AY54" s="47"/>
      <c r="AZ54" s="2">
        <f t="shared" si="11"/>
        <v>74378450025.067627</v>
      </c>
      <c r="BA54" s="2">
        <f t="shared" si="12"/>
        <v>80496818032.103622</v>
      </c>
      <c r="BB54" s="2"/>
      <c r="BC54" s="2"/>
      <c r="BD54" s="2"/>
      <c r="BE54" s="2"/>
      <c r="BF54" s="2"/>
      <c r="BG54" s="2"/>
      <c r="BH54" s="2"/>
      <c r="BI54" s="2"/>
      <c r="BJ54" s="2"/>
      <c r="BK54" s="2"/>
      <c r="BL54" s="2"/>
      <c r="BM54" s="2"/>
      <c r="BN54" s="2"/>
      <c r="BO54" s="2"/>
      <c r="BP54" s="2"/>
      <c r="BQ54" s="2"/>
      <c r="BR54" s="2"/>
      <c r="BS54" s="2"/>
      <c r="BT54" s="2"/>
      <c r="BU54" s="2"/>
      <c r="BV54"/>
      <c r="BW54"/>
      <c r="BX54"/>
      <c r="BY54"/>
      <c r="BZ54"/>
      <c r="CA54"/>
      <c r="CB54"/>
      <c r="CC54"/>
      <c r="CD54"/>
      <c r="CE54"/>
      <c r="CF54"/>
      <c r="CG54"/>
    </row>
    <row r="55" spans="1:85" s="70" customFormat="1" x14ac:dyDescent="0.3">
      <c r="A55" s="70" t="s">
        <v>458</v>
      </c>
      <c r="B55" s="71">
        <v>45334.70416666667</v>
      </c>
      <c r="C55" s="70">
        <v>175</v>
      </c>
      <c r="D55" s="70">
        <f t="shared" si="15"/>
        <v>920</v>
      </c>
      <c r="E55" s="70" t="s">
        <v>460</v>
      </c>
      <c r="F55" s="72">
        <v>2.89</v>
      </c>
      <c r="G55" s="72">
        <v>0</v>
      </c>
      <c r="H55" s="72">
        <v>0.58099999999999996</v>
      </c>
      <c r="I55" s="70">
        <v>55200</v>
      </c>
      <c r="J55" s="70">
        <v>55330.002</v>
      </c>
      <c r="K55" s="70">
        <f t="shared" si="3"/>
        <v>57240.000000502914</v>
      </c>
      <c r="L55" s="70">
        <f t="shared" si="4"/>
        <v>2040.0000005029142</v>
      </c>
      <c r="M55" s="73"/>
      <c r="N55" s="70">
        <v>6.23457148623556E-3</v>
      </c>
      <c r="O55" s="70">
        <v>2.6147739799487899E-2</v>
      </c>
      <c r="Q55" s="70">
        <v>1.80179115952207E-2</v>
      </c>
      <c r="R55" s="70">
        <v>3.2107528292879398E-4</v>
      </c>
      <c r="S55" s="70">
        <v>1.5191836823502501E-2</v>
      </c>
      <c r="T55" s="72">
        <v>6.3860130088477996E-5</v>
      </c>
      <c r="U55" s="72"/>
      <c r="V55" s="72">
        <f>(1000*S55/Q55)/$AE$140</f>
        <v>0.83497021401152227</v>
      </c>
      <c r="W55" s="72"/>
      <c r="X55" s="72">
        <f>S55-AVERAGE(S56:S58)</f>
        <v>1.2228067032370183E-2</v>
      </c>
      <c r="Y55" s="72">
        <f>T55+AVERAGE(S56:S58)</f>
        <v>3.027629921220795E-3</v>
      </c>
      <c r="Z55" s="72"/>
      <c r="AA55" s="72">
        <f>(X55*1000)/Q55</f>
        <v>678.66172878846362</v>
      </c>
      <c r="AB55" s="72">
        <f>2*((1000*Y55/(2*Q55))^2+((R55/2)*1000*X55/(Q55^2))^2)^0.5</f>
        <v>168.46908534646045</v>
      </c>
      <c r="AC55" s="72">
        <f>AA55/$AE$140</f>
        <v>0.67207618575588579</v>
      </c>
      <c r="AD55" s="72">
        <f>2*(($AF$140*AA55/(2*$AE$140^2))^2+(AB55/($AE$140*2))^2)^0.5</f>
        <v>0.16698501572442012</v>
      </c>
      <c r="AE55" s="72">
        <f>SUM(AV$5:$AV55)</f>
        <v>6.1071115475292128</v>
      </c>
      <c r="AF55" s="72" cm="1">
        <f t="array" ref="AF55">2*SQRT(SUM((AW$5:$AW55/2)^2))</f>
        <v>4.4908445359356161E-2</v>
      </c>
      <c r="AG55" s="72">
        <f t="shared" si="13"/>
        <v>6.0813780844820462</v>
      </c>
      <c r="AH55" s="72" cm="1">
        <f t="array" ref="AH55">2*SQRT(SUM((R$5:$R55/2)^2))</f>
        <v>3.2599420104453242E-2</v>
      </c>
      <c r="AI55" s="72">
        <f t="shared" si="14"/>
        <v>1.6351145558218827</v>
      </c>
      <c r="AJ55" s="72" cm="1">
        <f t="array" ref="AJ55">2*SQRT(SUM((T$5:$T55/2)^2))</f>
        <v>5.9288562295178983E-3</v>
      </c>
      <c r="AK55" s="73"/>
      <c r="AL55" s="72"/>
      <c r="AN55" s="72"/>
      <c r="AO55" s="72"/>
      <c r="AP55" s="72"/>
      <c r="AQ55" s="72">
        <f t="shared" si="10"/>
        <v>4.2691110846592899E-16</v>
      </c>
      <c r="AR55" s="72"/>
      <c r="AS55" s="72"/>
      <c r="AT55" s="72">
        <f>AT54*EXP(-AP54*D54*60)</f>
        <v>3.6825969058135863E-3</v>
      </c>
      <c r="AU55" s="72">
        <f>2*((((AU54/2)*EXP(-AP54*D54*60))^2+(AT54*EXP(-AP54*D54*60)*D54*60*AO54*AP54/AN54)^2)^0.5)</f>
        <v>5.0180094803284705E-4</v>
      </c>
      <c r="AV55" s="74">
        <f>Q55+AT56-AT55</f>
        <v>1.8864768406653305E-2</v>
      </c>
      <c r="AW55" s="74">
        <f>2*(((AU55/2)^2+(AU56/2)^2+(R55/2)^2)^(0.5))</f>
        <v>7.419842691148348E-4</v>
      </c>
      <c r="AX55" s="75">
        <f>100*(AV55-Q55)/Q55</f>
        <v>4.7000830643282558</v>
      </c>
      <c r="AY55" s="73"/>
      <c r="AZ55" s="72">
        <f t="shared" si="11"/>
        <v>246116028366.41577</v>
      </c>
      <c r="BA55" s="72">
        <f t="shared" si="12"/>
        <v>270095216980.86789</v>
      </c>
      <c r="BB55" s="72">
        <f>Q55*BD55</f>
        <v>3.3584635186452907E-3</v>
      </c>
      <c r="BC55" s="72">
        <f>AQ55*BA55*I55</f>
        <v>6.3649269956901646</v>
      </c>
      <c r="BD55" s="72">
        <f>1/(BC55-1)</f>
        <v>0.18639582622528419</v>
      </c>
      <c r="BE55" s="72">
        <f>BG55*S55</f>
        <v>3.1650678213308433E-3</v>
      </c>
      <c r="BF55" s="72">
        <f>AQ55*AZ55*I55</f>
        <v>5.7998455897588501</v>
      </c>
      <c r="BG55" s="72">
        <f>1/(BF55-1)</f>
        <v>0.20834003538231344</v>
      </c>
      <c r="BH55" s="72">
        <f>Q55-BB51</f>
        <v>1.3399586543539767E-2</v>
      </c>
      <c r="BI55" s="72">
        <f>Q55+BB55</f>
        <v>2.1376375113865989E-2</v>
      </c>
      <c r="BJ55" s="72">
        <f>X55-BE51</f>
        <v>1.0414587705952964E-2</v>
      </c>
      <c r="BK55" s="72">
        <f>X55+BE55</f>
        <v>1.5393134853701026E-2</v>
      </c>
      <c r="BL55" s="72">
        <f>BF55*1.29</f>
        <v>7.4818008107889167</v>
      </c>
      <c r="BM55" s="72">
        <f>Q55 / (BL55-1)</f>
        <v>2.7797694068645244E-3</v>
      </c>
      <c r="BN55" s="72">
        <f>(1000*(S55+BE55)/(Q55+BM55))/$AE$140</f>
        <v>0.8740769891586524</v>
      </c>
      <c r="BO55" s="72">
        <f>(1000*(S55-BE51)/(Q55-BM51))/$AE$140</f>
        <v>0.93308204005360473</v>
      </c>
      <c r="BP55" s="72">
        <f>(1000*(S55+BE55-BE51)/(Q55+BM55-BM51))/$AE$140</f>
        <v>0.96492251146666541</v>
      </c>
      <c r="BQ55" s="72">
        <f>MIN(BN55:BP55)</f>
        <v>0.8740769891586524</v>
      </c>
      <c r="BR55" s="29">
        <f>((1000*S55/Q55))/$AE$140</f>
        <v>0.83497021401152227</v>
      </c>
      <c r="BS55" s="72">
        <f>MAX(BN55:BP55)</f>
        <v>0.96492251146666541</v>
      </c>
      <c r="BT55" s="72"/>
      <c r="BU55" s="72"/>
    </row>
    <row r="56" spans="1:85" s="30" customFormat="1" x14ac:dyDescent="0.3">
      <c r="B56" s="31">
        <v>45334.826388888891</v>
      </c>
      <c r="C56" s="30">
        <v>115</v>
      </c>
      <c r="D56" s="30">
        <f t="shared" si="15"/>
        <v>150</v>
      </c>
      <c r="E56" s="30" t="s">
        <v>446</v>
      </c>
      <c r="F56" s="32">
        <v>0.34699999999999998</v>
      </c>
      <c r="G56" s="32">
        <v>0</v>
      </c>
      <c r="H56" s="32">
        <v>7.4200000000000002E-2</v>
      </c>
      <c r="I56" s="30">
        <v>9000</v>
      </c>
      <c r="J56" s="30">
        <v>9127.5220000000008</v>
      </c>
      <c r="K56" s="30">
        <f t="shared" si="3"/>
        <v>10559.999999846332</v>
      </c>
      <c r="L56" s="30">
        <f t="shared" si="4"/>
        <v>1559.9999998463318</v>
      </c>
      <c r="M56" s="47"/>
      <c r="N56" s="30">
        <v>6.2097822308045001E-3</v>
      </c>
      <c r="O56" s="30">
        <v>2.6120648038791199E-2</v>
      </c>
      <c r="Q56" s="30">
        <v>2.1547944340891598E-3</v>
      </c>
      <c r="R56" s="32">
        <v>3.80612337538873E-5</v>
      </c>
      <c r="S56" s="30">
        <v>1.9381520844783001E-3</v>
      </c>
      <c r="T56" s="32">
        <v>8.1504492003701294E-6</v>
      </c>
      <c r="U56" s="32"/>
      <c r="X56" s="32"/>
      <c r="Y56" s="32"/>
      <c r="Z56" s="32"/>
      <c r="AA56" s="32"/>
      <c r="AE56" s="32">
        <f>SUM(AV$5:$AV56)</f>
        <v>6.1071115475292128</v>
      </c>
      <c r="AF56" s="32" cm="1">
        <f t="array" ref="AF56">2*SQRT(SUM((AW$5:$AW56/2)^2))</f>
        <v>4.4908445359356161E-2</v>
      </c>
      <c r="AG56" s="32">
        <f t="shared" si="13"/>
        <v>6.0835328789161354</v>
      </c>
      <c r="AH56" s="32" cm="1">
        <f t="array" ref="AH56">2*SQRT(SUM((R$5:$R56/2)^2))</f>
        <v>3.2599442323514444E-2</v>
      </c>
      <c r="AI56" s="32">
        <f t="shared" si="14"/>
        <v>1.637052707906361</v>
      </c>
      <c r="AJ56" s="32" cm="1">
        <f t="array" ref="AJ56">2*SQRT(SUM((T$5:$T56/2)^2))</f>
        <v>5.928861831761249E-3</v>
      </c>
      <c r="AK56" s="47"/>
      <c r="AL56" s="32">
        <f>'Fit Lambdas'!$U$2*(10000/(C56+273))+'Fit Lambdas'!$V$2</f>
        <v>25.991416979826834</v>
      </c>
      <c r="AM56" s="30">
        <f>'Fit Lambdas'!$V$4</f>
        <v>6.7480704157997479E-2</v>
      </c>
      <c r="AN56" s="32">
        <f t="shared" si="1"/>
        <v>194056847187.76276</v>
      </c>
      <c r="AO56" s="32">
        <f t="shared" si="9"/>
        <v>13095092694.911144</v>
      </c>
      <c r="AP56" s="32">
        <f>AN56*(C56+273)*$C$145*$E$144</f>
        <v>7.1749708059090411E-5</v>
      </c>
      <c r="AQ56" s="32">
        <f t="shared" si="10"/>
        <v>3.6973551358209923E-16</v>
      </c>
      <c r="AR56" s="32">
        <f>Q56/(1-EXP(-D56*60*AP56))</f>
        <v>4.5294537172461905E-3</v>
      </c>
      <c r="AS56" s="32">
        <f>2*SQRT(
((R56/2) * (1 / (1 - EXP(-D56 * 60 * AN56 * AQ56))))^2 +
(AO56 * (-Q56 * 60 * D56 * AQ56 * EXP(-D56 * 60 * AN56 * AQ56) / (1 - EXP(-D56 * 60 * AN56 * AQ56))^2))^2
)</f>
        <v>4.4232016329736354E-4</v>
      </c>
      <c r="AT56" s="32" cm="1">
        <f t="array" ref="AT56:AU56">AR56:AS56</f>
        <v>4.5294537172461905E-3</v>
      </c>
      <c r="AU56" s="32">
        <v>4.4232016329736354E-4</v>
      </c>
      <c r="AV56" s="24"/>
      <c r="AW56" s="24"/>
      <c r="AX56" s="51"/>
      <c r="AY56" s="47"/>
      <c r="AZ56" s="32">
        <f t="shared" si="11"/>
        <v>105065839002.11293</v>
      </c>
      <c r="BA56" s="32">
        <f t="shared" si="12"/>
        <v>114166368820.14638</v>
      </c>
      <c r="BB56" s="32"/>
      <c r="BC56" s="32"/>
      <c r="BD56" s="32"/>
      <c r="BE56" s="32"/>
      <c r="BF56" s="32"/>
      <c r="BG56" s="32"/>
      <c r="BH56" s="32"/>
      <c r="BI56" s="32"/>
      <c r="BJ56" s="32"/>
      <c r="BK56" s="32"/>
      <c r="BL56" s="32"/>
      <c r="BM56" s="32"/>
      <c r="BN56" s="32"/>
      <c r="BO56" s="32"/>
      <c r="BP56" s="32"/>
      <c r="BQ56" s="32"/>
      <c r="BR56" s="32"/>
      <c r="BS56" s="32"/>
      <c r="BT56" s="32"/>
      <c r="BU56" s="32"/>
    </row>
    <row r="57" spans="1:85" x14ac:dyDescent="0.3">
      <c r="B57" s="1">
        <v>45334.947916666664</v>
      </c>
      <c r="C57">
        <v>115</v>
      </c>
      <c r="D57">
        <f t="shared" si="15"/>
        <v>150</v>
      </c>
      <c r="F57" s="2">
        <v>-3.9500000000000004E-3</v>
      </c>
      <c r="G57" s="2">
        <v>0</v>
      </c>
      <c r="H57" s="2">
        <v>0.126</v>
      </c>
      <c r="I57">
        <v>9000</v>
      </c>
      <c r="J57">
        <v>9123.8080000000009</v>
      </c>
      <c r="K57">
        <f t="shared" si="3"/>
        <v>10499.999999650754</v>
      </c>
      <c r="L57">
        <f t="shared" si="4"/>
        <v>1499.999999650754</v>
      </c>
      <c r="M57" s="47"/>
      <c r="N57">
        <v>6.2188139287797E-3</v>
      </c>
      <c r="O57">
        <v>2.6127463778327299E-2</v>
      </c>
      <c r="Q57" s="2">
        <v>-2.4564315018679799E-5</v>
      </c>
      <c r="R57" s="2">
        <v>-4.8146793960017803E-7</v>
      </c>
      <c r="S57">
        <v>3.29206043606924E-3</v>
      </c>
      <c r="T57" s="2">
        <v>1.4470161998891E-5</v>
      </c>
      <c r="U57" s="2"/>
      <c r="X57" s="2"/>
      <c r="Y57" s="2"/>
      <c r="Z57" s="2"/>
      <c r="AA57" s="2"/>
      <c r="AE57" s="2">
        <f>SUM(AV$5:$AV57)</f>
        <v>6.1071115475292128</v>
      </c>
      <c r="AF57" s="2" cm="1">
        <f t="array" ref="AF57">2*SQRT(SUM((AW$5:$AW57/2)^2))</f>
        <v>4.4908445359356161E-2</v>
      </c>
      <c r="AG57" s="2">
        <f t="shared" si="13"/>
        <v>6.0835083146011169</v>
      </c>
      <c r="AH57" s="2" cm="1">
        <f t="array" ref="AH57">2*SQRT(SUM((R$5:$R57/2)^2))</f>
        <v>3.2599442327069898E-2</v>
      </c>
      <c r="AI57" s="2">
        <f t="shared" si="14"/>
        <v>1.6403447683424304</v>
      </c>
      <c r="AJ57" s="2" cm="1">
        <f t="array" ref="AJ57">2*SQRT(SUM((T$5:$T57/2)^2))</f>
        <v>5.9288794898955093E-3</v>
      </c>
      <c r="AK57" s="47"/>
      <c r="AL57" s="2">
        <f>'Fit Lambdas'!$U$2*(10000/(C57+273))+'Fit Lambdas'!$V$2</f>
        <v>25.991416979826834</v>
      </c>
      <c r="AM57">
        <f>'Fit Lambdas'!$V$4</f>
        <v>6.7480704157997479E-2</v>
      </c>
      <c r="AN57" s="2">
        <f t="shared" si="1"/>
        <v>194056847187.76276</v>
      </c>
      <c r="AO57" s="2">
        <f t="shared" si="9"/>
        <v>13095092694.911144</v>
      </c>
      <c r="AP57" s="2">
        <f>AN57*(C57+273)*$C$145*$E$144</f>
        <v>7.1749708059090411E-5</v>
      </c>
      <c r="AQ57" s="2">
        <f t="shared" si="10"/>
        <v>3.6973551358209923E-16</v>
      </c>
      <c r="AR57" s="2">
        <f>Q57/(1-EXP(-D57*60*AP57))</f>
        <v>-5.1635054468663002E-5</v>
      </c>
      <c r="AS57" s="2">
        <f>2*SQRT(
((R57/2) * (1 / (1 - EXP(-D57 * 60 * AN57 * AQ57))))^2 +
(AO57 * (-Q57 * 60 * D57 * AQ57 * EXP(-D57 * 60 * AN57 * AQ57) / (1 - EXP(-D57 * 60 * AN57 * AQ57))^2))^2
)</f>
        <v>5.061424450583177E-6</v>
      </c>
      <c r="AT57" s="2">
        <f>AT56*EXP(-AP56*D56*60)</f>
        <v>2.3746592831570307E-3</v>
      </c>
      <c r="AU57" s="2">
        <f>2*((((AU56/2)*EXP(-AP56*D56*60))^2+(AT56*EXP(-AP56*D56*60)*D56*60*AO56*AP56/AN56)^2)^0.5)</f>
        <v>3.1081409545666446E-4</v>
      </c>
      <c r="AV57" s="22"/>
      <c r="AW57" s="22"/>
      <c r="AX57" s="49"/>
      <c r="AY57" s="47"/>
      <c r="AZ57" s="2">
        <f t="shared" si="11"/>
        <v>105065839002.11293</v>
      </c>
      <c r="BA57" s="2">
        <f t="shared" si="12"/>
        <v>114166368820.14638</v>
      </c>
      <c r="BB57" s="2"/>
      <c r="BC57" s="2"/>
      <c r="BD57" s="2"/>
      <c r="BE57" s="2"/>
      <c r="BF57" s="2"/>
      <c r="BG57" s="2"/>
      <c r="BH57" s="2"/>
      <c r="BI57" s="2"/>
      <c r="BJ57" s="2"/>
      <c r="BK57" s="2"/>
      <c r="BL57" s="2"/>
      <c r="BM57" s="2"/>
      <c r="BN57" s="2"/>
      <c r="BO57" s="2"/>
      <c r="BP57" s="2"/>
      <c r="BQ57" s="2"/>
      <c r="BR57" s="2"/>
      <c r="BS57" s="2"/>
      <c r="BT57" s="2"/>
      <c r="BU57" s="2"/>
      <c r="BV57"/>
      <c r="BW57"/>
      <c r="BX57"/>
      <c r="BY57"/>
      <c r="BZ57"/>
      <c r="CA57"/>
      <c r="CB57"/>
      <c r="CC57"/>
      <c r="CD57"/>
      <c r="CE57"/>
      <c r="CF57"/>
      <c r="CG57"/>
    </row>
    <row r="58" spans="1:85" x14ac:dyDescent="0.3">
      <c r="B58" s="1">
        <v>45335.070833333331</v>
      </c>
      <c r="C58">
        <v>115</v>
      </c>
      <c r="D58">
        <f t="shared" si="15"/>
        <v>150</v>
      </c>
      <c r="F58" s="2">
        <v>0.34599999999999997</v>
      </c>
      <c r="G58" s="2">
        <v>0</v>
      </c>
      <c r="H58" s="2">
        <v>0.14000000000000001</v>
      </c>
      <c r="I58">
        <v>9000</v>
      </c>
      <c r="J58">
        <v>9127.5169999999998</v>
      </c>
      <c r="K58">
        <f t="shared" si="3"/>
        <v>10620.00000004191</v>
      </c>
      <c r="L58">
        <f t="shared" si="4"/>
        <v>1620.0000000419095</v>
      </c>
      <c r="M58" s="47"/>
      <c r="N58">
        <v>6.2479708122665104E-3</v>
      </c>
      <c r="O58">
        <v>2.6150691806067199E-2</v>
      </c>
      <c r="Q58">
        <v>2.1617979010442102E-3</v>
      </c>
      <c r="R58" s="2">
        <v>5.6464439554593698E-5</v>
      </c>
      <c r="S58">
        <v>3.66109685284941E-3</v>
      </c>
      <c r="T58" s="2">
        <v>1.80956611504072E-5</v>
      </c>
      <c r="U58" s="2"/>
      <c r="X58" s="2"/>
      <c r="Y58" s="2"/>
      <c r="Z58" s="2"/>
      <c r="AA58" s="2"/>
      <c r="AE58" s="2">
        <f>SUM(AV$5:$AV58)</f>
        <v>6.1071115475292128</v>
      </c>
      <c r="AF58" s="2" cm="1">
        <f t="array" ref="AF58">2*SQRT(SUM((AW$5:$AW58/2)^2))</f>
        <v>4.4908445359356161E-2</v>
      </c>
      <c r="AG58" s="2">
        <f t="shared" si="13"/>
        <v>6.0856701125021608</v>
      </c>
      <c r="AH58" s="2" cm="1">
        <f t="array" ref="AH58">2*SQRT(SUM((R$5:$R58/2)^2))</f>
        <v>3.2599491227147864E-2</v>
      </c>
      <c r="AI58" s="2">
        <f t="shared" si="14"/>
        <v>1.6440058651952798</v>
      </c>
      <c r="AJ58" s="2" cm="1">
        <f t="array" ref="AJ58">2*SQRT(SUM((T$5:$T58/2)^2))</f>
        <v>5.9289071049103224E-3</v>
      </c>
      <c r="AK58" s="47"/>
      <c r="AL58" s="2">
        <f>'Fit Lambdas'!$U$2*(10000/(C58+273))+'Fit Lambdas'!$V$2</f>
        <v>25.991416979826834</v>
      </c>
      <c r="AM58">
        <f>'Fit Lambdas'!$V$4</f>
        <v>6.7480704157997479E-2</v>
      </c>
      <c r="AN58" s="2">
        <f t="shared" si="1"/>
        <v>194056847187.76276</v>
      </c>
      <c r="AO58" s="2">
        <f t="shared" si="9"/>
        <v>13095092694.911144</v>
      </c>
      <c r="AP58" s="2">
        <f>AN58*(C58+273)*$C$145*$E$144</f>
        <v>7.1749708059090411E-5</v>
      </c>
      <c r="AQ58" s="2">
        <f t="shared" si="10"/>
        <v>3.6973551358209923E-16</v>
      </c>
      <c r="AR58" s="2">
        <f>Q58/(1-EXP(-D58*60*AP58))</f>
        <v>4.5441752512038235E-3</v>
      </c>
      <c r="AS58" s="2">
        <f>2*SQRT(
((R58/2) * (1 / (1 - EXP(-D58 * 60 * AN58 * AQ58))))^2 +
(AO58 * (-Q58 * 60 * D58 * AQ58 * EXP(-D58 * 60 * AN58 * AQ58) / (1 - EXP(-D58 * 60 * AN58 * AQ58))^2))^2
)</f>
        <v>4.5228939625368138E-4</v>
      </c>
      <c r="AT58" s="2">
        <f>AT57*EXP(-AP57*D57*60)</f>
        <v>1.2449639764753476E-3</v>
      </c>
      <c r="AU58" s="2">
        <f>2*((((AU57/2)*EXP(-AP57*D57*60))^2+(AT57*EXP(-AP57*D57*60)*D57*60*AO57*AP57/AN57)^2)^0.5)</f>
        <v>1.9576806928542321E-4</v>
      </c>
      <c r="AV58" s="22"/>
      <c r="AW58" s="22"/>
      <c r="AX58" s="49"/>
      <c r="AY58" s="47"/>
      <c r="AZ58" s="2">
        <f t="shared" si="11"/>
        <v>105065839002.11293</v>
      </c>
      <c r="BA58" s="2">
        <f t="shared" si="12"/>
        <v>114166368820.14638</v>
      </c>
      <c r="BB58" s="2"/>
      <c r="BC58" s="2"/>
      <c r="BD58" s="2"/>
      <c r="BE58" s="2"/>
      <c r="BF58" s="2"/>
      <c r="BG58" s="2"/>
      <c r="BH58" s="2"/>
      <c r="BI58" s="2"/>
      <c r="BJ58" s="2"/>
      <c r="BK58" s="2"/>
      <c r="BL58" s="2"/>
      <c r="BM58" s="2"/>
      <c r="BN58" s="2"/>
      <c r="BO58" s="2"/>
      <c r="BP58" s="2"/>
      <c r="BQ58" s="2"/>
      <c r="BR58" s="2"/>
      <c r="BS58" s="2"/>
      <c r="BT58" s="2"/>
      <c r="BU58" s="2"/>
      <c r="BV58"/>
      <c r="BW58"/>
      <c r="BX58"/>
      <c r="BY58"/>
      <c r="BZ58"/>
      <c r="CA58"/>
      <c r="CB58"/>
      <c r="CC58"/>
      <c r="CD58"/>
      <c r="CE58"/>
      <c r="CF58"/>
      <c r="CG58"/>
    </row>
    <row r="59" spans="1:85" s="70" customFormat="1" x14ac:dyDescent="0.3">
      <c r="A59" s="70" t="s">
        <v>458</v>
      </c>
      <c r="B59" s="71">
        <v>45335.586805555555</v>
      </c>
      <c r="C59" s="70">
        <v>200</v>
      </c>
      <c r="D59" s="70">
        <f t="shared" si="15"/>
        <v>260</v>
      </c>
      <c r="E59" s="70" t="s">
        <v>460</v>
      </c>
      <c r="F59" s="72">
        <v>3.62</v>
      </c>
      <c r="G59" s="72">
        <v>0</v>
      </c>
      <c r="H59" s="72">
        <v>0.40799999999999997</v>
      </c>
      <c r="I59" s="70">
        <v>15600</v>
      </c>
      <c r="J59" s="70">
        <v>186.16300000000001</v>
      </c>
      <c r="K59" s="70">
        <f t="shared" si="3"/>
        <v>44580.000000097789</v>
      </c>
      <c r="L59" s="70">
        <f t="shared" si="4"/>
        <v>28980.000000097789</v>
      </c>
      <c r="M59" s="73"/>
      <c r="N59" s="70">
        <v>6.1944598904137196E-3</v>
      </c>
      <c r="O59" s="70">
        <v>2.6133299645816101E-2</v>
      </c>
      <c r="Q59" s="70">
        <v>2.24239448032976E-2</v>
      </c>
      <c r="R59" s="70">
        <v>1.09531923925058E-3</v>
      </c>
      <c r="S59" s="70">
        <v>1.0662386255492901E-2</v>
      </c>
      <c r="T59" s="72">
        <v>5.7384764189552802E-5</v>
      </c>
      <c r="U59" s="72"/>
      <c r="V59" s="72">
        <f>(1000*S59/Q59)/$AE$140</f>
        <v>0.47087707105014914</v>
      </c>
      <c r="W59" s="72"/>
      <c r="X59" s="72">
        <f>S59-AVERAGE(S60)</f>
        <v>1.0517017525419333E-2</v>
      </c>
      <c r="Y59" s="72">
        <f>T59+AVERAGE(S60)</f>
        <v>2.0275349426312079E-4</v>
      </c>
      <c r="Z59" s="72"/>
      <c r="AA59" s="72">
        <f>(X59*1000)/Q59</f>
        <v>469.00835770308942</v>
      </c>
      <c r="AB59" s="72">
        <f>2*((1000*Y59/(2*Q59))^2+((R59/2)*1000*X59/(Q59^2))^2)^0.5</f>
        <v>24.628937898763791</v>
      </c>
      <c r="AC59" s="72">
        <f>AA59/$AE$140</f>
        <v>0.4644572321698931</v>
      </c>
      <c r="AD59" s="72">
        <f>2*(($AF$140*AA59/(2*$AE$140^2))^2+(AB59/($AE$140*2))^2)^0.5</f>
        <v>2.4877629594383357E-2</v>
      </c>
      <c r="AE59" s="72">
        <f>SUM(AV$5:$AV59)</f>
        <v>6.1384226421941044</v>
      </c>
      <c r="AF59" s="72" cm="1">
        <f t="array" ref="AF59">2*SQRT(SUM((AW$5:$AW59/2)^2))</f>
        <v>4.4938890139623176E-2</v>
      </c>
      <c r="AG59" s="72">
        <f t="shared" si="13"/>
        <v>6.1080940573054585</v>
      </c>
      <c r="AH59" s="72" cm="1">
        <f t="array" ref="AH59">2*SQRT(SUM((R$5:$R59/2)^2))</f>
        <v>3.261788700245255E-2</v>
      </c>
      <c r="AI59" s="72">
        <f t="shared" si="14"/>
        <v>1.6546682514507727</v>
      </c>
      <c r="AJ59" s="72" cm="1">
        <f t="array" ref="AJ59">2*SQRT(SUM((T$5:$T59/2)^2))</f>
        <v>5.929184806515748E-3</v>
      </c>
      <c r="AK59" s="73"/>
      <c r="AL59" s="72"/>
      <c r="AN59" s="72"/>
      <c r="AO59" s="72"/>
      <c r="AP59" s="72"/>
      <c r="AQ59" s="72">
        <f t="shared" si="10"/>
        <v>4.5073427300085809E-16</v>
      </c>
      <c r="AR59" s="72"/>
      <c r="AS59" s="72"/>
      <c r="AT59" s="72">
        <f>AT58*EXP(-AP58*D58*60)</f>
        <v>6.5269797385868438E-4</v>
      </c>
      <c r="AU59" s="72">
        <f>2*((((AU58/2)*EXP(-AP58*D58*60))^2+(AT58*EXP(-AP58*D58*60)*D58*60*AO58*AP58/AN58)^2)^0.5)</f>
        <v>1.1734453031074406E-4</v>
      </c>
      <c r="AV59" s="74">
        <f>Q59+AT60-AT59</f>
        <v>3.1311094664891286E-2</v>
      </c>
      <c r="AW59" s="74">
        <f>2*(((AU59/2)^2+(AU60/2)^2+(R59/2)^2)^(0.5))</f>
        <v>1.6538991465150745E-3</v>
      </c>
      <c r="AX59" s="75">
        <f>100*(AV59-Q59)/Q59</f>
        <v>39.632410530580543</v>
      </c>
      <c r="AY59" s="73"/>
      <c r="AZ59" s="72">
        <f t="shared" si="11"/>
        <v>329224588875.15717</v>
      </c>
      <c r="BA59" s="72">
        <f t="shared" si="12"/>
        <v>362525927700.55493</v>
      </c>
      <c r="BB59" s="72">
        <f>(Q59*BD59)+((BB55-(BD59*Q59))*EXP(-BC59))</f>
        <v>1.3606769693483249E-2</v>
      </c>
      <c r="BC59" s="72">
        <f>AQ59*BA59*I59</f>
        <v>2.5490846232707116</v>
      </c>
      <c r="BD59" s="72">
        <f>1/(BC59-1)</f>
        <v>0.64554252555203639</v>
      </c>
      <c r="BE59" s="72">
        <f>(S59*BG59)+((BE55-(BG59*S59))*EXP(-BF59))</f>
        <v>7.6204226029924606E-3</v>
      </c>
      <c r="BF59" s="72">
        <f>AQ59*AZ59*I59</f>
        <v>2.3149277692421459</v>
      </c>
      <c r="BG59" s="72">
        <f>1/(BF59-1)</f>
        <v>0.7604980466541873</v>
      </c>
      <c r="BH59" s="76">
        <f>Q59-BB55</f>
        <v>1.9065481284652311E-2</v>
      </c>
      <c r="BI59" s="76">
        <f>Q59+BB59</f>
        <v>3.6030714496780851E-2</v>
      </c>
      <c r="BJ59" s="76">
        <f>X59-BE55</f>
        <v>7.3519497040884898E-3</v>
      </c>
      <c r="BK59" s="76">
        <f>X59+BE59</f>
        <v>1.8137440128411793E-2</v>
      </c>
      <c r="BL59" s="72">
        <f>BF59*1.29</f>
        <v>2.9862568223223684</v>
      </c>
      <c r="BM59" s="72">
        <f>(Q59 / (BL59-1)) + ((BM55-(Q59 / (BL59-1)))*EXP(-BL59))</f>
        <v>1.0860009675523396E-2</v>
      </c>
      <c r="BN59" s="72">
        <f>(1000*(S59+BE59)/(Q59+BM59))/$AE$140</f>
        <v>0.54396774342670895</v>
      </c>
      <c r="BO59" s="72">
        <f>(1000*(S59-BE55)/(Q59-BM55))/$AE$140</f>
        <v>0.37795256911789077</v>
      </c>
      <c r="BP59" s="72">
        <f>(1000*(S59+BE59-BE55)/(Q59+BM59-BM55))/$AE$140</f>
        <v>0.49078651613749547</v>
      </c>
      <c r="BQ59" s="72">
        <f>MIN(BN59:BP59)</f>
        <v>0.37795256911789077</v>
      </c>
      <c r="BR59" s="29">
        <f>((1000*S59/Q59))/$AE$140</f>
        <v>0.47087707105014914</v>
      </c>
      <c r="BS59" s="72">
        <f>MAX(BN59:BP59)</f>
        <v>0.54396774342670895</v>
      </c>
      <c r="BT59" s="72"/>
      <c r="BU59" s="72"/>
    </row>
    <row r="60" spans="1:85" s="30" customFormat="1" x14ac:dyDescent="0.3">
      <c r="B60" s="31">
        <v>45335.709027777775</v>
      </c>
      <c r="C60" s="30">
        <v>89.99</v>
      </c>
      <c r="D60" s="30">
        <f t="shared" si="15"/>
        <v>150</v>
      </c>
      <c r="E60" s="30" t="s">
        <v>446</v>
      </c>
      <c r="F60" s="32">
        <v>0.33500000000000002</v>
      </c>
      <c r="G60" s="32">
        <v>0</v>
      </c>
      <c r="H60" s="32">
        <v>5.5700000000000003E-3</v>
      </c>
      <c r="I60" s="30">
        <v>9000</v>
      </c>
      <c r="J60" s="30">
        <v>9129.0810000000001</v>
      </c>
      <c r="K60" s="30">
        <f t="shared" si="3"/>
        <v>10559.999999846332</v>
      </c>
      <c r="L60" s="30">
        <f t="shared" si="4"/>
        <v>1559.9999998463318</v>
      </c>
      <c r="M60" s="47"/>
      <c r="N60" s="30">
        <v>6.1424121164710297E-3</v>
      </c>
      <c r="O60" s="30">
        <v>2.60985152735312E-2</v>
      </c>
      <c r="Q60" s="30">
        <v>2.0577080590177899E-3</v>
      </c>
      <c r="R60" s="32">
        <v>1.03024182143892E-4</v>
      </c>
      <c r="S60" s="30">
        <v>1.45368730073568E-4</v>
      </c>
      <c r="T60" s="32">
        <v>8.1348216485297299E-7</v>
      </c>
      <c r="U60" s="32"/>
      <c r="X60" s="32"/>
      <c r="Y60" s="32"/>
      <c r="Z60" s="32"/>
      <c r="AA60" s="32"/>
      <c r="AE60" s="32">
        <f>SUM(AV$5:$AV60)</f>
        <v>6.1384226421941044</v>
      </c>
      <c r="AF60" s="32" cm="1">
        <f t="array" ref="AF60">2*SQRT(SUM((AW$5:$AW60/2)^2))</f>
        <v>4.4938890139623176E-2</v>
      </c>
      <c r="AG60" s="32">
        <f t="shared" si="13"/>
        <v>6.1101517653644759</v>
      </c>
      <c r="AH60" s="32" cm="1">
        <f t="array" ref="AH60">2*SQRT(SUM((R$5:$R60/2)^2))</f>
        <v>3.2618049703911932E-2</v>
      </c>
      <c r="AI60" s="32">
        <f t="shared" si="14"/>
        <v>1.6548136201808463</v>
      </c>
      <c r="AJ60" s="32" cm="1">
        <f t="array" ref="AJ60">2*SQRT(SUM((T$5:$T60/2)^2))</f>
        <v>5.9291848623204881E-3</v>
      </c>
      <c r="AK60" s="47"/>
      <c r="AL60" s="32">
        <f>'Fit Lambdas'!$U$2*(10000/(C60+273))+'Fit Lambdas'!$V$2</f>
        <v>25.080530213673455</v>
      </c>
      <c r="AM60" s="30">
        <f>'Fit Lambdas'!$V$4</f>
        <v>6.7480704157997479E-2</v>
      </c>
      <c r="AN60" s="32">
        <f t="shared" si="1"/>
        <v>78043344941.948532</v>
      </c>
      <c r="AO60" s="32">
        <f t="shared" si="9"/>
        <v>5266419871.5281782</v>
      </c>
      <c r="AP60" s="32">
        <f>AN60*(C60+273)*$C$145*$E$144</f>
        <v>2.699541308058904E-5</v>
      </c>
      <c r="AQ60" s="32">
        <f t="shared" si="10"/>
        <v>3.459028197813562E-16</v>
      </c>
      <c r="AR60" s="32">
        <f>Q60/(1-EXP(-D60*60*AP60))</f>
        <v>9.5398478354523676E-3</v>
      </c>
      <c r="AS60" s="32">
        <f>2*SQRT(
((R60/2) * (1 / (1 - EXP(-D60 * 60 * AN60 * AQ60))))^2 +
(AO60 * (-Q60 * 60 * D60 * AQ60 * EXP(-D60 * 60 * AN60 * AQ60) / (1 - EXP(-D60 * 60 * AN60 * AQ60))^2))^2
)</f>
        <v>1.2336484151398133E-3</v>
      </c>
      <c r="AT60" s="32" cm="1">
        <f t="array" ref="AT60:AU60">AR60:AS60</f>
        <v>9.5398478354523676E-3</v>
      </c>
      <c r="AU60" s="32">
        <v>1.2336484151398133E-3</v>
      </c>
      <c r="AV60" s="24"/>
      <c r="AW60" s="24"/>
      <c r="AX60" s="51"/>
      <c r="AY60" s="47"/>
      <c r="AZ60" s="32">
        <f t="shared" si="11"/>
        <v>67807752416.268387</v>
      </c>
      <c r="BA60" s="32">
        <f t="shared" si="12"/>
        <v>73306701944.978058</v>
      </c>
      <c r="BB60" s="32"/>
      <c r="BC60" s="32"/>
      <c r="BD60" s="32"/>
      <c r="BE60" s="32"/>
      <c r="BF60" s="32"/>
      <c r="BG60" s="32"/>
      <c r="BH60" s="32"/>
      <c r="BI60" s="32"/>
      <c r="BJ60" s="32"/>
      <c r="BK60" s="32"/>
      <c r="BL60" s="32"/>
      <c r="BM60" s="32"/>
      <c r="BN60" s="32"/>
      <c r="BO60" s="32"/>
      <c r="BP60" s="32"/>
      <c r="BQ60" s="32"/>
      <c r="BR60" s="32"/>
      <c r="BS60" s="32"/>
      <c r="BT60" s="32"/>
      <c r="BU60" s="32"/>
    </row>
    <row r="61" spans="1:85" s="70" customFormat="1" x14ac:dyDescent="0.3">
      <c r="A61" s="70" t="s">
        <v>458</v>
      </c>
      <c r="B61" s="71">
        <v>45336.111111111109</v>
      </c>
      <c r="C61" s="70">
        <v>209.99</v>
      </c>
      <c r="D61" s="70">
        <f t="shared" si="15"/>
        <v>520</v>
      </c>
      <c r="E61" s="70" t="s">
        <v>460</v>
      </c>
      <c r="F61" s="72">
        <v>13.6</v>
      </c>
      <c r="G61" s="72">
        <v>0</v>
      </c>
      <c r="H61" s="72">
        <v>8.2799999999999994</v>
      </c>
      <c r="I61" s="70">
        <v>31200</v>
      </c>
      <c r="J61" s="70">
        <v>31325.996999999999</v>
      </c>
      <c r="K61" s="70">
        <f t="shared" si="3"/>
        <v>34740.000000083819</v>
      </c>
      <c r="L61" s="70">
        <f t="shared" si="4"/>
        <v>3540.000000083819</v>
      </c>
      <c r="M61" s="73"/>
      <c r="N61" s="70">
        <v>5.9711077087186296E-3</v>
      </c>
      <c r="O61" s="70">
        <v>2.6157750419433499E-2</v>
      </c>
      <c r="Q61" s="70">
        <v>8.1207064838573401E-2</v>
      </c>
      <c r="R61" s="70">
        <v>3.4788918867417499E-3</v>
      </c>
      <c r="S61" s="70">
        <v>0.21658617347290901</v>
      </c>
      <c r="T61" s="70">
        <v>1.33570882566184E-3</v>
      </c>
      <c r="V61" s="72">
        <f>(1000*S61/Q61)/$AE$140</f>
        <v>2.6412047083632988</v>
      </c>
      <c r="W61" s="72"/>
      <c r="X61" s="72">
        <f>S61-AVERAGE(S62:S64)</f>
        <v>5.4421774136666573E-2</v>
      </c>
      <c r="Y61" s="72">
        <f>T61+AVERAGE(S62:S64)</f>
        <v>0.16350010816190427</v>
      </c>
      <c r="Z61" s="72"/>
      <c r="AA61" s="72">
        <f>(X61*1000)/Q61</f>
        <v>670.16058571810606</v>
      </c>
      <c r="AB61" s="72">
        <f>2*((1000*Y61/(2*Q61))^2+((R61/2)*1000*X61/(Q61^2))^2)^0.5</f>
        <v>2013.5776358888061</v>
      </c>
      <c r="AC61" s="72">
        <f>AA61/$AE$140</f>
        <v>0.6636575353930747</v>
      </c>
      <c r="AD61" s="72">
        <f>2*(($AF$140*AA61/(2*$AE$140^2))^2+(AB61/($AE$140*2))^2)^0.5</f>
        <v>1.9940507441204651</v>
      </c>
      <c r="AE61" s="72">
        <f>SUM(AV$5:$AV61)</f>
        <v>6.226793601128211</v>
      </c>
      <c r="AF61" s="72" cm="1">
        <f t="array" ref="AF61">2*SQRT(SUM((AW$5:$AW61/2)^2))</f>
        <v>4.5104725210748618E-2</v>
      </c>
      <c r="AG61" s="72">
        <f t="shared" si="13"/>
        <v>6.1913588302030496</v>
      </c>
      <c r="AH61" s="72" cm="1">
        <f t="array" ref="AH61">2*SQRT(SUM((R$5:$R61/2)^2))</f>
        <v>3.280304643240483E-2</v>
      </c>
      <c r="AI61" s="72">
        <f t="shared" si="14"/>
        <v>1.8713997936537554</v>
      </c>
      <c r="AJ61" s="72" cm="1">
        <f t="array" ref="AJ61">2*SQRT(SUM((T$5:$T61/2)^2))</f>
        <v>6.0777751849275695E-3</v>
      </c>
      <c r="AK61" s="73"/>
      <c r="AL61" s="72"/>
      <c r="AN61" s="72"/>
      <c r="AO61" s="72"/>
      <c r="AP61" s="72"/>
      <c r="AQ61" s="72">
        <f t="shared" si="10"/>
        <v>4.6025400954901582E-16</v>
      </c>
      <c r="AR61" s="72"/>
      <c r="AS61" s="72"/>
      <c r="AT61" s="72">
        <f>AT60*EXP(-AP60*D60*60)</f>
        <v>7.4821397764345777E-3</v>
      </c>
      <c r="AU61" s="72">
        <f>2*((((AU60/2)*EXP(-AP60*D60*60))^2+(AT60*EXP(-AP60*D60*60)*D60*60*AO60*AP60/AN60)^2)^0.5)</f>
        <v>9.9817571355020267E-4</v>
      </c>
      <c r="AV61" s="74">
        <f>Q61+AT62-AT61</f>
        <v>8.8370958934106916E-2</v>
      </c>
      <c r="AW61" s="74">
        <f>2*(((AU61/2)^2+(AU62/2)^2+(R61/2)^2)^(0.5))</f>
        <v>3.8642449917183673E-3</v>
      </c>
      <c r="AX61" s="75">
        <f>100*(AV61-Q61)/Q61</f>
        <v>8.821762133349095</v>
      </c>
      <c r="AY61" s="73"/>
      <c r="AZ61" s="72">
        <f t="shared" si="11"/>
        <v>366711824605.61426</v>
      </c>
      <c r="BA61" s="72">
        <f t="shared" si="12"/>
        <v>404311887467.46643</v>
      </c>
      <c r="BB61" s="72">
        <f>Q61*BD61</f>
        <v>1.689740953964939E-2</v>
      </c>
      <c r="BC61" s="72">
        <f>AQ61*BA61*I61</f>
        <v>5.8058884202352354</v>
      </c>
      <c r="BD61" s="72">
        <f>1/(BC61-1)</f>
        <v>0.20807807268048323</v>
      </c>
      <c r="BE61" s="72">
        <f>BG61*S61</f>
        <v>5.077086075528895E-2</v>
      </c>
      <c r="BF61" s="72">
        <f>AQ61*AZ61*I61</f>
        <v>5.2659543338616057</v>
      </c>
      <c r="BG61" s="72">
        <f>1/(BF61-1)</f>
        <v>0.23441413614354964</v>
      </c>
      <c r="BH61" s="72">
        <f>Q61-BB59</f>
        <v>6.7600295145090153E-2</v>
      </c>
      <c r="BI61" s="72">
        <f>Q61+BB61</f>
        <v>9.8104474378222783E-2</v>
      </c>
      <c r="BJ61" s="72">
        <f>X61-BE59</f>
        <v>4.680135153367411E-2</v>
      </c>
      <c r="BK61" s="72">
        <f>X61+BE61</f>
        <v>0.10519263489195552</v>
      </c>
      <c r="BL61" s="72">
        <f>BF61*1.29</f>
        <v>6.7930810906814711</v>
      </c>
      <c r="BM61" s="72">
        <f>Q61 / (BL61-1)</f>
        <v>1.4017940292463709E-2</v>
      </c>
      <c r="BN61" s="72">
        <f>(1000*(S61+BE61)/(Q61+BM61))/$AE$140</f>
        <v>2.7803902578407289</v>
      </c>
      <c r="BO61" s="72">
        <f>(1000*(S61-BE57)/(Q61-BM57))/$AE$140</f>
        <v>2.6412047083632988</v>
      </c>
      <c r="BP61" s="72">
        <f>(1000*(S61+BE61-BE57)/(Q61+BM61-BM57))/$AE$140</f>
        <v>2.7803902578407289</v>
      </c>
      <c r="BQ61" s="72">
        <f>MIN(BN61:BP61)</f>
        <v>2.6412047083632988</v>
      </c>
      <c r="BR61" s="29">
        <f>((1000*S61/Q61))/$AE$140</f>
        <v>2.6412047083632988</v>
      </c>
      <c r="BS61" s="72">
        <f>MAX(BN61:BP61)</f>
        <v>2.7803902578407289</v>
      </c>
      <c r="BT61" s="72"/>
      <c r="BU61" s="72"/>
    </row>
    <row r="62" spans="1:85" x14ac:dyDescent="0.3">
      <c r="B62" s="1">
        <v>45336.277777777781</v>
      </c>
      <c r="C62">
        <v>105.009999999999</v>
      </c>
      <c r="D62">
        <f t="shared" si="15"/>
        <v>150</v>
      </c>
      <c r="F62" s="2">
        <v>0.85699999999999998</v>
      </c>
      <c r="G62" s="2">
        <v>0</v>
      </c>
      <c r="H62" s="2">
        <v>7.93</v>
      </c>
      <c r="I62">
        <v>9000</v>
      </c>
      <c r="J62">
        <v>9125.9390000000003</v>
      </c>
      <c r="K62">
        <f t="shared" si="3"/>
        <v>14400.000000419095</v>
      </c>
      <c r="L62">
        <f t="shared" si="4"/>
        <v>5400.0000004190952</v>
      </c>
      <c r="M62" s="47"/>
      <c r="N62">
        <v>5.9765598932272103E-3</v>
      </c>
      <c r="O62">
        <v>2.6187101051772702E-2</v>
      </c>
      <c r="Q62">
        <v>5.1219118284957198E-3</v>
      </c>
      <c r="R62">
        <v>2.2883429279003701E-4</v>
      </c>
      <c r="S62">
        <v>0.207663711340557</v>
      </c>
      <c r="T62">
        <v>1.4429936075542301E-3</v>
      </c>
      <c r="AE62" s="2">
        <f>SUM(AV$5:$AV62)</f>
        <v>6.226793601128211</v>
      </c>
      <c r="AF62" s="2" cm="1">
        <f t="array" ref="AF62">2*SQRT(SUM((AW$5:$AW62/2)^2))</f>
        <v>4.5104725210748618E-2</v>
      </c>
      <c r="AG62" s="2">
        <f t="shared" si="13"/>
        <v>6.1964807420315449</v>
      </c>
      <c r="AH62" s="2" cm="1">
        <f t="array" ref="AH62">2*SQRT(SUM((R$5:$R62/2)^2))</f>
        <v>3.2803844597547767E-2</v>
      </c>
      <c r="AI62" s="2">
        <f t="shared" si="14"/>
        <v>2.0790635049943123</v>
      </c>
      <c r="AJ62" s="2" cm="1">
        <f t="array" ref="AJ62">2*SQRT(SUM((T$5:$T62/2)^2))</f>
        <v>6.2467256823045885E-3</v>
      </c>
      <c r="AK62" s="47"/>
      <c r="AL62" s="2">
        <f>'Fit Lambdas'!$U$2*(10000/(C62+273))+'Fit Lambdas'!$V$2</f>
        <v>25.642029320844443</v>
      </c>
      <c r="AM62">
        <f>'Fit Lambdas'!$V$4</f>
        <v>6.7480704157997479E-2</v>
      </c>
      <c r="AN62" s="2">
        <f t="shared" si="1"/>
        <v>136833311942.68068</v>
      </c>
      <c r="AO62" s="2">
        <f t="shared" si="9"/>
        <v>9233608242.1630173</v>
      </c>
      <c r="AP62" s="2">
        <f>AN62*(C62+273)*$C$145*$E$144</f>
        <v>4.9289517785560306E-5</v>
      </c>
      <c r="AQ62" s="2">
        <f t="shared" si="10"/>
        <v>3.6021577703394062E-16</v>
      </c>
      <c r="AR62" s="2">
        <f>Q62/(1-EXP(-D62*60*AP62))</f>
        <v>1.4295772381728787E-2</v>
      </c>
      <c r="AS62" s="2">
        <f>2*SQRT(
((R62/2) * (1 / (1 - EXP(-D62 * 60 * AN62 * AQ62))))^2 +
(AO62 * (-Q62 * 60 * D62 * AQ62 * EXP(-D62 * 60 * AN62 * AQ62) / (1 - EXP(-D62 * 60 * AN62 * AQ62))^2))^2
)</f>
        <v>1.660705151274317E-3</v>
      </c>
      <c r="AT62" s="2">
        <f>AT63+Q62</f>
        <v>1.4646033871968096E-2</v>
      </c>
      <c r="AU62" s="2">
        <f>AU63+R62</f>
        <v>1.3540110196233468E-3</v>
      </c>
      <c r="AV62" s="22"/>
      <c r="AW62" s="22"/>
      <c r="AX62" s="49"/>
      <c r="AY62" s="47"/>
      <c r="AZ62" s="2">
        <f t="shared" si="11"/>
        <v>88820578750.459457</v>
      </c>
      <c r="BA62" s="2">
        <f t="shared" si="12"/>
        <v>96325589572.011078</v>
      </c>
      <c r="BB62" s="2"/>
      <c r="BC62" s="2"/>
      <c r="BD62" s="2"/>
      <c r="BE62" s="2"/>
      <c r="BF62" s="2"/>
      <c r="BG62" s="2"/>
      <c r="BH62" s="2"/>
      <c r="BI62" s="2"/>
      <c r="BJ62" s="2"/>
      <c r="BK62" s="2"/>
      <c r="BL62" s="2"/>
      <c r="BM62" s="2"/>
      <c r="BN62" s="2"/>
      <c r="BO62" s="2"/>
      <c r="BP62" s="2"/>
      <c r="BQ62" s="2"/>
      <c r="BR62" s="2"/>
      <c r="BS62" s="2"/>
      <c r="BT62" s="2"/>
      <c r="BU62" s="2"/>
      <c r="BV62"/>
      <c r="BW62"/>
      <c r="BX62"/>
      <c r="BY62"/>
      <c r="BZ62"/>
      <c r="CA62"/>
      <c r="CB62"/>
      <c r="CC62"/>
      <c r="CD62"/>
      <c r="CE62"/>
      <c r="CF62"/>
      <c r="CG62"/>
    </row>
    <row r="63" spans="1:85" s="30" customFormat="1" x14ac:dyDescent="0.3">
      <c r="B63" s="31">
        <v>45336.415972222225</v>
      </c>
      <c r="C63" s="30">
        <v>105</v>
      </c>
      <c r="D63" s="30">
        <f t="shared" si="15"/>
        <v>150</v>
      </c>
      <c r="E63" s="30" t="s">
        <v>446</v>
      </c>
      <c r="F63" s="32">
        <v>0.56899999999999995</v>
      </c>
      <c r="G63" s="32">
        <v>0</v>
      </c>
      <c r="H63" s="32">
        <v>7.08</v>
      </c>
      <c r="I63" s="30">
        <v>9000</v>
      </c>
      <c r="J63" s="30">
        <v>9127.2690000000002</v>
      </c>
      <c r="K63" s="30">
        <f t="shared" si="3"/>
        <v>11939.999999944121</v>
      </c>
      <c r="L63" s="30">
        <f t="shared" si="4"/>
        <v>2939.9999999441206</v>
      </c>
      <c r="M63" s="47"/>
      <c r="N63" s="30">
        <v>5.9952065353919603E-3</v>
      </c>
      <c r="O63" s="30">
        <v>2.6205505298976899E-2</v>
      </c>
      <c r="Q63" s="30">
        <v>3.41127251863802E-3</v>
      </c>
      <c r="R63" s="30">
        <v>1.69057687732339E-4</v>
      </c>
      <c r="S63" s="30">
        <v>0.18553497751675599</v>
      </c>
      <c r="T63" s="30">
        <v>1.47010707107108E-3</v>
      </c>
      <c r="AE63" s="32">
        <f>SUM(AV$5:$AV63)</f>
        <v>6.226793601128211</v>
      </c>
      <c r="AF63" s="32" cm="1">
        <f t="array" ref="AF63">2*SQRT(SUM((AW$5:$AW63/2)^2))</f>
        <v>4.5104725210748618E-2</v>
      </c>
      <c r="AG63" s="32">
        <f t="shared" si="13"/>
        <v>6.1998920145501826</v>
      </c>
      <c r="AH63" s="32" cm="1">
        <f t="array" ref="AH63">2*SQRT(SUM((R$5:$R63/2)^2))</f>
        <v>3.280428022197477E-2</v>
      </c>
      <c r="AI63" s="32">
        <f t="shared" si="14"/>
        <v>2.2645984825110683</v>
      </c>
      <c r="AJ63" s="32" cm="1">
        <f t="array" ref="AJ63">2*SQRT(SUM((T$5:$T63/2)^2))</f>
        <v>6.4173823752661733E-3</v>
      </c>
      <c r="AK63" s="47"/>
      <c r="AL63" s="32">
        <f>'Fit Lambdas'!$U$2*(10000/(C63+273))+'Fit Lambdas'!$V$2</f>
        <v>25.64167033113603</v>
      </c>
      <c r="AM63" s="30">
        <f>'Fit Lambdas'!$V$4</f>
        <v>6.7480704157997479E-2</v>
      </c>
      <c r="AN63" s="32">
        <f t="shared" si="1"/>
        <v>136784199007.97165</v>
      </c>
      <c r="AO63" s="32">
        <f t="shared" si="9"/>
        <v>9230294066.7455864</v>
      </c>
      <c r="AP63" s="32">
        <f>AN63*(C63+273)*$C$145*$E$144</f>
        <v>4.9270523078630311E-5</v>
      </c>
      <c r="AQ63" s="32">
        <f t="shared" si="10"/>
        <v>3.6020624776812763E-16</v>
      </c>
      <c r="AR63" s="32">
        <f>Q63/(1-EXP(-D63*60*AP63))</f>
        <v>9.5241220434723762E-3</v>
      </c>
      <c r="AS63" s="32">
        <f>2*SQRT(
((R63/2) * (1 / (1 - EXP(-D63 * 60 * AN63 * AQ63))))^2 +
(AO63 * (-Q63 * 60 * D63 * AQ63 * EXP(-D63 * 60 * AN63 * AQ63) / (1 - EXP(-D63 * 60 * AN63 * AQ63))^2))^2
)</f>
        <v>1.1251767268333098E-3</v>
      </c>
      <c r="AT63" s="32" cm="1">
        <f t="array" ref="AT63:AU63">AR63:AS63</f>
        <v>9.5241220434723762E-3</v>
      </c>
      <c r="AU63" s="32">
        <v>1.1251767268333098E-3</v>
      </c>
      <c r="AV63" s="24"/>
      <c r="AW63" s="24"/>
      <c r="AX63" s="51"/>
      <c r="AY63" s="47"/>
      <c r="AZ63" s="32">
        <f t="shared" si="11"/>
        <v>88805250970.861771</v>
      </c>
      <c r="BA63" s="32">
        <f t="shared" si="12"/>
        <v>96308773299.869202</v>
      </c>
      <c r="BB63" s="32"/>
      <c r="BC63" s="32"/>
      <c r="BD63" s="32"/>
      <c r="BE63" s="32"/>
      <c r="BF63" s="32"/>
      <c r="BG63" s="32"/>
      <c r="BH63" s="32"/>
      <c r="BI63" s="32"/>
      <c r="BJ63" s="32"/>
      <c r="BK63" s="32"/>
      <c r="BL63" s="32"/>
      <c r="BM63" s="32"/>
      <c r="BN63" s="32"/>
      <c r="BO63" s="32"/>
      <c r="BP63" s="32"/>
      <c r="BQ63" s="32"/>
      <c r="BR63" s="32"/>
      <c r="BS63" s="32"/>
      <c r="BT63" s="32"/>
      <c r="BU63" s="32"/>
      <c r="BW63" s="32"/>
    </row>
    <row r="64" spans="1:85" x14ac:dyDescent="0.3">
      <c r="B64" s="1">
        <v>45336.607638888891</v>
      </c>
      <c r="C64">
        <v>105.009999999999</v>
      </c>
      <c r="D64">
        <f t="shared" si="15"/>
        <v>150</v>
      </c>
      <c r="F64" s="2">
        <v>0.52</v>
      </c>
      <c r="G64" s="2">
        <v>0</v>
      </c>
      <c r="H64" s="2">
        <v>3.56</v>
      </c>
      <c r="I64">
        <v>9000</v>
      </c>
      <c r="J64">
        <v>9126.2630000000008</v>
      </c>
      <c r="K64">
        <f t="shared" si="3"/>
        <v>16559.999999916181</v>
      </c>
      <c r="L64">
        <f t="shared" si="4"/>
        <v>7559.999999916181</v>
      </c>
      <c r="M64" s="47"/>
      <c r="N64">
        <v>6.0301070526997602E-3</v>
      </c>
      <c r="O64">
        <v>2.6206322795341099E-2</v>
      </c>
      <c r="Q64">
        <v>3.1356556674038698E-3</v>
      </c>
      <c r="R64">
        <v>1.79976543963466E-4</v>
      </c>
      <c r="S64">
        <v>9.3294509151414295E-2</v>
      </c>
      <c r="T64">
        <v>7.2349375331919605E-4</v>
      </c>
      <c r="AE64" s="2">
        <f>SUM(AV$5:$AV64)</f>
        <v>6.226793601128211</v>
      </c>
      <c r="AF64" s="2" cm="1">
        <f t="array" ref="AF64">2*SQRT(SUM((AW$5:$AW64/2)^2))</f>
        <v>4.5104725210748618E-2</v>
      </c>
      <c r="AG64" s="2">
        <f t="shared" si="13"/>
        <v>6.2030276702175868</v>
      </c>
      <c r="AH64" s="2" cm="1">
        <f t="array" ref="AH64">2*SQRT(SUM((R$5:$R64/2)^2))</f>
        <v>3.2804773927558505E-2</v>
      </c>
      <c r="AI64" s="2">
        <f t="shared" si="14"/>
        <v>2.3578929916624825</v>
      </c>
      <c r="AJ64" s="2" cm="1">
        <f t="array" ref="AJ64">2*SQRT(SUM((T$5:$T64/2)^2))</f>
        <v>6.4580368349420872E-3</v>
      </c>
      <c r="AK64" s="47"/>
      <c r="AL64" s="2">
        <f>'Fit Lambdas'!$U$2*(10000/(C64+273))+'Fit Lambdas'!$V$2</f>
        <v>25.642029320844443</v>
      </c>
      <c r="AM64">
        <f>'Fit Lambdas'!$V$4</f>
        <v>6.7480704157997479E-2</v>
      </c>
      <c r="AN64" s="2">
        <f t="shared" si="1"/>
        <v>136833311942.68068</v>
      </c>
      <c r="AO64" s="2">
        <f t="shared" si="9"/>
        <v>9233608242.1630173</v>
      </c>
      <c r="AP64" s="2">
        <f>AN64*(C64+273)*$C$145*$E$144</f>
        <v>4.9289517785560306E-5</v>
      </c>
      <c r="AQ64" s="2">
        <f t="shared" si="10"/>
        <v>3.6021577703394062E-16</v>
      </c>
      <c r="AR64" s="2">
        <f>Q64/(1-EXP(-D64*60*AP64))</f>
        <v>8.7519311518193289E-3</v>
      </c>
      <c r="AS64" s="2">
        <f>2*SQRT(
((R64/2) * (1 / (1 - EXP(-D64 * 60 * AN64 * AQ64))))^2 +
(AO64 * (-Q64 * 60 * D64 * AQ64 * EXP(-D64 * 60 * AN64 * AQ64) / (1 - EXP(-D64 * 60 * AN64 * AQ64))^2))^2
)</f>
        <v>1.0644742817809303E-3</v>
      </c>
      <c r="AT64" s="2">
        <f>AT63-Q63</f>
        <v>6.1128495248343566E-3</v>
      </c>
      <c r="AU64" s="2">
        <f>AU63+R63</f>
        <v>1.2942344145656487E-3</v>
      </c>
      <c r="AV64" s="22"/>
      <c r="AW64" s="22"/>
      <c r="AX64" s="49"/>
      <c r="AY64" s="47"/>
      <c r="AZ64" s="2">
        <f t="shared" si="11"/>
        <v>88820578750.459457</v>
      </c>
      <c r="BA64" s="2">
        <f t="shared" si="12"/>
        <v>96325589572.011078</v>
      </c>
      <c r="BB64" s="2"/>
      <c r="BC64" s="2"/>
      <c r="BD64" s="2"/>
      <c r="BE64" s="2"/>
      <c r="BF64" s="2"/>
      <c r="BG64" s="2"/>
      <c r="BH64" s="2"/>
      <c r="BI64" s="2"/>
      <c r="BJ64" s="2"/>
      <c r="BK64" s="2"/>
      <c r="BL64" s="2"/>
      <c r="BM64" s="2"/>
      <c r="BN64" s="2"/>
      <c r="BO64" s="2"/>
      <c r="BP64" s="2"/>
      <c r="BQ64" s="2"/>
      <c r="BR64" s="2"/>
      <c r="BS64" s="2"/>
      <c r="BT64" s="2"/>
      <c r="BU64" s="2"/>
      <c r="BV64"/>
      <c r="BW64"/>
      <c r="BX64"/>
      <c r="BY64"/>
      <c r="BZ64"/>
      <c r="CA64"/>
      <c r="CB64"/>
      <c r="CC64"/>
      <c r="CD64"/>
      <c r="CE64"/>
      <c r="CF64"/>
      <c r="CG64"/>
    </row>
    <row r="65" spans="2:85" s="27" customFormat="1" x14ac:dyDescent="0.3">
      <c r="B65" s="28">
        <v>45337.436805555553</v>
      </c>
      <c r="C65" s="27">
        <v>219.98</v>
      </c>
      <c r="D65" s="27">
        <f t="shared" si="15"/>
        <v>1167</v>
      </c>
      <c r="E65" s="27" t="s">
        <v>460</v>
      </c>
      <c r="F65" s="29">
        <v>91</v>
      </c>
      <c r="G65" s="29">
        <v>0</v>
      </c>
      <c r="H65" s="29">
        <v>12.1</v>
      </c>
      <c r="I65" s="27">
        <v>70020</v>
      </c>
      <c r="J65" s="27">
        <v>70177.054000000004</v>
      </c>
      <c r="K65" s="27">
        <f t="shared" si="3"/>
        <v>71639.999999664724</v>
      </c>
      <c r="L65" s="27">
        <f t="shared" si="4"/>
        <v>1619.9999996647239</v>
      </c>
      <c r="M65" s="47"/>
      <c r="N65" s="27">
        <v>6.3364847868137E-3</v>
      </c>
      <c r="O65" s="27">
        <v>2.6337792642140399E-2</v>
      </c>
      <c r="Q65" s="27">
        <v>0.576620115600047</v>
      </c>
      <c r="R65" s="27">
        <v>2.4225092474158001E-2</v>
      </c>
      <c r="S65" s="27">
        <v>0.31868729096989901</v>
      </c>
      <c r="T65" s="27">
        <v>2.1313081983414901E-3</v>
      </c>
      <c r="V65" s="29">
        <f>(1000*S65/Q65)/$AE$140</f>
        <v>0.54731846905931059</v>
      </c>
      <c r="W65" s="29"/>
      <c r="X65" s="29">
        <f>S65-AVERAGE(S66:S68)</f>
        <v>0.22743994095061365</v>
      </c>
      <c r="Y65" s="29">
        <f>T65+AVERAGE(S66:S68)</f>
        <v>9.3378658217626864E-2</v>
      </c>
      <c r="Z65" s="29"/>
      <c r="AA65" s="29">
        <f>(X65*1000)/Q65</f>
        <v>394.43636251561099</v>
      </c>
      <c r="AB65" s="29">
        <f>2*((1000*Y65/(2*Q65))^2+((R65/2)*1000*X65/(Q65^2))^2)^0.5</f>
        <v>162.78702051195611</v>
      </c>
      <c r="AC65" s="29">
        <f>AA65/$AE$140</f>
        <v>0.39060886270418482</v>
      </c>
      <c r="AD65" s="29">
        <f>2*(($AF$140*AA65/(2*$AE$140^2))^2+(AB65/($AE$140*2))^2)^0.5</f>
        <v>0.161260080434666</v>
      </c>
      <c r="AE65" s="29">
        <f>SUM(AV$5:$AV65)</f>
        <v>6.8282935783569076</v>
      </c>
      <c r="AF65" s="29" cm="1">
        <f t="array" ref="AF65">2*SQRT(SUM((AW$5:$AW65/2)^2))</f>
        <v>5.1325225626580422E-2</v>
      </c>
      <c r="AG65" s="29">
        <f t="shared" si="13"/>
        <v>6.7796477858176338</v>
      </c>
      <c r="AH65" s="29" cm="1">
        <f t="array" ref="AH65">2*SQRT(SUM((R$5:$R65/2)^2))</f>
        <v>4.0779998747176652E-2</v>
      </c>
      <c r="AI65" s="29">
        <f t="shared" si="14"/>
        <v>2.6765802826323815</v>
      </c>
      <c r="AJ65" s="29" cm="1">
        <f t="array" ref="AJ65">2*SQRT(SUM((T$5:$T65/2)^2))</f>
        <v>6.8006407343563198E-3</v>
      </c>
      <c r="AK65" s="47"/>
      <c r="AL65" s="29"/>
      <c r="AN65" s="29"/>
      <c r="AO65" s="29"/>
      <c r="AP65" s="29"/>
      <c r="AQ65" s="29">
        <f t="shared" si="10"/>
        <v>4.6977374609717344E-16</v>
      </c>
      <c r="AR65" s="29"/>
      <c r="AS65" s="29"/>
      <c r="AT65" s="29">
        <f>AT64-Q64</f>
        <v>2.9771938574304868E-3</v>
      </c>
      <c r="AU65" s="29">
        <f>AU64+R64</f>
        <v>1.4742109585291147E-3</v>
      </c>
      <c r="AV65" s="23">
        <f>Q65+AT66-AT65</f>
        <v>0.6014999772286963</v>
      </c>
      <c r="AW65" s="23">
        <f>2*(((AU65/2)^2+(AU66/2)^2+(R65/2)^2)^(0.5))</f>
        <v>2.4491683267636909E-2</v>
      </c>
      <c r="AX65" s="50">
        <f>100*(AV65-Q65)/Q65</f>
        <v>4.3147751796273397</v>
      </c>
      <c r="AY65" s="47"/>
      <c r="AZ65" s="29">
        <f t="shared" si="11"/>
        <v>406686243437.86761</v>
      </c>
      <c r="BA65" s="29">
        <f t="shared" si="12"/>
        <v>448924995527.01031</v>
      </c>
      <c r="BB65" s="29">
        <f>Q65*BD65</f>
        <v>4.1885014562295146E-2</v>
      </c>
      <c r="BC65" s="29">
        <f>AQ65*BA65*I65</f>
        <v>14.76674024411394</v>
      </c>
      <c r="BD65" s="29">
        <f>1/(BC65-1)</f>
        <v>7.2638836955433703E-2</v>
      </c>
      <c r="BE65" s="29">
        <f>BG65*S65</f>
        <v>2.5747603489509538E-2</v>
      </c>
      <c r="BF65" s="29">
        <f>AQ65*AZ65*I65</f>
        <v>13.377357415020905</v>
      </c>
      <c r="BG65" s="29">
        <f>1/(BF65-1)</f>
        <v>8.0792689947405141E-2</v>
      </c>
      <c r="BH65" s="29">
        <f>Q65-BB61</f>
        <v>0.55972270606039765</v>
      </c>
      <c r="BI65" s="29">
        <f>Q65+BB65</f>
        <v>0.6185051301623421</v>
      </c>
      <c r="BJ65" s="29">
        <f>X65-BE61</f>
        <v>0.17666908019532471</v>
      </c>
      <c r="BK65" s="29">
        <f>X65+BE65</f>
        <v>0.2531875444401232</v>
      </c>
      <c r="BL65" s="29">
        <f>BF65*1.29</f>
        <v>17.256791065376966</v>
      </c>
      <c r="BM65" s="29">
        <f>Q65 / (BL65-1)</f>
        <v>3.5469491690036443E-2</v>
      </c>
      <c r="BN65" s="29">
        <f>(1000*(S65+BE65)/(Q65+BM65))/$AE$140</f>
        <v>0.55725924898041701</v>
      </c>
      <c r="BO65" s="29">
        <f>(1000*(S65-BE61)/(Q65-BM61))/$AE$140</f>
        <v>0.47158837270546006</v>
      </c>
      <c r="BP65" s="29">
        <f>(1000*(S65+BE65-BE61)/(Q65+BM65-BM61))/$AE$140</f>
        <v>0.48625343140219751</v>
      </c>
      <c r="BQ65" s="29">
        <f>MIN(BN65:BP65)</f>
        <v>0.47158837270546006</v>
      </c>
      <c r="BR65" s="29">
        <f>((1000*S65/Q65))/$AE$140</f>
        <v>0.54731846905931059</v>
      </c>
      <c r="BS65" s="29">
        <f>MAX(BN65:BP65)</f>
        <v>0.55725924898041701</v>
      </c>
      <c r="BT65" s="29"/>
      <c r="BU65" s="29"/>
    </row>
    <row r="66" spans="2:85" s="30" customFormat="1" x14ac:dyDescent="0.3">
      <c r="B66" s="31">
        <v>45337.56527777778</v>
      </c>
      <c r="C66" s="30">
        <v>99.99</v>
      </c>
      <c r="D66" s="30">
        <f t="shared" si="15"/>
        <v>150</v>
      </c>
      <c r="E66" s="30" t="s">
        <v>81</v>
      </c>
      <c r="F66" s="32">
        <v>1.34</v>
      </c>
      <c r="G66" s="32">
        <v>0</v>
      </c>
      <c r="H66" s="32">
        <v>3.47</v>
      </c>
      <c r="I66" s="30">
        <v>9000</v>
      </c>
      <c r="J66" s="30">
        <v>9122.6949999999997</v>
      </c>
      <c r="K66" s="30">
        <f t="shared" si="3"/>
        <v>11100.000000349246</v>
      </c>
      <c r="L66" s="30">
        <f t="shared" si="4"/>
        <v>2100.000000349246</v>
      </c>
      <c r="M66" s="47"/>
      <c r="N66" s="30">
        <v>6.3522237114105899E-3</v>
      </c>
      <c r="O66" s="30">
        <v>2.6337792642140399E-2</v>
      </c>
      <c r="Q66" s="30">
        <v>8.5119797732902003E-3</v>
      </c>
      <c r="R66" s="30">
        <v>3.21405832704153E-4</v>
      </c>
      <c r="S66" s="30">
        <v>9.1392140468227398E-2</v>
      </c>
      <c r="T66" s="30">
        <v>5.6900305928076096E-4</v>
      </c>
      <c r="AE66" s="32">
        <f>SUM(AV$5:$AV66)</f>
        <v>6.8282935783569076</v>
      </c>
      <c r="AF66" s="32" cm="1">
        <f t="array" ref="AF66">2*SQRT(SUM((AW$5:$AW66/2)^2))</f>
        <v>5.1325225626580422E-2</v>
      </c>
      <c r="AG66" s="32">
        <f t="shared" si="13"/>
        <v>6.7881597655909243</v>
      </c>
      <c r="AH66" s="32" cm="1">
        <f t="array" ref="AH66">2*SQRT(SUM((R$5:$R66/2)^2))</f>
        <v>4.0781265300736134E-2</v>
      </c>
      <c r="AI66" s="32">
        <f t="shared" si="14"/>
        <v>2.7679724231006086</v>
      </c>
      <c r="AJ66" s="32" cm="1">
        <f t="array" ref="AJ66">2*SQRT(SUM((T$5:$T66/2)^2))</f>
        <v>6.8244031885035432E-3</v>
      </c>
      <c r="AK66" s="47"/>
      <c r="AL66" s="32">
        <f>'Fit Lambdas'!$U$2*(10000/(C66+273))+'Fit Lambdas'!$V$2</f>
        <v>25.45939586923167</v>
      </c>
      <c r="AM66" s="30">
        <f>'Fit Lambdas'!$V$4</f>
        <v>6.7480704157997479E-2</v>
      </c>
      <c r="AN66" s="32">
        <f t="shared" si="1"/>
        <v>113992200830.34454</v>
      </c>
      <c r="AO66" s="32">
        <f t="shared" si="9"/>
        <v>7692273980.5515146</v>
      </c>
      <c r="AP66" s="32">
        <f>AN66*(C66+273)*$C$145*$E$144</f>
        <v>4.0516485682730825E-5</v>
      </c>
      <c r="AQ66" s="32">
        <f t="shared" si="10"/>
        <v>3.5543208559532784E-16</v>
      </c>
      <c r="AR66" s="32">
        <f>Q66/(1-EXP(-D66*60*AN66*AQ66))</f>
        <v>2.7857055486079713E-2</v>
      </c>
      <c r="AS66" s="32">
        <f>2*SQRT(
((R66/2) * (1 / (1 - EXP(-D66 * 60 * AN66 * AQ66))))^2 +
(AO66 * (-Q66 * 60 * D66 * AQ66 * EXP(-D66 * 60 * AN66 * AQ66) / (1 - EXP(-D66 * 60 * AN66 * AQ66))^2))^2
)</f>
        <v>3.2884868785646492E-3</v>
      </c>
      <c r="AT66" s="32" cm="1">
        <f t="array" ref="AT66:AU66">AR66:AS66</f>
        <v>2.7857055486079713E-2</v>
      </c>
      <c r="AU66" s="32">
        <v>3.2884868785646492E-3</v>
      </c>
      <c r="AV66" s="24"/>
      <c r="AW66" s="24"/>
      <c r="AX66" s="51"/>
      <c r="AY66" s="47"/>
      <c r="AZ66" s="32">
        <f t="shared" si="11"/>
        <v>81354566284.197021</v>
      </c>
      <c r="BA66" s="32">
        <f t="shared" si="12"/>
        <v>88138659054.577789</v>
      </c>
      <c r="BB66" s="32"/>
      <c r="BC66" s="32"/>
      <c r="BD66" s="32"/>
      <c r="BE66" s="32"/>
      <c r="BF66" s="32"/>
      <c r="BG66" s="32"/>
      <c r="BH66" s="32"/>
      <c r="BI66" s="32"/>
      <c r="BJ66" s="32"/>
      <c r="BK66" s="32"/>
      <c r="BL66" s="32"/>
      <c r="BM66" s="32"/>
      <c r="BN66" s="32"/>
      <c r="BO66" s="32"/>
      <c r="BP66" s="32"/>
      <c r="BQ66" s="32"/>
      <c r="BR66" s="32"/>
      <c r="BS66" s="32"/>
      <c r="BT66" s="32"/>
      <c r="BU66" s="32"/>
      <c r="BW66" s="32"/>
    </row>
    <row r="67" spans="2:85" x14ac:dyDescent="0.3">
      <c r="B67" s="1">
        <v>45337.70416666667</v>
      </c>
      <c r="C67">
        <v>99.99</v>
      </c>
      <c r="D67">
        <f t="shared" si="15"/>
        <v>150</v>
      </c>
      <c r="F67" s="2">
        <v>0.98099999999999998</v>
      </c>
      <c r="G67" s="2">
        <v>0</v>
      </c>
      <c r="H67" s="2">
        <v>1.95</v>
      </c>
      <c r="I67">
        <v>9000</v>
      </c>
      <c r="J67">
        <v>9127.0589999999993</v>
      </c>
      <c r="K67">
        <f t="shared" si="3"/>
        <v>12000.000000139698</v>
      </c>
      <c r="L67">
        <f t="shared" si="4"/>
        <v>3000.0000001396984</v>
      </c>
      <c r="M67" s="47"/>
      <c r="N67">
        <v>6.2844483616795403E-3</v>
      </c>
      <c r="O67">
        <v>2.6300508081318799E-2</v>
      </c>
      <c r="Q67">
        <v>6.1650438428076304E-3</v>
      </c>
      <c r="R67">
        <v>2.33742722995067E-4</v>
      </c>
      <c r="S67">
        <v>5.1285990758571702E-2</v>
      </c>
      <c r="T67">
        <v>3.2286204435096202E-4</v>
      </c>
      <c r="AE67" s="2">
        <f>SUM(AV$5:$AV67)</f>
        <v>6.8282935783569076</v>
      </c>
      <c r="AF67" s="2" cm="1">
        <f t="array" ref="AF67">2*SQRT(SUM((AW$5:$AW67/2)^2))</f>
        <v>5.1325225626580422E-2</v>
      </c>
      <c r="AG67" s="2">
        <f t="shared" si="13"/>
        <v>6.7943248094337321</v>
      </c>
      <c r="AH67" s="2" cm="1">
        <f t="array" ref="AH67">2*SQRT(SUM((R$5:$R67/2)^2))</f>
        <v>4.0781935157488278E-2</v>
      </c>
      <c r="AI67" s="2">
        <f t="shared" si="14"/>
        <v>2.8192584138591803</v>
      </c>
      <c r="AJ67" s="2" cm="1">
        <f t="array" ref="AJ67">2*SQRT(SUM((T$5:$T67/2)^2))</f>
        <v>6.8320362103065444E-3</v>
      </c>
      <c r="AK67" s="47"/>
      <c r="AL67" s="2">
        <f>'Fit Lambdas'!$U$2*(10000/(C67+273))+'Fit Lambdas'!$V$2</f>
        <v>25.45939586923167</v>
      </c>
      <c r="AM67">
        <f>'Fit Lambdas'!$V$4</f>
        <v>6.7480704157997479E-2</v>
      </c>
      <c r="AN67" s="2">
        <f t="shared" si="1"/>
        <v>113992200830.34454</v>
      </c>
      <c r="AO67" s="2">
        <f t="shared" si="9"/>
        <v>7692273980.5515146</v>
      </c>
      <c r="AP67" s="2">
        <f>AN67*(C67+273)*$C$145*$E$144</f>
        <v>4.0516485682730825E-5</v>
      </c>
      <c r="AQ67" s="2">
        <f t="shared" si="10"/>
        <v>3.5543208559532784E-16</v>
      </c>
      <c r="AR67" s="2">
        <f>Q67/(1-EXP(-D67*60*AP67))</f>
        <v>2.0176266036499555E-2</v>
      </c>
      <c r="AS67" s="2">
        <f>2*SQRT(
((R67/2) * (1 / (1 - EXP(-D67 * 60 * AN67 * AQ67))))^2 +
(AO67 * (-Q67 * 60 * D67 * AQ67 * EXP(-D67 * 60 * AN67 * AQ67) / (1 - EXP(-D67 * 60 * AN67 * AQ67))^2))^2
)</f>
        <v>2.3827822588491933E-3</v>
      </c>
      <c r="AT67" s="2">
        <f>AT66-Q66</f>
        <v>1.9345075712789511E-2</v>
      </c>
      <c r="AU67" s="2">
        <f>AU66+R66</f>
        <v>3.6098927112688021E-3</v>
      </c>
      <c r="AV67" s="22"/>
      <c r="AW67" s="22"/>
      <c r="AX67" s="49"/>
      <c r="AY67" s="47"/>
      <c r="AZ67" s="2">
        <f t="shared" si="11"/>
        <v>81354566284.197021</v>
      </c>
      <c r="BA67" s="2">
        <f t="shared" si="12"/>
        <v>88138659054.577789</v>
      </c>
      <c r="BB67" s="2"/>
      <c r="BC67" s="2"/>
      <c r="BD67" s="2"/>
      <c r="BE67" s="2"/>
      <c r="BF67" s="2"/>
      <c r="BG67" s="2"/>
      <c r="BH67" s="2"/>
      <c r="BI67" s="2"/>
      <c r="BJ67" s="2"/>
      <c r="BK67" s="2"/>
      <c r="BL67" s="2"/>
      <c r="BM67" s="2"/>
      <c r="BN67" s="2"/>
      <c r="BO67" s="2"/>
      <c r="BP67" s="2"/>
      <c r="BQ67" s="2"/>
      <c r="BR67" s="2"/>
      <c r="BS67" s="2"/>
      <c r="BT67" s="2"/>
      <c r="BU67" s="2"/>
      <c r="BV67"/>
      <c r="BW67"/>
      <c r="BX67"/>
      <c r="BY67"/>
      <c r="BZ67"/>
      <c r="CA67"/>
      <c r="CB67"/>
      <c r="CC67"/>
      <c r="CD67"/>
      <c r="CE67"/>
      <c r="CF67"/>
      <c r="CG67"/>
    </row>
    <row r="68" spans="2:85" x14ac:dyDescent="0.3">
      <c r="B68" s="1">
        <v>45337.847222222219</v>
      </c>
      <c r="C68">
        <v>100</v>
      </c>
      <c r="D68">
        <f t="shared" si="15"/>
        <v>150</v>
      </c>
      <c r="F68" s="2">
        <v>0.69599999999999995</v>
      </c>
      <c r="G68" s="2">
        <v>0</v>
      </c>
      <c r="H68" s="2">
        <v>5</v>
      </c>
      <c r="I68">
        <v>9000</v>
      </c>
      <c r="J68">
        <v>9124.6270000000004</v>
      </c>
      <c r="K68">
        <f t="shared" si="3"/>
        <v>12359.999999427237</v>
      </c>
      <c r="L68">
        <f t="shared" si="4"/>
        <v>3359.9999994272366</v>
      </c>
      <c r="M68" s="47"/>
      <c r="N68">
        <v>6.1247738621486702E-3</v>
      </c>
      <c r="O68">
        <v>2.62127837662114E-2</v>
      </c>
      <c r="Q68">
        <v>4.2628426080554699E-3</v>
      </c>
      <c r="R68">
        <v>1.6510361530595299E-4</v>
      </c>
      <c r="S68">
        <v>0.131063918831057</v>
      </c>
      <c r="T68">
        <v>8.4744101268702601E-4</v>
      </c>
      <c r="AE68" s="2">
        <f>SUM(AV$5:$AV68)</f>
        <v>6.8282935783569076</v>
      </c>
      <c r="AF68" s="2" cm="1">
        <f t="array" ref="AF68">2*SQRT(SUM((AW$5:$AW68/2)^2))</f>
        <v>5.1325225626580422E-2</v>
      </c>
      <c r="AG68" s="2">
        <f t="shared" si="13"/>
        <v>6.7985876520417872</v>
      </c>
      <c r="AH68" s="2" cm="1">
        <f t="array" ref="AH68">2*SQRT(SUM((R$5:$R68/2)^2))</f>
        <v>4.0782269362964162E-2</v>
      </c>
      <c r="AI68" s="2">
        <f t="shared" si="14"/>
        <v>2.9503223326902375</v>
      </c>
      <c r="AJ68" s="2" cm="1">
        <f t="array" ref="AJ68">2*SQRT(SUM((T$5:$T68/2)^2))</f>
        <v>6.8843935861427775E-3</v>
      </c>
      <c r="AK68" s="47"/>
      <c r="AL68" s="2">
        <f>'Fit Lambdas'!$U$2*(10000/(C68+273))+'Fit Lambdas'!$V$2</f>
        <v>25.45976456747379</v>
      </c>
      <c r="AM68">
        <f>'Fit Lambdas'!$V$4</f>
        <v>6.7480704157997479E-2</v>
      </c>
      <c r="AN68" s="2">
        <f t="shared" ref="AN68:AN131" si="16">EXP(AL68)</f>
        <v>114034237303.31673</v>
      </c>
      <c r="AO68" s="2">
        <f t="shared" ref="AO68:AO131" si="17">AM68*AN68</f>
        <v>7695110631.3479958</v>
      </c>
      <c r="AP68" s="2">
        <f>AN68*(C68+273)*$C$145*$E$144</f>
        <v>4.053251345654956E-5</v>
      </c>
      <c r="AQ68" s="2">
        <f t="shared" ref="AQ68:AQ99" si="18">(C68+273)*$C$145*$E$144</f>
        <v>3.5544161486114176E-16</v>
      </c>
      <c r="AR68" s="2">
        <f>Q68/(1-EXP(-D68*60*AP68))</f>
        <v>1.3946382778054055E-2</v>
      </c>
      <c r="AS68" s="2">
        <f>2*SQRT(
((R68/2) * (1 / (1 - EXP(-D68 * 60 * AN68 * AQ68))))^2 +
(AO68 * (-Q68 * 60 * D68 * AQ68 * EXP(-D68 * 60 * AN68 * AQ68) / (1 - EXP(-D68 * 60 * AN68 * AQ68))^2))^2
)</f>
        <v>1.6506227760253187E-3</v>
      </c>
      <c r="AT68" s="2">
        <f>AT67-Q67</f>
        <v>1.318003186998188E-2</v>
      </c>
      <c r="AU68" s="2">
        <f>AU67+R67</f>
        <v>3.843635434263869E-3</v>
      </c>
      <c r="AV68" s="22"/>
      <c r="AW68" s="22"/>
      <c r="AX68" s="49"/>
      <c r="AY68" s="47"/>
      <c r="AZ68" s="2">
        <f t="shared" si="11"/>
        <v>81368987856.687653</v>
      </c>
      <c r="BA68" s="2">
        <f t="shared" si="12"/>
        <v>88154464997.476822</v>
      </c>
      <c r="BB68" s="2"/>
      <c r="BC68" s="2"/>
      <c r="BD68" s="2"/>
      <c r="BE68" s="2"/>
      <c r="BF68" s="2"/>
      <c r="BG68" s="2"/>
      <c r="BH68" s="2"/>
      <c r="BI68" s="2"/>
      <c r="BJ68" s="2"/>
      <c r="BK68" s="2"/>
      <c r="BL68" s="2"/>
      <c r="BM68" s="2"/>
      <c r="BN68" s="2"/>
      <c r="BO68" s="2"/>
      <c r="BP68" s="2"/>
      <c r="BQ68" s="2"/>
      <c r="BR68" s="2"/>
      <c r="BS68" s="2"/>
      <c r="BT68" s="2"/>
      <c r="BU68" s="2"/>
      <c r="BV68"/>
      <c r="BW68"/>
      <c r="BX68"/>
      <c r="BY68"/>
      <c r="BZ68"/>
      <c r="CA68"/>
      <c r="CB68"/>
      <c r="CC68"/>
      <c r="CD68"/>
      <c r="CE68"/>
      <c r="CF68"/>
      <c r="CG68"/>
    </row>
    <row r="69" spans="2:85" s="27" customFormat="1" x14ac:dyDescent="0.3">
      <c r="B69" s="28">
        <v>45338.12222222222</v>
      </c>
      <c r="C69" s="27">
        <v>229.99</v>
      </c>
      <c r="D69" s="27">
        <f t="shared" si="15"/>
        <v>370</v>
      </c>
      <c r="E69" s="27" t="s">
        <v>460</v>
      </c>
      <c r="F69" s="29">
        <v>56.9</v>
      </c>
      <c r="G69" s="29">
        <v>0</v>
      </c>
      <c r="H69" s="29">
        <v>8.0399999999999991</v>
      </c>
      <c r="I69" s="27">
        <v>22200</v>
      </c>
      <c r="J69" s="27">
        <v>22325.184000000001</v>
      </c>
      <c r="K69" s="27">
        <f t="shared" ref="K69:K132" si="19">(B69-B68)*24*3600</f>
        <v>23760.000000125729</v>
      </c>
      <c r="L69" s="27">
        <f t="shared" ref="L69:L132" si="20">K69-I69</f>
        <v>1560.0000001257285</v>
      </c>
      <c r="M69" s="47"/>
      <c r="N69" s="27">
        <v>6.2862292134231897E-3</v>
      </c>
      <c r="O69" s="27">
        <v>2.6284337155500902E-2</v>
      </c>
      <c r="Q69" s="27">
        <v>0.35768644224377999</v>
      </c>
      <c r="R69" s="27">
        <v>1.3341105289554799E-2</v>
      </c>
      <c r="S69" s="27">
        <v>0.21132607073022699</v>
      </c>
      <c r="T69" s="27">
        <v>1.31899743016831E-3</v>
      </c>
      <c r="V69" s="29">
        <f>(1000*S69/Q69)/$AE$140</f>
        <v>0.58508066593169861</v>
      </c>
      <c r="W69" s="29"/>
      <c r="X69" s="29">
        <f>S69-AVERAGE(S70:S72)</f>
        <v>0.19373775906023877</v>
      </c>
      <c r="Y69" s="29">
        <f>T69+AVERAGE(S70:S72)</f>
        <v>1.8907309100156547E-2</v>
      </c>
      <c r="Z69" s="29"/>
      <c r="AA69" s="29">
        <f>(X69*1000)/Q69</f>
        <v>541.64132653425384</v>
      </c>
      <c r="AB69" s="29">
        <f>2*((1000*Y69/(2*Q69))^2+((R69/2)*1000*X69/(Q69^2))^2)^0.5</f>
        <v>56.588993804340561</v>
      </c>
      <c r="AC69" s="29">
        <f>AA69/$AE$140</f>
        <v>0.53638539104709793</v>
      </c>
      <c r="AD69" s="29">
        <f>2*(($AF$140*AA69/(2*$AE$140^2))^2+(AB69/($AE$140*2))^2)^0.5</f>
        <v>5.6325058143311582E-2</v>
      </c>
      <c r="AE69" s="29">
        <f>SUM(AV$5:$AV69)</f>
        <v>7.2192944523275493</v>
      </c>
      <c r="AF69" s="29" cm="1">
        <f t="array" ref="AF69">2*SQRT(SUM((AW$5:$AW69/2)^2))</f>
        <v>5.3429156764132388E-2</v>
      </c>
      <c r="AG69" s="29">
        <f t="shared" si="13"/>
        <v>7.1562740942855676</v>
      </c>
      <c r="AH69" s="29" cm="1">
        <f t="array" ref="AH69">2*SQRT(SUM((R$5:$R69/2)^2))</f>
        <v>4.2908956929064969E-2</v>
      </c>
      <c r="AI69" s="29">
        <f t="shared" si="14"/>
        <v>3.1616484034204646</v>
      </c>
      <c r="AJ69" s="29" cm="1">
        <f t="array" ref="AJ69">2*SQRT(SUM((T$5:$T69/2)^2))</f>
        <v>7.0096097801314464E-3</v>
      </c>
      <c r="AK69" s="47"/>
      <c r="AL69" s="29"/>
      <c r="AN69" s="29"/>
      <c r="AO69" s="29"/>
      <c r="AP69" s="29"/>
      <c r="AQ69" s="29">
        <f t="shared" si="18"/>
        <v>4.79312541176959E-16</v>
      </c>
      <c r="AR69" s="29"/>
      <c r="AS69" s="29"/>
      <c r="AT69" s="29">
        <f>AT68-Q68</f>
        <v>8.9171892619264101E-3</v>
      </c>
      <c r="AU69" s="29">
        <f>AU68+R68</f>
        <v>4.0087390495698221E-3</v>
      </c>
      <c r="AV69" s="23">
        <f>Q69+AT70-AT69</f>
        <v>0.39100087397064176</v>
      </c>
      <c r="AW69" s="23">
        <f>2*(((AU69/2)^2+(AU70/2)^2+(R69/2)^2)^(0.5))</f>
        <v>1.484574036236812E-2</v>
      </c>
      <c r="AX69" s="50">
        <f>100*(AV69-Q69)/Q69</f>
        <v>9.3138648246992908</v>
      </c>
      <c r="AY69" s="47"/>
      <c r="AZ69" s="29">
        <f t="shared" ref="AZ69:AZ100" si="21">IF((273+C69)&gt;=600, 0.00074*EXP(-6613/(1.987*(273+C69)))*128000000000000000*EXP(1174/(1.987*(273+C69))), 0.000304*EXP(-5580/(1.987*(273+C69)))*199000000000000000*EXP(680/(1.987*(273+C69))))</f>
        <v>449255843058.26703</v>
      </c>
      <c r="BA69" s="29">
        <f t="shared" ref="BA69:BA100" si="22">AZ69 * 1.17*EXP(-57/(1.987*(273+C69)))</f>
        <v>496490528732.93243</v>
      </c>
      <c r="BB69" s="29">
        <f>Q69*BD69</f>
        <v>8.3512557592208367E-2</v>
      </c>
      <c r="BC69" s="29">
        <f>AQ69*BA69*I69</f>
        <v>5.2830258413394793</v>
      </c>
      <c r="BD69" s="29">
        <f>1/(BC69-1)</f>
        <v>0.23347979607035446</v>
      </c>
      <c r="BE69" s="29">
        <f>BG69*S69</f>
        <v>5.5900246885354443E-2</v>
      </c>
      <c r="BF69" s="29">
        <f>AQ69*AZ69*I69</f>
        <v>4.7804139070017824</v>
      </c>
      <c r="BG69" s="29">
        <f>1/(BF69-1)</f>
        <v>0.26452129967776267</v>
      </c>
      <c r="BH69" s="29">
        <f>Q69-BB65</f>
        <v>0.31580142768148484</v>
      </c>
      <c r="BI69" s="29">
        <f>Q69+BB69</f>
        <v>0.44119899983598837</v>
      </c>
      <c r="BJ69" s="29">
        <f>X69-BE65</f>
        <v>0.16799015557072922</v>
      </c>
      <c r="BK69" s="29">
        <f>X69+BE69</f>
        <v>0.24963800594559321</v>
      </c>
      <c r="BL69" s="29">
        <f>BF69*1.29</f>
        <v>6.1667339400322998</v>
      </c>
      <c r="BM69" s="29">
        <f>Q69 / (BL69-1)</f>
        <v>6.922873257947243E-2</v>
      </c>
      <c r="BN69" s="29">
        <f>(1000*(S69+BE69)/(Q69+BM69))/$AE$140</f>
        <v>0.61987308955099274</v>
      </c>
      <c r="BO69" s="29">
        <f>(1000*(S69-BE65)/(Q69-BM65))/$AE$140</f>
        <v>0.57035381142652886</v>
      </c>
      <c r="BP69" s="29">
        <f>(1000*(S69+BE69-BE65)/(Q69+BM69-BM65))/$AE$140</f>
        <v>0.61090333277309317</v>
      </c>
      <c r="BQ69" s="29">
        <f>MIN(BN69:BP69)</f>
        <v>0.57035381142652886</v>
      </c>
      <c r="BR69" s="29">
        <f>((1000*S69/Q69))/$AE$140</f>
        <v>0.58508066593169861</v>
      </c>
      <c r="BS69" s="29">
        <f>MAX(BN69:BP69)</f>
        <v>0.61987308955099274</v>
      </c>
      <c r="BT69" s="29"/>
      <c r="BU69" s="29"/>
    </row>
    <row r="70" spans="2:85" s="30" customFormat="1" x14ac:dyDescent="0.3">
      <c r="B70" s="31">
        <v>45338.244444444441</v>
      </c>
      <c r="C70" s="30">
        <v>95</v>
      </c>
      <c r="D70" s="30">
        <f t="shared" si="15"/>
        <v>150</v>
      </c>
      <c r="E70" s="30" t="s">
        <v>447</v>
      </c>
      <c r="F70" s="32">
        <v>1.73</v>
      </c>
      <c r="G70" s="32">
        <v>0</v>
      </c>
      <c r="H70" s="32">
        <v>0.42099999999999999</v>
      </c>
      <c r="I70" s="30">
        <v>9000</v>
      </c>
      <c r="J70" s="30">
        <v>9127.6110000000008</v>
      </c>
      <c r="K70" s="30">
        <f t="shared" si="19"/>
        <v>10559.999999846332</v>
      </c>
      <c r="L70" s="30">
        <f t="shared" si="20"/>
        <v>1559.9999998463318</v>
      </c>
      <c r="M70" s="47"/>
      <c r="N70" s="30">
        <v>6.3009891986499696E-3</v>
      </c>
      <c r="O70" s="30">
        <v>2.6308942542484101E-2</v>
      </c>
      <c r="Q70" s="30">
        <v>1.09007113136644E-2</v>
      </c>
      <c r="R70" s="30">
        <v>4.0140724395722898E-4</v>
      </c>
      <c r="S70" s="30">
        <v>1.10760648103858E-2</v>
      </c>
      <c r="T70" s="32">
        <v>6.8963795376697498E-5</v>
      </c>
      <c r="U70" s="32"/>
      <c r="X70" s="32"/>
      <c r="Y70" s="32"/>
      <c r="Z70" s="32"/>
      <c r="AA70" s="32"/>
      <c r="AE70" s="32">
        <f>SUM(AV$5:$AV70)</f>
        <v>7.2192944523275493</v>
      </c>
      <c r="AF70" s="32" cm="1">
        <f t="array" ref="AF70">2*SQRT(SUM((AW$5:$AW70/2)^2))</f>
        <v>5.3429156764132388E-2</v>
      </c>
      <c r="AG70" s="32">
        <f t="shared" ref="AG70:AG101" si="23">AG69+Q70</f>
        <v>7.1671748055992319</v>
      </c>
      <c r="AH70" s="32" cm="1">
        <f t="array" ref="AH70">2*SQRT(SUM((R$5:$R70/2)^2))</f>
        <v>4.2910834442082969E-2</v>
      </c>
      <c r="AI70" s="32">
        <f t="shared" ref="AI70:AI101" si="24">AI69+S70</f>
        <v>3.1727244682308502</v>
      </c>
      <c r="AJ70" s="32" cm="1">
        <f t="array" ref="AJ70">2*SQRT(SUM((T$5:$T70/2)^2))</f>
        <v>7.009949020840821E-3</v>
      </c>
      <c r="AK70" s="47"/>
      <c r="AL70" s="32">
        <f>'Fit Lambdas'!$U$2*(10000/(C70+273))+'Fit Lambdas'!$V$2</f>
        <v>25.272915712407681</v>
      </c>
      <c r="AM70" s="30">
        <f>'Fit Lambdas'!$V$4</f>
        <v>6.7480704157997479E-2</v>
      </c>
      <c r="AN70" s="32">
        <f t="shared" si="16"/>
        <v>94599280986.297607</v>
      </c>
      <c r="AO70" s="32">
        <f t="shared" si="17"/>
        <v>6383626093.7956247</v>
      </c>
      <c r="AP70" s="32">
        <f>AN70*(C70+273)*$C$145*$E$144</f>
        <v>3.3173790351308016E-5</v>
      </c>
      <c r="AQ70" s="32">
        <f t="shared" si="18"/>
        <v>3.5067698195415599E-16</v>
      </c>
      <c r="AR70" s="32">
        <f>Q70/(1-EXP(-D70*60*AP70))</f>
        <v>4.223162098878816E-2</v>
      </c>
      <c r="AS70" s="32">
        <f>2*SQRT(
((R70/2) * (1 / (1 - EXP(-D70 * 60 * AN70 * AQ70))))^2 +
(AO70 * (-Q70 * 60 * D70 * AQ70 * EXP(-D70 * 60 * AN70 * AQ70) / (1 - EXP(-D70 * 60 * AN70 * AQ70))^2))^2
)</f>
        <v>5.1323413557861587E-3</v>
      </c>
      <c r="AT70" s="32" cm="1">
        <f t="array" ref="AT70:AU70">AR70:AS70</f>
        <v>4.223162098878816E-2</v>
      </c>
      <c r="AU70" s="32">
        <v>5.1323413557861587E-3</v>
      </c>
      <c r="AV70" s="24"/>
      <c r="AW70" s="24"/>
      <c r="AX70" s="51"/>
      <c r="AY70" s="47"/>
      <c r="AZ70" s="32">
        <f t="shared" si="21"/>
        <v>74378450025.067627</v>
      </c>
      <c r="BA70" s="32">
        <f t="shared" si="22"/>
        <v>80496818032.103622</v>
      </c>
      <c r="BB70" s="32"/>
      <c r="BC70" s="32"/>
      <c r="BD70" s="32"/>
      <c r="BE70" s="32"/>
      <c r="BF70" s="32"/>
      <c r="BG70" s="32"/>
      <c r="BH70" s="32"/>
      <c r="BI70" s="32"/>
      <c r="BJ70" s="32"/>
      <c r="BK70" s="32"/>
      <c r="BL70" s="32"/>
      <c r="BM70" s="32"/>
      <c r="BN70" s="32"/>
      <c r="BO70" s="32"/>
      <c r="BP70" s="32"/>
      <c r="BQ70" s="32"/>
      <c r="BR70" s="32"/>
      <c r="BS70" s="32"/>
      <c r="BT70" s="32"/>
      <c r="BU70" s="32"/>
    </row>
    <row r="71" spans="2:85" s="8" customFormat="1" x14ac:dyDescent="0.3">
      <c r="B71" s="33">
        <v>45338.366666666669</v>
      </c>
      <c r="C71" s="8">
        <v>95</v>
      </c>
      <c r="D71" s="8">
        <f t="shared" si="15"/>
        <v>150</v>
      </c>
      <c r="E71" s="8" t="s">
        <v>448</v>
      </c>
      <c r="F71" s="34">
        <v>1.28</v>
      </c>
      <c r="G71" s="34">
        <v>0</v>
      </c>
      <c r="H71" s="34">
        <v>0.123</v>
      </c>
      <c r="I71" s="8">
        <v>9000</v>
      </c>
      <c r="J71" s="8">
        <v>9124.4429999999993</v>
      </c>
      <c r="K71" s="8">
        <f t="shared" si="19"/>
        <v>10560.000000474975</v>
      </c>
      <c r="L71" s="8">
        <f t="shared" si="20"/>
        <v>1560.0000004749745</v>
      </c>
      <c r="M71" s="47"/>
      <c r="N71" s="8">
        <v>6.3057618476632703E-3</v>
      </c>
      <c r="O71" s="8">
        <v>2.6329110087416299E-2</v>
      </c>
      <c r="Q71" s="8">
        <v>8.0713751650089895E-3</v>
      </c>
      <c r="R71" s="8">
        <v>2.9027337404482898E-4</v>
      </c>
      <c r="S71" s="8">
        <v>3.2384805407522101E-3</v>
      </c>
      <c r="T71" s="34">
        <v>2.0155953700263699E-5</v>
      </c>
      <c r="U71" s="34"/>
      <c r="X71" s="34"/>
      <c r="Y71" s="34"/>
      <c r="Z71" s="34"/>
      <c r="AA71" s="34"/>
      <c r="AE71" s="34">
        <f>SUM(AV$5:$AV71)</f>
        <v>7.2192944523275493</v>
      </c>
      <c r="AF71" s="34" cm="1">
        <f t="array" ref="AF71">2*SQRT(SUM((AW$5:$AW71/2)^2))</f>
        <v>5.3429156764132388E-2</v>
      </c>
      <c r="AG71" s="34">
        <f t="shared" si="23"/>
        <v>7.1752461807642405</v>
      </c>
      <c r="AH71" s="34" cm="1">
        <f t="array" ref="AH71">2*SQRT(SUM((R$5:$R71/2)^2))</f>
        <v>4.2911816218234498E-2</v>
      </c>
      <c r="AI71" s="34">
        <f t="shared" si="24"/>
        <v>3.1759629487716023</v>
      </c>
      <c r="AJ71" s="34" cm="1">
        <f t="array" ref="AJ71">2*SQRT(SUM((T$5:$T71/2)^2))</f>
        <v>7.0099779983432723E-3</v>
      </c>
      <c r="AK71" s="47"/>
      <c r="AL71" s="34">
        <f>'Fit Lambdas'!$U$2*(10000/(C71+273))+'Fit Lambdas'!$V$2</f>
        <v>25.272915712407681</v>
      </c>
      <c r="AM71" s="8">
        <f>'Fit Lambdas'!$V$4</f>
        <v>6.7480704157997479E-2</v>
      </c>
      <c r="AN71" s="34">
        <f t="shared" si="16"/>
        <v>94599280986.297607</v>
      </c>
      <c r="AO71" s="34">
        <f t="shared" si="17"/>
        <v>6383626093.7956247</v>
      </c>
      <c r="AP71" s="34">
        <f>AN71*(C71+273)*$C$145*$E$144</f>
        <v>3.3173790351308016E-5</v>
      </c>
      <c r="AQ71" s="34">
        <f t="shared" si="18"/>
        <v>3.5067698195415599E-16</v>
      </c>
      <c r="AR71" s="34">
        <f>Q71/(1-EXP(-D71*60*AP71))</f>
        <v>3.1270184763052003E-2</v>
      </c>
      <c r="AS71" s="34">
        <f>2*SQRT(
((R71/2) * (1 / (1 - EXP(-D71 * 60 * AN71 * AQ71))))^2 +
(AO71 * (-Q71 * 60 * D71 * AQ71 * EXP(-D71 * 60 * AN71 * AQ71) / (1 - EXP(-D71 * 60 * AN71 * AQ71))^2))^2
)</f>
        <v>3.7921476483427775E-3</v>
      </c>
      <c r="AT71" s="34">
        <f>AT70*EXP(-AP70*D70*60)</f>
        <v>3.1330909675123766E-2</v>
      </c>
      <c r="AU71" s="34">
        <f>2*((((AU70/2)*EXP(-AP70*D70*60))^2+(AT70*EXP(-AP70*D70*60)*D70*60*AO70*AP70/AN70)^2)^0.5)</f>
        <v>4.0114344719981111E-3</v>
      </c>
      <c r="AV71" s="25"/>
      <c r="AW71" s="25"/>
      <c r="AX71" s="52"/>
      <c r="AY71" s="47"/>
      <c r="AZ71" s="34">
        <f t="shared" si="21"/>
        <v>74378450025.067627</v>
      </c>
      <c r="BA71" s="34">
        <f t="shared" si="22"/>
        <v>80496818032.103622</v>
      </c>
      <c r="BB71" s="34"/>
      <c r="BC71" s="34"/>
      <c r="BD71" s="34"/>
      <c r="BE71" s="34"/>
      <c r="BF71" s="34"/>
      <c r="BG71" s="34"/>
      <c r="BH71" s="34"/>
      <c r="BI71" s="34"/>
      <c r="BJ71" s="34"/>
      <c r="BK71" s="34"/>
      <c r="BL71" s="34"/>
      <c r="BM71" s="34"/>
      <c r="BN71" s="34"/>
      <c r="BO71" s="34"/>
      <c r="BP71" s="34"/>
      <c r="BQ71" s="34"/>
      <c r="BR71" s="34"/>
      <c r="BS71" s="34"/>
      <c r="BT71" s="34"/>
      <c r="BU71" s="34"/>
    </row>
    <row r="72" spans="2:85" s="8" customFormat="1" x14ac:dyDescent="0.3">
      <c r="B72" s="33">
        <v>45338.488888888889</v>
      </c>
      <c r="C72" s="8">
        <v>95</v>
      </c>
      <c r="D72" s="8">
        <f t="shared" si="15"/>
        <v>150</v>
      </c>
      <c r="E72" s="8" t="s">
        <v>448</v>
      </c>
      <c r="F72" s="34">
        <v>0.98699999999999999</v>
      </c>
      <c r="G72" s="34">
        <v>0</v>
      </c>
      <c r="H72" s="34">
        <v>1.46</v>
      </c>
      <c r="I72" s="8">
        <v>9000</v>
      </c>
      <c r="J72" s="8">
        <v>9127.0869999999995</v>
      </c>
      <c r="K72" s="8">
        <f t="shared" si="19"/>
        <v>10559.999999846332</v>
      </c>
      <c r="L72" s="8">
        <f t="shared" si="20"/>
        <v>1559.9999998463318</v>
      </c>
      <c r="M72" s="47"/>
      <c r="N72" s="8">
        <v>6.3054984576007599E-3</v>
      </c>
      <c r="O72" s="8">
        <v>2.6335883327963501E-2</v>
      </c>
      <c r="Q72" s="8">
        <v>6.2235269776519499E-3</v>
      </c>
      <c r="R72" s="8">
        <v>2.0798207905691699E-4</v>
      </c>
      <c r="S72" s="8">
        <v>3.8450389658826703E-2</v>
      </c>
      <c r="T72" s="8">
        <v>2.3738532019868899E-4</v>
      </c>
      <c r="AE72" s="34">
        <f>SUM(AV$5:$AV72)</f>
        <v>7.2192944523275493</v>
      </c>
      <c r="AF72" s="34" cm="1">
        <f t="array" ref="AF72">2*SQRT(SUM((AW$5:$AW72/2)^2))</f>
        <v>5.3429156764132388E-2</v>
      </c>
      <c r="AG72" s="34">
        <f t="shared" si="23"/>
        <v>7.1814697077418925</v>
      </c>
      <c r="AH72" s="34" cm="1">
        <f t="array" ref="AH72">2*SQRT(SUM((R$5:$R72/2)^2))</f>
        <v>4.2912320231988647E-2</v>
      </c>
      <c r="AI72" s="34">
        <f t="shared" si="24"/>
        <v>3.214413338430429</v>
      </c>
      <c r="AJ72" s="34" cm="1">
        <f t="array" ref="AJ72">2*SQRT(SUM((T$5:$T72/2)^2))</f>
        <v>7.0139962451873745E-3</v>
      </c>
      <c r="AK72" s="47"/>
      <c r="AL72" s="34">
        <f>'Fit Lambdas'!$U$2*(10000/(C72+273))+'Fit Lambdas'!$V$2</f>
        <v>25.272915712407681</v>
      </c>
      <c r="AM72" s="8">
        <f>'Fit Lambdas'!$V$4</f>
        <v>6.7480704157997479E-2</v>
      </c>
      <c r="AN72" s="34">
        <f t="shared" si="16"/>
        <v>94599280986.297607</v>
      </c>
      <c r="AO72" s="34">
        <f t="shared" si="17"/>
        <v>6383626093.7956247</v>
      </c>
      <c r="AP72" s="34">
        <f>AN72*(C72+273)*$C$145*$E$144</f>
        <v>3.3173790351308016E-5</v>
      </c>
      <c r="AQ72" s="34">
        <f t="shared" si="18"/>
        <v>3.5067698195415599E-16</v>
      </c>
      <c r="AR72" s="34">
        <f>Q72/(1-EXP(-D72*60*AP72))</f>
        <v>2.4111236869857274E-2</v>
      </c>
      <c r="AS72" s="34">
        <f>2*SQRT(
((R72/2) * (1 / (1 - EXP(-D72 * 60 * AN72 * AQ72))))^2 +
(AO72 * (-Q72 * 60 * D72 * AQ72 * EXP(-D72 * 60 * AN72 * AQ72) / (1 - EXP(-D72 * 60 * AN72 * AQ72))^2))^2
)</f>
        <v>2.9063750648212574E-3</v>
      </c>
      <c r="AT72" s="34">
        <f>AT71*EXP(-AP71*D71*60)</f>
        <v>2.3243860360732314E-2</v>
      </c>
      <c r="AU72" s="34">
        <f>2*((((AU71/2)*EXP(-AP71*D71*60))^2+(AT71*EXP(-AP71*D71*60)*D71*60*AO71*AP71/AN71)^2)^0.5)</f>
        <v>3.1199172412917611E-3</v>
      </c>
      <c r="AV72" s="25"/>
      <c r="AW72" s="25"/>
      <c r="AX72" s="52"/>
      <c r="AY72" s="47"/>
      <c r="AZ72" s="34">
        <f t="shared" si="21"/>
        <v>74378450025.067627</v>
      </c>
      <c r="BA72" s="34">
        <f t="shared" si="22"/>
        <v>80496818032.103622</v>
      </c>
      <c r="BB72" s="34"/>
      <c r="BC72" s="34"/>
      <c r="BD72" s="34"/>
      <c r="BE72" s="34"/>
      <c r="BF72" s="34"/>
      <c r="BG72" s="34"/>
      <c r="BH72" s="34"/>
      <c r="BI72" s="34"/>
      <c r="BJ72" s="34"/>
      <c r="BK72" s="34"/>
      <c r="BL72" s="34"/>
      <c r="BM72" s="34"/>
      <c r="BN72" s="34"/>
      <c r="BO72" s="34"/>
      <c r="BP72" s="34"/>
      <c r="BQ72" s="34"/>
      <c r="BR72" s="34"/>
      <c r="BS72" s="34"/>
      <c r="BT72" s="34"/>
      <c r="BU72" s="34"/>
    </row>
    <row r="73" spans="2:85" s="27" customFormat="1" x14ac:dyDescent="0.3">
      <c r="B73" s="28">
        <v>45338.73333333333</v>
      </c>
      <c r="C73" s="27">
        <v>240</v>
      </c>
      <c r="D73" s="27">
        <f t="shared" si="15"/>
        <v>320</v>
      </c>
      <c r="E73" s="27" t="s">
        <v>460</v>
      </c>
      <c r="F73" s="29">
        <v>108</v>
      </c>
      <c r="G73" s="29">
        <v>0</v>
      </c>
      <c r="H73" s="29">
        <v>16.3</v>
      </c>
      <c r="I73" s="27">
        <v>19200</v>
      </c>
      <c r="J73" s="27">
        <v>19329.815999999999</v>
      </c>
      <c r="K73" s="27">
        <f t="shared" si="19"/>
        <v>21119.999999692664</v>
      </c>
      <c r="L73" s="27">
        <f t="shared" si="20"/>
        <v>1919.9999996926636</v>
      </c>
      <c r="M73" s="47"/>
      <c r="N73" s="27">
        <v>6.2655764999725297E-3</v>
      </c>
      <c r="O73" s="27">
        <v>2.62962256336789E-2</v>
      </c>
      <c r="Q73" s="27">
        <v>0.67668226199703296</v>
      </c>
      <c r="R73" s="27">
        <v>1.18661124030789E-2</v>
      </c>
      <c r="S73" s="27">
        <v>0.42862847782896701</v>
      </c>
      <c r="T73" s="27">
        <v>2.2059327159195102E-3</v>
      </c>
      <c r="V73" s="29">
        <f>(1000*S73/Q73)/$AE$140</f>
        <v>0.62727990840144887</v>
      </c>
      <c r="W73" s="29"/>
      <c r="X73" s="29">
        <f>S73-AVERAGE(S74:S76)</f>
        <v>0.36395677437007973</v>
      </c>
      <c r="Y73" s="29">
        <f>T73+AVERAGE(S74:S76)</f>
        <v>6.6877636174806784E-2</v>
      </c>
      <c r="Z73" s="29"/>
      <c r="AA73" s="29">
        <f>(X73*1000)/Q73</f>
        <v>537.85475814892209</v>
      </c>
      <c r="AB73" s="29">
        <f>2*((1000*Y73/(2*Q73))^2+((R73/2)*1000*X73/(Q73^2))^2)^0.5</f>
        <v>99.280687403738298</v>
      </c>
      <c r="AC73" s="29">
        <f>AA73/$AE$140</f>
        <v>0.53263556645913923</v>
      </c>
      <c r="AD73" s="29">
        <f>2*(($AF$140*AA73/(2*$AE$140^2))^2+(AB73/($AE$140*2))^2)^0.5</f>
        <v>9.8477861673558056E-2</v>
      </c>
      <c r="AE73" s="29">
        <f>SUM(AV$5:$AV73)</f>
        <v>7.9613363233306131</v>
      </c>
      <c r="AF73" s="29" cm="1">
        <f t="array" ref="AF73">2*SQRT(SUM((AW$5:$AW73/2)^2))</f>
        <v>5.5679340977993388E-2</v>
      </c>
      <c r="AG73" s="29">
        <f t="shared" si="23"/>
        <v>7.858151969738925</v>
      </c>
      <c r="AH73" s="29" cm="1">
        <f t="array" ref="AH73">2*SQRT(SUM((R$5:$R73/2)^2))</f>
        <v>4.4522711634122705E-2</v>
      </c>
      <c r="AI73" s="29">
        <f t="shared" si="24"/>
        <v>3.6430418162593958</v>
      </c>
      <c r="AJ73" s="29" cm="1">
        <f t="array" ref="AJ73">2*SQRT(SUM((T$5:$T73/2)^2))</f>
        <v>7.3527057927450495E-3</v>
      </c>
      <c r="AK73" s="47"/>
      <c r="AL73" s="29"/>
      <c r="AN73" s="29"/>
      <c r="AO73" s="29"/>
      <c r="AP73" s="29"/>
      <c r="AQ73" s="29">
        <f t="shared" si="18"/>
        <v>4.8885133625674457E-16</v>
      </c>
      <c r="AR73" s="29"/>
      <c r="AS73" s="29"/>
      <c r="AT73" s="29">
        <f>AT72*EXP(-AP72*D72*60)</f>
        <v>1.7244218251926281E-2</v>
      </c>
      <c r="AU73" s="29">
        <f>2*((((AU72/2)*EXP(-AP72*D72*60))^2+(AT72*EXP(-AP72*D72*60)*D72*60*AO72*AP72/AN72)^2)^0.5)</f>
        <v>2.4166604225733406E-3</v>
      </c>
      <c r="AV73" s="23">
        <f>Q73+AT74-AT73</f>
        <v>0.7420418710030634</v>
      </c>
      <c r="AW73" s="23">
        <f>2*(((AU73/2)^2+(AU74/2)^2+(R73/2)^2)^(0.5))</f>
        <v>1.5668893362883681E-2</v>
      </c>
      <c r="AX73" s="50">
        <f>100*(AV73-Q73)/Q73</f>
        <v>9.6588329082456461</v>
      </c>
      <c r="AY73" s="47"/>
      <c r="AZ73" s="29">
        <f t="shared" si="21"/>
        <v>494357076108.85529</v>
      </c>
      <c r="BA73" s="29">
        <f t="shared" si="22"/>
        <v>546942020716.46802</v>
      </c>
      <c r="BB73" s="29">
        <f>Q73*BD73</f>
        <v>0.16370415300486033</v>
      </c>
      <c r="BC73" s="29">
        <f>AQ73*BA73*I73</f>
        <v>5.1335680834984219</v>
      </c>
      <c r="BD73" s="29">
        <f>1/(BC73-1)</f>
        <v>0.24192174407192918</v>
      </c>
      <c r="BE73" s="29">
        <f>BG73*S73</f>
        <v>0.11775479646228286</v>
      </c>
      <c r="BF73" s="29">
        <f>AQ73*AZ73*I73</f>
        <v>4.6400086510807883</v>
      </c>
      <c r="BG73" s="29">
        <f>1/(BF73-1)</f>
        <v>0.27472462179535778</v>
      </c>
      <c r="BH73" s="29">
        <f>Q73-BB69</f>
        <v>0.59316970440482464</v>
      </c>
      <c r="BI73" s="29">
        <f>Q73+BB73</f>
        <v>0.84038641500189326</v>
      </c>
      <c r="BJ73" s="29">
        <f>X73-BE69</f>
        <v>0.30805652748472528</v>
      </c>
      <c r="BK73" s="29">
        <f>X73+BE73</f>
        <v>0.4817115708323626</v>
      </c>
      <c r="BL73" s="29">
        <f>BF73*1.29</f>
        <v>5.9856111598942174</v>
      </c>
      <c r="BM73" s="29">
        <f>Q73 / (BL73-1)</f>
        <v>0.1357270433443491</v>
      </c>
      <c r="BN73" s="29">
        <f>(1000*(S73+BE73)/(Q73+BM73))/$AE$140</f>
        <v>0.66602058927173602</v>
      </c>
      <c r="BO73" s="29">
        <f>(1000*(S73-BE69)/(Q73-BM69))/$AE$140</f>
        <v>0.60763723128769265</v>
      </c>
      <c r="BP73" s="29">
        <f>(1000*(S73+BE73-BE69)/(Q73+BM73-BM69))/$AE$140</f>
        <v>0.6535740242738528</v>
      </c>
      <c r="BQ73" s="29">
        <f>MIN(BN73:BP73)</f>
        <v>0.60763723128769265</v>
      </c>
      <c r="BR73" s="29">
        <f>((1000*S73/Q73))/$AE$140</f>
        <v>0.62727990840144887</v>
      </c>
      <c r="BS73" s="29">
        <f>MAX(BN73:BP73)</f>
        <v>0.66602058927173602</v>
      </c>
      <c r="BT73" s="29"/>
      <c r="BU73" s="29"/>
    </row>
    <row r="74" spans="2:85" s="30" customFormat="1" x14ac:dyDescent="0.3">
      <c r="B74" s="31">
        <v>45338.855555555558</v>
      </c>
      <c r="C74" s="30">
        <v>90</v>
      </c>
      <c r="D74" s="30">
        <f t="shared" si="15"/>
        <v>150</v>
      </c>
      <c r="E74" s="30" t="s">
        <v>81</v>
      </c>
      <c r="F74" s="32">
        <v>2.84</v>
      </c>
      <c r="G74" s="32">
        <v>0</v>
      </c>
      <c r="H74" s="32">
        <v>3.55</v>
      </c>
      <c r="I74" s="30">
        <v>9000</v>
      </c>
      <c r="J74" s="30">
        <v>9130.1849999999995</v>
      </c>
      <c r="K74" s="30">
        <f t="shared" si="19"/>
        <v>10560.000000474975</v>
      </c>
      <c r="L74" s="30">
        <f t="shared" si="20"/>
        <v>1560.0000004749745</v>
      </c>
      <c r="M74" s="47"/>
      <c r="N74" s="30">
        <v>6.2760163480809596E-3</v>
      </c>
      <c r="O74" s="30">
        <v>2.6302996015699898E-2</v>
      </c>
      <c r="Q74" s="30">
        <v>1.7823886428549901E-2</v>
      </c>
      <c r="R74" s="32">
        <v>2.9587724908788498E-4</v>
      </c>
      <c r="S74" s="30">
        <v>9.3375635855734704E-2</v>
      </c>
      <c r="T74" s="30">
        <v>4.7463833743213702E-4</v>
      </c>
      <c r="AE74" s="32">
        <f>SUM(AV$5:$AV74)</f>
        <v>7.9613363233306131</v>
      </c>
      <c r="AF74" s="32" cm="1">
        <f t="array" ref="AF74">2*SQRT(SUM((AW$5:$AW74/2)^2))</f>
        <v>5.5679340977993388E-2</v>
      </c>
      <c r="AG74" s="32">
        <f t="shared" si="23"/>
        <v>7.8759758561674751</v>
      </c>
      <c r="AH74" s="32" cm="1">
        <f t="array" ref="AH74">2*SQRT(SUM((R$5:$R74/2)^2))</f>
        <v>4.452369475461098E-2</v>
      </c>
      <c r="AI74" s="32">
        <f t="shared" si="24"/>
        <v>3.7364174521151305</v>
      </c>
      <c r="AJ74" s="32" cm="1">
        <f t="array" ref="AJ74">2*SQRT(SUM((T$5:$T74/2)^2))</f>
        <v>7.3680095023029761E-3</v>
      </c>
      <c r="AK74" s="47"/>
      <c r="AL74" s="32">
        <f>'Fit Lambdas'!$U$2*(10000/(C74+273))+'Fit Lambdas'!$V$2</f>
        <v>25.080919505962346</v>
      </c>
      <c r="AM74" s="30">
        <f>'Fit Lambdas'!$V$4</f>
        <v>6.7480704157997479E-2</v>
      </c>
      <c r="AN74" s="32">
        <f t="shared" si="16"/>
        <v>78073732528.776489</v>
      </c>
      <c r="AO74" s="32">
        <f t="shared" si="17"/>
        <v>5268470447.2849903</v>
      </c>
      <c r="AP74" s="32">
        <f>AN74*(C74+273)*$C$145*$E$144</f>
        <v>2.7006668217909542E-5</v>
      </c>
      <c r="AQ74" s="32">
        <f t="shared" si="18"/>
        <v>3.4591234904717017E-16</v>
      </c>
      <c r="AR74" s="32">
        <f>Q74/(1-EXP(-D74*60*AP74))</f>
        <v>8.2603827257956702E-2</v>
      </c>
      <c r="AS74" s="32">
        <f>2*SQRT(
((R74/2) * (1 / (1 - EXP(-D74 * 60 * AN74 * AQ74))))^2 +
(AO74 * (-Q74 * 60 * D74 * AQ74 * EXP(-D74 * 60 * AN74 * AQ74) / (1 - EXP(-D74 * 60 * AN74 * AQ74))^2))^2
)</f>
        <v>9.943306696310085E-3</v>
      </c>
      <c r="AT74" s="32" cm="1">
        <f t="array" ref="AT74:AU74">AR74:AS74</f>
        <v>8.2603827257956702E-2</v>
      </c>
      <c r="AU74" s="32">
        <v>9.943306696310085E-3</v>
      </c>
      <c r="AV74" s="24"/>
      <c r="AW74" s="24"/>
      <c r="AX74" s="51"/>
      <c r="AY74" s="47"/>
      <c r="AZ74" s="32">
        <f t="shared" si="21"/>
        <v>67820444032.070572</v>
      </c>
      <c r="BA74" s="32">
        <f t="shared" si="22"/>
        <v>73320582427.391632</v>
      </c>
      <c r="BB74" s="32"/>
      <c r="BC74" s="32"/>
      <c r="BD74" s="32"/>
      <c r="BE74" s="32"/>
      <c r="BF74" s="32"/>
      <c r="BG74" s="32"/>
      <c r="BH74" s="32"/>
      <c r="BI74" s="32"/>
      <c r="BJ74" s="32"/>
      <c r="BK74" s="32"/>
      <c r="BL74" s="32"/>
      <c r="BM74" s="32"/>
      <c r="BN74" s="32"/>
      <c r="BO74" s="32"/>
      <c r="BP74" s="32"/>
      <c r="BQ74" s="32"/>
      <c r="BR74" s="32"/>
      <c r="BS74" s="32"/>
      <c r="BT74" s="32"/>
      <c r="BU74" s="32"/>
    </row>
    <row r="75" spans="2:85" x14ac:dyDescent="0.3">
      <c r="B75" s="1">
        <v>45338.999305555553</v>
      </c>
      <c r="C75">
        <v>89.99</v>
      </c>
      <c r="D75">
        <f t="shared" si="15"/>
        <v>150</v>
      </c>
      <c r="F75" s="2">
        <v>2.0499999999999998</v>
      </c>
      <c r="G75" s="2">
        <v>0</v>
      </c>
      <c r="H75" s="2">
        <v>3.19</v>
      </c>
      <c r="I75">
        <v>9000</v>
      </c>
      <c r="J75">
        <v>9124.8469999999998</v>
      </c>
      <c r="K75">
        <f t="shared" si="19"/>
        <v>12419.999999622814</v>
      </c>
      <c r="L75">
        <f t="shared" si="20"/>
        <v>3419.9999996228144</v>
      </c>
      <c r="M75" s="47"/>
      <c r="N75">
        <v>6.3050176425426098E-3</v>
      </c>
      <c r="O75">
        <v>2.63308159087422E-2</v>
      </c>
      <c r="Q75">
        <v>1.2925286167212301E-2</v>
      </c>
      <c r="R75" s="2">
        <v>2.1419590358417599E-4</v>
      </c>
      <c r="S75">
        <v>8.3995302748887599E-2</v>
      </c>
      <c r="T75">
        <v>4.26788594471711E-4</v>
      </c>
      <c r="AE75" s="2">
        <f>SUM(AV$5:$AV75)</f>
        <v>7.9613363233306131</v>
      </c>
      <c r="AF75" s="2" cm="1">
        <f t="array" ref="AF75">2*SQRT(SUM((AW$5:$AW75/2)^2))</f>
        <v>5.5679340977993388E-2</v>
      </c>
      <c r="AG75" s="2">
        <f t="shared" si="23"/>
        <v>7.8889011423346878</v>
      </c>
      <c r="AH75" s="2" cm="1">
        <f t="array" ref="AH75">2*SQRT(SUM((R$5:$R75/2)^2))</f>
        <v>4.4524209981614334E-2</v>
      </c>
      <c r="AI75" s="2">
        <f t="shared" si="24"/>
        <v>3.8204127548640181</v>
      </c>
      <c r="AJ75" s="2" cm="1">
        <f t="array" ref="AJ75">2*SQRT(SUM((T$5:$T75/2)^2))</f>
        <v>7.3803599187572209E-3</v>
      </c>
      <c r="AK75" s="47"/>
      <c r="AL75" s="2">
        <f>'Fit Lambdas'!$U$2*(10000/(C75+273))+'Fit Lambdas'!$V$2</f>
        <v>25.080530213673455</v>
      </c>
      <c r="AM75">
        <f>'Fit Lambdas'!$V$4</f>
        <v>6.7480704157997479E-2</v>
      </c>
      <c r="AN75" s="2">
        <f t="shared" si="16"/>
        <v>78043344941.948532</v>
      </c>
      <c r="AO75" s="2">
        <f t="shared" si="17"/>
        <v>5266419871.5281782</v>
      </c>
      <c r="AP75" s="2">
        <f>AN75*(C75+273)*$C$145*$E$144</f>
        <v>2.699541308058904E-5</v>
      </c>
      <c r="AQ75" s="2">
        <f t="shared" si="18"/>
        <v>3.459028197813562E-16</v>
      </c>
      <c r="AR75" s="2">
        <f>Q75/(1-EXP(-D75*60*AP75))</f>
        <v>5.9923594469343845E-2</v>
      </c>
      <c r="AS75" s="2">
        <f>2*SQRT(
((R75/2) * (1 / (1 - EXP(-D75 * 60 * AN75 * AQ75))))^2 +
(AO75 * (-Q75 * 60 * D75 * AQ75 * EXP(-D75 * 60 * AN75 * AQ75) / (1 - EXP(-D75 * 60 * AN75 * AQ75))^2))^2
)</f>
        <v>7.2133492362938681E-3</v>
      </c>
      <c r="AT75" s="2">
        <f>AT74*EXP(-AP74*D74*60)</f>
        <v>6.4779940829406801E-2</v>
      </c>
      <c r="AU75" s="2">
        <f>2*((((AU74/2)*EXP(-AP74*D74*60))^2+(AT74*EXP(-AP74*D74*60)*D74*60*AO74*AP74/AN74)^2)^0.5)</f>
        <v>8.0821508225202079E-3</v>
      </c>
      <c r="AV75" s="22"/>
      <c r="AW75" s="22"/>
      <c r="AX75" s="49"/>
      <c r="AY75" s="47"/>
      <c r="AZ75" s="2">
        <f t="shared" si="21"/>
        <v>67807752416.268387</v>
      </c>
      <c r="BA75" s="2">
        <f t="shared" si="22"/>
        <v>73306701944.978058</v>
      </c>
      <c r="BB75" s="2"/>
      <c r="BC75" s="2"/>
      <c r="BD75" s="2"/>
      <c r="BE75" s="2"/>
      <c r="BF75" s="2"/>
      <c r="BG75" s="2"/>
      <c r="BH75" s="2"/>
      <c r="BI75" s="2"/>
      <c r="BJ75" s="2"/>
      <c r="BK75" s="2"/>
      <c r="BL75" s="2"/>
      <c r="BM75" s="2"/>
      <c r="BN75" s="2"/>
      <c r="BO75" s="2"/>
      <c r="BP75" s="2"/>
      <c r="BQ75" s="2"/>
      <c r="BR75" s="2"/>
      <c r="BS75" s="2"/>
      <c r="BT75" s="2"/>
      <c r="BU75" s="2"/>
      <c r="BV75"/>
      <c r="BW75"/>
      <c r="BX75"/>
      <c r="BY75"/>
      <c r="BZ75"/>
      <c r="CA75"/>
      <c r="CB75"/>
      <c r="CC75"/>
      <c r="CD75"/>
      <c r="CE75"/>
      <c r="CF75"/>
      <c r="CG75"/>
    </row>
    <row r="76" spans="2:85" x14ac:dyDescent="0.3">
      <c r="B76" s="1">
        <v>45340.128472222219</v>
      </c>
      <c r="C76">
        <v>90</v>
      </c>
      <c r="D76">
        <f t="shared" si="15"/>
        <v>150</v>
      </c>
      <c r="F76" s="2">
        <v>4.8</v>
      </c>
      <c r="G76" s="2">
        <v>0</v>
      </c>
      <c r="H76" s="2">
        <v>0.63</v>
      </c>
      <c r="I76">
        <v>9000</v>
      </c>
      <c r="J76">
        <v>9127.5470000000005</v>
      </c>
      <c r="K76">
        <f t="shared" si="19"/>
        <v>97559.999999916181</v>
      </c>
      <c r="L76">
        <f t="shared" si="20"/>
        <v>88559.999999916181</v>
      </c>
      <c r="M76" s="47"/>
      <c r="N76">
        <v>6.3580464969015798E-3</v>
      </c>
      <c r="O76">
        <v>2.64193202730785E-2</v>
      </c>
      <c r="Q76">
        <v>3.0518623185127498E-2</v>
      </c>
      <c r="R76">
        <v>5.7239426045173098E-4</v>
      </c>
      <c r="S76">
        <v>1.6644171772039501E-2</v>
      </c>
      <c r="T76" s="2">
        <v>6.9452076174114202E-5</v>
      </c>
      <c r="U76" s="2"/>
      <c r="X76" s="2"/>
      <c r="Y76" s="2"/>
      <c r="Z76" s="2"/>
      <c r="AA76" s="2"/>
      <c r="AE76" s="2">
        <f>SUM(AV$5:$AV76)</f>
        <v>7.9613363233306131</v>
      </c>
      <c r="AF76" s="2" cm="1">
        <f t="array" ref="AF76">2*SQRT(SUM((AW$5:$AW76/2)^2))</f>
        <v>5.5679340977993388E-2</v>
      </c>
      <c r="AG76" s="2">
        <f t="shared" si="23"/>
        <v>7.9194197655198151</v>
      </c>
      <c r="AH76" s="2" cm="1">
        <f t="array" ref="AH76">2*SQRT(SUM((R$5:$R76/2)^2))</f>
        <v>4.4527889122170206E-2</v>
      </c>
      <c r="AI76" s="2">
        <f t="shared" si="24"/>
        <v>3.8370569266360577</v>
      </c>
      <c r="AJ76" s="2" cm="1">
        <f t="array" ref="AJ76">2*SQRT(SUM((T$5:$T76/2)^2))</f>
        <v>7.3806866971361804E-3</v>
      </c>
      <c r="AK76" s="47"/>
      <c r="AL76" s="2">
        <f>'Fit Lambdas'!$U$2*(10000/(C76+273))+'Fit Lambdas'!$V$2</f>
        <v>25.080919505962346</v>
      </c>
      <c r="AM76">
        <f>'Fit Lambdas'!$V$4</f>
        <v>6.7480704157997479E-2</v>
      </c>
      <c r="AN76" s="2">
        <f t="shared" si="16"/>
        <v>78073732528.776489</v>
      </c>
      <c r="AO76" s="2">
        <f t="shared" si="17"/>
        <v>5268470447.2849903</v>
      </c>
      <c r="AP76" s="2">
        <f>AN76*(C76+273)*$C$145*$E$144</f>
        <v>2.7006668217909542E-5</v>
      </c>
      <c r="AQ76" s="2">
        <f t="shared" si="18"/>
        <v>3.4591234904717017E-16</v>
      </c>
      <c r="AR76" s="2">
        <f>Q76/(1-EXP(-D76*60*AP76))</f>
        <v>0.14143689076120544</v>
      </c>
      <c r="AS76" s="2">
        <f>2*SQRT(
((R76/2) * (1 / (1 - EXP(-D76 * 60 * AN76 * AQ76))))^2 +
(AO76 * (-Q76 * 60 * D76 * AQ76 * EXP(-D76 * 60 * AN76 * AQ76) / (1 - EXP(-D76 * 60 * AN76 * AQ76))^2))^2
)</f>
        <v>1.7069958972288298E-2</v>
      </c>
      <c r="AT76" s="2">
        <f>AT75-Q75</f>
        <v>5.1854654662194501E-2</v>
      </c>
      <c r="AU76" s="2">
        <f>AU75+R75</f>
        <v>8.2963467261043845E-3</v>
      </c>
      <c r="AV76" s="22"/>
      <c r="AW76" s="22"/>
      <c r="AX76" s="49"/>
      <c r="AY76" s="47"/>
      <c r="AZ76" s="2">
        <f t="shared" si="21"/>
        <v>67820444032.070572</v>
      </c>
      <c r="BA76" s="2">
        <f t="shared" si="22"/>
        <v>73320582427.391632</v>
      </c>
      <c r="BB76" s="2"/>
      <c r="BC76" s="2"/>
      <c r="BD76" s="2"/>
      <c r="BE76" s="2"/>
      <c r="BF76" s="2"/>
      <c r="BG76" s="2"/>
      <c r="BH76" s="2"/>
      <c r="BI76" s="2"/>
      <c r="BJ76" s="2"/>
      <c r="BK76" s="2"/>
      <c r="BL76" s="2"/>
      <c r="BM76" s="2"/>
      <c r="BN76" s="2"/>
      <c r="BO76" s="2"/>
      <c r="BP76" s="2"/>
      <c r="BQ76" s="2"/>
      <c r="BR76" s="2"/>
      <c r="BS76" s="2"/>
      <c r="BT76" s="2"/>
      <c r="BU76" s="2"/>
      <c r="BV76"/>
      <c r="BW76"/>
      <c r="BX76"/>
      <c r="BY76"/>
      <c r="BZ76"/>
      <c r="CA76"/>
      <c r="CB76"/>
      <c r="CC76"/>
      <c r="CD76"/>
      <c r="CE76"/>
      <c r="CF76"/>
      <c r="CG76"/>
    </row>
    <row r="77" spans="2:85" s="27" customFormat="1" x14ac:dyDescent="0.3">
      <c r="B77" s="28">
        <v>45340.324305555558</v>
      </c>
      <c r="C77" s="27">
        <v>245</v>
      </c>
      <c r="D77" s="27">
        <f t="shared" si="15"/>
        <v>250</v>
      </c>
      <c r="E77" s="27" t="s">
        <v>460</v>
      </c>
      <c r="F77" s="29">
        <v>87.3</v>
      </c>
      <c r="G77" s="29">
        <v>0</v>
      </c>
      <c r="H77" s="29">
        <v>15.1</v>
      </c>
      <c r="I77" s="27">
        <v>15000</v>
      </c>
      <c r="J77" s="27">
        <v>15125.411</v>
      </c>
      <c r="K77" s="27">
        <f t="shared" si="19"/>
        <v>16920.000000461005</v>
      </c>
      <c r="L77" s="27">
        <f t="shared" si="20"/>
        <v>1920.0000004610047</v>
      </c>
      <c r="M77" s="47"/>
      <c r="N77" s="27">
        <v>6.3563533819574096E-3</v>
      </c>
      <c r="O77" s="27">
        <v>2.6411913751157898E-2</v>
      </c>
      <c r="Q77" s="27">
        <v>0.55490965024488204</v>
      </c>
      <c r="R77" s="27">
        <v>1.0071717301521199E-2</v>
      </c>
      <c r="S77" s="27">
        <v>0.39881989764248399</v>
      </c>
      <c r="T77" s="27">
        <v>1.6832684367786199E-3</v>
      </c>
      <c r="V77" s="29">
        <f>(1000*S77/Q77)/$AE$140</f>
        <v>0.71173723697470226</v>
      </c>
      <c r="W77" s="29"/>
      <c r="X77" s="29">
        <f>S77-AVERAGE(S78:S80)</f>
        <v>0.38332028695256531</v>
      </c>
      <c r="Y77" s="29">
        <f>T77+AVERAGE(S78:S80)</f>
        <v>1.7182879126697286E-2</v>
      </c>
      <c r="Z77" s="29"/>
      <c r="AA77" s="29">
        <f>(X77*1000)/Q77</f>
        <v>690.77963733989088</v>
      </c>
      <c r="AB77" s="29">
        <f>2*((1000*Y77/(2*Q77))^2+((R77/2)*1000*X77/(Q77^2))^2)^0.5</f>
        <v>33.407164048316631</v>
      </c>
      <c r="AC77" s="29">
        <f>AA77/$AE$140</f>
        <v>0.68407650552214216</v>
      </c>
      <c r="AD77" s="29">
        <f>2*(($AF$140*AA77/(2*$AE$140^2))^2+(AB77/($AE$140*2))^2)^0.5</f>
        <v>3.3861568610970894E-2</v>
      </c>
      <c r="AE77" s="29">
        <f>SUM(AV$5:$AV77)</f>
        <v>8.5465357680310028</v>
      </c>
      <c r="AF77" s="29" cm="1">
        <f t="array" ref="AF77">2*SQRT(SUM((AW$5:$AW77/2)^2))</f>
        <v>5.7551519042237778E-2</v>
      </c>
      <c r="AG77" s="29">
        <f t="shared" si="23"/>
        <v>8.4743294157646964</v>
      </c>
      <c r="AH77" s="29" cm="1">
        <f t="array" ref="AH77">2*SQRT(SUM((R$5:$R77/2)^2))</f>
        <v>4.5652737038189124E-2</v>
      </c>
      <c r="AI77" s="29">
        <f t="shared" si="24"/>
        <v>4.2358768242785416</v>
      </c>
      <c r="AJ77" s="29" cm="1">
        <f t="array" ref="AJ77">2*SQRT(SUM((T$5:$T77/2)^2))</f>
        <v>7.5702000469959922E-3</v>
      </c>
      <c r="AK77" s="47"/>
      <c r="AL77" s="29"/>
      <c r="AN77" s="29"/>
      <c r="AO77" s="29"/>
      <c r="AP77" s="29"/>
      <c r="AQ77" s="29">
        <f t="shared" si="18"/>
        <v>4.9361596916373049E-16</v>
      </c>
      <c r="AR77" s="29"/>
      <c r="AS77" s="29"/>
      <c r="AT77" s="29">
        <f>AT76-Q76</f>
        <v>2.1336031477067002E-2</v>
      </c>
      <c r="AU77" s="29">
        <f>AU76+R76</f>
        <v>8.8687409865561163E-3</v>
      </c>
      <c r="AV77" s="23">
        <f>Q77+AT78-AT77</f>
        <v>0.58519944470038965</v>
      </c>
      <c r="AW77" s="23">
        <f>2*(((AU77/2)^2+(AU78/2)^2+(R77/2)^2)^(0.5))</f>
        <v>1.455981910345742E-2</v>
      </c>
      <c r="AX77" s="50">
        <f>100*(AV77-Q77)/Q77</f>
        <v>5.458509226166945</v>
      </c>
      <c r="AY77" s="47"/>
      <c r="AZ77" s="29">
        <f t="shared" si="21"/>
        <v>517835909307.63312</v>
      </c>
      <c r="BA77" s="29">
        <f t="shared" si="22"/>
        <v>573227627332.96106</v>
      </c>
      <c r="BB77" s="29">
        <f>(Q77*BD77)+((BB73-(BD77*Q77))*EXP(-BC77))</f>
        <v>0.17093539216439185</v>
      </c>
      <c r="BC77" s="29">
        <f>AQ77*BA77*I77</f>
        <v>4.2443146622607797</v>
      </c>
      <c r="BD77" s="29">
        <f>1/(BC77-1)</f>
        <v>0.30823150776107411</v>
      </c>
      <c r="BE77" s="29">
        <f>(S77*BG77)+((BE73-(BG77*S77))*EXP(-BF77))</f>
        <v>0.1402214195171109</v>
      </c>
      <c r="BF77" s="29">
        <f>AQ77*AZ77*I77</f>
        <v>3.8341811136100343</v>
      </c>
      <c r="BG77" s="29">
        <f>1/(BF77-1)</f>
        <v>0.35283560221253868</v>
      </c>
      <c r="BH77" s="65">
        <f>Q77-BB73</f>
        <v>0.39120549724002174</v>
      </c>
      <c r="BI77" s="65">
        <f>Q77+BB77</f>
        <v>0.72584504240927394</v>
      </c>
      <c r="BJ77" s="65">
        <f>X77-BE73</f>
        <v>0.26556549049028244</v>
      </c>
      <c r="BK77" s="65">
        <f>X77+BE77</f>
        <v>0.52354170646967624</v>
      </c>
      <c r="BL77" s="29">
        <f>BF77*1.29</f>
        <v>4.9460936365569443</v>
      </c>
      <c r="BM77" s="29">
        <f>(Q77 / (BL77-1)) + ((BM73-(Q77 / (BL77-1)))*EXP(-BL77))</f>
        <v>0.14058771237195836</v>
      </c>
      <c r="BN77" s="29">
        <f>(1000*(S77+BE77)/(Q77+BM77))/$AE$140</f>
        <v>0.76752355957979301</v>
      </c>
      <c r="BO77" s="29">
        <f>(1000*(S77-BE73)/(Q77-BM73))/$AE$140</f>
        <v>0.6640011291093767</v>
      </c>
      <c r="BP77" s="29">
        <f>(1000*(S77+BE77-BE73)/(Q77+BM77-BM73))/$AE$140</f>
        <v>0.74530295751536979</v>
      </c>
      <c r="BQ77" s="29">
        <f>MIN(BN77:BP77)</f>
        <v>0.6640011291093767</v>
      </c>
      <c r="BR77" s="29">
        <f>((1000*S77/Q77))/$AE$140</f>
        <v>0.71173723697470226</v>
      </c>
      <c r="BS77" s="29">
        <f>MAX(BN77:BP77)</f>
        <v>0.76752355957979301</v>
      </c>
      <c r="BT77" s="29"/>
      <c r="BU77" s="29"/>
    </row>
    <row r="78" spans="2:85" s="30" customFormat="1" x14ac:dyDescent="0.3">
      <c r="B78" s="31">
        <v>45340.425694444442</v>
      </c>
      <c r="C78" s="30">
        <v>110.009999999999</v>
      </c>
      <c r="D78" s="30">
        <f t="shared" si="15"/>
        <v>120</v>
      </c>
      <c r="E78" s="30" t="s">
        <v>81</v>
      </c>
      <c r="F78" s="32">
        <v>2.84</v>
      </c>
      <c r="G78" s="32">
        <v>0</v>
      </c>
      <c r="H78" s="32">
        <v>0.47399999999999998</v>
      </c>
      <c r="I78" s="30">
        <v>7200</v>
      </c>
      <c r="J78" s="30">
        <v>7328.183</v>
      </c>
      <c r="K78" s="30">
        <f t="shared" si="19"/>
        <v>8759.9999996367842</v>
      </c>
      <c r="L78" s="30">
        <f t="shared" si="20"/>
        <v>1559.9999996367842</v>
      </c>
      <c r="M78" s="47"/>
      <c r="N78" s="30">
        <v>6.3444162789935603E-3</v>
      </c>
      <c r="O78" s="30">
        <v>2.6388539809726198E-2</v>
      </c>
      <c r="Q78" s="30">
        <v>1.8018142232341699E-2</v>
      </c>
      <c r="R78" s="30">
        <v>3.0673176505810999E-4</v>
      </c>
      <c r="S78" s="30">
        <v>1.25081678698102E-2</v>
      </c>
      <c r="T78" s="32">
        <v>5.2815822135204101E-5</v>
      </c>
      <c r="U78" s="32"/>
      <c r="X78" s="32"/>
      <c r="Y78" s="32"/>
      <c r="Z78" s="32"/>
      <c r="AA78" s="32"/>
      <c r="AE78" s="32">
        <f>SUM(AV$5:$AV78)</f>
        <v>8.5465357680310028</v>
      </c>
      <c r="AF78" s="32" cm="1">
        <f t="array" ref="AF78">2*SQRT(SUM((AW$5:$AW78/2)^2))</f>
        <v>5.7551519042237778E-2</v>
      </c>
      <c r="AG78" s="32">
        <f t="shared" si="23"/>
        <v>8.4923475579970376</v>
      </c>
      <c r="AH78" s="32" cm="1">
        <f t="array" ref="AH78">2*SQRT(SUM((R$5:$R78/2)^2))</f>
        <v>4.5653767461774068E-2</v>
      </c>
      <c r="AI78" s="32">
        <f t="shared" si="24"/>
        <v>4.2483849921483516</v>
      </c>
      <c r="AJ78" s="32" cm="1">
        <f t="array" ref="AJ78">2*SQRT(SUM((T$5:$T78/2)^2))</f>
        <v>7.5703842876439194E-3</v>
      </c>
      <c r="AK78" s="47"/>
      <c r="AL78" s="32">
        <f>'Fit Lambdas'!$U$2*(10000/(C78+273))+'Fit Lambdas'!$V$2</f>
        <v>25.819176274964374</v>
      </c>
      <c r="AM78" s="30">
        <f>'Fit Lambdas'!$V$4</f>
        <v>6.7480704157997479E-2</v>
      </c>
      <c r="AN78" s="32">
        <f t="shared" si="16"/>
        <v>163352499269.3631</v>
      </c>
      <c r="AO78" s="32">
        <f t="shared" si="17"/>
        <v>11023141676.66539</v>
      </c>
      <c r="AP78" s="32">
        <f>AN78*(C78+273)*$C$145*$E$144</f>
        <v>5.9620462148207034E-5</v>
      </c>
      <c r="AQ78" s="32">
        <f t="shared" si="18"/>
        <v>3.6498040994092644E-16</v>
      </c>
      <c r="AR78" s="32">
        <f>Q78/(1-EXP(-D78*60*AP78))</f>
        <v>5.1625825932574532E-2</v>
      </c>
      <c r="AS78" s="32">
        <f>2*SQRT(
((R78/2) * (1 / (1 - EXP(-D78 * 60 * AN78 * AQ78))))^2 +
(AO78 * (-Q78 * 60 * D78 * AQ78 * EXP(-D78 * 60 * AN78 * AQ78) / (1 - EXP(-D78 * 60 * AN78 * AQ78))^2))^2
)</f>
        <v>5.6475017695456989E-3</v>
      </c>
      <c r="AT78" s="32" cm="1">
        <f t="array" ref="AT78:AU78">AR78:AS78</f>
        <v>5.1625825932574532E-2</v>
      </c>
      <c r="AU78" s="32">
        <v>5.6475017695456989E-3</v>
      </c>
      <c r="AV78" s="24"/>
      <c r="AW78" s="24"/>
      <c r="AX78" s="51"/>
      <c r="AY78" s="47"/>
      <c r="AZ78" s="32">
        <f t="shared" si="21"/>
        <v>96716316695.61203</v>
      </c>
      <c r="BA78" s="32">
        <f t="shared" si="22"/>
        <v>104992450671.01057</v>
      </c>
      <c r="BB78" s="32"/>
      <c r="BC78" s="32"/>
      <c r="BD78" s="32"/>
      <c r="BE78" s="32"/>
      <c r="BF78" s="32"/>
      <c r="BG78" s="32"/>
      <c r="BH78" s="32"/>
      <c r="BI78" s="32"/>
      <c r="BJ78" s="32"/>
      <c r="BK78" s="32"/>
      <c r="BL78" s="32"/>
      <c r="BM78" s="32"/>
      <c r="BN78" s="32"/>
      <c r="BO78" s="32"/>
      <c r="BP78" s="32"/>
      <c r="BQ78" s="32"/>
      <c r="BR78" s="32"/>
      <c r="BS78" s="32"/>
      <c r="BT78" s="32"/>
      <c r="BU78" s="32"/>
    </row>
    <row r="79" spans="2:85" x14ac:dyDescent="0.3">
      <c r="B79" s="1">
        <v>45340.537499999999</v>
      </c>
      <c r="C79">
        <v>110</v>
      </c>
      <c r="D79">
        <f t="shared" si="15"/>
        <v>120</v>
      </c>
      <c r="F79" s="2">
        <v>1.9</v>
      </c>
      <c r="G79" s="2">
        <v>0</v>
      </c>
      <c r="H79" s="2">
        <v>1.0900000000000001</v>
      </c>
      <c r="I79">
        <v>7200</v>
      </c>
      <c r="J79">
        <v>7329.7139999999999</v>
      </c>
      <c r="K79">
        <f t="shared" si="19"/>
        <v>9660.0000000558794</v>
      </c>
      <c r="L79">
        <f t="shared" si="20"/>
        <v>2460.0000000558794</v>
      </c>
      <c r="M79" s="47"/>
      <c r="N79">
        <v>6.3413997821908999E-3</v>
      </c>
      <c r="O79">
        <v>2.6384034794214601E-2</v>
      </c>
      <c r="Q79">
        <v>1.20486595861627E-2</v>
      </c>
      <c r="R79" s="2">
        <v>1.9587156191238801E-4</v>
      </c>
      <c r="S79">
        <v>2.87585979256939E-2</v>
      </c>
      <c r="T79" s="2">
        <v>1.20966297521023E-4</v>
      </c>
      <c r="U79" s="2"/>
      <c r="X79" s="2"/>
      <c r="Y79" s="2"/>
      <c r="Z79" s="2"/>
      <c r="AA79" s="2"/>
      <c r="AE79" s="2">
        <f>SUM(AV$5:$AV79)</f>
        <v>8.5465357680310028</v>
      </c>
      <c r="AF79" s="2" cm="1">
        <f t="array" ref="AF79">2*SQRT(SUM((AW$5:$AW79/2)^2))</f>
        <v>5.7551519042237778E-2</v>
      </c>
      <c r="AG79" s="2">
        <f t="shared" si="23"/>
        <v>8.5043962175832011</v>
      </c>
      <c r="AH79" s="2" cm="1">
        <f t="array" ref="AH79">2*SQRT(SUM((R$5:$R79/2)^2))</f>
        <v>4.5654187640593348E-2</v>
      </c>
      <c r="AI79" s="2">
        <f t="shared" si="24"/>
        <v>4.2771435900740453</v>
      </c>
      <c r="AJ79" s="2" cm="1">
        <f t="array" ref="AJ79">2*SQRT(SUM((T$5:$T79/2)^2))</f>
        <v>7.571350679221104E-3</v>
      </c>
      <c r="AK79" s="47"/>
      <c r="AL79" s="2">
        <f>'Fit Lambdas'!$U$2*(10000/(C79+273))+'Fit Lambdas'!$V$2</f>
        <v>25.818826597052521</v>
      </c>
      <c r="AM79">
        <f>'Fit Lambdas'!$V$4</f>
        <v>6.7480704157997479E-2</v>
      </c>
      <c r="AN79" s="2">
        <f t="shared" si="16"/>
        <v>163295388494.29288</v>
      </c>
      <c r="AO79" s="2">
        <f t="shared" si="17"/>
        <v>11019287801.348642</v>
      </c>
      <c r="AP79" s="2">
        <f>AN79*(C79+273)*$C$145*$E$144</f>
        <v>5.9598061748946858E-5</v>
      </c>
      <c r="AQ79" s="2">
        <f t="shared" si="18"/>
        <v>3.6497088067511346E-16</v>
      </c>
      <c r="AR79" s="2">
        <f>Q79/(1-EXP(-D79*60*AP79))</f>
        <v>3.4532372256751813E-2</v>
      </c>
      <c r="AS79" s="2">
        <f>2*SQRT(
((R79/2) * (1 / (1 - EXP(-D79 * 60 * AN79 * AQ79))))^2 +
(AO79 * (-Q79 * 60 * D79 * AQ79 * EXP(-D79 * 60 * AN79 * AQ79) / (1 - EXP(-D79 * 60 * AN79 * AQ79))^2))^2
)</f>
        <v>3.7738871855053364E-3</v>
      </c>
      <c r="AT79" s="2">
        <f>AT78*EXP(-AP78*D78*60)</f>
        <v>3.3607683700232829E-2</v>
      </c>
      <c r="AU79" s="2">
        <f>2*((((AU78/2)*EXP(-AP78*D78*60))^2+(AT78*EXP(-AP78*D78*60)*D78*60*AO78*AP78/AN78)^2)^0.5)</f>
        <v>4.1601952503927163E-3</v>
      </c>
      <c r="AV79" s="22"/>
      <c r="AW79" s="22"/>
      <c r="AX79" s="49"/>
      <c r="AY79" s="47"/>
      <c r="AZ79" s="2">
        <f t="shared" si="21"/>
        <v>96700059240.232132</v>
      </c>
      <c r="BA79" s="2">
        <f t="shared" si="22"/>
        <v>104974596762.32733</v>
      </c>
      <c r="BB79" s="2"/>
      <c r="BC79" s="2"/>
      <c r="BD79" s="2"/>
      <c r="BE79" s="2"/>
      <c r="BF79" s="2"/>
      <c r="BG79" s="2"/>
      <c r="BH79" s="2"/>
      <c r="BI79" s="2"/>
      <c r="BJ79" s="2"/>
      <c r="BK79" s="2"/>
      <c r="BL79" s="2"/>
      <c r="BM79" s="2"/>
      <c r="BN79" s="2"/>
      <c r="BO79" s="2"/>
      <c r="BP79" s="2"/>
      <c r="BQ79" s="2"/>
      <c r="BR79" s="2"/>
      <c r="BS79" s="2"/>
      <c r="BT79" s="2"/>
      <c r="BU79" s="2"/>
      <c r="BV79"/>
      <c r="BW79"/>
      <c r="BX79"/>
      <c r="BY79"/>
      <c r="BZ79"/>
      <c r="CA79"/>
      <c r="CB79"/>
      <c r="CC79"/>
      <c r="CD79"/>
      <c r="CE79"/>
      <c r="CF79"/>
      <c r="CG79"/>
    </row>
    <row r="80" spans="2:85" x14ac:dyDescent="0.3">
      <c r="B80" s="1">
        <v>45340.754166666666</v>
      </c>
      <c r="C80">
        <v>109.98</v>
      </c>
      <c r="D80">
        <f t="shared" si="15"/>
        <v>120</v>
      </c>
      <c r="F80" s="2">
        <v>1.69</v>
      </c>
      <c r="G80" s="2">
        <v>0</v>
      </c>
      <c r="H80" s="2">
        <v>0.19800000000000001</v>
      </c>
      <c r="I80">
        <v>7200</v>
      </c>
      <c r="J80">
        <v>7329.0330000000004</v>
      </c>
      <c r="K80">
        <f t="shared" si="19"/>
        <v>18720.00000004191</v>
      </c>
      <c r="L80">
        <f t="shared" si="20"/>
        <v>11520.00000004191</v>
      </c>
      <c r="M80" s="47"/>
      <c r="N80">
        <v>6.3508938369987097E-3</v>
      </c>
      <c r="O80">
        <v>2.6424577142686301E-2</v>
      </c>
      <c r="Q80">
        <v>1.0733010584527801E-2</v>
      </c>
      <c r="R80" s="2">
        <v>1.6442488232960501E-4</v>
      </c>
      <c r="S80">
        <v>5.2320662742519003E-3</v>
      </c>
      <c r="T80" s="2">
        <v>2.0555023542318999E-5</v>
      </c>
      <c r="U80" s="2"/>
      <c r="X80" s="2"/>
      <c r="Y80" s="2"/>
      <c r="Z80" s="2"/>
      <c r="AA80" s="2"/>
      <c r="AE80" s="2">
        <f>SUM(AV$5:$AV80)</f>
        <v>8.5465357680310028</v>
      </c>
      <c r="AF80" s="2" cm="1">
        <f t="array" ref="AF80">2*SQRT(SUM((AW$5:$AW80/2)^2))</f>
        <v>5.7551519042237778E-2</v>
      </c>
      <c r="AG80" s="2">
        <f t="shared" si="23"/>
        <v>8.5151292281677282</v>
      </c>
      <c r="AH80" s="2" cm="1">
        <f t="array" ref="AH80">2*SQRT(SUM((R$5:$R80/2)^2))</f>
        <v>4.5654483730127052E-2</v>
      </c>
      <c r="AI80" s="2">
        <f t="shared" si="24"/>
        <v>4.2823756563482975</v>
      </c>
      <c r="AJ80" s="2" cm="1">
        <f t="array" ref="AJ80">2*SQRT(SUM((T$5:$T80/2)^2))</f>
        <v>7.5713785809939987E-3</v>
      </c>
      <c r="AK80" s="47"/>
      <c r="AL80" s="2">
        <f>'Fit Lambdas'!$U$2*(10000/(C80+273))+'Fit Lambdas'!$V$2</f>
        <v>25.818127186446052</v>
      </c>
      <c r="AM80">
        <f>'Fit Lambdas'!$V$4</f>
        <v>6.7480704157997479E-2</v>
      </c>
      <c r="AN80" s="2">
        <f t="shared" si="16"/>
        <v>163181217898.30954</v>
      </c>
      <c r="AO80" s="2">
        <f t="shared" si="17"/>
        <v>11011583489.137548</v>
      </c>
      <c r="AP80" s="2">
        <f>AN80*(C80+273)*$C$145*$E$144</f>
        <v>5.9553282811581219E-5</v>
      </c>
      <c r="AQ80" s="2">
        <f t="shared" si="18"/>
        <v>3.6495182214348547E-16</v>
      </c>
      <c r="AR80" s="2">
        <f>Q80/(1-EXP(-D80*60*AP80))</f>
        <v>3.0780143930133202E-2</v>
      </c>
      <c r="AS80" s="2">
        <f>2*SQRT(
((R80/2) * (1 / (1 - EXP(-D80 * 60 * AN80 * AQ80))))^2 +
(AO80 * (-Q80 * 60 * D80 * AQ80 * EXP(-D80 * 60 * AN80 * AQ80) / (1 - EXP(-D80 * 60 * AN80 * AQ80))^2))^2
)</f>
        <v>3.3602220233202138E-3</v>
      </c>
      <c r="AT80" s="2">
        <f>AT79-Q79</f>
        <v>2.1559024114070131E-2</v>
      </c>
      <c r="AU80" s="2">
        <f>AU79+R79</f>
        <v>4.3560668123051047E-3</v>
      </c>
      <c r="AV80" s="22"/>
      <c r="AW80" s="22"/>
      <c r="AX80" s="49"/>
      <c r="AY80" s="47"/>
      <c r="AZ80" s="2">
        <f t="shared" si="21"/>
        <v>96667549981.440369</v>
      </c>
      <c r="BA80" s="2">
        <f t="shared" si="22"/>
        <v>104938895256.66869</v>
      </c>
      <c r="BB80" s="2"/>
      <c r="BC80" s="2"/>
      <c r="BD80" s="2"/>
      <c r="BE80" s="2"/>
      <c r="BF80" s="2"/>
      <c r="BG80" s="2"/>
      <c r="BH80" s="2"/>
      <c r="BI80" s="2"/>
      <c r="BJ80" s="2"/>
      <c r="BK80" s="2"/>
      <c r="BL80" s="2"/>
      <c r="BM80" s="2"/>
      <c r="BN80" s="2"/>
      <c r="BO80" s="2"/>
      <c r="BP80" s="2"/>
      <c r="BQ80" s="2"/>
      <c r="BR80" s="2"/>
      <c r="BS80" s="2"/>
      <c r="BT80" s="2"/>
      <c r="BU80" s="2"/>
      <c r="BV80"/>
      <c r="BW80"/>
      <c r="BX80"/>
      <c r="BY80"/>
      <c r="BZ80"/>
      <c r="CA80"/>
      <c r="CB80"/>
      <c r="CC80"/>
      <c r="CD80"/>
      <c r="CE80"/>
      <c r="CF80"/>
      <c r="CG80"/>
    </row>
    <row r="81" spans="2:73" s="27" customFormat="1" x14ac:dyDescent="0.3">
      <c r="B81" s="28">
        <v>45341.134722222225</v>
      </c>
      <c r="C81" s="27">
        <v>249.99</v>
      </c>
      <c r="D81" s="27">
        <f t="shared" ref="D81:D112" si="25">I81/60</f>
        <v>210</v>
      </c>
      <c r="E81" s="27" t="s">
        <v>460</v>
      </c>
      <c r="F81" s="29">
        <v>109</v>
      </c>
      <c r="G81" s="29">
        <v>0</v>
      </c>
      <c r="H81" s="29">
        <v>16.8</v>
      </c>
      <c r="I81" s="27">
        <v>12600</v>
      </c>
      <c r="J81" s="27">
        <v>12726.728999999999</v>
      </c>
      <c r="K81" s="27">
        <f t="shared" si="19"/>
        <v>32880.000000307336</v>
      </c>
      <c r="L81" s="27">
        <f t="shared" si="20"/>
        <v>20280.000000307336</v>
      </c>
      <c r="M81" s="47"/>
      <c r="N81" s="27">
        <v>6.3618579252875604E-3</v>
      </c>
      <c r="O81" s="27">
        <v>2.6426174496644202E-2</v>
      </c>
      <c r="Q81" s="27">
        <v>0.69344251385634403</v>
      </c>
      <c r="R81" s="27">
        <v>1.0598399969994499E-2</v>
      </c>
      <c r="S81" s="27">
        <v>0.443959731543624</v>
      </c>
      <c r="T81" s="27">
        <v>2.0685209813274602E-3</v>
      </c>
      <c r="V81" s="29">
        <f>(1000*S81/Q81)/$AE$140</f>
        <v>0.63401314754537696</v>
      </c>
      <c r="W81" s="29"/>
      <c r="X81" s="29">
        <f>S81-AVERAGE(S82:S84)</f>
        <v>0.42865866807565578</v>
      </c>
      <c r="Y81" s="29">
        <f>T81+AVERAGE(S82:S84)</f>
        <v>1.736958444929566E-2</v>
      </c>
      <c r="Z81" s="29"/>
      <c r="AA81" s="29">
        <f>(X81*1000)/Q81</f>
        <v>618.16035144977889</v>
      </c>
      <c r="AB81" s="29">
        <f>2*((1000*Y81/(2*Q81))^2+((R81/2)*1000*X81/(Q81^2))^2)^0.5</f>
        <v>26.770887659753939</v>
      </c>
      <c r="AC81" s="29">
        <f>AA81/$AE$140</f>
        <v>0.61216189681056821</v>
      </c>
      <c r="AD81" s="29">
        <f>2*(($AF$140*AA81/(2*$AE$140^2))^2+(AB81/($AE$140*2))^2)^0.5</f>
        <v>2.7286954058740331E-2</v>
      </c>
      <c r="AE81" s="29">
        <f>SUM(AV$5:$AV81)</f>
        <v>9.3009999996333246</v>
      </c>
      <c r="AF81" s="29" cm="1">
        <f t="array" ref="AF81">2*SQRT(SUM((AW$5:$AW81/2)^2))</f>
        <v>5.9257174020668789E-2</v>
      </c>
      <c r="AG81" s="29">
        <f t="shared" si="23"/>
        <v>9.2085717420240716</v>
      </c>
      <c r="AH81" s="29" cm="1">
        <f t="array" ref="AH81">2*SQRT(SUM((R$5:$R81/2)^2))</f>
        <v>4.6868517862083237E-2</v>
      </c>
      <c r="AI81" s="29">
        <f t="shared" si="24"/>
        <v>4.7263353878919219</v>
      </c>
      <c r="AJ81" s="29" cm="1">
        <f t="array" ref="AJ81">2*SQRT(SUM((T$5:$T81/2)^2))</f>
        <v>7.8488567745198801E-3</v>
      </c>
      <c r="AK81" s="47"/>
      <c r="AL81" s="29"/>
      <c r="AN81" s="29"/>
      <c r="AO81" s="29"/>
      <c r="AP81" s="29"/>
      <c r="AQ81" s="29">
        <f t="shared" si="18"/>
        <v>4.9837107280490229E-16</v>
      </c>
      <c r="AR81" s="29"/>
      <c r="AS81" s="29"/>
      <c r="AT81" s="29">
        <f>AT80-Q80</f>
        <v>1.0826013529542331E-2</v>
      </c>
      <c r="AU81" s="29">
        <f>AU80+R80</f>
        <v>4.5204916946347097E-3</v>
      </c>
      <c r="AV81" s="23">
        <f>Q81+AT82-AT81</f>
        <v>0.7544642316023219</v>
      </c>
      <c r="AW81" s="23">
        <f>2*(((AU81/2)^2+(AU82/2)^2+(R81/2)^2)^(0.5))</f>
        <v>1.4115074525016393E-2</v>
      </c>
      <c r="AX81" s="50">
        <f>100*(AV81-Q81)/Q81</f>
        <v>8.7998235652767232</v>
      </c>
      <c r="AY81" s="47"/>
      <c r="AZ81" s="29">
        <f t="shared" si="21"/>
        <v>541899951857.50446</v>
      </c>
      <c r="BA81" s="29">
        <f t="shared" si="22"/>
        <v>600182791921.81287</v>
      </c>
      <c r="BB81" s="29">
        <f>(Q81*BD81)+((BB77-(BD81*Q81))*EXP(-BC81))</f>
        <v>0.24861073914416129</v>
      </c>
      <c r="BC81" s="29">
        <f>AQ81*BA81*I81</f>
        <v>3.7688331478028534</v>
      </c>
      <c r="BD81" s="29">
        <f>1/(BC81-1)</f>
        <v>0.36116296888222682</v>
      </c>
      <c r="BE81" s="29">
        <f>(S81*BG81)+((BE77-(BG81*S81))*EXP(-BF81))</f>
        <v>0.18328170319118076</v>
      </c>
      <c r="BF81" s="29">
        <f>AQ81*AZ81*I81</f>
        <v>3.4028474805378823</v>
      </c>
      <c r="BG81" s="29">
        <f>1/(BF81-1)</f>
        <v>0.41617289823828019</v>
      </c>
      <c r="BH81" s="65">
        <f>Q81-BB77</f>
        <v>0.52250712169195213</v>
      </c>
      <c r="BI81" s="65">
        <f>Q81+BB81</f>
        <v>0.94205325300050535</v>
      </c>
      <c r="BJ81" s="65">
        <f>X81-BE77</f>
        <v>0.28843724855854491</v>
      </c>
      <c r="BK81" s="65">
        <f>X81+BE81</f>
        <v>0.61194037126683654</v>
      </c>
      <c r="BL81" s="29">
        <f>BF81*1.29</f>
        <v>4.3896732498938684</v>
      </c>
      <c r="BM81" s="29">
        <f>(Q81 / (BL81-1)) + ((BM77-(Q81 / (BL81-1)))*EXP(-BL81))</f>
        <v>0.2037812833450571</v>
      </c>
      <c r="BN81" s="29">
        <f>(1000*(S81+BE81)/(Q81+BM81))/$AE$140</f>
        <v>0.69230760680711456</v>
      </c>
      <c r="BO81" s="29">
        <f>(1000*(S81-BE77)/(Q81-BM77))/$AE$140</f>
        <v>0.54406856890106969</v>
      </c>
      <c r="BP81" s="29">
        <f>(1000*(S81+BE81-BE77)/(Q81+BM81-BM77))/$AE$140</f>
        <v>0.63741885865972892</v>
      </c>
      <c r="BQ81" s="29">
        <f>MIN(BN81:BP81)</f>
        <v>0.54406856890106969</v>
      </c>
      <c r="BR81" s="29">
        <f>((1000*S81/Q81))/$AE$140</f>
        <v>0.63401314754537696</v>
      </c>
      <c r="BS81" s="29">
        <f>MAX(BN81:BP81)</f>
        <v>0.69230760680711456</v>
      </c>
      <c r="BT81" s="29"/>
      <c r="BU81" s="29"/>
    </row>
    <row r="82" spans="2:73" s="30" customFormat="1" x14ac:dyDescent="0.3">
      <c r="B82" s="31">
        <v>45341.236111111109</v>
      </c>
      <c r="C82" s="30">
        <v>104.99</v>
      </c>
      <c r="D82" s="30">
        <f t="shared" si="25"/>
        <v>120</v>
      </c>
      <c r="E82" s="30" t="s">
        <v>447</v>
      </c>
      <c r="F82" s="32">
        <v>3.38</v>
      </c>
      <c r="G82" s="32">
        <v>0</v>
      </c>
      <c r="H82" s="32">
        <v>0.80900000000000005</v>
      </c>
      <c r="I82" s="30">
        <v>7200</v>
      </c>
      <c r="J82" s="30">
        <v>7329.5259999999998</v>
      </c>
      <c r="K82" s="30">
        <f t="shared" si="19"/>
        <v>8759.9999996367842</v>
      </c>
      <c r="L82" s="30">
        <f t="shared" si="20"/>
        <v>1559.9999996367842</v>
      </c>
      <c r="M82" s="47"/>
      <c r="N82" s="30">
        <v>6.3462757172787401E-3</v>
      </c>
      <c r="O82" s="30">
        <v>2.6426174496644202E-2</v>
      </c>
      <c r="Q82" s="30">
        <v>2.1450411924402099E-2</v>
      </c>
      <c r="R82" s="32">
        <v>3.2806046656481399E-4</v>
      </c>
      <c r="S82" s="30">
        <v>2.1378775167785202E-2</v>
      </c>
      <c r="T82" s="32">
        <v>9.1954324611729201E-5</v>
      </c>
      <c r="U82" s="32"/>
      <c r="V82" s="32"/>
      <c r="W82" s="32"/>
      <c r="X82" s="32"/>
      <c r="Y82" s="32"/>
      <c r="Z82" s="32"/>
      <c r="AA82" s="32"/>
      <c r="AB82" s="32"/>
      <c r="AC82" s="32"/>
      <c r="AD82" s="32"/>
      <c r="AE82" s="32">
        <f>SUM(AV$5:$AV82)</f>
        <v>9.3009999996333246</v>
      </c>
      <c r="AF82" s="32" cm="1">
        <f t="array" ref="AF82">2*SQRT(SUM((AW$5:$AW82/2)^2))</f>
        <v>5.9257174020668789E-2</v>
      </c>
      <c r="AG82" s="32">
        <f t="shared" si="23"/>
        <v>9.2300221539484735</v>
      </c>
      <c r="AH82" s="32" cm="1">
        <f t="array" ref="AH82">2*SQRT(SUM((R$5:$R82/2)^2))</f>
        <v>4.6869665992602699E-2</v>
      </c>
      <c r="AI82" s="32">
        <f t="shared" si="24"/>
        <v>4.7477141630597073</v>
      </c>
      <c r="AJ82" s="32" cm="1">
        <f t="array" ref="AJ82">2*SQRT(SUM((T$5:$T82/2)^2))</f>
        <v>7.849395407592958E-3</v>
      </c>
      <c r="AK82" s="47"/>
      <c r="AL82" s="32">
        <f>'Fit Lambdas'!$U$2*(10000/(C82+273))+'Fit Lambdas'!$V$2</f>
        <v>25.641311322432912</v>
      </c>
      <c r="AM82" s="30">
        <f>'Fit Lambdas'!$V$4</f>
        <v>6.7480704157997479E-2</v>
      </c>
      <c r="AN82" s="32">
        <f t="shared" si="16"/>
        <v>136735101103.89357</v>
      </c>
      <c r="AO82" s="32">
        <f t="shared" si="17"/>
        <v>9226980905.6057167</v>
      </c>
      <c r="AP82" s="32">
        <f>AN82*(C82+273)*$C$145*$E$144</f>
        <v>4.925153472170455E-5</v>
      </c>
      <c r="AQ82" s="32">
        <f t="shared" si="18"/>
        <v>3.6019671850231366E-16</v>
      </c>
      <c r="AR82" s="32">
        <f>Q82/(1-EXP(-D82*60*AP82))</f>
        <v>7.1847731275520202E-2</v>
      </c>
      <c r="AS82" s="32">
        <f>2*SQRT(
((R82/2) * (1 / (1 - EXP(-D82 * 60 * AN82 * AQ82))))^2 +
(AO82 * (-Q82 * 60 * D82 * AQ82 * EXP(-D82 * 60 * AN82 * AQ82) / (1 - EXP(-D82 * 60 * AN82 * AQ82))^2))^2
)</f>
        <v>8.1531835353759775E-3</v>
      </c>
      <c r="AT82" s="32" cm="1">
        <f t="array" ref="AT82:AU82">AR82:AS82</f>
        <v>7.1847731275520202E-2</v>
      </c>
      <c r="AU82" s="32">
        <v>8.1531835353759775E-3</v>
      </c>
      <c r="AV82" s="24"/>
      <c r="AW82" s="24"/>
      <c r="AX82" s="51"/>
      <c r="AY82" s="47"/>
      <c r="AZ82" s="32">
        <f t="shared" si="21"/>
        <v>88789925025.574295</v>
      </c>
      <c r="BA82" s="32">
        <f t="shared" si="22"/>
        <v>96291959073.926346</v>
      </c>
      <c r="BB82" s="32"/>
      <c r="BC82" s="32"/>
      <c r="BD82" s="32"/>
      <c r="BE82" s="32"/>
      <c r="BF82" s="32"/>
      <c r="BG82" s="32"/>
      <c r="BH82" s="32"/>
      <c r="BI82" s="32"/>
      <c r="BJ82" s="32"/>
      <c r="BK82" s="32"/>
      <c r="BL82" s="32"/>
      <c r="BM82" s="32"/>
      <c r="BN82" s="32"/>
      <c r="BO82" s="32"/>
      <c r="BP82" s="32"/>
      <c r="BQ82" s="32"/>
      <c r="BR82" s="32"/>
      <c r="BS82" s="32"/>
      <c r="BT82" s="32"/>
      <c r="BU82" s="32"/>
    </row>
    <row r="83" spans="2:73" s="8" customFormat="1" x14ac:dyDescent="0.3">
      <c r="B83" s="33">
        <v>45341.337500000001</v>
      </c>
      <c r="C83" s="8">
        <v>104.99</v>
      </c>
      <c r="D83" s="8">
        <f t="shared" si="25"/>
        <v>120</v>
      </c>
      <c r="E83" s="8" t="s">
        <v>448</v>
      </c>
      <c r="F83" s="34">
        <v>2.27</v>
      </c>
      <c r="G83" s="34">
        <v>0</v>
      </c>
      <c r="H83" s="34">
        <v>0.47499999999999998</v>
      </c>
      <c r="I83" s="8">
        <v>7200</v>
      </c>
      <c r="J83" s="8">
        <v>7328.2079999999996</v>
      </c>
      <c r="K83" s="8">
        <f t="shared" si="19"/>
        <v>8760.0000002654269</v>
      </c>
      <c r="L83" s="8">
        <f t="shared" si="20"/>
        <v>1560.0000002654269</v>
      </c>
      <c r="M83" s="47"/>
      <c r="N83" s="8">
        <v>6.3311702791372798E-3</v>
      </c>
      <c r="O83" s="8">
        <v>2.6426174496644202E-2</v>
      </c>
      <c r="Q83" s="8">
        <v>1.4371756533641601E-2</v>
      </c>
      <c r="R83" s="34">
        <v>2.19942359505094E-4</v>
      </c>
      <c r="S83" s="8">
        <v>1.2552432885906E-2</v>
      </c>
      <c r="T83" s="34">
        <v>4.96335242277447E-5</v>
      </c>
      <c r="U83" s="34"/>
      <c r="X83" s="34"/>
      <c r="Y83" s="34"/>
      <c r="Z83" s="34"/>
      <c r="AA83" s="34"/>
      <c r="AE83" s="34">
        <f>SUM(AV$5:$AV83)</f>
        <v>9.3009999996333246</v>
      </c>
      <c r="AF83" s="34" cm="1">
        <f t="array" ref="AF83">2*SQRT(SUM((AW$5:$AW83/2)^2))</f>
        <v>5.9257174020668789E-2</v>
      </c>
      <c r="AG83" s="34">
        <f t="shared" si="23"/>
        <v>9.2443939104821151</v>
      </c>
      <c r="AH83" s="34" cm="1">
        <f t="array" ref="AH83">2*SQRT(SUM((R$5:$R83/2)^2))</f>
        <v>4.6870182044660792E-2</v>
      </c>
      <c r="AI83" s="34">
        <f t="shared" si="24"/>
        <v>4.7602665959456134</v>
      </c>
      <c r="AJ83" s="34" cm="1">
        <f t="array" ref="AJ83">2*SQRT(SUM((T$5:$T83/2)^2))</f>
        <v>7.849552328092901E-3</v>
      </c>
      <c r="AK83" s="47"/>
      <c r="AL83" s="34">
        <f>'Fit Lambdas'!$U$2*(10000/(C83+273))+'Fit Lambdas'!$V$2</f>
        <v>25.641311322432912</v>
      </c>
      <c r="AM83" s="8">
        <f>'Fit Lambdas'!$V$4</f>
        <v>6.7480704157997479E-2</v>
      </c>
      <c r="AN83" s="34">
        <f t="shared" si="16"/>
        <v>136735101103.89357</v>
      </c>
      <c r="AO83" s="34">
        <f t="shared" si="17"/>
        <v>9226980905.6057167</v>
      </c>
      <c r="AP83" s="34">
        <f>AN83*(C83+273)*$C$145*$E$144</f>
        <v>4.925153472170455E-5</v>
      </c>
      <c r="AQ83" s="34">
        <f t="shared" si="18"/>
        <v>3.6019671850231366E-16</v>
      </c>
      <c r="AR83" s="34">
        <f>Q83/(1-EXP(-D83*60*AP83))</f>
        <v>4.8137914788089327E-2</v>
      </c>
      <c r="AS83" s="34">
        <f>2*SQRT(
((R83/2) * (1 / (1 - EXP(-D83 * 60 * AN83 * AQ83))))^2 +
(AO83 * (-Q83 * 60 * D83 * AQ83 * EXP(-D83 * 60 * AN83 * AQ83) / (1 - EXP(-D83 * 60 * AN83 * AQ83))^2))^2
)</f>
        <v>5.4626897610254811E-3</v>
      </c>
      <c r="AT83" s="34">
        <f>AT82*EXP(-AP82*D82*60)</f>
        <v>5.0397319351118103E-2</v>
      </c>
      <c r="AU83" s="34">
        <f>2*((((AU82/2)*EXP(-AP82*D82*60))^2+(AT82*EXP(-AP82*D82*60)*D82*60*AO82*AP82/AN82)^2)^0.5)</f>
        <v>6.2068282225131981E-3</v>
      </c>
      <c r="AV83" s="25"/>
      <c r="AW83" s="25"/>
      <c r="AX83" s="52"/>
      <c r="AY83" s="47"/>
      <c r="AZ83" s="34">
        <f t="shared" si="21"/>
        <v>88789925025.574295</v>
      </c>
      <c r="BA83" s="34">
        <f t="shared" si="22"/>
        <v>96291959073.926346</v>
      </c>
      <c r="BB83" s="34"/>
      <c r="BC83" s="34"/>
      <c r="BD83" s="34"/>
      <c r="BE83" s="34"/>
      <c r="BF83" s="34"/>
      <c r="BG83" s="34"/>
      <c r="BH83" s="34"/>
      <c r="BI83" s="34"/>
      <c r="BJ83" s="34"/>
      <c r="BK83" s="34"/>
      <c r="BL83" s="34"/>
      <c r="BM83" s="34"/>
      <c r="BN83" s="34"/>
      <c r="BO83" s="34"/>
      <c r="BP83" s="34"/>
      <c r="BQ83" s="34"/>
      <c r="BR83" s="34"/>
      <c r="BS83" s="34"/>
      <c r="BT83" s="34"/>
      <c r="BU83" s="34"/>
    </row>
    <row r="84" spans="2:73" s="8" customFormat="1" x14ac:dyDescent="0.3">
      <c r="B84" s="33">
        <v>45341.438888888886</v>
      </c>
      <c r="C84" s="8">
        <v>104.99</v>
      </c>
      <c r="D84" s="8">
        <f t="shared" si="25"/>
        <v>120</v>
      </c>
      <c r="E84" s="8" t="s">
        <v>448</v>
      </c>
      <c r="F84" s="34">
        <v>1.64</v>
      </c>
      <c r="G84" s="34">
        <v>0</v>
      </c>
      <c r="H84" s="34">
        <v>0.45300000000000001</v>
      </c>
      <c r="I84" s="8">
        <v>7200</v>
      </c>
      <c r="J84" s="8">
        <v>7329.22</v>
      </c>
      <c r="K84" s="8">
        <f t="shared" si="19"/>
        <v>8759.9999996367842</v>
      </c>
      <c r="L84" s="8">
        <f t="shared" si="20"/>
        <v>1559.9999996367842</v>
      </c>
      <c r="M84" s="47"/>
      <c r="N84" s="8">
        <v>6.32978723404255E-3</v>
      </c>
      <c r="O84" s="8">
        <v>2.64282171086389E-2</v>
      </c>
      <c r="Q84" s="8">
        <v>1.03808510638297E-2</v>
      </c>
      <c r="R84" s="34">
        <v>1.59197084573893E-4</v>
      </c>
      <c r="S84" s="8">
        <v>1.1971982350213401E-2</v>
      </c>
      <c r="T84" s="34">
        <v>4.7123014670003299E-5</v>
      </c>
      <c r="U84" s="34"/>
      <c r="X84" s="34"/>
      <c r="Y84" s="34"/>
      <c r="Z84" s="34"/>
      <c r="AA84" s="34"/>
      <c r="AE84" s="34">
        <f>SUM(AV$5:$AV84)</f>
        <v>9.3009999996333246</v>
      </c>
      <c r="AF84" s="34" cm="1">
        <f t="array" ref="AF84">2*SQRT(SUM((AW$5:$AW84/2)^2))</f>
        <v>5.9257174020668789E-2</v>
      </c>
      <c r="AG84" s="34">
        <f t="shared" si="23"/>
        <v>9.2547747615459457</v>
      </c>
      <c r="AH84" s="34" cm="1">
        <f t="array" ref="AH84">2*SQRT(SUM((R$5:$R84/2)^2))</f>
        <v>4.6870452404594733E-2</v>
      </c>
      <c r="AI84" s="34">
        <f t="shared" si="24"/>
        <v>4.772238578295827</v>
      </c>
      <c r="AJ84" s="34" cm="1">
        <f t="array" ref="AJ84">2*SQRT(SUM((T$5:$T84/2)^2))</f>
        <v>7.8496937730067051E-3</v>
      </c>
      <c r="AK84" s="47"/>
      <c r="AL84" s="34">
        <f>'Fit Lambdas'!$U$2*(10000/(C84+273))+'Fit Lambdas'!$V$2</f>
        <v>25.641311322432912</v>
      </c>
      <c r="AM84" s="8">
        <f>'Fit Lambdas'!$V$4</f>
        <v>6.7480704157997479E-2</v>
      </c>
      <c r="AN84" s="34">
        <f t="shared" si="16"/>
        <v>136735101103.89357</v>
      </c>
      <c r="AO84" s="34">
        <f t="shared" si="17"/>
        <v>9226980905.6057167</v>
      </c>
      <c r="AP84" s="34">
        <f>AN84*(C84+273)*$C$145*$E$144</f>
        <v>4.925153472170455E-5</v>
      </c>
      <c r="AQ84" s="34">
        <f t="shared" si="18"/>
        <v>3.6019671850231366E-16</v>
      </c>
      <c r="AR84" s="34">
        <f>Q84/(1-EXP(-D84*60*AP84))</f>
        <v>3.4770455703778916E-2</v>
      </c>
      <c r="AS84" s="34">
        <f>2*SQRT(
((R84/2) * (1 / (1 - EXP(-D84 * 60 * AN84 * AQ84))))^2 +
(AO84 * (-Q84 * 60 * D84 * AQ84 * EXP(-D84 * 60 * AN84 * AQ84) / (1 - EXP(-D84 * 60 * AN84 * AQ84))^2))^2
)</f>
        <v>3.9459002649988124E-3</v>
      </c>
      <c r="AT84" s="34">
        <f>AT83*EXP(-AP83*D83*60)</f>
        <v>3.5351009039362231E-2</v>
      </c>
      <c r="AU84" s="34">
        <f>2*((((AU83/2)*EXP(-AP83*D83*60))^2+(AT83*EXP(-AP83*D83*60)*D83*60*AO83*AP83/AN83)^2)^0.5)</f>
        <v>4.6709285323651394E-3</v>
      </c>
      <c r="AV84" s="25"/>
      <c r="AW84" s="25"/>
      <c r="AX84" s="52"/>
      <c r="AY84" s="47"/>
      <c r="AZ84" s="34">
        <f t="shared" si="21"/>
        <v>88789925025.574295</v>
      </c>
      <c r="BA84" s="34">
        <f t="shared" si="22"/>
        <v>96291959073.926346</v>
      </c>
      <c r="BB84" s="34"/>
      <c r="BC84" s="34"/>
      <c r="BD84" s="34"/>
      <c r="BE84" s="34"/>
      <c r="BF84" s="34"/>
      <c r="BG84" s="34"/>
      <c r="BH84" s="34"/>
      <c r="BI84" s="34"/>
      <c r="BJ84" s="34"/>
      <c r="BK84" s="34"/>
      <c r="BL84" s="34"/>
      <c r="BM84" s="34"/>
      <c r="BN84" s="34"/>
      <c r="BO84" s="34"/>
      <c r="BP84" s="34"/>
      <c r="BQ84" s="34"/>
      <c r="BR84" s="34"/>
      <c r="BS84" s="34"/>
      <c r="BT84" s="34"/>
      <c r="BU84" s="34"/>
    </row>
    <row r="85" spans="2:73" s="27" customFormat="1" x14ac:dyDescent="0.3">
      <c r="B85" s="28">
        <v>45341.644444444442</v>
      </c>
      <c r="C85" s="27">
        <v>244.909999999999</v>
      </c>
      <c r="D85" s="27">
        <f t="shared" si="25"/>
        <v>270</v>
      </c>
      <c r="E85" s="27" t="s">
        <v>460</v>
      </c>
      <c r="F85" s="29">
        <v>73.599999999999994</v>
      </c>
      <c r="G85" s="29">
        <v>0</v>
      </c>
      <c r="H85" s="29">
        <v>11.8</v>
      </c>
      <c r="I85" s="27">
        <v>16200</v>
      </c>
      <c r="J85" s="27">
        <v>16326.304</v>
      </c>
      <c r="K85" s="27">
        <f t="shared" si="19"/>
        <v>17760.000000055879</v>
      </c>
      <c r="L85" s="27">
        <f t="shared" si="20"/>
        <v>1560.0000000558794</v>
      </c>
      <c r="M85" s="47"/>
      <c r="N85" s="27">
        <v>6.32978723404255E-3</v>
      </c>
      <c r="O85" s="27">
        <v>2.64692857165451E-2</v>
      </c>
      <c r="Q85" s="27">
        <v>0.465872340425531</v>
      </c>
      <c r="R85" s="27">
        <v>7.4343533932404197E-3</v>
      </c>
      <c r="S85" s="27">
        <v>0.312337571455232</v>
      </c>
      <c r="T85" s="27">
        <v>1.3158669451178099E-3</v>
      </c>
      <c r="V85" s="29">
        <f>(1000*S85/Q85)/$AE$140</f>
        <v>0.663930241058585</v>
      </c>
      <c r="W85" s="29"/>
      <c r="X85" s="29">
        <f>S85-AVERAGE(S86:S88)</f>
        <v>0.30371417997653144</v>
      </c>
      <c r="Y85" s="29">
        <f>T85+AVERAGE(S86:S88)</f>
        <v>9.9392584238183861E-3</v>
      </c>
      <c r="Z85" s="29"/>
      <c r="AA85" s="29">
        <f>(X85*1000)/Q85</f>
        <v>651.92576081919105</v>
      </c>
      <c r="AB85" s="29">
        <f>2*((1000*Y85/(2*Q85))^2+((R85/2)*1000*X85/(Q85^2))^2)^0.5</f>
        <v>23.73606535050537</v>
      </c>
      <c r="AC85" s="29">
        <f>AA85/$AE$140</f>
        <v>0.64559965611960068</v>
      </c>
      <c r="AD85" s="29">
        <f>2*(($AF$140*AA85/(2*$AE$140^2))^2+(AB85/($AE$140*2))^2)^0.5</f>
        <v>2.4473309038832894E-2</v>
      </c>
      <c r="AE85" s="29">
        <f>SUM(AV$5:$AV85)</f>
        <v>9.7918579018664662</v>
      </c>
      <c r="AF85" s="29" cm="1">
        <f t="array" ref="AF85">2*SQRT(SUM((AW$5:$AW85/2)^2))</f>
        <v>6.0107442093159498E-2</v>
      </c>
      <c r="AG85" s="29">
        <f t="shared" si="23"/>
        <v>9.7206471019714762</v>
      </c>
      <c r="AH85" s="29" cm="1">
        <f t="array" ref="AH85">2*SQRT(SUM((R$5:$R85/2)^2))</f>
        <v>4.7456389653944019E-2</v>
      </c>
      <c r="AI85" s="29">
        <f t="shared" si="24"/>
        <v>5.0845761497510589</v>
      </c>
      <c r="AJ85" s="29" cm="1">
        <f t="array" ref="AJ85">2*SQRT(SUM((T$5:$T85/2)^2))</f>
        <v>7.9592209510249146E-3</v>
      </c>
      <c r="AK85" s="47"/>
      <c r="AL85" s="29"/>
      <c r="AN85" s="29"/>
      <c r="AO85" s="29"/>
      <c r="AP85" s="29"/>
      <c r="AQ85" s="29">
        <f t="shared" si="18"/>
        <v>4.9353020577140363E-16</v>
      </c>
      <c r="AR85" s="29"/>
      <c r="AS85" s="29"/>
      <c r="AT85" s="29">
        <f>AT84*EXP(-AP84*D84*60)</f>
        <v>2.4796831581347684E-2</v>
      </c>
      <c r="AU85" s="29">
        <f>2*((((AU84/2)*EXP(-AP84*D84*60))^2+(AT84*EXP(-AP84*D84*60)*D84*60*AO84*AP84/AN84)^2)^0.5)</f>
        <v>3.4847092584036313E-3</v>
      </c>
      <c r="AV85" s="23">
        <f>Q85+AT86-AT85</f>
        <v>0.49085790223314241</v>
      </c>
      <c r="AW85" s="23">
        <f>2*(((AU85/2)^2+(AU86/2)^2+(R85/2)^2)^(0.5))</f>
        <v>1.0074319930729707E-2</v>
      </c>
      <c r="AX85" s="50">
        <f>100*(AV85-Q85)/Q85</f>
        <v>5.3631777720028246</v>
      </c>
      <c r="AY85" s="47"/>
      <c r="AZ85" s="29">
        <f t="shared" si="21"/>
        <v>517407687087.88031</v>
      </c>
      <c r="BA85" s="29">
        <f t="shared" si="22"/>
        <v>572748087267.67456</v>
      </c>
      <c r="BB85" s="29">
        <f>Q85*BD85</f>
        <v>0.13015995584759732</v>
      </c>
      <c r="BC85" s="29">
        <f>AQ85*BA85*I85</f>
        <v>4.5792293981031706</v>
      </c>
      <c r="BD85" s="29">
        <f>1/(BC85-1)</f>
        <v>0.2793897481200715</v>
      </c>
      <c r="BE85" s="29">
        <f>BG85*S85</f>
        <v>9.9572914304118187E-2</v>
      </c>
      <c r="BF85" s="29">
        <f>AQ85*AZ85*I85</f>
        <v>4.1367724208742391</v>
      </c>
      <c r="BG85" s="29">
        <f>1/(BF85-1)</f>
        <v>0.31879902837238455</v>
      </c>
      <c r="BH85" s="29">
        <f>Q85-BB81</f>
        <v>0.2172616012813697</v>
      </c>
      <c r="BI85" s="29">
        <f>Q85+BB85</f>
        <v>0.59603229627312837</v>
      </c>
      <c r="BJ85" s="29">
        <f>X85-BE81</f>
        <v>0.12043247678535068</v>
      </c>
      <c r="BK85" s="29">
        <f>X85+BE85</f>
        <v>0.40328709428064963</v>
      </c>
      <c r="BL85" s="29">
        <f>BF85*1.29</f>
        <v>5.3364364229277683</v>
      </c>
      <c r="BM85" s="29">
        <f>Q85 / (BL85-1)</f>
        <v>0.1074320697894597</v>
      </c>
      <c r="BN85" s="29">
        <f>(1000*(S85+BE85)/(Q85+BM85))/$AE$140</f>
        <v>0.71151279266276379</v>
      </c>
      <c r="BO85" s="29">
        <f>(1000*(S85-BE81)/(Q85-BM81))/$AE$140</f>
        <v>0.4876303211023103</v>
      </c>
      <c r="BP85" s="29">
        <f>(1000*(S85+BE85-BE81)/(Q85+BM85-BM81))/$AE$140</f>
        <v>0.61270923667677546</v>
      </c>
      <c r="BQ85" s="29">
        <f>MIN(BN85:BP85)</f>
        <v>0.4876303211023103</v>
      </c>
      <c r="BR85" s="29">
        <f>((1000*S85/Q85))/$AE$140</f>
        <v>0.663930241058585</v>
      </c>
      <c r="BS85" s="29">
        <f>MAX(BN85:BP85)</f>
        <v>0.71151279266276379</v>
      </c>
      <c r="BT85" s="29"/>
      <c r="BU85" s="29"/>
    </row>
    <row r="86" spans="2:73" s="30" customFormat="1" x14ac:dyDescent="0.3">
      <c r="B86" s="31">
        <v>45341.745833333334</v>
      </c>
      <c r="C86" s="30">
        <v>100</v>
      </c>
      <c r="D86" s="30">
        <f t="shared" si="25"/>
        <v>120</v>
      </c>
      <c r="E86" s="30" t="s">
        <v>447</v>
      </c>
      <c r="F86" s="32">
        <v>1.99</v>
      </c>
      <c r="G86" s="32">
        <v>0</v>
      </c>
      <c r="H86" s="32">
        <v>0.54400000000000004</v>
      </c>
      <c r="I86" s="30">
        <v>7200</v>
      </c>
      <c r="J86" s="30">
        <v>7328.5330000000004</v>
      </c>
      <c r="K86" s="30">
        <f t="shared" si="19"/>
        <v>8760.0000002654269</v>
      </c>
      <c r="L86" s="30">
        <f t="shared" si="20"/>
        <v>1560.0000002654269</v>
      </c>
      <c r="M86" s="47"/>
      <c r="N86" s="30">
        <v>6.3318091695029801E-3</v>
      </c>
      <c r="O86" s="30">
        <v>2.6462600863426802E-2</v>
      </c>
      <c r="Q86" s="30">
        <v>1.2600300247310899E-2</v>
      </c>
      <c r="R86" s="32">
        <v>1.9637404342599999E-4</v>
      </c>
      <c r="S86" s="30">
        <v>1.43956548697042E-2</v>
      </c>
      <c r="T86" s="32">
        <v>6.0788320765361397E-5</v>
      </c>
      <c r="U86" s="32"/>
      <c r="X86" s="32"/>
      <c r="Y86" s="32"/>
      <c r="Z86" s="32"/>
      <c r="AA86" s="32"/>
      <c r="AE86" s="32">
        <f>SUM(AV$5:$AV86)</f>
        <v>9.7918579018664662</v>
      </c>
      <c r="AF86" s="32" cm="1">
        <f t="array" ref="AF86">2*SQRT(SUM((AW$5:$AW86/2)^2))</f>
        <v>6.0107442093159498E-2</v>
      </c>
      <c r="AG86" s="32">
        <f t="shared" si="23"/>
        <v>9.7332474022187867</v>
      </c>
      <c r="AH86" s="32" cm="1">
        <f t="array" ref="AH86">2*SQRT(SUM((R$5:$R86/2)^2))</f>
        <v>4.7456795949072421E-2</v>
      </c>
      <c r="AI86" s="32">
        <f t="shared" si="24"/>
        <v>5.0989718046207635</v>
      </c>
      <c r="AJ86" s="32" cm="1">
        <f t="array" ref="AJ86">2*SQRT(SUM((T$5:$T86/2)^2))</f>
        <v>7.9594530821643396E-3</v>
      </c>
      <c r="AK86" s="47"/>
      <c r="AL86" s="32">
        <f>'Fit Lambdas'!$U$2*(10000/(C86+273))+'Fit Lambdas'!$V$2</f>
        <v>25.45976456747379</v>
      </c>
      <c r="AM86" s="30">
        <f>'Fit Lambdas'!$V$4</f>
        <v>6.7480704157997479E-2</v>
      </c>
      <c r="AN86" s="32">
        <f t="shared" si="16"/>
        <v>114034237303.31673</v>
      </c>
      <c r="AO86" s="32">
        <f t="shared" si="17"/>
        <v>7695110631.3479958</v>
      </c>
      <c r="AP86" s="32">
        <f>AN86*(C86+273)*$C$145*$E$144</f>
        <v>4.053251345654956E-5</v>
      </c>
      <c r="AQ86" s="32">
        <f t="shared" si="18"/>
        <v>3.5544161486114176E-16</v>
      </c>
      <c r="AR86" s="32">
        <f>Q86/(1-EXP(-D86*60*AP86))</f>
        <v>4.9782393388959088E-2</v>
      </c>
      <c r="AS86" s="32">
        <f>2*SQRT(
((R86/2) * (1 / (1 - EXP(-D86 * 60 * AN86 * AQ86))))^2 +
(AO86 * (-Q86 * 60 * D86 * AQ86 * EXP(-D86 * 60 * AN86 * AQ86) / (1 - EXP(-D86 * 60 * AN86 * AQ86))^2))^2
)</f>
        <v>5.8377318434053192E-3</v>
      </c>
      <c r="AT86" s="32" cm="1">
        <f t="array" ref="AT86:AU86">AR86:AS86</f>
        <v>4.9782393388959088E-2</v>
      </c>
      <c r="AU86" s="32">
        <v>5.8377318434053192E-3</v>
      </c>
      <c r="AV86" s="24"/>
      <c r="AW86" s="24"/>
      <c r="AX86" s="51"/>
      <c r="AY86" s="47"/>
      <c r="AZ86" s="32">
        <f t="shared" si="21"/>
        <v>81368987856.687653</v>
      </c>
      <c r="BA86" s="32">
        <f t="shared" si="22"/>
        <v>88154464997.476822</v>
      </c>
      <c r="BB86" s="32"/>
      <c r="BC86" s="32"/>
      <c r="BD86" s="32"/>
      <c r="BE86" s="32"/>
      <c r="BF86" s="32"/>
      <c r="BG86" s="32"/>
      <c r="BH86" s="32"/>
      <c r="BI86" s="32"/>
      <c r="BJ86" s="32"/>
      <c r="BK86" s="32"/>
      <c r="BL86" s="32"/>
      <c r="BM86" s="32"/>
      <c r="BN86" s="32"/>
      <c r="BO86" s="32"/>
      <c r="BP86" s="32"/>
      <c r="BQ86" s="32"/>
      <c r="BR86" s="32"/>
      <c r="BS86" s="32"/>
      <c r="BT86" s="32"/>
      <c r="BU86" s="32"/>
    </row>
    <row r="87" spans="2:73" s="8" customFormat="1" x14ac:dyDescent="0.3">
      <c r="B87" s="33">
        <v>45341.847222222219</v>
      </c>
      <c r="C87" s="8">
        <v>100</v>
      </c>
      <c r="D87" s="8">
        <f t="shared" si="25"/>
        <v>120</v>
      </c>
      <c r="E87" s="8" t="s">
        <v>448</v>
      </c>
      <c r="F87" s="34">
        <v>1.48</v>
      </c>
      <c r="G87" s="34">
        <v>0</v>
      </c>
      <c r="H87" s="34">
        <v>0.249</v>
      </c>
      <c r="I87" s="8">
        <v>7200</v>
      </c>
      <c r="J87" s="8">
        <v>7328.0680000000002</v>
      </c>
      <c r="K87" s="8">
        <f t="shared" si="19"/>
        <v>8759.9999996367842</v>
      </c>
      <c r="L87" s="8">
        <f t="shared" si="20"/>
        <v>1559.9999996367842</v>
      </c>
      <c r="M87" s="47"/>
      <c r="N87" s="8">
        <v>6.3356834113348203E-3</v>
      </c>
      <c r="O87" s="8">
        <v>2.6447296215568301E-2</v>
      </c>
      <c r="Q87" s="8">
        <v>9.3768114487755398E-3</v>
      </c>
      <c r="R87" s="34">
        <v>1.3908579909883899E-4</v>
      </c>
      <c r="S87" s="8">
        <v>6.5853767576765096E-3</v>
      </c>
      <c r="T87" s="34">
        <v>2.78185222367121E-5</v>
      </c>
      <c r="U87" s="34"/>
      <c r="X87" s="34"/>
      <c r="Y87" s="34"/>
      <c r="Z87" s="34"/>
      <c r="AA87" s="34"/>
      <c r="AE87" s="34">
        <f>SUM(AV$5:$AV87)</f>
        <v>9.7918579018664662</v>
      </c>
      <c r="AF87" s="34" cm="1">
        <f t="array" ref="AF87">2*SQRT(SUM((AW$5:$AW87/2)^2))</f>
        <v>6.0107442093159498E-2</v>
      </c>
      <c r="AG87" s="34">
        <f t="shared" si="23"/>
        <v>9.7426242136675629</v>
      </c>
      <c r="AH87" s="34" cm="1">
        <f t="array" ref="AH87">2*SQRT(SUM((R$5:$R87/2)^2))</f>
        <v>4.7456999764117068E-2</v>
      </c>
      <c r="AI87" s="34">
        <f t="shared" si="24"/>
        <v>5.1055571813784404</v>
      </c>
      <c r="AJ87" s="34" cm="1">
        <f t="array" ref="AJ87">2*SQRT(SUM((T$5:$T87/2)^2))</f>
        <v>7.9595016952919134E-3</v>
      </c>
      <c r="AK87" s="47"/>
      <c r="AL87" s="34">
        <f>'Fit Lambdas'!$U$2*(10000/(C87+273))+'Fit Lambdas'!$V$2</f>
        <v>25.45976456747379</v>
      </c>
      <c r="AM87" s="8">
        <f>'Fit Lambdas'!$V$4</f>
        <v>6.7480704157997479E-2</v>
      </c>
      <c r="AN87" s="34">
        <f t="shared" si="16"/>
        <v>114034237303.31673</v>
      </c>
      <c r="AO87" s="34">
        <f t="shared" si="17"/>
        <v>7695110631.3479958</v>
      </c>
      <c r="AP87" s="34">
        <f>AN87*(C87+273)*$C$145*$E$144</f>
        <v>4.053251345654956E-5</v>
      </c>
      <c r="AQ87" s="34">
        <f t="shared" si="18"/>
        <v>3.5544161486114176E-16</v>
      </c>
      <c r="AR87" s="34">
        <f>Q87/(1-EXP(-D87*60*AP87))</f>
        <v>3.704674548343892E-2</v>
      </c>
      <c r="AS87" s="34">
        <f>2*SQRT(
((R87/2) * (1 / (1 - EXP(-D87 * 60 * AN87 * AQ87))))^2 +
(AO87 * (-Q87 * 60 * D87 * AQ87 * EXP(-D87 * 60 * AN87 * AQ87) / (1 - EXP(-D87 * 60 * AN87 * AQ87))^2))^2
)</f>
        <v>4.3406718692326433E-3</v>
      </c>
      <c r="AT87" s="34">
        <f>AT86*EXP(-AP86*D86*60)</f>
        <v>3.7182093141648193E-2</v>
      </c>
      <c r="AU87" s="34">
        <f>2*((((AU86/2)*EXP(-AP86*D86*60))^2+(AT86*EXP(-AP86*D86*60)*D86*60*AO86*AP86/AN86)^2)^0.5)</f>
        <v>4.5995258595678285E-3</v>
      </c>
      <c r="AV87" s="25"/>
      <c r="AW87" s="25"/>
      <c r="AX87" s="52"/>
      <c r="AY87" s="47"/>
      <c r="AZ87" s="34">
        <f t="shared" si="21"/>
        <v>81368987856.687653</v>
      </c>
      <c r="BA87" s="34">
        <f t="shared" si="22"/>
        <v>88154464997.476822</v>
      </c>
      <c r="BB87" s="34"/>
      <c r="BC87" s="34"/>
      <c r="BD87" s="34"/>
      <c r="BE87" s="34"/>
      <c r="BF87" s="34"/>
      <c r="BG87" s="34"/>
      <c r="BH87" s="34"/>
      <c r="BI87" s="34"/>
      <c r="BJ87" s="34"/>
      <c r="BK87" s="34"/>
      <c r="BL87" s="34"/>
      <c r="BM87" s="34"/>
      <c r="BN87" s="34"/>
      <c r="BO87" s="34"/>
      <c r="BP87" s="34"/>
      <c r="BQ87" s="34"/>
      <c r="BR87" s="34"/>
      <c r="BS87" s="34"/>
      <c r="BT87" s="34"/>
      <c r="BU87" s="34"/>
    </row>
    <row r="88" spans="2:73" s="8" customFormat="1" x14ac:dyDescent="0.3">
      <c r="B88" s="33">
        <v>45341.948611111111</v>
      </c>
      <c r="C88" s="8">
        <v>100</v>
      </c>
      <c r="D88" s="8">
        <f t="shared" si="25"/>
        <v>120</v>
      </c>
      <c r="E88" s="8" t="s">
        <v>448</v>
      </c>
      <c r="F88" s="34">
        <v>1.1599999999999999</v>
      </c>
      <c r="G88" s="34">
        <v>0</v>
      </c>
      <c r="H88" s="34">
        <v>0.185</v>
      </c>
      <c r="I88" s="8">
        <v>7200</v>
      </c>
      <c r="J88" s="8">
        <v>7326.6490000000003</v>
      </c>
      <c r="K88" s="8">
        <f t="shared" si="19"/>
        <v>8760.0000002654269</v>
      </c>
      <c r="L88" s="8">
        <f t="shared" si="20"/>
        <v>1560.0000002654269</v>
      </c>
      <c r="M88" s="47"/>
      <c r="N88" s="8">
        <v>6.3406189747238504E-3</v>
      </c>
      <c r="O88" s="8">
        <v>2.6427798966059499E-2</v>
      </c>
      <c r="Q88" s="8">
        <v>7.3551180106796697E-3</v>
      </c>
      <c r="R88" s="34">
        <v>1.02062436164476E-4</v>
      </c>
      <c r="S88" s="8">
        <v>4.8891428087210198E-3</v>
      </c>
      <c r="T88" s="34">
        <v>2.0657444548262401E-5</v>
      </c>
      <c r="U88" s="34"/>
      <c r="X88" s="34"/>
      <c r="Y88" s="34"/>
      <c r="Z88" s="34"/>
      <c r="AA88" s="34"/>
      <c r="AE88" s="34">
        <f>SUM(AV$5:$AV88)</f>
        <v>9.7918579018664662</v>
      </c>
      <c r="AF88" s="34" cm="1">
        <f t="array" ref="AF88">2*SQRT(SUM((AW$5:$AW88/2)^2))</f>
        <v>6.0107442093159498E-2</v>
      </c>
      <c r="AG88" s="34">
        <f t="shared" si="23"/>
        <v>9.7499793316782419</v>
      </c>
      <c r="AH88" s="34" cm="1">
        <f t="array" ref="AH88">2*SQRT(SUM((R$5:$R88/2)^2))</f>
        <v>4.7457109513246623E-2</v>
      </c>
      <c r="AI88" s="34">
        <f t="shared" si="24"/>
        <v>5.1104463241871612</v>
      </c>
      <c r="AJ88" s="34" cm="1">
        <f t="array" ref="AJ88">2*SQRT(SUM((T$5:$T88/2)^2))</f>
        <v>7.9595285015740796E-3</v>
      </c>
      <c r="AK88" s="47"/>
      <c r="AL88" s="34">
        <f>'Fit Lambdas'!$U$2*(10000/(C88+273))+'Fit Lambdas'!$V$2</f>
        <v>25.45976456747379</v>
      </c>
      <c r="AM88" s="8">
        <f>'Fit Lambdas'!$V$4</f>
        <v>6.7480704157997479E-2</v>
      </c>
      <c r="AN88" s="34">
        <f t="shared" si="16"/>
        <v>114034237303.31673</v>
      </c>
      <c r="AO88" s="34">
        <f t="shared" si="17"/>
        <v>7695110631.3479958</v>
      </c>
      <c r="AP88" s="34">
        <f>AN88*(C88+273)*$C$145*$E$144</f>
        <v>4.053251345654956E-5</v>
      </c>
      <c r="AQ88" s="34">
        <f t="shared" si="18"/>
        <v>3.5544161486114176E-16</v>
      </c>
      <c r="AR88" s="34">
        <f>Q88/(1-EXP(-D88*60*AP88))</f>
        <v>2.9059258195693931E-2</v>
      </c>
      <c r="AS88" s="34">
        <f>2*SQRT(
((R88/2) * (1 / (1 - EXP(-D88 * 60 * AN88 * AQ88))))^2 +
(AO88 * (-Q88 * 60 * D88 * AQ88 * EXP(-D88 * 60 * AN88 * AQ88) / (1 - EXP(-D88 * 60 * AN88 * AQ88))^2))^2
)</f>
        <v>3.4013912762155974E-3</v>
      </c>
      <c r="AT88" s="34">
        <f>AT87*EXP(-AP87*D87*60)</f>
        <v>2.7771024177009915E-2</v>
      </c>
      <c r="AU88" s="34">
        <f>2*((((AU87/2)*EXP(-AP87*D87*60))^2+(AT87*EXP(-AP87*D87*60)*D87*60*AO87*AP87/AN87)^2)^0.5)</f>
        <v>3.6052785388362E-3</v>
      </c>
      <c r="AV88" s="25"/>
      <c r="AW88" s="25"/>
      <c r="AX88" s="52"/>
      <c r="AY88" s="47"/>
      <c r="AZ88" s="34">
        <f t="shared" si="21"/>
        <v>81368987856.687653</v>
      </c>
      <c r="BA88" s="34">
        <f t="shared" si="22"/>
        <v>88154464997.476822</v>
      </c>
      <c r="BB88" s="34"/>
      <c r="BC88" s="34"/>
      <c r="BD88" s="34"/>
      <c r="BE88" s="34"/>
      <c r="BF88" s="34"/>
      <c r="BG88" s="34"/>
      <c r="BH88" s="34"/>
      <c r="BI88" s="34"/>
      <c r="BJ88" s="34"/>
      <c r="BK88" s="34"/>
      <c r="BL88" s="34"/>
      <c r="BM88" s="34"/>
      <c r="BN88" s="34"/>
      <c r="BO88" s="34"/>
      <c r="BP88" s="34"/>
      <c r="BQ88" s="34"/>
      <c r="BR88" s="34"/>
      <c r="BS88" s="34"/>
      <c r="BT88" s="34"/>
      <c r="BU88" s="34"/>
    </row>
    <row r="89" spans="2:73" s="27" customFormat="1" x14ac:dyDescent="0.3">
      <c r="B89" s="28">
        <v>45342.188888888886</v>
      </c>
      <c r="C89" s="27">
        <v>239.99</v>
      </c>
      <c r="D89" s="27">
        <f t="shared" si="25"/>
        <v>320</v>
      </c>
      <c r="E89" s="27" t="s">
        <v>460</v>
      </c>
      <c r="F89" s="29">
        <v>45.2</v>
      </c>
      <c r="G89" s="29">
        <v>0</v>
      </c>
      <c r="H89" s="29">
        <v>7.28</v>
      </c>
      <c r="I89" s="27">
        <v>19200</v>
      </c>
      <c r="J89" s="27">
        <v>19325.778999999999</v>
      </c>
      <c r="K89" s="27">
        <f t="shared" si="19"/>
        <v>20759.999999776483</v>
      </c>
      <c r="L89" s="27">
        <f t="shared" si="20"/>
        <v>1559.9999997764826</v>
      </c>
      <c r="M89" s="47"/>
      <c r="N89" s="27">
        <v>6.3214050484029704E-3</v>
      </c>
      <c r="O89" s="27">
        <v>2.6465006418189E-2</v>
      </c>
      <c r="Q89" s="27">
        <v>0.28572750818781401</v>
      </c>
      <c r="R89" s="27">
        <v>4.3168095110748903E-3</v>
      </c>
      <c r="S89" s="27">
        <v>0.19266524672441601</v>
      </c>
      <c r="T89" s="27">
        <v>7.62559242113278E-4</v>
      </c>
      <c r="V89" s="29">
        <f>(1000*S89/Q89)/$AE$140</f>
        <v>0.66775396750660765</v>
      </c>
      <c r="W89" s="29"/>
      <c r="X89" s="29">
        <f>S89-AVERAGE(S90:S92)</f>
        <v>0.18712142319500424</v>
      </c>
      <c r="Y89" s="29">
        <f>T89+AVERAGE(S90:S92)</f>
        <v>6.3063827715250384E-3</v>
      </c>
      <c r="Z89" s="29"/>
      <c r="AA89" s="29">
        <f>(X89*1000)/Q89</f>
        <v>654.89467353631858</v>
      </c>
      <c r="AB89" s="29">
        <f>2*((1000*Y89/(2*Q89))^2+((R89/2)*1000*X89/(Q89^2))^2)^0.5</f>
        <v>24.187579603959666</v>
      </c>
      <c r="AC89" s="29">
        <f>AA89/$AE$140</f>
        <v>0.64853975934058428</v>
      </c>
      <c r="AD89" s="29">
        <f>2*(($AF$140*AA89/(2*$AE$140^2))^2+(AB89/($AE$140*2))^2)^0.5</f>
        <v>2.4911582657773705E-2</v>
      </c>
      <c r="AE89" s="29">
        <f>SUM(AV$5:$AV89)</f>
        <v>10.090745890504854</v>
      </c>
      <c r="AF89" s="29" cm="1">
        <f t="array" ref="AF89">2*SQRT(SUM((AW$5:$AW89/2)^2))</f>
        <v>6.046598944981893E-2</v>
      </c>
      <c r="AG89" s="29">
        <f t="shared" si="23"/>
        <v>10.035706839866055</v>
      </c>
      <c r="AH89" s="29" cm="1">
        <f t="array" ref="AH89">2*SQRT(SUM((R$5:$R89/2)^2))</f>
        <v>4.7653038598888843E-2</v>
      </c>
      <c r="AI89" s="29">
        <f t="shared" si="24"/>
        <v>5.303111570911577</v>
      </c>
      <c r="AJ89" s="29" cm="1">
        <f t="array" ref="AJ89">2*SQRT(SUM((T$5:$T89/2)^2))</f>
        <v>7.9959733969731592E-3</v>
      </c>
      <c r="AK89" s="47"/>
      <c r="AL89" s="29"/>
      <c r="AN89" s="29"/>
      <c r="AO89" s="29"/>
      <c r="AP89" s="29"/>
      <c r="AQ89" s="29">
        <f t="shared" si="18"/>
        <v>4.8884180699093065E-16</v>
      </c>
      <c r="AR89" s="29"/>
      <c r="AS89" s="29"/>
      <c r="AT89" s="29">
        <f>AT88*EXP(-AP88*D88*60)</f>
        <v>2.0741967938760385E-2</v>
      </c>
      <c r="AU89" s="29">
        <f>2*((((AU88/2)*EXP(-AP88*D88*60))^2+(AT88*EXP(-AP88*D88*60)*D88*60*AO88*AP88/AN88)^2)^0.5)</f>
        <v>2.81395426941496E-3</v>
      </c>
      <c r="AV89" s="23">
        <f>Q89+AT90-AT89</f>
        <v>0.2988879886383885</v>
      </c>
      <c r="AW89" s="23">
        <f>2*(((AU89/2)^2+(AU90/2)^2+(R89/2)^2)^(0.5))</f>
        <v>6.5750502023248798E-3</v>
      </c>
      <c r="AX89" s="50">
        <f>100*(AV89-Q89)/Q89</f>
        <v>4.6059550002878504</v>
      </c>
      <c r="AY89" s="47"/>
      <c r="AZ89" s="29">
        <f t="shared" si="21"/>
        <v>494310753569.87689</v>
      </c>
      <c r="BA89" s="29">
        <f t="shared" si="22"/>
        <v>546890174688.05615</v>
      </c>
      <c r="BB89" s="29">
        <f>Q89*BD89</f>
        <v>6.9133509342071728E-2</v>
      </c>
      <c r="BC89" s="29">
        <f>AQ89*BA89*I89</f>
        <v>5.1329813994258258</v>
      </c>
      <c r="BD89" s="29">
        <f>1/(BC89-1)</f>
        <v>0.2419560852944862</v>
      </c>
      <c r="BE89" s="29">
        <f>BG89*S89</f>
        <v>5.293752545351068E-2</v>
      </c>
      <c r="BF89" s="29">
        <f>AQ89*AZ89*I89</f>
        <v>4.6394834302108272</v>
      </c>
      <c r="BG89" s="29">
        <f>1/(BF89-1)</f>
        <v>0.27476426783513952</v>
      </c>
      <c r="BH89" s="29">
        <f>Q89-BB85</f>
        <v>0.15556755234021669</v>
      </c>
      <c r="BI89" s="29">
        <f>Q89+BB89</f>
        <v>0.35486101752988575</v>
      </c>
      <c r="BJ89" s="29">
        <f>X89-BE85</f>
        <v>8.7548508890886056E-2</v>
      </c>
      <c r="BK89" s="29">
        <f>X89+BE89</f>
        <v>0.24005894864851493</v>
      </c>
      <c r="BL89" s="29">
        <f>BF89*1.29</f>
        <v>5.9849336249719673</v>
      </c>
      <c r="BM89" s="29">
        <f>Q89 / (BL89-1)</f>
        <v>5.7318217188783688E-2</v>
      </c>
      <c r="BN89" s="29">
        <f>(1000*(S89+BE89)/(Q89+BM89))/$AE$140</f>
        <v>0.70900026959422713</v>
      </c>
      <c r="BO89" s="29">
        <f>(1000*(S89-BE85)/(Q89-BM85))/$AE$140</f>
        <v>0.5170574826234231</v>
      </c>
      <c r="BP89" s="29">
        <f>(1000*(S89+BE89-BE85)/(Q89+BM89-BM85))/$AE$140</f>
        <v>0.61377098342661796</v>
      </c>
      <c r="BQ89" s="29">
        <f>MIN(BN89:BP89)</f>
        <v>0.5170574826234231</v>
      </c>
      <c r="BR89" s="29">
        <f>((1000*S89/Q89))/$AE$140</f>
        <v>0.66775396750660765</v>
      </c>
      <c r="BS89" s="29">
        <f>MAX(BN89:BP89)</f>
        <v>0.70900026959422713</v>
      </c>
      <c r="BT89" s="29"/>
      <c r="BU89" s="29"/>
    </row>
    <row r="90" spans="2:73" s="30" customFormat="1" x14ac:dyDescent="0.3">
      <c r="B90" s="31">
        <v>45342.290277777778</v>
      </c>
      <c r="C90" s="30">
        <v>95</v>
      </c>
      <c r="D90" s="30">
        <f t="shared" si="25"/>
        <v>120</v>
      </c>
      <c r="E90" s="30" t="s">
        <v>447</v>
      </c>
      <c r="F90" s="32">
        <v>1.1399999999999999</v>
      </c>
      <c r="G90" s="32">
        <v>0</v>
      </c>
      <c r="H90" s="32">
        <v>0.36799999999999999</v>
      </c>
      <c r="I90" s="30">
        <v>7200</v>
      </c>
      <c r="J90" s="30">
        <v>7324.3819999999996</v>
      </c>
      <c r="K90" s="30">
        <f t="shared" si="19"/>
        <v>8760.0000002654269</v>
      </c>
      <c r="L90" s="30">
        <f t="shared" si="20"/>
        <v>1560.0000002654269</v>
      </c>
      <c r="M90" s="47"/>
      <c r="N90" s="30">
        <v>6.3185840707964602E-3</v>
      </c>
      <c r="O90" s="30">
        <v>2.64705882352941E-2</v>
      </c>
      <c r="Q90" s="30">
        <v>7.2031858407079598E-3</v>
      </c>
      <c r="R90" s="32">
        <v>1.1018933706530701E-4</v>
      </c>
      <c r="S90" s="30">
        <v>9.7411764705882305E-3</v>
      </c>
      <c r="T90" s="32">
        <v>3.8185992893801697E-5</v>
      </c>
      <c r="U90" s="32"/>
      <c r="X90" s="32"/>
      <c r="Y90" s="32"/>
      <c r="Z90" s="32"/>
      <c r="AA90" s="32"/>
      <c r="AE90" s="32">
        <f>SUM(AV$5:$AV90)</f>
        <v>10.090745890504854</v>
      </c>
      <c r="AF90" s="32" cm="1">
        <f t="array" ref="AF90">2*SQRT(SUM((AW$5:$AW90/2)^2))</f>
        <v>6.046598944981893E-2</v>
      </c>
      <c r="AG90" s="32">
        <f t="shared" si="23"/>
        <v>10.042910025706764</v>
      </c>
      <c r="AH90" s="32" cm="1">
        <f t="array" ref="AH90">2*SQRT(SUM((R$5:$R90/2)^2))</f>
        <v>4.7653165995526395E-2</v>
      </c>
      <c r="AI90" s="32">
        <f t="shared" si="24"/>
        <v>5.3128527473821654</v>
      </c>
      <c r="AJ90" s="32" cm="1">
        <f t="array" ref="AJ90">2*SQRT(SUM((T$5:$T90/2)^2))</f>
        <v>7.9960645779755795E-3</v>
      </c>
      <c r="AK90" s="47"/>
      <c r="AL90" s="32">
        <f>'Fit Lambdas'!$U$2*(10000/(C90+273))+'Fit Lambdas'!$V$2</f>
        <v>25.272915712407681</v>
      </c>
      <c r="AM90" s="30">
        <f>'Fit Lambdas'!$V$4</f>
        <v>6.7480704157997479E-2</v>
      </c>
      <c r="AN90" s="32">
        <f t="shared" si="16"/>
        <v>94599280986.297607</v>
      </c>
      <c r="AO90" s="32">
        <f t="shared" si="17"/>
        <v>6383626093.7956247</v>
      </c>
      <c r="AP90" s="32">
        <f>AN90*(C90+273)*$C$145*$E$144</f>
        <v>3.3173790351308016E-5</v>
      </c>
      <c r="AQ90" s="32">
        <f t="shared" si="18"/>
        <v>3.5067698195415599E-16</v>
      </c>
      <c r="AR90" s="32">
        <f>Q90/(1-EXP(-D90*60*AP90))</f>
        <v>3.3902448389334851E-2</v>
      </c>
      <c r="AS90" s="32">
        <f>2*SQRT(
((R90/2) * (1 / (1 - EXP(-D90 * 60 * AN90 * AQ90))))^2 +
(AO90 * (-Q90 * 60 * D90 * AQ90 * EXP(-D90 * 60 * AN90 * AQ90) / (1 - EXP(-D90 * 60 * AN90 * AQ90))^2))^2
)</f>
        <v>4.0838832228440531E-3</v>
      </c>
      <c r="AT90" s="32" cm="1">
        <f t="array" ref="AT90:AU90">AR90:AS90</f>
        <v>3.3902448389334851E-2</v>
      </c>
      <c r="AU90" s="32">
        <v>4.0838832228440531E-3</v>
      </c>
      <c r="AV90" s="24"/>
      <c r="AW90" s="24"/>
      <c r="AX90" s="51"/>
      <c r="AY90" s="47"/>
      <c r="AZ90" s="32">
        <f t="shared" si="21"/>
        <v>74378450025.067627</v>
      </c>
      <c r="BA90" s="32">
        <f t="shared" si="22"/>
        <v>80496818032.103622</v>
      </c>
      <c r="BB90" s="32"/>
      <c r="BC90" s="32"/>
      <c r="BD90" s="32"/>
      <c r="BE90" s="32"/>
      <c r="BF90" s="32"/>
      <c r="BG90" s="32"/>
      <c r="BH90" s="32"/>
      <c r="BI90" s="32"/>
      <c r="BJ90" s="32"/>
      <c r="BK90" s="32"/>
      <c r="BL90" s="32"/>
      <c r="BM90" s="32"/>
      <c r="BN90" s="32"/>
      <c r="BO90" s="32"/>
      <c r="BP90" s="32"/>
      <c r="BQ90" s="32"/>
      <c r="BR90" s="32"/>
      <c r="BS90" s="32"/>
      <c r="BT90" s="32"/>
      <c r="BU90" s="32"/>
    </row>
    <row r="91" spans="2:73" s="8" customFormat="1" x14ac:dyDescent="0.3">
      <c r="B91" s="33">
        <v>45342.39166666667</v>
      </c>
      <c r="C91" s="8">
        <v>95</v>
      </c>
      <c r="D91" s="8">
        <f t="shared" si="25"/>
        <v>120</v>
      </c>
      <c r="E91" s="8" t="s">
        <v>448</v>
      </c>
      <c r="F91" s="34">
        <v>0.99099999999999999</v>
      </c>
      <c r="G91" s="34">
        <v>0</v>
      </c>
      <c r="H91" s="34">
        <v>0.17599999999999999</v>
      </c>
      <c r="I91" s="8">
        <v>7200</v>
      </c>
      <c r="J91" s="8">
        <v>7324.5929999999998</v>
      </c>
      <c r="K91" s="8">
        <f t="shared" si="19"/>
        <v>8760.0000002654269</v>
      </c>
      <c r="L91" s="8">
        <f t="shared" si="20"/>
        <v>1560.0000002654269</v>
      </c>
      <c r="M91" s="47"/>
      <c r="N91" s="8">
        <v>6.3185840707964602E-3</v>
      </c>
      <c r="O91" s="8">
        <v>2.64705882352941E-2</v>
      </c>
      <c r="Q91" s="8">
        <v>6.26171681415929E-3</v>
      </c>
      <c r="R91" s="34">
        <v>9.57873973962456E-5</v>
      </c>
      <c r="S91" s="8">
        <v>4.6588235294117604E-3</v>
      </c>
      <c r="T91" s="34">
        <v>1.8262866166600801E-5</v>
      </c>
      <c r="U91" s="34"/>
      <c r="X91" s="34"/>
      <c r="Y91" s="34"/>
      <c r="Z91" s="34"/>
      <c r="AA91" s="34"/>
      <c r="AE91" s="34">
        <f>SUM(AV$5:$AV91)</f>
        <v>10.090745890504854</v>
      </c>
      <c r="AF91" s="34" cm="1">
        <f t="array" ref="AF91">2*SQRT(SUM((AW$5:$AW91/2)^2))</f>
        <v>6.046598944981893E-2</v>
      </c>
      <c r="AG91" s="34">
        <f t="shared" si="23"/>
        <v>10.049171742520922</v>
      </c>
      <c r="AH91" s="34" cm="1">
        <f t="array" ref="AH91">2*SQRT(SUM((R$5:$R91/2)^2))</f>
        <v>4.7653262266320162E-2</v>
      </c>
      <c r="AI91" s="34">
        <f t="shared" si="24"/>
        <v>5.3175115709115772</v>
      </c>
      <c r="AJ91" s="34" cm="1">
        <f t="array" ref="AJ91">2*SQRT(SUM((T$5:$T91/2)^2))</f>
        <v>7.9960854339755777E-3</v>
      </c>
      <c r="AK91" s="47"/>
      <c r="AL91" s="34">
        <f>'Fit Lambdas'!$U$2*(10000/(C91+273))+'Fit Lambdas'!$V$2</f>
        <v>25.272915712407681</v>
      </c>
      <c r="AM91" s="8">
        <f>'Fit Lambdas'!$V$4</f>
        <v>6.7480704157997479E-2</v>
      </c>
      <c r="AN91" s="34">
        <f t="shared" si="16"/>
        <v>94599280986.297607</v>
      </c>
      <c r="AO91" s="34">
        <f t="shared" si="17"/>
        <v>6383626093.7956247</v>
      </c>
      <c r="AP91" s="34">
        <f>AN91*(C91+273)*$C$145*$E$144</f>
        <v>3.3173790351308016E-5</v>
      </c>
      <c r="AQ91" s="34">
        <f t="shared" si="18"/>
        <v>3.5067698195415599E-16</v>
      </c>
      <c r="AR91" s="34">
        <f>Q91/(1-EXP(-D91*60*AP91))</f>
        <v>2.9471338906869166E-2</v>
      </c>
      <c r="AS91" s="34">
        <f>2*SQRT(
((R91/2) * (1 / (1 - EXP(-D91 * 60 * AN91 * AQ91))))^2 +
(AO91 * (-Q91 * 60 * D91 * AQ91 * EXP(-D91 * 60 * AN91 * AQ91) / (1 - EXP(-D91 * 60 * AN91 * AQ91))^2))^2
)</f>
        <v>3.5501125209109288E-3</v>
      </c>
      <c r="AT91" s="34">
        <f>AT90*EXP(-AP90*D90*60)</f>
        <v>2.6699262548626892E-2</v>
      </c>
      <c r="AU91" s="34">
        <f>2*((((AU90/2)*EXP(-AP90*D90*60))^2+(AT90*EXP(-AP90*D90*60)*D90*60*AO90*AP90/AN90)^2)^0.5)</f>
        <v>3.3293575516349827E-3</v>
      </c>
      <c r="AV91" s="25"/>
      <c r="AW91" s="25"/>
      <c r="AX91" s="52"/>
      <c r="AY91" s="47"/>
      <c r="AZ91" s="34">
        <f t="shared" si="21"/>
        <v>74378450025.067627</v>
      </c>
      <c r="BA91" s="34">
        <f t="shared" si="22"/>
        <v>80496818032.103622</v>
      </c>
      <c r="BB91" s="34"/>
      <c r="BC91" s="34"/>
      <c r="BD91" s="34"/>
      <c r="BE91" s="34"/>
      <c r="BF91" s="34"/>
      <c r="BG91" s="34"/>
      <c r="BH91" s="34"/>
      <c r="BI91" s="34"/>
      <c r="BJ91" s="34"/>
      <c r="BK91" s="34"/>
      <c r="BL91" s="34"/>
      <c r="BM91" s="34"/>
      <c r="BN91" s="34"/>
      <c r="BO91" s="34"/>
      <c r="BP91" s="34"/>
      <c r="BQ91" s="34"/>
      <c r="BR91" s="34"/>
      <c r="BS91" s="34"/>
      <c r="BT91" s="34"/>
      <c r="BU91" s="34"/>
    </row>
    <row r="92" spans="2:73" s="8" customFormat="1" x14ac:dyDescent="0.3">
      <c r="B92" s="33">
        <v>45342.493055555555</v>
      </c>
      <c r="C92" s="8">
        <v>95</v>
      </c>
      <c r="D92" s="8">
        <f t="shared" si="25"/>
        <v>120</v>
      </c>
      <c r="E92" s="8" t="s">
        <v>448</v>
      </c>
      <c r="F92" s="34">
        <v>0.70599999999999996</v>
      </c>
      <c r="G92" s="34">
        <v>0</v>
      </c>
      <c r="H92" s="34">
        <v>8.43E-2</v>
      </c>
      <c r="I92" s="8">
        <v>7200</v>
      </c>
      <c r="J92" s="8">
        <v>7329.5959999999995</v>
      </c>
      <c r="K92" s="8">
        <f t="shared" si="19"/>
        <v>8759.9999996367842</v>
      </c>
      <c r="L92" s="8">
        <f t="shared" si="20"/>
        <v>1559.9999996367842</v>
      </c>
      <c r="M92" s="47"/>
      <c r="N92" s="8">
        <v>6.3185840707964602E-3</v>
      </c>
      <c r="O92" s="8">
        <v>2.64705882352941E-2</v>
      </c>
      <c r="Q92" s="8">
        <v>4.4609203539823002E-3</v>
      </c>
      <c r="R92" s="34">
        <v>6.8240063129918594E-5</v>
      </c>
      <c r="S92" s="8">
        <v>2.2314705882352901E-3</v>
      </c>
      <c r="T92" s="34">
        <v>8.74749782866163E-6</v>
      </c>
      <c r="U92" s="34"/>
      <c r="X92" s="34"/>
      <c r="Y92" s="34"/>
      <c r="Z92" s="34"/>
      <c r="AA92" s="34"/>
      <c r="AE92" s="34">
        <f>SUM(AV$5:$AV92)</f>
        <v>10.090745890504854</v>
      </c>
      <c r="AF92" s="34" cm="1">
        <f t="array" ref="AF92">2*SQRT(SUM((AW$5:$AW92/2)^2))</f>
        <v>6.046598944981893E-2</v>
      </c>
      <c r="AG92" s="34">
        <f t="shared" si="23"/>
        <v>10.053632662874906</v>
      </c>
      <c r="AH92" s="34" cm="1">
        <f t="array" ref="AH92">2*SQRT(SUM((R$5:$R92/2)^2))</f>
        <v>4.7653311126603877E-2</v>
      </c>
      <c r="AI92" s="34">
        <f t="shared" si="24"/>
        <v>5.3197430414998124</v>
      </c>
      <c r="AJ92" s="34" cm="1">
        <f t="array" ref="AJ92">2*SQRT(SUM((T$5:$T92/2)^2))</f>
        <v>7.9960902187353206E-3</v>
      </c>
      <c r="AK92" s="47"/>
      <c r="AL92" s="34">
        <f>'Fit Lambdas'!$U$2*(10000/(C92+273))+'Fit Lambdas'!$V$2</f>
        <v>25.272915712407681</v>
      </c>
      <c r="AM92" s="8">
        <f>'Fit Lambdas'!$V$4</f>
        <v>6.7480704157997479E-2</v>
      </c>
      <c r="AN92" s="34">
        <f t="shared" si="16"/>
        <v>94599280986.297607</v>
      </c>
      <c r="AO92" s="34">
        <f t="shared" si="17"/>
        <v>6383626093.7956247</v>
      </c>
      <c r="AP92" s="34">
        <f>AN92*(C92+273)*$C$145*$E$144</f>
        <v>3.3173790351308016E-5</v>
      </c>
      <c r="AQ92" s="34">
        <f t="shared" si="18"/>
        <v>3.5067698195415599E-16</v>
      </c>
      <c r="AR92" s="34">
        <f>Q92/(1-EXP(-D92*60*AP92))</f>
        <v>2.0995726809535455E-2</v>
      </c>
      <c r="AS92" s="34">
        <f>2*SQRT(
((R92/2) * (1 / (1 - EXP(-D92 * 60 * AN92 * AQ92))))^2 +
(AO92 * (-Q92 * 60 * D92 * AQ92 * EXP(-D92 * 60 * AN92 * AQ92) / (1 - EXP(-D92 * 60 * AN92 * AQ92))^2))^2
)</f>
        <v>2.5291417151999162E-3</v>
      </c>
      <c r="AT92" s="34">
        <f>AT91*EXP(-AP91*D91*60)</f>
        <v>2.1026523289827102E-2</v>
      </c>
      <c r="AU92" s="34">
        <f>2*((((AU91/2)*EXP(-AP91*D91*60))^2+(AT91*EXP(-AP91*D91*60)*D91*60*AO91*AP91/AN91)^2)^0.5)</f>
        <v>2.7081682509592863E-3</v>
      </c>
      <c r="AV92" s="25"/>
      <c r="AW92" s="25"/>
      <c r="AX92" s="52"/>
      <c r="AY92" s="47"/>
      <c r="AZ92" s="34">
        <f t="shared" si="21"/>
        <v>74378450025.067627</v>
      </c>
      <c r="BA92" s="34">
        <f t="shared" si="22"/>
        <v>80496818032.103622</v>
      </c>
      <c r="BB92" s="34"/>
      <c r="BC92" s="34"/>
      <c r="BD92" s="34"/>
      <c r="BE92" s="34"/>
      <c r="BF92" s="34"/>
      <c r="BG92" s="34"/>
      <c r="BH92" s="34"/>
      <c r="BI92" s="34"/>
      <c r="BJ92" s="34"/>
      <c r="BK92" s="34"/>
      <c r="BL92" s="34"/>
      <c r="BM92" s="34"/>
      <c r="BN92" s="34"/>
      <c r="BO92" s="34"/>
      <c r="BP92" s="34"/>
      <c r="BQ92" s="34"/>
      <c r="BR92" s="34"/>
      <c r="BS92" s="34"/>
      <c r="BT92" s="34"/>
      <c r="BU92" s="34"/>
    </row>
    <row r="93" spans="2:73" s="27" customFormat="1" x14ac:dyDescent="0.3">
      <c r="B93" s="28">
        <v>45342.786111111112</v>
      </c>
      <c r="C93" s="27">
        <v>235</v>
      </c>
      <c r="D93" s="27">
        <f t="shared" si="25"/>
        <v>370</v>
      </c>
      <c r="E93" s="27" t="s">
        <v>460</v>
      </c>
      <c r="F93" s="29">
        <v>34.700000000000003</v>
      </c>
      <c r="G93" s="29">
        <v>0</v>
      </c>
      <c r="H93" s="29">
        <v>5.73</v>
      </c>
      <c r="I93" s="27">
        <v>22200</v>
      </c>
      <c r="J93" s="27">
        <v>22330.107</v>
      </c>
      <c r="K93" s="27">
        <f t="shared" si="19"/>
        <v>25320.000000181608</v>
      </c>
      <c r="L93" s="27">
        <f t="shared" si="20"/>
        <v>3120.0000001816079</v>
      </c>
      <c r="M93" s="47"/>
      <c r="N93" s="27">
        <v>6.3381940397645598E-3</v>
      </c>
      <c r="O93" s="27">
        <v>2.64705882352941E-2</v>
      </c>
      <c r="Q93" s="27">
        <v>0.21993533317982999</v>
      </c>
      <c r="R93" s="27">
        <v>3.42269120603794E-3</v>
      </c>
      <c r="S93" s="27">
        <v>0.151676470588235</v>
      </c>
      <c r="T93" s="27">
        <v>5.94580813264901E-4</v>
      </c>
      <c r="V93" s="29">
        <f>(1000*S93/Q93)/$AE$140</f>
        <v>0.68294913098079513</v>
      </c>
      <c r="W93" s="29"/>
      <c r="X93" s="29">
        <f>S93-AVERAGE(S94:S96)</f>
        <v>0.1473529411764703</v>
      </c>
      <c r="Y93" s="29">
        <f>T93+AVERAGE(S94:S96)</f>
        <v>4.9181102250296033E-3</v>
      </c>
      <c r="Z93" s="29"/>
      <c r="AA93" s="29">
        <f>(X93*1000)/Q93</f>
        <v>669.98303113027885</v>
      </c>
      <c r="AB93" s="29">
        <f>2*((1000*Y93/(2*Q93))^2+((R93/2)*1000*X93/(Q93^2))^2)^0.5</f>
        <v>24.67291855864752</v>
      </c>
      <c r="AC93" s="29">
        <f>AA93/$AE$140</f>
        <v>0.6634817037451588</v>
      </c>
      <c r="AD93" s="29">
        <f>2*(($AF$140*AA93/(2*$AE$140^2))^2+(AB93/($AE$140*2))^2)^0.5</f>
        <v>2.5417048924051135E-2</v>
      </c>
      <c r="AE93" s="29">
        <f>SUM(AV$5:$AV93)</f>
        <v>10.321458753931624</v>
      </c>
      <c r="AF93" s="29" cm="1">
        <f t="array" ref="AF93">2*SQRT(SUM((AW$5:$AW93/2)^2))</f>
        <v>6.0691784742403387E-2</v>
      </c>
      <c r="AG93" s="29">
        <f t="shared" si="23"/>
        <v>10.273567996054735</v>
      </c>
      <c r="AH93" s="29" cm="1">
        <f t="array" ref="AH93">2*SQRT(SUM((R$5:$R93/2)^2))</f>
        <v>4.7776070123240547E-2</v>
      </c>
      <c r="AI93" s="29">
        <f t="shared" si="24"/>
        <v>5.4714195120880476</v>
      </c>
      <c r="AJ93" s="29" cm="1">
        <f t="array" ref="AJ93">2*SQRT(SUM((T$5:$T93/2)^2))</f>
        <v>8.0181659455050829E-3</v>
      </c>
      <c r="AK93" s="47"/>
      <c r="AL93" s="29"/>
      <c r="AN93" s="29"/>
      <c r="AO93" s="29"/>
      <c r="AP93" s="29"/>
      <c r="AQ93" s="29">
        <f t="shared" si="18"/>
        <v>4.8408670334975874E-16</v>
      </c>
      <c r="AR93" s="29"/>
      <c r="AS93" s="29"/>
      <c r="AT93" s="29">
        <f>AT92*EXP(-AP92*D92*60)</f>
        <v>1.6559059668873846E-2</v>
      </c>
      <c r="AU93" s="29">
        <f>2*((((AU92/2)*EXP(-AP92*D92*60))^2+(AT92*EXP(-AP92*D92*60)*D92*60*AO92*AP92/AN92)^2)^0.5)</f>
        <v>2.1985538636156185E-3</v>
      </c>
      <c r="AV93" s="23">
        <f>Q93+AT94-AT93</f>
        <v>0.23071286342677</v>
      </c>
      <c r="AW93" s="23">
        <f>2*(((AU93/2)^2+(AU94/2)^2+(R93/2)^2)^(0.5))</f>
        <v>5.2303781003493364E-3</v>
      </c>
      <c r="AX93" s="50">
        <f>100*(AV93-Q93)/Q93</f>
        <v>4.9003177848316728</v>
      </c>
      <c r="AY93" s="47"/>
      <c r="AZ93" s="29">
        <f t="shared" si="21"/>
        <v>471511908020.04309</v>
      </c>
      <c r="BA93" s="29">
        <f t="shared" si="22"/>
        <v>521379765527.56158</v>
      </c>
      <c r="BB93" s="29">
        <f>Q93*BD93</f>
        <v>4.7779571417787325E-2</v>
      </c>
      <c r="BC93" s="29">
        <f>AQ93*BA93*I93</f>
        <v>5.6031248639026661</v>
      </c>
      <c r="BD93" s="29">
        <f>1/(BC93-1)</f>
        <v>0.21724372672180139</v>
      </c>
      <c r="BE93" s="29">
        <f>BG93*S93</f>
        <v>3.7292521960038655E-2</v>
      </c>
      <c r="BF93" s="29">
        <f>AQ93*AZ93*I93</f>
        <v>5.0672087221874165</v>
      </c>
      <c r="BG93" s="29">
        <f>1/(BF93-1)</f>
        <v>0.24586886690737189</v>
      </c>
      <c r="BH93" s="29">
        <f>Q93-BB89</f>
        <v>0.15080182383775825</v>
      </c>
      <c r="BI93" s="29">
        <f>Q93+BB93</f>
        <v>0.26771490459761732</v>
      </c>
      <c r="BJ93" s="29">
        <f>X93-BE89</f>
        <v>9.4415415722959611E-2</v>
      </c>
      <c r="BK93" s="29">
        <f>X93+BE93</f>
        <v>0.18464546313650895</v>
      </c>
      <c r="BL93" s="29">
        <f>BF93*1.29</f>
        <v>6.5366992516217675</v>
      </c>
      <c r="BM93" s="29">
        <f>Q93 / (BL93-1)</f>
        <v>3.9723185816063288E-2</v>
      </c>
      <c r="BN93" s="29">
        <f>(1000*(S93+BE93)/(Q93+BM93))/$AE$140</f>
        <v>0.72069767315675692</v>
      </c>
      <c r="BO93" s="29">
        <f>(1000*(S93-BE89)/(Q93-BM89))/$AE$140</f>
        <v>0.60129470083305925</v>
      </c>
      <c r="BP93" s="29">
        <f>(1000*(S93+BE93-BE89)/(Q93+BM93-BM89))/$AE$140</f>
        <v>0.66576680322995863</v>
      </c>
      <c r="BQ93" s="29">
        <f>MIN(BN93:BP93)</f>
        <v>0.60129470083305925</v>
      </c>
      <c r="BR93" s="29">
        <f>((1000*S93/Q93))/$AE$140</f>
        <v>0.68294913098079513</v>
      </c>
      <c r="BS93" s="29">
        <f>MAX(BN93:BP93)</f>
        <v>0.72069767315675692</v>
      </c>
      <c r="BT93" s="29"/>
      <c r="BU93" s="29"/>
    </row>
    <row r="94" spans="2:73" s="30" customFormat="1" x14ac:dyDescent="0.3">
      <c r="B94" s="31">
        <v>45342.908333333333</v>
      </c>
      <c r="C94" s="30">
        <v>90</v>
      </c>
      <c r="D94" s="30">
        <f t="shared" si="25"/>
        <v>150</v>
      </c>
      <c r="E94" s="30" t="s">
        <v>447</v>
      </c>
      <c r="F94" s="32">
        <v>0.92900000000000005</v>
      </c>
      <c r="G94" s="32">
        <v>0</v>
      </c>
      <c r="H94" s="32">
        <v>0.153</v>
      </c>
      <c r="I94" s="30">
        <v>9000</v>
      </c>
      <c r="J94" s="30">
        <v>9125.866</v>
      </c>
      <c r="K94" s="30">
        <f t="shared" si="19"/>
        <v>10559.999999846332</v>
      </c>
      <c r="L94" s="30">
        <f t="shared" si="20"/>
        <v>1559.9999998463318</v>
      </c>
      <c r="M94" s="47"/>
      <c r="N94" s="30">
        <v>6.34937328355411E-3</v>
      </c>
      <c r="O94" s="30">
        <v>2.64705882352941E-2</v>
      </c>
      <c r="Q94" s="30">
        <v>5.8985677804217701E-3</v>
      </c>
      <c r="R94" s="32">
        <v>9.3129349135237304E-5</v>
      </c>
      <c r="S94" s="30">
        <v>4.0499999999999998E-3</v>
      </c>
      <c r="T94" s="32">
        <v>1.58762416107382E-5</v>
      </c>
      <c r="U94" s="32"/>
      <c r="X94" s="32"/>
      <c r="Y94" s="32"/>
      <c r="Z94" s="32"/>
      <c r="AA94" s="32"/>
      <c r="AE94" s="32">
        <f>SUM(AV$5:$AV94)</f>
        <v>10.321458753931624</v>
      </c>
      <c r="AF94" s="32" cm="1">
        <f t="array" ref="AF94">2*SQRT(SUM((AW$5:$AW94/2)^2))</f>
        <v>6.0691784742403387E-2</v>
      </c>
      <c r="AG94" s="32">
        <f t="shared" si="23"/>
        <v>10.279466563835157</v>
      </c>
      <c r="AH94" s="32" cm="1">
        <f t="array" ref="AH94">2*SQRT(SUM((R$5:$R94/2)^2))</f>
        <v>4.7776160891143907E-2</v>
      </c>
      <c r="AI94" s="32">
        <f t="shared" si="24"/>
        <v>5.4754695120880479</v>
      </c>
      <c r="AJ94" s="32" cm="1">
        <f t="array" ref="AJ94">2*SQRT(SUM((T$5:$T94/2)^2))</f>
        <v>8.018181663239185E-3</v>
      </c>
      <c r="AK94" s="47"/>
      <c r="AL94" s="32">
        <f>'Fit Lambdas'!$U$2*(10000/(C94+273))+'Fit Lambdas'!$V$2</f>
        <v>25.080919505962346</v>
      </c>
      <c r="AM94" s="30">
        <f>'Fit Lambdas'!$V$4</f>
        <v>6.7480704157997479E-2</v>
      </c>
      <c r="AN94" s="32">
        <f t="shared" si="16"/>
        <v>78073732528.776489</v>
      </c>
      <c r="AO94" s="32">
        <f t="shared" si="17"/>
        <v>5268470447.2849903</v>
      </c>
      <c r="AP94" s="32">
        <f>AN94*(C94+273)*$C$145*$E$144</f>
        <v>2.7006668217909542E-5</v>
      </c>
      <c r="AQ94" s="32">
        <f t="shared" si="18"/>
        <v>3.4591234904717017E-16</v>
      </c>
      <c r="AR94" s="32">
        <f>Q94/(1-EXP(-D94*60*AP94))</f>
        <v>2.7336589915813874E-2</v>
      </c>
      <c r="AS94" s="32">
        <f>2*SQRT(
((R94/2) * (1 / (1 - EXP(-D94 * 60 * AN94 * AQ94))))^2 +
(AO94 * (-Q94 * 60 * D94 * AQ94 * EXP(-D94 * 60 * AN94 * AQ94) / (1 - EXP(-D94 * 60 * AN94 * AQ94))^2))^2
)</f>
        <v>3.2876132512060052E-3</v>
      </c>
      <c r="AT94" s="32" cm="1">
        <f t="array" ref="AT94:AU94">AR94:AS94</f>
        <v>2.7336589915813874E-2</v>
      </c>
      <c r="AU94" s="32">
        <v>3.2876132512060052E-3</v>
      </c>
      <c r="AV94" s="24"/>
      <c r="AW94" s="24"/>
      <c r="AX94" s="51"/>
      <c r="AY94" s="47"/>
      <c r="AZ94" s="32">
        <f t="shared" si="21"/>
        <v>67820444032.070572</v>
      </c>
      <c r="BA94" s="32">
        <f t="shared" si="22"/>
        <v>73320582427.391632</v>
      </c>
      <c r="BB94" s="32"/>
      <c r="BC94" s="32"/>
      <c r="BD94" s="32"/>
      <c r="BE94" s="32"/>
      <c r="BF94" s="32"/>
      <c r="BG94" s="32"/>
      <c r="BH94" s="32"/>
      <c r="BI94" s="32"/>
      <c r="BJ94" s="32"/>
      <c r="BK94" s="32"/>
      <c r="BL94" s="32"/>
      <c r="BM94" s="32"/>
      <c r="BN94" s="32"/>
      <c r="BO94" s="32"/>
      <c r="BP94" s="32"/>
      <c r="BQ94" s="32"/>
      <c r="BR94" s="32"/>
      <c r="BS94" s="32"/>
      <c r="BT94" s="32"/>
      <c r="BU94" s="32"/>
    </row>
    <row r="95" spans="2:73" s="8" customFormat="1" x14ac:dyDescent="0.3">
      <c r="B95" s="33">
        <v>45343.030555555553</v>
      </c>
      <c r="C95" s="8">
        <v>89.899999999999906</v>
      </c>
      <c r="D95" s="8">
        <f t="shared" si="25"/>
        <v>150</v>
      </c>
      <c r="E95" s="8" t="s">
        <v>448</v>
      </c>
      <c r="F95" s="34">
        <v>0.75800000000000001</v>
      </c>
      <c r="G95" s="34">
        <v>0</v>
      </c>
      <c r="H95" s="34">
        <v>0.17100000000000001</v>
      </c>
      <c r="I95" s="8">
        <v>9000</v>
      </c>
      <c r="J95" s="8">
        <v>9124.6630000000005</v>
      </c>
      <c r="K95" s="8">
        <f t="shared" si="19"/>
        <v>10559.999999846332</v>
      </c>
      <c r="L95" s="8">
        <f t="shared" si="20"/>
        <v>1559.9999998463318</v>
      </c>
      <c r="M95" s="47"/>
      <c r="N95" s="8">
        <v>6.34803141083304E-3</v>
      </c>
      <c r="O95" s="8">
        <v>2.64705882352941E-2</v>
      </c>
      <c r="Q95" s="8">
        <v>4.8118078094114402E-3</v>
      </c>
      <c r="R95" s="34">
        <v>7.7375879940656293E-5</v>
      </c>
      <c r="S95" s="8">
        <v>4.5264705882352898E-3</v>
      </c>
      <c r="T95" s="34">
        <v>1.7744034741413198E-5</v>
      </c>
      <c r="U95" s="34"/>
      <c r="X95" s="34"/>
      <c r="Y95" s="34"/>
      <c r="Z95" s="34"/>
      <c r="AA95" s="34"/>
      <c r="AE95" s="34">
        <f>SUM(AV$5:$AV95)</f>
        <v>10.321458753931624</v>
      </c>
      <c r="AF95" s="34" cm="1">
        <f t="array" ref="AF95">2*SQRT(SUM((AW$5:$AW95/2)^2))</f>
        <v>6.0691784742403387E-2</v>
      </c>
      <c r="AG95" s="34">
        <f t="shared" si="23"/>
        <v>10.284278371644568</v>
      </c>
      <c r="AH95" s="34" cm="1">
        <f t="array" ref="AH95">2*SQRT(SUM((R$5:$R95/2)^2))</f>
        <v>4.7776223548154841E-2</v>
      </c>
      <c r="AI95" s="34">
        <f t="shared" si="24"/>
        <v>5.4799959826762832</v>
      </c>
      <c r="AJ95" s="34" cm="1">
        <f t="array" ref="AJ95">2*SQRT(SUM((T$5:$T95/2)^2))</f>
        <v>8.0182012967668758E-3</v>
      </c>
      <c r="AK95" s="47"/>
      <c r="AL95" s="34">
        <f>'Fit Lambdas'!$U$2*(10000/(C95+273))+'Fit Lambdas'!$V$2</f>
        <v>25.077025617619995</v>
      </c>
      <c r="AM95" s="8">
        <f>'Fit Lambdas'!$V$4</f>
        <v>6.7480704157997479E-2</v>
      </c>
      <c r="AN95" s="34">
        <f t="shared" si="16"/>
        <v>77770313255.603638</v>
      </c>
      <c r="AO95" s="34">
        <f t="shared" si="17"/>
        <v>5247995501.0761786</v>
      </c>
      <c r="AP95" s="34">
        <f>AN95*(C95+273)*$C$145*$E$144</f>
        <v>2.689430080450564E-5</v>
      </c>
      <c r="AQ95" s="34">
        <f t="shared" si="18"/>
        <v>3.4581705638903038E-16</v>
      </c>
      <c r="AR95" s="34">
        <f>Q95/(1-EXP(-D95*60*AP95))</f>
        <v>2.2382369124250762E-2</v>
      </c>
      <c r="AS95" s="34">
        <f>2*SQRT(
((R95/2) * (1 / (1 - EXP(-D95 * 60 * AN95 * AQ95))))^2 +
(AO95 * (-Q95 * 60 * D95 * AQ95 * EXP(-D95 * 60 * AN95 * AQ95) / (1 - EXP(-D95 * 60 * AN95 * AQ95))^2))^2
)</f>
        <v>2.69405508762057E-3</v>
      </c>
      <c r="AT95" s="34">
        <f>AT94*EXP(-AP94*D94*60)</f>
        <v>2.1438022135392105E-2</v>
      </c>
      <c r="AU95" s="34">
        <f>2*((((AU94/2)*EXP(-AP94*D94*60))^2+(AT94*EXP(-AP94*D94*60)*D94*60*AO94*AP94/AN94)^2)^0.5)</f>
        <v>2.6724163356946413E-3</v>
      </c>
      <c r="AV95" s="25"/>
      <c r="AW95" s="25"/>
      <c r="AX95" s="52"/>
      <c r="AY95" s="47"/>
      <c r="AZ95" s="34">
        <f t="shared" si="21"/>
        <v>67693603278.523453</v>
      </c>
      <c r="BA95" s="34">
        <f t="shared" si="22"/>
        <v>73181861430.069138</v>
      </c>
      <c r="BB95" s="34"/>
      <c r="BC95" s="34"/>
      <c r="BD95" s="34"/>
      <c r="BE95" s="34"/>
      <c r="BF95" s="34"/>
      <c r="BG95" s="34"/>
      <c r="BH95" s="34"/>
      <c r="BI95" s="34"/>
      <c r="BJ95" s="34"/>
      <c r="BK95" s="34"/>
      <c r="BL95" s="34"/>
      <c r="BM95" s="34"/>
      <c r="BN95" s="34"/>
      <c r="BO95" s="34"/>
      <c r="BP95" s="34"/>
      <c r="BQ95" s="34"/>
      <c r="BR95" s="34"/>
      <c r="BS95" s="34"/>
      <c r="BT95" s="34"/>
      <c r="BU95" s="34"/>
    </row>
    <row r="96" spans="2:73" s="8" customFormat="1" x14ac:dyDescent="0.3">
      <c r="B96" s="33">
        <v>45343.152777777781</v>
      </c>
      <c r="C96" s="8">
        <v>90</v>
      </c>
      <c r="D96" s="8">
        <f t="shared" si="25"/>
        <v>150</v>
      </c>
      <c r="E96" s="8" t="s">
        <v>448</v>
      </c>
      <c r="F96" s="34">
        <v>0.57399999999999995</v>
      </c>
      <c r="G96" s="34">
        <v>0</v>
      </c>
      <c r="H96" s="34">
        <v>0.16600000000000001</v>
      </c>
      <c r="I96" s="8">
        <v>9000</v>
      </c>
      <c r="J96" s="8">
        <v>9128.6740000000009</v>
      </c>
      <c r="K96" s="8">
        <f t="shared" si="19"/>
        <v>10560.000000474975</v>
      </c>
      <c r="L96" s="8">
        <f t="shared" si="20"/>
        <v>1560.0000004749745</v>
      </c>
      <c r="M96" s="47"/>
      <c r="N96" s="8">
        <v>6.3333021470058102E-3</v>
      </c>
      <c r="O96" s="8">
        <v>2.64705882352941E-2</v>
      </c>
      <c r="Q96" s="8">
        <v>3.63531543238133E-3</v>
      </c>
      <c r="R96" s="34">
        <v>5.9447830611487199E-5</v>
      </c>
      <c r="S96" s="8">
        <v>4.3941176470588201E-3</v>
      </c>
      <c r="T96" s="34">
        <v>1.7225203316225701E-5</v>
      </c>
      <c r="U96" s="34"/>
      <c r="X96" s="34"/>
      <c r="Y96" s="34"/>
      <c r="Z96" s="34"/>
      <c r="AA96" s="34"/>
      <c r="AE96" s="34">
        <f>SUM(AV$5:$AV96)</f>
        <v>10.321458753931624</v>
      </c>
      <c r="AF96" s="34" cm="1">
        <f t="array" ref="AF96">2*SQRT(SUM((AW$5:$AW96/2)^2))</f>
        <v>6.0691784742403387E-2</v>
      </c>
      <c r="AG96" s="34">
        <f t="shared" si="23"/>
        <v>10.28791368707695</v>
      </c>
      <c r="AH96" s="34" cm="1">
        <f t="array" ref="AH96">2*SQRT(SUM((R$5:$R96/2)^2))</f>
        <v>4.7776260533530977E-2</v>
      </c>
      <c r="AI96" s="34">
        <f t="shared" si="24"/>
        <v>5.484390100323342</v>
      </c>
      <c r="AJ96" s="34" cm="1">
        <f t="array" ref="AJ96">2*SQRT(SUM((T$5:$T96/2)^2))</f>
        <v>8.0182197988770115E-3</v>
      </c>
      <c r="AK96" s="47"/>
      <c r="AL96" s="34">
        <f>'Fit Lambdas'!$U$2*(10000/(C96+273))+'Fit Lambdas'!$V$2</f>
        <v>25.080919505962346</v>
      </c>
      <c r="AM96" s="8">
        <f>'Fit Lambdas'!$V$4</f>
        <v>6.7480704157997479E-2</v>
      </c>
      <c r="AN96" s="34">
        <f t="shared" si="16"/>
        <v>78073732528.776489</v>
      </c>
      <c r="AO96" s="34">
        <f t="shared" si="17"/>
        <v>5268470447.2849903</v>
      </c>
      <c r="AP96" s="34">
        <f>AN96*(C96+273)*$C$145*$E$144</f>
        <v>2.7006668217909542E-5</v>
      </c>
      <c r="AQ96" s="34">
        <f t="shared" si="18"/>
        <v>3.4591234904717017E-16</v>
      </c>
      <c r="AR96" s="34">
        <f>Q96/(1-EXP(-D96*60*AP96))</f>
        <v>1.6847670636164526E-2</v>
      </c>
      <c r="AS96" s="34">
        <f>2*SQRT(
((R96/2) * (1 / (1 - EXP(-D96 * 60 * AN96 * AQ96))))^2 +
(AO96 * (-Q96 * 60 * D96 * AQ96 * EXP(-D96 * 60 * AN96 * AQ96) / (1 - EXP(-D96 * 60 * AN96 * AQ96))^2))^2
)</f>
        <v>2.0274419590805776E-3</v>
      </c>
      <c r="AT96" s="34">
        <f>AT95*EXP(-AP95*D95*60)</f>
        <v>1.6829231986468667E-2</v>
      </c>
      <c r="AU96" s="34">
        <f>2*((((AU95/2)*EXP(-AP95*D95*60))^2+(AT95*EXP(-AP95*D95*60)*D95*60*AO95*AP95/AN95)^2)^0.5)</f>
        <v>2.1687331386499222E-3</v>
      </c>
      <c r="AV96" s="25"/>
      <c r="AW96" s="25"/>
      <c r="AX96" s="52"/>
      <c r="AY96" s="47"/>
      <c r="AZ96" s="34">
        <f t="shared" si="21"/>
        <v>67820444032.070572</v>
      </c>
      <c r="BA96" s="34">
        <f t="shared" si="22"/>
        <v>73320582427.391632</v>
      </c>
      <c r="BB96" s="34"/>
      <c r="BC96" s="34"/>
      <c r="BD96" s="34"/>
      <c r="BE96" s="34"/>
      <c r="BF96" s="34"/>
      <c r="BG96" s="34"/>
      <c r="BH96" s="34"/>
      <c r="BI96" s="34"/>
      <c r="BJ96" s="34"/>
      <c r="BK96" s="34"/>
      <c r="BL96" s="34"/>
      <c r="BM96" s="34"/>
      <c r="BN96" s="34"/>
      <c r="BO96" s="34"/>
      <c r="BP96" s="34"/>
      <c r="BQ96" s="34"/>
      <c r="BR96" s="34"/>
      <c r="BS96" s="34"/>
      <c r="BT96" s="34"/>
      <c r="BU96" s="34"/>
    </row>
    <row r="97" spans="2:85" s="27" customFormat="1" x14ac:dyDescent="0.3">
      <c r="B97" s="28">
        <v>45343.462500000001</v>
      </c>
      <c r="C97" s="27">
        <v>230</v>
      </c>
      <c r="D97" s="27">
        <f t="shared" si="25"/>
        <v>420</v>
      </c>
      <c r="E97" s="27" t="s">
        <v>460</v>
      </c>
      <c r="F97" s="29">
        <v>22.2</v>
      </c>
      <c r="G97" s="29">
        <v>0</v>
      </c>
      <c r="H97" s="29">
        <v>3.75</v>
      </c>
      <c r="I97" s="27">
        <v>25200</v>
      </c>
      <c r="J97" s="27">
        <v>25328.05</v>
      </c>
      <c r="K97" s="27">
        <f t="shared" si="19"/>
        <v>26759.999999846332</v>
      </c>
      <c r="L97" s="27">
        <f t="shared" si="20"/>
        <v>1559.9999998463318</v>
      </c>
      <c r="M97" s="47"/>
      <c r="N97" s="27">
        <v>6.30742049469964E-3</v>
      </c>
      <c r="O97" s="27">
        <v>2.64345291524767E-2</v>
      </c>
      <c r="Q97" s="27">
        <v>0.14002473498233201</v>
      </c>
      <c r="R97" s="27">
        <v>2.5534282416403301E-3</v>
      </c>
      <c r="S97" s="27">
        <v>9.9129484321787698E-2</v>
      </c>
      <c r="T97" s="27">
        <v>3.9693516936309902E-4</v>
      </c>
      <c r="V97" s="29">
        <f>(1000*S97/Q97)/$AE$140</f>
        <v>0.70107298990358335</v>
      </c>
      <c r="W97" s="29"/>
      <c r="X97" s="29">
        <f>S97-AVERAGE(S98:S100)</f>
        <v>9.4532396729469559E-2</v>
      </c>
      <c r="Y97" s="29">
        <f>T97+AVERAGE(S98:S100)</f>
        <v>4.9940227616812423E-3</v>
      </c>
      <c r="Z97" s="29"/>
      <c r="AA97" s="29">
        <f>(X97*1000)/Q97</f>
        <v>675.11212744946408</v>
      </c>
      <c r="AB97" s="29">
        <f>2*((1000*Y97/(2*Q97))^2+((R97/2)*1000*X97/(Q97^2))^2)^0.5</f>
        <v>37.730288267390989</v>
      </c>
      <c r="AC97" s="29">
        <f>AA97/$AE$140</f>
        <v>0.66856102875251755</v>
      </c>
      <c r="AD97" s="29">
        <f>2*(($AF$140*AA97/(2*$AE$140^2))^2+(AB97/($AE$140*2))^2)^0.5</f>
        <v>3.8024529266958304E-2</v>
      </c>
      <c r="AE97" s="29">
        <f>SUM(AV$5:$AV97)</f>
        <v>10.473786522647831</v>
      </c>
      <c r="AF97" s="29" cm="1">
        <f t="array" ref="AF97">2*SQRT(SUM((AW$5:$AW97/2)^2))</f>
        <v>6.0823506642781272E-2</v>
      </c>
      <c r="AG97" s="29">
        <f t="shared" si="23"/>
        <v>10.427938422059281</v>
      </c>
      <c r="AH97" s="29" cm="1">
        <f t="array" ref="AH97">2*SQRT(SUM((R$5:$R97/2)^2))</f>
        <v>4.7844446557077404E-2</v>
      </c>
      <c r="AI97" s="29">
        <f t="shared" si="24"/>
        <v>5.5835195846451295</v>
      </c>
      <c r="AJ97" s="29" cm="1">
        <f t="array" ref="AJ97">2*SQRT(SUM((T$5:$T97/2)^2))</f>
        <v>8.0280387562455518E-3</v>
      </c>
      <c r="AK97" s="47"/>
      <c r="AL97" s="29"/>
      <c r="AN97" s="29"/>
      <c r="AO97" s="29"/>
      <c r="AP97" s="29"/>
      <c r="AQ97" s="29">
        <f t="shared" si="18"/>
        <v>4.7932207044277302E-16</v>
      </c>
      <c r="AR97" s="29"/>
      <c r="AS97" s="29"/>
      <c r="AT97" s="29">
        <f>AT96*EXP(-AP96*D96*60)</f>
        <v>1.3197895163904634E-2</v>
      </c>
      <c r="AU97" s="29">
        <f>2*((((AU96/2)*EXP(-AP96*D96*60))^2+(AT96*EXP(-AP96*D96*60)*D96*60*AO96*AP96/AN96)^2)^0.5)</f>
        <v>1.7550121870796101E-3</v>
      </c>
      <c r="AV97" s="23">
        <f>Q97+AT98-AT97</f>
        <v>0.15232776871620657</v>
      </c>
      <c r="AW97" s="23">
        <f>2*(((AU97/2)^2+(AU98/2)^2+(R97/2)^2)^(0.5))</f>
        <v>4.0007780626060228E-3</v>
      </c>
      <c r="AX97" s="50">
        <f>100*(AV97-Q97)/Q97</f>
        <v>8.7863288835554165</v>
      </c>
      <c r="AY97" s="47"/>
      <c r="AZ97" s="29">
        <f t="shared" si="21"/>
        <v>449299634150.43091</v>
      </c>
      <c r="BA97" s="29">
        <f t="shared" si="22"/>
        <v>496539487006.60864</v>
      </c>
      <c r="BB97" s="29">
        <f>Q97*BD97</f>
        <v>2.8018065944746637E-2</v>
      </c>
      <c r="BC97" s="29">
        <f>AQ97*BA97*I97</f>
        <v>5.9976588412087208</v>
      </c>
      <c r="BD97" s="29">
        <f>1/(BC97-1)</f>
        <v>0.20009369022038778</v>
      </c>
      <c r="BE97" s="29">
        <f>BG97*S97</f>
        <v>2.2391756517430875E-2</v>
      </c>
      <c r="BF97" s="29">
        <f>AQ97*AZ97*I97</f>
        <v>5.4270526184321577</v>
      </c>
      <c r="BG97" s="29">
        <f>1/(BF97-1)</f>
        <v>0.22588392011345695</v>
      </c>
      <c r="BH97" s="29">
        <f>Q97-BB93</f>
        <v>9.224516356454468E-2</v>
      </c>
      <c r="BI97" s="29">
        <f>Q97+BB97</f>
        <v>0.16804280092707863</v>
      </c>
      <c r="BJ97" s="29">
        <f>X97-BE93</f>
        <v>5.7239874769430904E-2</v>
      </c>
      <c r="BK97" s="29">
        <f>X97+BE97</f>
        <v>0.11692415324690043</v>
      </c>
      <c r="BL97" s="29">
        <f>BF97*1.29</f>
        <v>7.0008978777774837</v>
      </c>
      <c r="BM97" s="29">
        <f>Q97 / (BL97-1)</f>
        <v>2.3333963989100932E-2</v>
      </c>
      <c r="BN97" s="29">
        <f>(1000*(S97+BE97)/(Q97+BM97))/$AE$140</f>
        <v>0.73667355069511375</v>
      </c>
      <c r="BO97" s="29">
        <f>(1000*(S97-BE93)/(Q97-BM93))/$AE$140</f>
        <v>0.61052809587691792</v>
      </c>
      <c r="BP97" s="29">
        <f>(1000*(S97+BE97-BE93)/(Q97+BM97-BM93))/$AE$140</f>
        <v>0.67465556530562099</v>
      </c>
      <c r="BQ97" s="29">
        <f>MIN(BN97:BP97)</f>
        <v>0.61052809587691792</v>
      </c>
      <c r="BR97" s="29">
        <f>((1000*S97/Q97))/$AE$140</f>
        <v>0.70107298990358335</v>
      </c>
      <c r="BS97" s="29">
        <f>MAX(BN97:BP97)</f>
        <v>0.73667355069511375</v>
      </c>
      <c r="BT97" s="29"/>
      <c r="BU97" s="29"/>
    </row>
    <row r="98" spans="2:85" x14ac:dyDescent="0.3">
      <c r="B98" s="1">
        <v>45343.631249999999</v>
      </c>
      <c r="C98">
        <v>85</v>
      </c>
      <c r="D98">
        <f t="shared" si="25"/>
        <v>180</v>
      </c>
      <c r="F98" s="2">
        <v>0.84599999999999997</v>
      </c>
      <c r="G98" s="2">
        <v>0</v>
      </c>
      <c r="H98" s="2">
        <v>0.154</v>
      </c>
      <c r="I98">
        <v>10800</v>
      </c>
      <c r="J98">
        <v>10926.12</v>
      </c>
      <c r="K98">
        <f t="shared" si="19"/>
        <v>14579.999999748543</v>
      </c>
      <c r="L98">
        <f t="shared" si="20"/>
        <v>3779.9999997485429</v>
      </c>
      <c r="M98" s="47"/>
      <c r="N98">
        <v>6.30742049469964E-3</v>
      </c>
      <c r="O98">
        <v>2.64656177191568E-2</v>
      </c>
      <c r="Q98">
        <v>5.3360777385159002E-3</v>
      </c>
      <c r="R98" s="2">
        <v>9.3714691927223895E-5</v>
      </c>
      <c r="S98">
        <v>4.0757051287501501E-3</v>
      </c>
      <c r="T98" s="2">
        <v>1.8190983910024198E-5</v>
      </c>
      <c r="U98" s="2"/>
      <c r="X98" s="2"/>
      <c r="Y98" s="2"/>
      <c r="Z98" s="2"/>
      <c r="AA98" s="2"/>
      <c r="AE98" s="2">
        <f>SUM(AV$5:$AV98)</f>
        <v>10.473786522647831</v>
      </c>
      <c r="AF98" s="2" cm="1">
        <f t="array" ref="AF98">2*SQRT(SUM((AW$5:$AW98/2)^2))</f>
        <v>6.0823506642781272E-2</v>
      </c>
      <c r="AG98" s="2">
        <f t="shared" si="23"/>
        <v>10.433274499797797</v>
      </c>
      <c r="AH98" s="2" cm="1">
        <f t="array" ref="AH98">2*SQRT(SUM((R$5:$R98/2)^2))</f>
        <v>4.7844538338210757E-2</v>
      </c>
      <c r="AI98" s="2">
        <f t="shared" si="24"/>
        <v>5.5875952897738799</v>
      </c>
      <c r="AJ98" s="2" cm="1">
        <f t="array" ref="AJ98">2*SQRT(SUM((T$5:$T98/2)^2))</f>
        <v>8.0280593659785692E-3</v>
      </c>
      <c r="AK98" s="47"/>
      <c r="AL98" s="2">
        <f>'Fit Lambdas'!$U$2*(10000/(C98+273))+'Fit Lambdas'!$V$2</f>
        <v>24.8835602769906</v>
      </c>
      <c r="AM98">
        <f>'Fit Lambdas'!$V$4</f>
        <v>6.7480704157997479E-2</v>
      </c>
      <c r="AN98" s="2">
        <f t="shared" si="16"/>
        <v>64090390599.493225</v>
      </c>
      <c r="AO98" s="2">
        <f t="shared" si="17"/>
        <v>4324864687.4149046</v>
      </c>
      <c r="AP98" s="2">
        <f>AN98*(C98+273)*$C$145*$E$144</f>
        <v>2.1864290379549456E-5</v>
      </c>
      <c r="AQ98" s="2">
        <f t="shared" si="18"/>
        <v>3.4114771614018435E-16</v>
      </c>
      <c r="AR98" s="2">
        <f>Q98/(1-EXP(-D98*60*AP98))</f>
        <v>2.5370579863652484E-2</v>
      </c>
      <c r="AS98" s="2">
        <f>2*SQRT(
((R98/2) * (1 / (1 - EXP(-D98 * 60 * AN98 * AQ98))))^2 +
(AO98 * (-Q98 * 60 * D98 * AQ98 * EXP(-D98 * 60 * AN98 * AQ98) / (1 - EXP(-D98 * 60 * AN98 * AQ98))^2))^2
)</f>
        <v>3.06820252659216E-3</v>
      </c>
      <c r="AT98" s="2">
        <f>AT99+Q98</f>
        <v>2.5500928897779204E-2</v>
      </c>
      <c r="AU98" s="2">
        <f>AU99+R98</f>
        <v>2.5310396172769038E-3</v>
      </c>
      <c r="AV98" s="22"/>
      <c r="AW98" s="22"/>
      <c r="AX98" s="49"/>
      <c r="AY98" s="47"/>
      <c r="AZ98" s="2">
        <f t="shared" si="21"/>
        <v>61681425125.664085</v>
      </c>
      <c r="BA98" s="2">
        <f t="shared" si="22"/>
        <v>66610138841.468307</v>
      </c>
      <c r="BB98" s="2"/>
      <c r="BC98" s="2"/>
      <c r="BD98" s="2"/>
      <c r="BE98" s="2"/>
      <c r="BF98" s="2"/>
      <c r="BG98" s="2"/>
      <c r="BH98" s="2"/>
      <c r="BI98" s="2"/>
      <c r="BJ98" s="2"/>
      <c r="BK98" s="2"/>
      <c r="BL98" s="2"/>
      <c r="BM98" s="2"/>
      <c r="BN98" s="2"/>
      <c r="BO98" s="2"/>
      <c r="BP98" s="2"/>
      <c r="BQ98" s="2"/>
      <c r="BR98" s="2"/>
      <c r="BS98" s="2"/>
      <c r="BT98" s="2"/>
      <c r="BU98" s="2"/>
      <c r="BV98"/>
      <c r="BW98"/>
      <c r="BX98"/>
      <c r="BY98"/>
      <c r="BZ98"/>
      <c r="CA98"/>
      <c r="CB98"/>
      <c r="CC98"/>
      <c r="CD98"/>
      <c r="CE98"/>
      <c r="CF98"/>
      <c r="CG98"/>
    </row>
    <row r="99" spans="2:85" s="30" customFormat="1" x14ac:dyDescent="0.3">
      <c r="B99" s="31">
        <v>45343.775694444441</v>
      </c>
      <c r="C99" s="30">
        <v>84.98</v>
      </c>
      <c r="D99" s="30">
        <f t="shared" si="25"/>
        <v>180</v>
      </c>
      <c r="E99" s="30" t="s">
        <v>81</v>
      </c>
      <c r="F99" s="32">
        <v>0.67300000000000004</v>
      </c>
      <c r="G99" s="32">
        <v>0</v>
      </c>
      <c r="H99" s="32">
        <v>0.191</v>
      </c>
      <c r="I99" s="30">
        <v>10800</v>
      </c>
      <c r="J99" s="30">
        <v>10926.254000000001</v>
      </c>
      <c r="K99" s="30">
        <f t="shared" si="19"/>
        <v>12479.999999818392</v>
      </c>
      <c r="L99" s="30">
        <f t="shared" si="20"/>
        <v>1679.9999998183921</v>
      </c>
      <c r="M99" s="47"/>
      <c r="N99" s="30">
        <v>6.2971198588157697E-3</v>
      </c>
      <c r="O99" s="30">
        <v>2.64705882352941E-2</v>
      </c>
      <c r="Q99" s="30">
        <v>4.2379616649830098E-3</v>
      </c>
      <c r="R99" s="32">
        <v>7.2119871782902193E-5</v>
      </c>
      <c r="S99" s="30">
        <v>5.0558823529411696E-3</v>
      </c>
      <c r="T99" s="32">
        <v>2.73481761999822E-5</v>
      </c>
      <c r="U99" s="32"/>
      <c r="X99" s="32"/>
      <c r="Y99" s="32"/>
      <c r="Z99" s="32"/>
      <c r="AA99" s="32"/>
      <c r="AE99" s="32">
        <f>SUM(AV$5:$AV99)</f>
        <v>10.473786522647831</v>
      </c>
      <c r="AF99" s="32" cm="1">
        <f t="array" ref="AF99">2*SQRT(SUM((AW$5:$AW99/2)^2))</f>
        <v>6.0823506642781272E-2</v>
      </c>
      <c r="AG99" s="32">
        <f t="shared" si="23"/>
        <v>10.437512461462779</v>
      </c>
      <c r="AH99" s="32" cm="1">
        <f t="array" ref="AH99">2*SQRT(SUM((R$5:$R99/2)^2))</f>
        <v>4.7844592694184625E-2</v>
      </c>
      <c r="AI99" s="32">
        <f t="shared" si="24"/>
        <v>5.5926511721268213</v>
      </c>
      <c r="AJ99" s="32" cm="1">
        <f t="array" ref="AJ99">2*SQRT(SUM((T$5:$T99/2)^2))</f>
        <v>8.028105947632834E-3</v>
      </c>
      <c r="AK99" s="47"/>
      <c r="AL99" s="32">
        <f>'Fit Lambdas'!$U$2*(10000/(C99+273))+'Fit Lambdas'!$V$2</f>
        <v>24.882759769698389</v>
      </c>
      <c r="AM99" s="30">
        <f>'Fit Lambdas'!$V$4</f>
        <v>6.7480704157997479E-2</v>
      </c>
      <c r="AN99" s="32">
        <f t="shared" si="16"/>
        <v>64039106303.922554</v>
      </c>
      <c r="AO99" s="32">
        <f t="shared" si="17"/>
        <v>4321403987.037549</v>
      </c>
      <c r="AP99" s="32">
        <f>AN99*(C99+273)*$C$145*$E$144</f>
        <v>2.1845574367908742E-5</v>
      </c>
      <c r="AQ99" s="32">
        <f t="shared" si="18"/>
        <v>3.4112865760855641E-16</v>
      </c>
      <c r="AR99" s="32">
        <f>Q99/(1-EXP(-D99*60*AP99))</f>
        <v>2.0164851159263305E-2</v>
      </c>
      <c r="AS99" s="32">
        <f>2*SQRT(
((R99/2) * (1 / (1 - EXP(-D99 * 60 * AN99 * AQ99))))^2 +
(AO99 * (-Q99 * 60 * D99 * AQ99 * EXP(-D99 * 60 * AN99 * AQ99) / (1 - EXP(-D99 * 60 * AN99 * AQ99))^2))^2
)</f>
        <v>2.43732492534968E-3</v>
      </c>
      <c r="AT99" s="32" cm="1">
        <f t="array" ref="AT99:AU99">AR99:AS99</f>
        <v>2.0164851159263305E-2</v>
      </c>
      <c r="AU99" s="32">
        <v>2.43732492534968E-3</v>
      </c>
      <c r="AV99" s="24"/>
      <c r="AW99" s="24"/>
      <c r="AX99" s="51"/>
      <c r="AY99" s="47"/>
      <c r="AZ99" s="32">
        <f t="shared" si="21"/>
        <v>61657691873.58004</v>
      </c>
      <c r="BA99" s="32">
        <f t="shared" si="22"/>
        <v>66584211077.857025</v>
      </c>
      <c r="BB99" s="32"/>
      <c r="BC99" s="32"/>
      <c r="BD99" s="32"/>
      <c r="BE99" s="32"/>
      <c r="BF99" s="32"/>
      <c r="BG99" s="32"/>
      <c r="BH99" s="32"/>
      <c r="BI99" s="32"/>
      <c r="BJ99" s="32"/>
      <c r="BK99" s="32"/>
      <c r="BL99" s="32"/>
      <c r="BM99" s="32"/>
      <c r="BN99" s="32"/>
      <c r="BO99" s="32"/>
      <c r="BP99" s="32"/>
      <c r="BQ99" s="32"/>
      <c r="BR99" s="32"/>
      <c r="BS99" s="32"/>
      <c r="BT99" s="32"/>
      <c r="BU99" s="32"/>
    </row>
    <row r="100" spans="2:85" x14ac:dyDescent="0.3">
      <c r="B100" s="1">
        <v>45343.918055555558</v>
      </c>
      <c r="C100">
        <v>85</v>
      </c>
      <c r="D100">
        <f t="shared" si="25"/>
        <v>180</v>
      </c>
      <c r="F100" s="2">
        <v>0.625</v>
      </c>
      <c r="G100" s="2">
        <v>0</v>
      </c>
      <c r="H100" s="2">
        <v>0.17599999999999999</v>
      </c>
      <c r="I100">
        <v>10800</v>
      </c>
      <c r="J100">
        <v>10920.386</v>
      </c>
      <c r="K100">
        <f t="shared" si="19"/>
        <v>12300.000000488944</v>
      </c>
      <c r="L100">
        <f t="shared" si="20"/>
        <v>1500.0000004889444</v>
      </c>
      <c r="M100" s="47"/>
      <c r="N100">
        <v>6.2936846715896102E-3</v>
      </c>
      <c r="O100">
        <v>2.6475427813994899E-2</v>
      </c>
      <c r="Q100">
        <v>3.9335529197435104E-3</v>
      </c>
      <c r="R100" s="2">
        <v>6.6271277968300805E-5</v>
      </c>
      <c r="S100">
        <v>4.6596752952631102E-3</v>
      </c>
      <c r="T100" s="2">
        <v>2.7367390558366298E-5</v>
      </c>
      <c r="U100" s="2"/>
      <c r="X100" s="2"/>
      <c r="Y100" s="2"/>
      <c r="Z100" s="2"/>
      <c r="AA100" s="2"/>
      <c r="AE100" s="2">
        <f>SUM(AV$5:$AV100)</f>
        <v>10.473786522647831</v>
      </c>
      <c r="AF100" s="2" cm="1">
        <f t="array" ref="AF100">2*SQRT(SUM((AW$5:$AW100/2)^2))</f>
        <v>6.0823506642781272E-2</v>
      </c>
      <c r="AG100" s="2">
        <f t="shared" si="23"/>
        <v>10.441446014382523</v>
      </c>
      <c r="AH100" s="2" cm="1">
        <f t="array" ref="AH100">2*SQRT(SUM((R$5:$R100/2)^2))</f>
        <v>4.7844638591536134E-2</v>
      </c>
      <c r="AI100" s="2">
        <f t="shared" si="24"/>
        <v>5.5973108474220847</v>
      </c>
      <c r="AJ100" s="2" cm="1">
        <f t="array" ref="AJ100">2*SQRT(SUM((T$5:$T100/2)^2))</f>
        <v>8.0281525944941815E-3</v>
      </c>
      <c r="AK100" s="47"/>
      <c r="AL100" s="2">
        <f>'Fit Lambdas'!$U$2*(10000/(C100+273))+'Fit Lambdas'!$V$2</f>
        <v>24.8835602769906</v>
      </c>
      <c r="AM100">
        <f>'Fit Lambdas'!$V$4</f>
        <v>6.7480704157997479E-2</v>
      </c>
      <c r="AN100" s="2">
        <f t="shared" si="16"/>
        <v>64090390599.493225</v>
      </c>
      <c r="AO100" s="2">
        <f t="shared" si="17"/>
        <v>4324864687.4149046</v>
      </c>
      <c r="AP100" s="2">
        <f>AN100*(C100+273)*$C$145*$E$144</f>
        <v>2.1864290379549456E-5</v>
      </c>
      <c r="AQ100" s="2">
        <f t="shared" ref="AQ100:AQ131" si="26">(C100+273)*$C$145*$E$144</f>
        <v>3.4114771614018435E-16</v>
      </c>
      <c r="AR100" s="2">
        <f>Q100/(1-EXP(-D100*60*AP100))</f>
        <v>1.8702223503590132E-2</v>
      </c>
      <c r="AS100" s="2">
        <f>2*SQRT(
((R100/2) * (1 / (1 - EXP(-D100 * 60 * AN100 * AQ100))))^2 +
(AO100 * (-Q100 * 60 * D100 * AQ100 * EXP(-D100 * 60 * AN100 * AQ100) / (1 - EXP(-D100 * 60 * AN100 * AQ100))^2))^2
)</f>
        <v>2.2598592286271839E-3</v>
      </c>
      <c r="AT100" s="2">
        <f>AT99*EXP(-AP99*D99*60)</f>
        <v>1.5926889494280297E-2</v>
      </c>
      <c r="AU100" s="2">
        <f>2*((((AU99/2)*EXP(-AP99*D99*60))^2+(AT99*EXP(-AP99*D99*60)*D99*60*AO99*AP99/AN99)^2)^0.5)</f>
        <v>1.9907621735902672E-3</v>
      </c>
      <c r="AV100" s="22"/>
      <c r="AW100" s="22"/>
      <c r="AX100" s="49"/>
      <c r="AY100" s="47"/>
      <c r="AZ100" s="2">
        <f t="shared" si="21"/>
        <v>61681425125.664085</v>
      </c>
      <c r="BA100" s="2">
        <f t="shared" si="22"/>
        <v>66610138841.468307</v>
      </c>
      <c r="BB100" s="2"/>
      <c r="BC100" s="2"/>
      <c r="BD100" s="2"/>
      <c r="BE100" s="2"/>
      <c r="BF100" s="2"/>
      <c r="BG100" s="2"/>
      <c r="BH100" s="2"/>
      <c r="BI100" s="2"/>
      <c r="BJ100" s="2"/>
      <c r="BK100" s="2"/>
      <c r="BL100" s="2"/>
      <c r="BM100" s="2"/>
      <c r="BN100" s="2"/>
      <c r="BO100" s="2"/>
      <c r="BP100" s="2"/>
      <c r="BQ100" s="2"/>
      <c r="BR100" s="2"/>
      <c r="BS100" s="2"/>
      <c r="BT100" s="2"/>
      <c r="BU100" s="2"/>
      <c r="BV100"/>
      <c r="BW100"/>
      <c r="BX100"/>
      <c r="BY100"/>
      <c r="BZ100"/>
      <c r="CA100"/>
      <c r="CB100"/>
      <c r="CC100"/>
      <c r="CD100"/>
      <c r="CE100"/>
      <c r="CF100"/>
      <c r="CG100"/>
    </row>
    <row r="101" spans="2:85" s="27" customFormat="1" x14ac:dyDescent="0.3">
      <c r="B101" s="28">
        <v>45344.388888888891</v>
      </c>
      <c r="C101" s="27">
        <v>225</v>
      </c>
      <c r="D101" s="27">
        <f t="shared" si="25"/>
        <v>652</v>
      </c>
      <c r="E101" s="27" t="s">
        <v>460</v>
      </c>
      <c r="F101" s="29">
        <v>23.7</v>
      </c>
      <c r="G101" s="29">
        <v>0</v>
      </c>
      <c r="H101" s="29">
        <v>3.75</v>
      </c>
      <c r="I101" s="27">
        <v>39120</v>
      </c>
      <c r="J101" s="27">
        <v>39224.49</v>
      </c>
      <c r="K101" s="27">
        <f t="shared" si="19"/>
        <v>40679.99999995809</v>
      </c>
      <c r="L101" s="27">
        <f t="shared" si="20"/>
        <v>1559.9999999580905</v>
      </c>
      <c r="M101" s="47"/>
      <c r="N101" s="27">
        <v>6.3024191861379602E-3</v>
      </c>
      <c r="O101" s="27">
        <v>2.65455745710871E-2</v>
      </c>
      <c r="Q101" s="27">
        <v>0.14936733471146901</v>
      </c>
      <c r="R101" s="27">
        <v>2.6344749195813299E-3</v>
      </c>
      <c r="S101" s="27">
        <v>9.9545904641576893E-2</v>
      </c>
      <c r="T101" s="27">
        <v>5.0745350384866304E-4</v>
      </c>
      <c r="V101" s="29">
        <f>(1000*S101/Q101)/$AE$140</f>
        <v>0.65998325068040808</v>
      </c>
      <c r="W101" s="29"/>
      <c r="X101" s="29">
        <f>S101-AVERAGE(S102:S104)</f>
        <v>9.1819568713377903E-2</v>
      </c>
      <c r="Y101" s="29">
        <f>T101+AVERAGE(S102:S104)</f>
        <v>8.2337894320476529E-3</v>
      </c>
      <c r="Z101" s="29"/>
      <c r="AA101" s="29">
        <f>(X101*1000)/Q101</f>
        <v>614.72321837130323</v>
      </c>
      <c r="AB101" s="29">
        <f>2*((1000*Y101/(2*Q101))^2+((R101/2)*1000*X101/(Q101^2))^2)^0.5</f>
        <v>56.180571473274931</v>
      </c>
      <c r="AC101" s="29">
        <f>AA101/$AE$140</f>
        <v>0.60875811670727409</v>
      </c>
      <c r="AD101" s="29">
        <f>2*(($AF$140*AA101/(2*$AE$140^2))^2+(AB101/($AE$140*2))^2)^0.5</f>
        <v>5.6005133415926285E-2</v>
      </c>
      <c r="AE101" s="29">
        <f>SUM(AV$5:$AV101)</f>
        <v>10.623847692520073</v>
      </c>
      <c r="AF101" s="29" cm="1">
        <f t="array" ref="AF101">2*SQRT(SUM((AW$5:$AW101/2)^2))</f>
        <v>6.0920678979696316E-2</v>
      </c>
      <c r="AG101" s="29">
        <f t="shared" si="23"/>
        <v>10.590813349093992</v>
      </c>
      <c r="AH101" s="29" cm="1">
        <f t="array" ref="AH101">2*SQRT(SUM((R$5:$R101/2)^2))</f>
        <v>4.7917114897044998E-2</v>
      </c>
      <c r="AI101" s="29">
        <f t="shared" si="24"/>
        <v>5.6968567520636615</v>
      </c>
      <c r="AJ101" s="29" cm="1">
        <f t="array" ref="AJ101">2*SQRT(SUM((T$5:$T101/2)^2))</f>
        <v>8.0441744846225169E-3</v>
      </c>
      <c r="AK101" s="47"/>
      <c r="AL101" s="29"/>
      <c r="AN101" s="29"/>
      <c r="AO101" s="29"/>
      <c r="AP101" s="29"/>
      <c r="AQ101" s="29">
        <f t="shared" si="26"/>
        <v>4.745574375357872E-16</v>
      </c>
      <c r="AR101" s="29"/>
      <c r="AS101" s="29"/>
      <c r="AT101" s="29">
        <f>AT100*EXP(-AP100*D100*60)</f>
        <v>1.257705985179783E-2</v>
      </c>
      <c r="AU101" s="29">
        <f>2*((((AU100/2)*EXP(-AP100*D100*60))^2+(AT100*EXP(-AP100*D100*60)*D100*60*AO100*AP100/AN100)^2)^0.5)</f>
        <v>1.6223471435996564E-3</v>
      </c>
      <c r="AV101" s="23">
        <f>Q101+AT102-AT101</f>
        <v>0.15006116987224183</v>
      </c>
      <c r="AW101" s="23">
        <f>2*(((AU101/2)^2+(AU102/2)^2+(R101/2)^2)^(0.5))</f>
        <v>3.4395009845550484E-3</v>
      </c>
      <c r="AX101" s="50">
        <f>100*(AV101-Q101)/Q101</f>
        <v>0.46451599482114886</v>
      </c>
      <c r="AY101" s="47"/>
      <c r="AZ101" s="29">
        <f t="shared" ref="AZ101:AZ137" si="27">IF((273+C101)&gt;=600, 0.00074*EXP(-6613/(1.987*(273+C101)))*128000000000000000*EXP(1174/(1.987*(273+C101))), 0.000304*EXP(-5580/(1.987*(273+C101)))*199000000000000000*EXP(680/(1.987*(273+C101))))</f>
        <v>427719104955.93579</v>
      </c>
      <c r="BA101" s="29">
        <f t="shared" ref="BA101:BA132" si="28">AZ101 * 1.17*EXP(-57/(1.987*(273+C101)))</f>
        <v>472419373721.47552</v>
      </c>
      <c r="BB101" s="29">
        <f>Q101*BD101</f>
        <v>1.9222809007177592E-2</v>
      </c>
      <c r="BC101" s="29">
        <f>AQ101*BA101*I101</f>
        <v>8.7703177852777312</v>
      </c>
      <c r="BD101" s="29">
        <f>1/(BC101-1)</f>
        <v>0.12869486520804599</v>
      </c>
      <c r="BE101" s="29">
        <f>BG101*S101</f>
        <v>1.4342816287205771E-2</v>
      </c>
      <c r="BF101" s="29">
        <f>AQ101*AZ101*I101</f>
        <v>7.940471288778542</v>
      </c>
      <c r="BG101" s="29">
        <f>1/(BF101-1)</f>
        <v>0.14408243451951383</v>
      </c>
      <c r="BH101" s="29">
        <f>Q101-BB97</f>
        <v>0.12134926876672238</v>
      </c>
      <c r="BI101" s="29">
        <f>Q101+BB101</f>
        <v>0.16859014371864661</v>
      </c>
      <c r="BJ101" s="29">
        <f>X101-BE97</f>
        <v>6.9427812195947028E-2</v>
      </c>
      <c r="BK101" s="29">
        <f>X101+BE101</f>
        <v>0.10616238500058367</v>
      </c>
      <c r="BL101" s="29">
        <f>BF101*1.29</f>
        <v>10.24320796252432</v>
      </c>
      <c r="BM101" s="29">
        <f>Q101 / (BL101-1)</f>
        <v>1.6159685610998283E-2</v>
      </c>
      <c r="BN101" s="29">
        <f>(1000*(S101+BE101)/(Q101+BM101))/$AE$140</f>
        <v>0.68136052053702778</v>
      </c>
      <c r="BO101" s="29">
        <f>(1000*(S101-BE97)/(Q101-BM97))/$AE$140</f>
        <v>0.60623202788850183</v>
      </c>
      <c r="BP101" s="29">
        <f>(1000*(S101+BE101-BE97)/(Q101+BM101-BM97))/$AE$140</f>
        <v>0.63722593685397999</v>
      </c>
      <c r="BQ101" s="29">
        <f>MIN(BN101:BP101)</f>
        <v>0.60623202788850183</v>
      </c>
      <c r="BR101" s="29">
        <f>((1000*S101/Q101))/$AE$140</f>
        <v>0.65998325068040808</v>
      </c>
      <c r="BS101" s="29">
        <f>MAX(BN101:BP101)</f>
        <v>0.68136052053702778</v>
      </c>
      <c r="BT101" s="29"/>
      <c r="BU101" s="29"/>
    </row>
    <row r="102" spans="2:85" s="30" customFormat="1" x14ac:dyDescent="0.3">
      <c r="B102" s="31">
        <v>45344.520833333336</v>
      </c>
      <c r="C102" s="30">
        <v>99.949999999999903</v>
      </c>
      <c r="D102" s="30">
        <f t="shared" si="25"/>
        <v>150</v>
      </c>
      <c r="E102" s="30" t="s">
        <v>81</v>
      </c>
      <c r="F102" s="32">
        <v>0.64300000000000002</v>
      </c>
      <c r="G102" s="32">
        <v>0</v>
      </c>
      <c r="H102" s="32">
        <v>0.19</v>
      </c>
      <c r="I102" s="30">
        <v>9000</v>
      </c>
      <c r="J102" s="30">
        <v>9129.6550000000007</v>
      </c>
      <c r="K102" s="30">
        <f t="shared" si="19"/>
        <v>11400.000000069849</v>
      </c>
      <c r="L102" s="30">
        <f t="shared" si="20"/>
        <v>2400.0000000698492</v>
      </c>
      <c r="M102" s="47"/>
      <c r="N102" s="30">
        <v>6.2981798476908803E-3</v>
      </c>
      <c r="O102" s="30">
        <v>2.6518762084858E-2</v>
      </c>
      <c r="Q102" s="30">
        <v>4.0497296420652302E-3</v>
      </c>
      <c r="R102" s="32">
        <v>7.0373189273462001E-5</v>
      </c>
      <c r="S102" s="30">
        <v>5.0385647961230301E-3</v>
      </c>
      <c r="T102" s="32">
        <v>2.5716835509553401E-5</v>
      </c>
      <c r="U102" s="32"/>
      <c r="X102" s="32"/>
      <c r="Y102" s="32"/>
      <c r="Z102" s="32"/>
      <c r="AA102" s="32"/>
      <c r="AE102" s="32">
        <f>SUM(AV$5:$AV102)</f>
        <v>10.623847692520073</v>
      </c>
      <c r="AF102" s="32" cm="1">
        <f t="array" ref="AF102">2*SQRT(SUM((AW$5:$AW102/2)^2))</f>
        <v>6.0920678979696316E-2</v>
      </c>
      <c r="AG102" s="32">
        <f t="shared" ref="AG102:AG137" si="29">AG101+Q102</f>
        <v>10.594863078736058</v>
      </c>
      <c r="AH102" s="32" cm="1">
        <f t="array" ref="AH102">2*SQRT(SUM((R$5:$R102/2)^2))</f>
        <v>4.7917166573602621E-2</v>
      </c>
      <c r="AI102" s="32">
        <f t="shared" ref="AI102:AI137" si="30">AI101+S102</f>
        <v>5.7018953168597841</v>
      </c>
      <c r="AJ102" s="32" cm="1">
        <f t="array" ref="AJ102">2*SQRT(SUM((T$5:$T102/2)^2))</f>
        <v>8.0442155922551307E-3</v>
      </c>
      <c r="AK102" s="47"/>
      <c r="AL102" s="32">
        <f>'Fit Lambdas'!$U$2*(10000/(C102+273))+'Fit Lambdas'!$V$2</f>
        <v>25.457920878543252</v>
      </c>
      <c r="AM102" s="30">
        <f>'Fit Lambdas'!$V$4</f>
        <v>6.7480704157997479E-2</v>
      </c>
      <c r="AN102" s="32">
        <f t="shared" si="16"/>
        <v>113824187335.1987</v>
      </c>
      <c r="AO102" s="32">
        <f t="shared" si="17"/>
        <v>7680936311.5910273</v>
      </c>
      <c r="AP102" s="32">
        <f>AN102*(C102+273)*$C$145*$E$144</f>
        <v>4.0452429651994258E-5</v>
      </c>
      <c r="AQ102" s="32">
        <f t="shared" si="26"/>
        <v>3.5539396853207187E-16</v>
      </c>
      <c r="AR102" s="32">
        <f>Q102/(1-EXP(-D102*60*AP102))</f>
        <v>1.3270895012570644E-2</v>
      </c>
      <c r="AS102" s="32">
        <f>2*SQRT(
((R102/2) * (1 / (1 - EXP(-D102 * 60 * AN102 * AQ102))))^2 +
(AO102 * (-Q102 * 60 * D102 * AQ102 * EXP(-D102 * 60 * AN102 * AQ102) / (1 - EXP(-D102 * 60 * AN102 * AQ102))^2))^2
)</f>
        <v>1.5025640307508123E-3</v>
      </c>
      <c r="AT102" s="32" cm="1">
        <f t="array" ref="AT102:AU102">AR102:AS102</f>
        <v>1.3270895012570644E-2</v>
      </c>
      <c r="AU102" s="32">
        <v>1.5025640307508123E-3</v>
      </c>
      <c r="AV102" s="24"/>
      <c r="AW102" s="24"/>
      <c r="AX102" s="51"/>
      <c r="AY102" s="47"/>
      <c r="AZ102" s="32">
        <f t="shared" si="27"/>
        <v>81296897822.409683</v>
      </c>
      <c r="BA102" s="32">
        <f t="shared" si="28"/>
        <v>88075455148.34697</v>
      </c>
      <c r="BB102" s="32"/>
      <c r="BC102" s="32"/>
      <c r="BD102" s="32"/>
      <c r="BE102" s="32"/>
      <c r="BF102" s="32"/>
      <c r="BG102" s="32"/>
      <c r="BH102" s="32"/>
      <c r="BI102" s="32"/>
      <c r="BJ102" s="32"/>
      <c r="BK102" s="32"/>
      <c r="BL102" s="32"/>
      <c r="BM102" s="32"/>
      <c r="BN102" s="32"/>
      <c r="BO102" s="32"/>
      <c r="BP102" s="32"/>
      <c r="BQ102" s="32"/>
      <c r="BR102" s="32"/>
      <c r="BS102" s="32"/>
      <c r="BT102" s="32"/>
      <c r="BU102" s="32"/>
      <c r="BW102" s="32"/>
    </row>
    <row r="103" spans="2:85" x14ac:dyDescent="0.3">
      <c r="B103" s="1">
        <v>45344.643055555556</v>
      </c>
      <c r="C103">
        <v>99.889999999999901</v>
      </c>
      <c r="D103">
        <f>I103/60</f>
        <v>150</v>
      </c>
      <c r="F103" s="2">
        <v>0.63500000000000001</v>
      </c>
      <c r="G103" s="2">
        <v>0</v>
      </c>
      <c r="H103" s="2">
        <v>0.154</v>
      </c>
      <c r="I103">
        <v>9000</v>
      </c>
      <c r="J103">
        <v>5802.0060000000003</v>
      </c>
      <c r="K103">
        <f t="shared" si="19"/>
        <v>10559.999999846332</v>
      </c>
      <c r="L103">
        <f t="shared" si="20"/>
        <v>1559.9999998463318</v>
      </c>
      <c r="M103" s="47"/>
      <c r="N103">
        <v>6.28965121386233E-3</v>
      </c>
      <c r="O103">
        <v>2.6531351674715899E-2</v>
      </c>
      <c r="Q103">
        <v>3.9939285208025798E-3</v>
      </c>
      <c r="R103" s="2">
        <v>6.6112230123441902E-5</v>
      </c>
      <c r="S103">
        <v>4.0858281579062398E-3</v>
      </c>
      <c r="T103" s="2">
        <v>2.0857131625968999E-5</v>
      </c>
      <c r="U103" s="2"/>
      <c r="X103" s="2"/>
      <c r="Y103" s="2"/>
      <c r="Z103" s="2"/>
      <c r="AA103" s="2"/>
      <c r="AE103" s="2">
        <f>SUM(AV$5:$AV103)</f>
        <v>10.623847692520073</v>
      </c>
      <c r="AF103" s="2" cm="1">
        <f t="array" ref="AF103">2*SQRT(SUM((AW$5:$AW103/2)^2))</f>
        <v>6.0920678979696316E-2</v>
      </c>
      <c r="AG103" s="2">
        <f t="shared" si="29"/>
        <v>10.598857007256861</v>
      </c>
      <c r="AH103" s="2" cm="1">
        <f t="array" ref="AH103">2*SQRT(SUM((R$5:$R103/2)^2))</f>
        <v>4.7917212181734364E-2</v>
      </c>
      <c r="AI103" s="2">
        <f t="shared" si="30"/>
        <v>5.7059811450176907</v>
      </c>
      <c r="AJ103" s="2" cm="1">
        <f t="array" ref="AJ103">2*SQRT(SUM((T$5:$T103/2)^2))</f>
        <v>8.0442426315110761E-3</v>
      </c>
      <c r="AK103" s="47"/>
      <c r="AL103" s="2">
        <f>'Fit Lambdas'!$U$2*(10000/(C103+273))+'Fit Lambdas'!$V$2</f>
        <v>25.455707799175855</v>
      </c>
      <c r="AM103">
        <f>'Fit Lambdas'!$V$4</f>
        <v>6.7480704157997479E-2</v>
      </c>
      <c r="AN103" s="2">
        <f t="shared" si="16"/>
        <v>113572563908.7016</v>
      </c>
      <c r="AO103" s="2">
        <f t="shared" si="17"/>
        <v>7663956585.5883541</v>
      </c>
      <c r="AP103" s="2">
        <f>AN103*(C103+273)*$C$145*$E$144</f>
        <v>4.0356510624971849E-5</v>
      </c>
      <c r="AQ103" s="2">
        <f t="shared" si="26"/>
        <v>3.55336792937188E-16</v>
      </c>
      <c r="AR103" s="2">
        <f>Q103/(1-EXP(-D103*60*AP103))</f>
        <v>1.3113824058352456E-2</v>
      </c>
      <c r="AS103" s="2">
        <f>2*SQRT(
((R103/2) * (1 / (1 - EXP(-D103 * 60 * AN103 * AQ103))))^2 +
(AO103 * (-Q103 * 60 * D103 * AQ103 * EXP(-D103 * 60 * AN103 * AQ103) / (1 - EXP(-D103 * 60 * AN103 * AQ103))^2))^2
)</f>
        <v>1.4838244112887456E-3</v>
      </c>
      <c r="AT103" s="2">
        <f>AT102-Q102</f>
        <v>9.2211653705054145E-3</v>
      </c>
      <c r="AU103" s="2">
        <f>AU102+R102</f>
        <v>1.5729372200242744E-3</v>
      </c>
      <c r="AV103" s="22"/>
      <c r="AW103" s="22"/>
      <c r="AX103" s="49"/>
      <c r="AY103" s="47"/>
      <c r="AZ103" s="2">
        <f t="shared" si="27"/>
        <v>81210448602.802063</v>
      </c>
      <c r="BA103" s="2">
        <f t="shared" si="28"/>
        <v>87980708871.843613</v>
      </c>
      <c r="BB103" s="2"/>
      <c r="BC103" s="2"/>
      <c r="BD103" s="2"/>
      <c r="BE103" s="2"/>
      <c r="BF103" s="2"/>
      <c r="BG103" s="2"/>
      <c r="BH103" s="2"/>
      <c r="BI103" s="2"/>
      <c r="BJ103" s="2"/>
      <c r="BK103" s="2"/>
      <c r="BL103" s="2"/>
      <c r="BM103" s="2"/>
      <c r="BN103" s="2"/>
      <c r="BO103" s="2"/>
      <c r="BP103" s="2"/>
      <c r="BQ103" s="2"/>
      <c r="BR103" s="2"/>
      <c r="BS103" s="2"/>
      <c r="BT103" s="2"/>
      <c r="BU103" s="2"/>
      <c r="BV103"/>
      <c r="BW103"/>
      <c r="BX103"/>
      <c r="BY103"/>
      <c r="BZ103"/>
      <c r="CA103"/>
      <c r="CB103"/>
      <c r="CC103"/>
      <c r="CD103"/>
      <c r="CE103"/>
      <c r="CF103"/>
      <c r="CG103"/>
    </row>
    <row r="104" spans="2:85" x14ac:dyDescent="0.3">
      <c r="B104" s="1">
        <v>45344.786111111112</v>
      </c>
      <c r="C104">
        <v>100</v>
      </c>
      <c r="D104">
        <f t="shared" si="25"/>
        <v>150</v>
      </c>
      <c r="F104" s="2">
        <v>0.68700000000000006</v>
      </c>
      <c r="G104" s="2">
        <v>0</v>
      </c>
      <c r="H104" s="2">
        <v>0.52900000000000003</v>
      </c>
      <c r="I104">
        <v>9000</v>
      </c>
      <c r="J104">
        <v>9124.5130000000008</v>
      </c>
      <c r="K104">
        <f t="shared" si="19"/>
        <v>12360.000000055879</v>
      </c>
      <c r="L104">
        <f t="shared" si="20"/>
        <v>3360.0000000558794</v>
      </c>
      <c r="M104" s="47"/>
      <c r="N104">
        <v>6.2856210103967997E-3</v>
      </c>
      <c r="O104">
        <v>2.6568270001073199E-2</v>
      </c>
      <c r="Q104">
        <v>4.3182216341426001E-3</v>
      </c>
      <c r="R104" s="2">
        <v>6.9261888705168104E-5</v>
      </c>
      <c r="S104">
        <v>1.40546148305677E-2</v>
      </c>
      <c r="T104" s="2">
        <v>7.1700189013167905E-5</v>
      </c>
      <c r="U104" s="2"/>
      <c r="X104" s="2"/>
      <c r="Y104" s="2"/>
      <c r="Z104" s="2"/>
      <c r="AA104" s="2"/>
      <c r="AE104" s="2">
        <f>SUM(AV$5:$AV104)</f>
        <v>10.623847692520073</v>
      </c>
      <c r="AF104" s="2" cm="1">
        <f t="array" ref="AF104">2*SQRT(SUM((AW$5:$AW104/2)^2))</f>
        <v>6.0920678979696316E-2</v>
      </c>
      <c r="AG104" s="2">
        <f t="shared" si="29"/>
        <v>10.603175228891002</v>
      </c>
      <c r="AH104" s="2" cm="1">
        <f t="array" ref="AH104">2*SQRT(SUM((R$5:$R104/2)^2))</f>
        <v>4.7917262238973746E-2</v>
      </c>
      <c r="AI104" s="2">
        <f t="shared" si="30"/>
        <v>5.7200357598482583</v>
      </c>
      <c r="AJ104" s="2" cm="1">
        <f t="array" ref="AJ104">2*SQRT(SUM((T$5:$T104/2)^2))</f>
        <v>8.0445621653216625E-3</v>
      </c>
      <c r="AK104" s="47"/>
      <c r="AL104" s="2">
        <f>'Fit Lambdas'!$U$2*(10000/(C104+273))+'Fit Lambdas'!$V$2</f>
        <v>25.45976456747379</v>
      </c>
      <c r="AM104">
        <f>'Fit Lambdas'!$V$4</f>
        <v>6.7480704157997479E-2</v>
      </c>
      <c r="AN104" s="2">
        <f t="shared" si="16"/>
        <v>114034237303.31673</v>
      </c>
      <c r="AO104" s="2">
        <f t="shared" si="17"/>
        <v>7695110631.3479958</v>
      </c>
      <c r="AP104" s="2">
        <f>AN104*(C104+273)*$C$145*$E$144</f>
        <v>4.053251345654956E-5</v>
      </c>
      <c r="AQ104" s="2">
        <f t="shared" si="26"/>
        <v>3.5544161486114176E-16</v>
      </c>
      <c r="AR104" s="2">
        <f>Q104/(1-EXP(-D104*60*AP104))</f>
        <v>1.4127561668925485E-2</v>
      </c>
      <c r="AS104" s="2">
        <f>2*SQRT(
((R104/2) * (1 / (1 - EXP(-D104 * 60 * AN104 * AQ104))))^2 +
(AO104 * (-Q104 * 60 * D104 * AQ104 * EXP(-D104 * 60 * AN104 * AQ104) / (1 - EXP(-D104 * 60 * AN104 * AQ104))^2))^2
)</f>
        <v>1.5961685511364492E-3</v>
      </c>
      <c r="AT104" s="2">
        <f>AT103-Q103</f>
        <v>5.2272368497028347E-3</v>
      </c>
      <c r="AU104" s="2">
        <f>AU103+R103</f>
        <v>1.6390494501477163E-3</v>
      </c>
      <c r="AV104" s="22"/>
      <c r="AW104" s="22"/>
      <c r="AX104" s="49"/>
      <c r="AY104" s="47"/>
      <c r="AZ104" s="2">
        <f t="shared" si="27"/>
        <v>81368987856.687653</v>
      </c>
      <c r="BA104" s="2">
        <f t="shared" si="28"/>
        <v>88154464997.476822</v>
      </c>
      <c r="BB104" s="2"/>
      <c r="BC104" s="2"/>
      <c r="BD104" s="2"/>
      <c r="BE104" s="2"/>
      <c r="BF104" s="2"/>
      <c r="BG104" s="2"/>
      <c r="BH104" s="2"/>
      <c r="BI104" s="2"/>
      <c r="BJ104" s="2"/>
      <c r="BK104" s="2"/>
      <c r="BL104" s="2"/>
      <c r="BM104" s="2"/>
      <c r="BN104" s="2"/>
      <c r="BO104" s="2"/>
      <c r="BP104" s="2"/>
      <c r="BQ104" s="2"/>
      <c r="BR104" s="2"/>
      <c r="BS104" s="2"/>
      <c r="BT104" s="2"/>
      <c r="BU104" s="2"/>
      <c r="BV104"/>
      <c r="BW104"/>
      <c r="BX104"/>
      <c r="BY104"/>
      <c r="BZ104"/>
      <c r="CA104"/>
      <c r="CB104"/>
      <c r="CC104"/>
      <c r="CD104"/>
      <c r="CE104"/>
      <c r="CF104"/>
      <c r="CG104"/>
    </row>
    <row r="105" spans="2:85" s="27" customFormat="1" x14ac:dyDescent="0.3">
      <c r="B105" s="28">
        <v>45345.151388888888</v>
      </c>
      <c r="C105" s="27">
        <v>230</v>
      </c>
      <c r="D105" s="27">
        <f t="shared" si="25"/>
        <v>500</v>
      </c>
      <c r="E105" s="27" t="s">
        <v>460</v>
      </c>
      <c r="F105" s="29">
        <v>24.5</v>
      </c>
      <c r="G105" s="29">
        <v>0</v>
      </c>
      <c r="H105" s="29">
        <v>3.95</v>
      </c>
      <c r="I105" s="27">
        <v>30000</v>
      </c>
      <c r="J105" s="27">
        <v>30129.907999999999</v>
      </c>
      <c r="K105" s="27">
        <f t="shared" si="19"/>
        <v>31559.999999776483</v>
      </c>
      <c r="L105" s="27">
        <f t="shared" si="20"/>
        <v>1559.9999997764826</v>
      </c>
      <c r="M105" s="47"/>
      <c r="N105" s="27">
        <v>6.3256438308951796E-3</v>
      </c>
      <c r="O105" s="27">
        <v>2.6604729729729701E-2</v>
      </c>
      <c r="Q105" s="27">
        <v>0.154978273856932</v>
      </c>
      <c r="R105" s="27">
        <v>2.6152352232249499E-3</v>
      </c>
      <c r="S105" s="27">
        <v>0.105088682432432</v>
      </c>
      <c r="T105" s="27">
        <v>4.57805792246963E-4</v>
      </c>
      <c r="V105" s="29">
        <f>(1000*S105/Q105)/$AE$140</f>
        <v>0.67150658442932287</v>
      </c>
      <c r="W105" s="29"/>
      <c r="X105" s="29">
        <f>S105-AVERAGE(S106:S108)</f>
        <v>0.10035689851050061</v>
      </c>
      <c r="Y105" s="29">
        <f>T105+AVERAGE(S106:S108)</f>
        <v>5.1895897141783403E-3</v>
      </c>
      <c r="Z105" s="29"/>
      <c r="AA105" s="29">
        <f>(X105*1000)/Q105</f>
        <v>647.55462822579227</v>
      </c>
      <c r="AB105" s="29">
        <f>2*((1000*Y105/(2*Q105))^2+((R105/2)*1000*X105/(Q105^2))^2)^0.5</f>
        <v>35.223777204248222</v>
      </c>
      <c r="AC105" s="29">
        <f>AA105/$AE$140</f>
        <v>0.64127093977066341</v>
      </c>
      <c r="AD105" s="29">
        <f>2*(($AF$140*AA105/(2*$AE$140^2))^2+(AB105/($AE$140*2))^2)^0.5</f>
        <v>3.5532449217734678E-2</v>
      </c>
      <c r="AE105" s="29">
        <f>SUM(AV$5:$AV105)</f>
        <v>10.790739981272809</v>
      </c>
      <c r="AF105" s="29" cm="1">
        <f t="array" ref="AF105">2*SQRT(SUM((AW$5:$AW105/2)^2))</f>
        <v>6.1015099656828387E-2</v>
      </c>
      <c r="AG105" s="29">
        <f t="shared" si="29"/>
        <v>10.758153502747934</v>
      </c>
      <c r="AH105" s="29" cm="1">
        <f t="array" ref="AH105">2*SQRT(SUM((R$5:$R105/2)^2))</f>
        <v>4.7988576513076274E-2</v>
      </c>
      <c r="AI105" s="29">
        <f t="shared" si="30"/>
        <v>5.82512444228069</v>
      </c>
      <c r="AJ105" s="29" cm="1">
        <f t="array" ref="AJ105">2*SQRT(SUM((T$5:$T105/2)^2))</f>
        <v>8.0575782078202395E-3</v>
      </c>
      <c r="AK105" s="47"/>
      <c r="AL105" s="29"/>
      <c r="AN105" s="29"/>
      <c r="AO105" s="29"/>
      <c r="AP105" s="29"/>
      <c r="AQ105" s="29">
        <f t="shared" si="26"/>
        <v>4.7932207044277302E-16</v>
      </c>
      <c r="AR105" s="29"/>
      <c r="AS105" s="29"/>
      <c r="AT105" s="29">
        <f>AT104-Q104</f>
        <v>9.0901521556023459E-4</v>
      </c>
      <c r="AU105" s="29">
        <f>AU104+R104</f>
        <v>1.7083113388528845E-3</v>
      </c>
      <c r="AV105" s="23">
        <f>Q105+AT106-AT105</f>
        <v>0.16689228875273665</v>
      </c>
      <c r="AW105" s="23">
        <f>2*(((AU105/2)^2+(AU106/2)^2+(R105/2)^2)^(0.5))</f>
        <v>3.393119329685734E-3</v>
      </c>
      <c r="AX105" s="50">
        <f>100*(AV105-Q105)/Q105</f>
        <v>7.6875387751466784</v>
      </c>
      <c r="AY105" s="47"/>
      <c r="AZ105" s="29">
        <f t="shared" si="27"/>
        <v>449299634150.43091</v>
      </c>
      <c r="BA105" s="29">
        <f t="shared" si="28"/>
        <v>496539487006.60864</v>
      </c>
      <c r="BB105" s="29">
        <f>Q105*BD105</f>
        <v>2.5240473254976706E-2</v>
      </c>
      <c r="BC105" s="29">
        <f>AQ105*BA105*I105</f>
        <v>7.1400700490580018</v>
      </c>
      <c r="BD105" s="29">
        <f>1/(BC105-1)</f>
        <v>0.16286459144768523</v>
      </c>
      <c r="BE105" s="29">
        <f>BG105*S105</f>
        <v>1.9244273084753682E-2</v>
      </c>
      <c r="BF105" s="29">
        <f>AQ105*AZ105*I105</f>
        <v>6.4607769267049493</v>
      </c>
      <c r="BG105" s="29">
        <f>1/(BF105-1)</f>
        <v>0.18312412563671654</v>
      </c>
      <c r="BH105" s="29">
        <f>Q105-BB101</f>
        <v>0.1357554648497544</v>
      </c>
      <c r="BI105" s="29">
        <f>Q105+BB105</f>
        <v>0.18021874711190872</v>
      </c>
      <c r="BJ105" s="29">
        <f>X105-BE101</f>
        <v>8.6014082223294847E-2</v>
      </c>
      <c r="BK105" s="29">
        <f>X105+BE105</f>
        <v>0.1196011715952543</v>
      </c>
      <c r="BL105" s="29">
        <f>BF105*1.29</f>
        <v>8.3344022354493852</v>
      </c>
      <c r="BM105" s="29">
        <f>Q105 / (BL105-1)</f>
        <v>2.1130321038008403E-2</v>
      </c>
      <c r="BN105" s="29">
        <f>(1000*(S105+BE105)/(Q105+BM105))/$AE$140</f>
        <v>0.69915079084680054</v>
      </c>
      <c r="BO105" s="29">
        <f>(1000*(S105-BE101)/(Q105-BM101))/$AE$140</f>
        <v>0.64735778437465386</v>
      </c>
      <c r="BP105" s="29">
        <f>(1000*(S105+BE105-BE101)/(Q105+BM105-BM101))/$AE$140</f>
        <v>0.68098511119472793</v>
      </c>
      <c r="BQ105" s="29">
        <f>MIN(BN105:BP105)</f>
        <v>0.64735778437465386</v>
      </c>
      <c r="BR105" s="29">
        <f>((1000*S105/Q105))/$AE$140</f>
        <v>0.67150658442932287</v>
      </c>
      <c r="BS105" s="29">
        <f>MAX(BN105:BP105)</f>
        <v>0.69915079084680054</v>
      </c>
      <c r="BT105" s="29"/>
      <c r="BU105" s="29"/>
    </row>
    <row r="106" spans="2:85" s="30" customFormat="1" x14ac:dyDescent="0.3">
      <c r="B106" s="31">
        <v>45345.273611111108</v>
      </c>
      <c r="C106" s="30">
        <v>110</v>
      </c>
      <c r="D106" s="30">
        <f t="shared" si="25"/>
        <v>150</v>
      </c>
      <c r="E106" s="30" t="s">
        <v>81</v>
      </c>
      <c r="F106" s="32">
        <v>0.84099999999999997</v>
      </c>
      <c r="G106" s="32">
        <v>0</v>
      </c>
      <c r="H106" s="32">
        <v>0.26900000000000002</v>
      </c>
      <c r="I106" s="30">
        <v>9000</v>
      </c>
      <c r="J106" s="30">
        <v>9127.4249999999993</v>
      </c>
      <c r="K106" s="30">
        <f t="shared" si="19"/>
        <v>10559.999999846332</v>
      </c>
      <c r="L106" s="30">
        <f t="shared" si="20"/>
        <v>1559.9999998463318</v>
      </c>
      <c r="M106" s="47"/>
      <c r="N106" s="30">
        <v>6.32978723404255E-3</v>
      </c>
      <c r="O106" s="30">
        <v>2.6598367720647699E-2</v>
      </c>
      <c r="Q106" s="30">
        <v>5.3233510638297796E-3</v>
      </c>
      <c r="R106" s="32">
        <v>8.8264614113527006E-5</v>
      </c>
      <c r="S106" s="30">
        <v>7.1549609168542298E-3</v>
      </c>
      <c r="T106" s="32">
        <v>3.0637816837095601E-5</v>
      </c>
      <c r="U106" s="32"/>
      <c r="X106" s="32"/>
      <c r="Y106" s="32"/>
      <c r="Z106" s="32"/>
      <c r="AA106" s="32"/>
      <c r="AE106" s="32">
        <f>SUM(AV$5:$AV106)</f>
        <v>10.790739981272809</v>
      </c>
      <c r="AF106" s="32" cm="1">
        <f t="array" ref="AF106">2*SQRT(SUM((AW$5:$AW106/2)^2))</f>
        <v>6.1015099656828387E-2</v>
      </c>
      <c r="AG106" s="32">
        <f t="shared" si="29"/>
        <v>10.763476853811763</v>
      </c>
      <c r="AH106" s="32" cm="1">
        <f t="array" ref="AH106">2*SQRT(SUM((R$5:$R106/2)^2))</f>
        <v>4.7988657684847572E-2</v>
      </c>
      <c r="AI106" s="32">
        <f t="shared" si="30"/>
        <v>5.8322794031975445</v>
      </c>
      <c r="AJ106" s="32" cm="1">
        <f t="array" ref="AJ106">2*SQRT(SUM((T$5:$T106/2)^2))</f>
        <v>8.0576364556214728E-3</v>
      </c>
      <c r="AK106" s="47"/>
      <c r="AL106" s="32">
        <f>'Fit Lambdas'!$U$2*(10000/(C106+273))+'Fit Lambdas'!$V$2</f>
        <v>25.818826597052521</v>
      </c>
      <c r="AM106" s="30">
        <f>'Fit Lambdas'!$V$4</f>
        <v>6.7480704157997479E-2</v>
      </c>
      <c r="AN106" s="32">
        <f t="shared" si="16"/>
        <v>163295388494.29288</v>
      </c>
      <c r="AO106" s="32">
        <f t="shared" si="17"/>
        <v>11019287801.348642</v>
      </c>
      <c r="AP106" s="32">
        <f>AN106*(C106+273)*$C$145*$E$144</f>
        <v>5.9598061748946858E-5</v>
      </c>
      <c r="AQ106" s="32">
        <f t="shared" si="26"/>
        <v>3.6497088067511346E-16</v>
      </c>
      <c r="AR106" s="32">
        <f>Q106/(1-EXP(-D106*60*AP106))</f>
        <v>1.2823030111364887E-2</v>
      </c>
      <c r="AS106" s="32">
        <f>2*SQRT(
((R106/2) * (1 / (1 - EXP(-D106 * 60 * AN106 * AQ106))))^2 +
(AO106 * (-Q106 * 60 * D106 * AQ106 * EXP(-D106 * 60 * AN106 * AQ106) / (1 - EXP(-D106 * 60 * AN106 * AQ106))^2))^2
)</f>
        <v>1.3249437279511827E-3</v>
      </c>
      <c r="AT106" s="32" cm="1">
        <f t="array" ref="AT106:AU106">AR106:AS106</f>
        <v>1.2823030111364887E-2</v>
      </c>
      <c r="AU106" s="32">
        <v>1.3249437279511827E-3</v>
      </c>
      <c r="AV106" s="24"/>
      <c r="AW106" s="24"/>
      <c r="AX106" s="51"/>
      <c r="AY106" s="47"/>
      <c r="AZ106" s="32">
        <f t="shared" si="27"/>
        <v>96700059240.232132</v>
      </c>
      <c r="BA106" s="32">
        <f t="shared" si="28"/>
        <v>104974596762.32733</v>
      </c>
      <c r="BB106" s="32"/>
      <c r="BC106" s="32"/>
      <c r="BD106" s="32"/>
      <c r="BE106" s="32"/>
      <c r="BF106" s="32"/>
      <c r="BG106" s="32"/>
      <c r="BH106" s="32"/>
      <c r="BI106" s="32"/>
      <c r="BJ106" s="32"/>
      <c r="BK106" s="32"/>
      <c r="BL106" s="32"/>
      <c r="BM106" s="32"/>
      <c r="BN106" s="32"/>
      <c r="BO106" s="32"/>
      <c r="BP106" s="32"/>
      <c r="BQ106" s="32"/>
      <c r="BR106" s="32"/>
      <c r="BS106" s="32"/>
      <c r="BT106" s="32"/>
      <c r="BU106" s="32"/>
    </row>
    <row r="107" spans="2:85" x14ac:dyDescent="0.3">
      <c r="B107" s="1">
        <v>45345.395833333336</v>
      </c>
      <c r="C107">
        <v>109.87</v>
      </c>
      <c r="D107">
        <f t="shared" si="25"/>
        <v>150</v>
      </c>
      <c r="F107" s="2">
        <v>0.68</v>
      </c>
      <c r="G107" s="2">
        <v>0</v>
      </c>
      <c r="H107" s="2">
        <v>0.124</v>
      </c>
      <c r="I107">
        <v>9000</v>
      </c>
      <c r="J107">
        <v>9129.1540000000005</v>
      </c>
      <c r="K107">
        <f t="shared" si="19"/>
        <v>10560.000000474975</v>
      </c>
      <c r="L107">
        <f t="shared" si="20"/>
        <v>1560.0000004749745</v>
      </c>
      <c r="M107" s="47"/>
      <c r="N107">
        <v>6.32978723404255E-3</v>
      </c>
      <c r="O107">
        <v>2.65688827473484E-2</v>
      </c>
      <c r="Q107">
        <v>4.3042553191489303E-3</v>
      </c>
      <c r="R107" s="2">
        <v>6.7803866599236396E-5</v>
      </c>
      <c r="S107">
        <v>3.2945414606712002E-3</v>
      </c>
      <c r="T107" s="2">
        <v>1.5027905318092601E-5</v>
      </c>
      <c r="U107" s="2"/>
      <c r="X107" s="2"/>
      <c r="Y107" s="2"/>
      <c r="Z107" s="2"/>
      <c r="AA107" s="2"/>
      <c r="AE107" s="2">
        <f>SUM(AV$5:$AV107)</f>
        <v>10.790739981272809</v>
      </c>
      <c r="AF107" s="2" cm="1">
        <f t="array" ref="AF107">2*SQRT(SUM((AW$5:$AW107/2)^2))</f>
        <v>6.1015099656828387E-2</v>
      </c>
      <c r="AG107" s="2">
        <f t="shared" si="29"/>
        <v>10.767781109130912</v>
      </c>
      <c r="AH107" s="2" cm="1">
        <f t="array" ref="AH107">2*SQRT(SUM((R$5:$R107/2)^2))</f>
        <v>4.7988705585354202E-2</v>
      </c>
      <c r="AI107" s="2">
        <f t="shared" si="30"/>
        <v>5.8355739446582158</v>
      </c>
      <c r="AJ107" s="2" cm="1">
        <f t="array" ref="AJ107">2*SQRT(SUM((T$5:$T107/2)^2))</f>
        <v>8.0576504695164357E-3</v>
      </c>
      <c r="AK107" s="47"/>
      <c r="AL107" s="2">
        <f>'Fit Lambdas'!$U$2*(10000/(C107+273))+'Fit Lambdas'!$V$2</f>
        <v>25.814279121978927</v>
      </c>
      <c r="AM107">
        <f>'Fit Lambdas'!$V$4</f>
        <v>6.7480704157997479E-2</v>
      </c>
      <c r="AN107" s="2">
        <f t="shared" si="16"/>
        <v>162554492664.92142</v>
      </c>
      <c r="AO107" s="2">
        <f t="shared" si="17"/>
        <v>10969291629.074934</v>
      </c>
      <c r="AP107" s="2">
        <f>AN107*(C107+273)*$C$145*$E$144</f>
        <v>5.9307519021004465E-5</v>
      </c>
      <c r="AQ107" s="2">
        <f t="shared" si="26"/>
        <v>3.6484700021953181E-16</v>
      </c>
      <c r="AR107" s="2">
        <f>Q107/(1-EXP(-D107*60*AP107))</f>
        <v>1.0406592295849827E-2</v>
      </c>
      <c r="AS107" s="2">
        <f>2*SQRT(
((R107/2) * (1 / (1 - EXP(-D107 * 60 * AN107 * AQ107))))^2 +
(AO107 * (-Q107 * 60 * D107 * AQ107 * EXP(-D107 * 60 * AN107 * AQ107) / (1 - EXP(-D107 * 60 * AN107 * AQ107))^2))^2
)</f>
        <v>1.0754098054195356E-3</v>
      </c>
      <c r="AT107" s="2">
        <f>AT106*EXP(-AP106*D106*60)</f>
        <v>7.4996790475351073E-3</v>
      </c>
      <c r="AU107" s="2">
        <f>2*((((AU106/2)*EXP(-AP106*D106*60))^2+(AT106*EXP(-AP106*D106*60)*D106*60*AO106*AP106/AN106)^2)^0.5)</f>
        <v>9.4616621724534478E-4</v>
      </c>
      <c r="AV107" s="22"/>
      <c r="AW107" s="22"/>
      <c r="AX107" s="49"/>
      <c r="AY107" s="47"/>
      <c r="AZ107" s="2">
        <f t="shared" si="27"/>
        <v>96488883730.770706</v>
      </c>
      <c r="BA107" s="2">
        <f t="shared" si="28"/>
        <v>104742687366.71956</v>
      </c>
      <c r="BB107" s="2"/>
      <c r="BC107" s="2"/>
      <c r="BD107" s="2"/>
      <c r="BE107" s="2"/>
      <c r="BF107" s="2"/>
      <c r="BG107" s="2"/>
      <c r="BH107" s="2"/>
      <c r="BI107" s="2"/>
      <c r="BJ107" s="2"/>
      <c r="BK107" s="2"/>
      <c r="BL107" s="2"/>
      <c r="BM107" s="2"/>
      <c r="BN107" s="2"/>
      <c r="BO107" s="2"/>
      <c r="BP107" s="2"/>
      <c r="BQ107" s="2"/>
      <c r="BR107" s="2"/>
      <c r="BS107" s="2"/>
      <c r="BT107" s="2"/>
      <c r="BU107" s="2"/>
      <c r="BV107"/>
      <c r="BW107"/>
      <c r="BX107"/>
      <c r="BY107"/>
      <c r="BZ107"/>
      <c r="CA107"/>
      <c r="CB107"/>
      <c r="CC107"/>
      <c r="CD107"/>
      <c r="CE107"/>
      <c r="CF107"/>
      <c r="CG107"/>
    </row>
    <row r="108" spans="2:85" x14ac:dyDescent="0.3">
      <c r="B108" s="1">
        <v>45345.518055555556</v>
      </c>
      <c r="C108">
        <v>109.98</v>
      </c>
      <c r="D108">
        <f t="shared" si="25"/>
        <v>150</v>
      </c>
      <c r="F108" s="2">
        <v>0.14299999999999999</v>
      </c>
      <c r="G108" s="2">
        <v>0</v>
      </c>
      <c r="H108" s="2">
        <v>0.14099999999999999</v>
      </c>
      <c r="I108">
        <v>9000</v>
      </c>
      <c r="J108">
        <v>9124.4519999999993</v>
      </c>
      <c r="K108">
        <f t="shared" si="19"/>
        <v>10559.999999846332</v>
      </c>
      <c r="L108">
        <f t="shared" si="20"/>
        <v>1559.9999998463318</v>
      </c>
      <c r="M108" s="47"/>
      <c r="N108">
        <v>6.3250739543043097E-3</v>
      </c>
      <c r="O108">
        <v>2.6566307718217701E-2</v>
      </c>
      <c r="Q108">
        <v>9.0448557546551596E-4</v>
      </c>
      <c r="R108" s="2">
        <v>1.33105749955524E-5</v>
      </c>
      <c r="S108">
        <v>3.7458493882687001E-3</v>
      </c>
      <c r="T108" s="2">
        <v>1.8175664160852601E-5</v>
      </c>
      <c r="U108" s="2"/>
      <c r="X108" s="2"/>
      <c r="Y108" s="2"/>
      <c r="Z108" s="2"/>
      <c r="AA108" s="2"/>
      <c r="AE108" s="2">
        <f>SUM(AV$5:$AV108)</f>
        <v>10.790739981272809</v>
      </c>
      <c r="AF108" s="2" cm="1">
        <f t="array" ref="AF108">2*SQRT(SUM((AW$5:$AW108/2)^2))</f>
        <v>6.1015099656828387E-2</v>
      </c>
      <c r="AG108" s="2">
        <f t="shared" si="29"/>
        <v>10.768685594706378</v>
      </c>
      <c r="AH108" s="2" cm="1">
        <f t="array" ref="AH108">2*SQRT(SUM((R$5:$R108/2)^2))</f>
        <v>4.7988707431324017E-2</v>
      </c>
      <c r="AI108" s="2">
        <f t="shared" si="30"/>
        <v>5.8393197940464843</v>
      </c>
      <c r="AJ108" s="2" cm="1">
        <f t="array" ref="AJ108">2*SQRT(SUM((T$5:$T108/2)^2))</f>
        <v>8.0576709689379918E-3</v>
      </c>
      <c r="AK108" s="47"/>
      <c r="AL108" s="2">
        <f>'Fit Lambdas'!$U$2*(10000/(C108+273))+'Fit Lambdas'!$V$2</f>
        <v>25.818127186446052</v>
      </c>
      <c r="AM108">
        <f>'Fit Lambdas'!$V$4</f>
        <v>6.7480704157997479E-2</v>
      </c>
      <c r="AN108" s="2">
        <f t="shared" si="16"/>
        <v>163181217898.30954</v>
      </c>
      <c r="AO108" s="2">
        <f t="shared" si="17"/>
        <v>11011583489.137548</v>
      </c>
      <c r="AP108" s="2">
        <f>AN108*(C108+273)*$C$145*$E$144</f>
        <v>5.9553282811581219E-5</v>
      </c>
      <c r="AQ108" s="2">
        <f t="shared" si="26"/>
        <v>3.6495182214348547E-16</v>
      </c>
      <c r="AR108" s="2">
        <f>Q108/(1-EXP(-D108*60*AP108))</f>
        <v>2.1799869776602194E-3</v>
      </c>
      <c r="AS108" s="2">
        <f>2*SQRT(
((R108/2) * (1 / (1 - EXP(-D108 * 60 * AN108 * AQ108))))^2 +
(AO108 * (-Q108 * 60 * D108 * AQ108 * EXP(-D108 * 60 * AN108 * AQ108) / (1 - EXP(-D108 * 60 * AN108 * AQ108))^2))^2
)</f>
        <v>2.2467974311638788E-4</v>
      </c>
      <c r="AT108" s="2">
        <f>AT107*EXP(-AP107*D107*60)</f>
        <v>4.397747837533124E-3</v>
      </c>
      <c r="AU108" s="2">
        <f>2*((((AU107/2)*EXP(-AP107*D107*60))^2+(AT107*EXP(-AP107*D107*60)*D107*60*AO107*AP107/AN107)^2)^0.5)</f>
        <v>6.3890134928478836E-4</v>
      </c>
      <c r="AV108" s="22"/>
      <c r="AW108" s="22"/>
      <c r="AX108" s="49"/>
      <c r="AY108" s="47"/>
      <c r="AZ108" s="2">
        <f t="shared" si="27"/>
        <v>96667549981.440369</v>
      </c>
      <c r="BA108" s="2">
        <f t="shared" si="28"/>
        <v>104938895256.66869</v>
      </c>
      <c r="BB108" s="2"/>
      <c r="BC108" s="2"/>
      <c r="BD108" s="2"/>
      <c r="BE108" s="2"/>
      <c r="BF108" s="2"/>
      <c r="BG108" s="2"/>
      <c r="BH108" s="2"/>
      <c r="BI108" s="2"/>
      <c r="BJ108" s="2"/>
      <c r="BK108" s="2"/>
      <c r="BL108" s="2"/>
      <c r="BM108" s="2"/>
      <c r="BN108" s="2"/>
      <c r="BO108" s="2"/>
      <c r="BP108" s="2"/>
      <c r="BQ108" s="2"/>
      <c r="BR108" s="2"/>
      <c r="BS108" s="2"/>
      <c r="BT108" s="2"/>
      <c r="BU108" s="2"/>
      <c r="BV108"/>
      <c r="BW108"/>
      <c r="BX108"/>
      <c r="BY108"/>
      <c r="BZ108"/>
      <c r="CA108"/>
      <c r="CB108"/>
      <c r="CC108"/>
      <c r="CD108"/>
      <c r="CE108"/>
      <c r="CF108"/>
      <c r="CG108"/>
    </row>
    <row r="109" spans="2:85" s="27" customFormat="1" x14ac:dyDescent="0.3">
      <c r="B109" s="28">
        <v>45345.87222222222</v>
      </c>
      <c r="C109" s="27">
        <v>234.89999999999901</v>
      </c>
      <c r="D109" s="27">
        <f t="shared" si="25"/>
        <v>450</v>
      </c>
      <c r="E109" s="27" t="s">
        <v>460</v>
      </c>
      <c r="F109" s="29">
        <v>30.9</v>
      </c>
      <c r="G109" s="29">
        <v>0</v>
      </c>
      <c r="H109" s="29">
        <v>5.14</v>
      </c>
      <c r="I109" s="27">
        <v>27000</v>
      </c>
      <c r="J109" s="27">
        <v>27121.841</v>
      </c>
      <c r="K109" s="27">
        <f t="shared" si="19"/>
        <v>30599.999999790452</v>
      </c>
      <c r="L109" s="27">
        <f t="shared" si="20"/>
        <v>3599.9999997904524</v>
      </c>
      <c r="M109" s="47"/>
      <c r="N109" s="27">
        <v>6.3148451761537803E-3</v>
      </c>
      <c r="O109" s="27">
        <v>2.6638467375603301E-2</v>
      </c>
      <c r="Q109" s="27">
        <v>0.19512871594315101</v>
      </c>
      <c r="R109" s="27">
        <v>2.69253773411885E-3</v>
      </c>
      <c r="S109" s="27">
        <v>0.13692172231060101</v>
      </c>
      <c r="T109" s="27">
        <v>7.1749183853404299E-4</v>
      </c>
      <c r="V109" s="29">
        <f>(1000*S109/Q109)/$AE$140</f>
        <v>0.69489040437888805</v>
      </c>
      <c r="W109" s="29"/>
      <c r="X109" s="29">
        <f>S109-AVERAGE(S110:S112)</f>
        <v>0.12813620273443857</v>
      </c>
      <c r="Y109" s="29">
        <f>T109+AVERAGE(S110:S112)</f>
        <v>9.5030114146964773E-3</v>
      </c>
      <c r="Z109" s="29"/>
      <c r="AA109" s="29">
        <f>(X109*1000)/Q109</f>
        <v>656.6752726019572</v>
      </c>
      <c r="AB109" s="29">
        <f>2*((1000*Y109/(2*Q109))^2+((R109/2)*1000*X109/(Q109^2))^2)^0.5</f>
        <v>49.537043898545924</v>
      </c>
      <c r="AC109" s="29">
        <f>AA109/$AE$140</f>
        <v>0.65030307997239767</v>
      </c>
      <c r="AD109" s="29">
        <f>2*(($AF$140*AA109/(2*$AE$140^2))^2+(AB109/($AE$140*2))^2)^0.5</f>
        <v>4.9534105039777877E-2</v>
      </c>
      <c r="AE109" s="29">
        <f>SUM(AV$5:$AV109)</f>
        <v>11.016867755148821</v>
      </c>
      <c r="AF109" s="29" cm="1">
        <f t="array" ref="AF109">2*SQRT(SUM((AW$5:$AW109/2)^2))</f>
        <v>6.1104892801294657E-2</v>
      </c>
      <c r="AG109" s="29">
        <f t="shared" si="29"/>
        <v>10.963814310649528</v>
      </c>
      <c r="AH109" s="29" cm="1">
        <f t="array" ref="AH109">2*SQRT(SUM((R$5:$R109/2)^2))</f>
        <v>4.8064184174693596E-2</v>
      </c>
      <c r="AI109" s="29">
        <f t="shared" si="30"/>
        <v>5.976241516357085</v>
      </c>
      <c r="AJ109" s="29" cm="1">
        <f t="array" ref="AJ109">2*SQRT(SUM((T$5:$T109/2)^2))</f>
        <v>8.0895522732737854E-3</v>
      </c>
      <c r="AK109" s="47"/>
      <c r="AL109" s="29"/>
      <c r="AN109" s="29"/>
      <c r="AO109" s="29"/>
      <c r="AP109" s="29"/>
      <c r="AQ109" s="29">
        <f t="shared" si="26"/>
        <v>4.8399141069161816E-16</v>
      </c>
      <c r="AR109" s="29"/>
      <c r="AS109" s="29"/>
      <c r="AT109" s="29">
        <f>AT108*EXP(-AP108*D108*60)</f>
        <v>2.5731041472975788E-3</v>
      </c>
      <c r="AU109" s="29">
        <f>2*((((AU108/2)*EXP(-AP108*D108*60))^2+(AT108*EXP(-AP108*D108*60)*D108*60*AO108*AP108/AN108)^2)^0.5)</f>
        <v>4.1759369383014331E-4</v>
      </c>
      <c r="AV109" s="23">
        <f>Q109+AT110-AT109</f>
        <v>0.22612777387601199</v>
      </c>
      <c r="AW109" s="23">
        <f>2*(((AU109/2)^2+(AU110/2)^2+(R109/2)^2)^(0.5))</f>
        <v>3.3114253917326613E-3</v>
      </c>
      <c r="AX109" s="50">
        <f>100*(AV109-Q109)/Q109</f>
        <v>15.886466419372264</v>
      </c>
      <c r="AY109" s="47"/>
      <c r="AZ109" s="29">
        <f t="shared" si="27"/>
        <v>471061463377.9845</v>
      </c>
      <c r="BA109" s="29">
        <f t="shared" si="28"/>
        <v>520875889893.65082</v>
      </c>
      <c r="BB109" s="29">
        <f>Q109*BD109</f>
        <v>3.3604148456962642E-2</v>
      </c>
      <c r="BC109" s="29">
        <f>AQ109*BA109*I109</f>
        <v>6.8066853321117602</v>
      </c>
      <c r="BD109" s="29">
        <f>1/(BC109-1)</f>
        <v>0.17221529027410248</v>
      </c>
      <c r="BE109" s="29">
        <f>BG109*S109</f>
        <v>2.6557235514478934E-2</v>
      </c>
      <c r="BF109" s="29">
        <f>AQ109*AZ109*I109</f>
        <v>6.1557219589347563</v>
      </c>
      <c r="BG109" s="29">
        <f>1/(BF109-1)</f>
        <v>0.19395925691202592</v>
      </c>
      <c r="BH109" s="29">
        <f>Q109-BB105</f>
        <v>0.16988824268817432</v>
      </c>
      <c r="BI109" s="29">
        <f>Q109+BB109</f>
        <v>0.22873286440011364</v>
      </c>
      <c r="BJ109" s="29">
        <f>X109-BE105</f>
        <v>0.10889192964968489</v>
      </c>
      <c r="BK109" s="29">
        <f>X109+BE109</f>
        <v>0.15469343824891751</v>
      </c>
      <c r="BL109" s="29">
        <f>BF109*1.29</f>
        <v>7.9408813270258358</v>
      </c>
      <c r="BM109" s="29">
        <f>Q109 / (BL109-1)</f>
        <v>2.8112959543534446E-2</v>
      </c>
      <c r="BN109" s="29">
        <f>(1000*(S109+BE109)/(Q109+BM109))/$AE$140</f>
        <v>0.72518988009664143</v>
      </c>
      <c r="BO109" s="29">
        <f>(1000*(S109-BE105)/(Q109-BM105))/$AE$140</f>
        <v>0.66975066255010252</v>
      </c>
      <c r="BP109" s="29">
        <f>(1000*(S109+BE109-BE105)/(Q109+BM109-BM105))/$AE$140</f>
        <v>0.7067147326338743</v>
      </c>
      <c r="BQ109" s="29">
        <f>MIN(BN109:BP109)</f>
        <v>0.66975066255010252</v>
      </c>
      <c r="BR109" s="29">
        <f>((1000*S109/Q109))/$AE$140</f>
        <v>0.69489040437888805</v>
      </c>
      <c r="BS109" s="29">
        <f>MAX(BN109:BP109)</f>
        <v>0.72518988009664143</v>
      </c>
      <c r="BT109" s="29"/>
      <c r="BU109" s="29"/>
    </row>
    <row r="110" spans="2:85" x14ac:dyDescent="0.3">
      <c r="B110" s="1">
        <v>45346.518750000003</v>
      </c>
      <c r="C110">
        <v>105</v>
      </c>
      <c r="D110">
        <f t="shared" si="25"/>
        <v>150</v>
      </c>
      <c r="F110" s="2">
        <v>2.46</v>
      </c>
      <c r="G110" s="2">
        <v>0</v>
      </c>
      <c r="H110" s="2">
        <v>0.38200000000000001</v>
      </c>
      <c r="I110">
        <v>9000</v>
      </c>
      <c r="J110">
        <v>9128.473</v>
      </c>
      <c r="K110">
        <f t="shared" si="19"/>
        <v>55860.000000405125</v>
      </c>
      <c r="L110">
        <f t="shared" si="20"/>
        <v>46860.000000405125</v>
      </c>
      <c r="M110" s="47"/>
      <c r="N110">
        <v>6.3036257149568899E-3</v>
      </c>
      <c r="O110">
        <v>2.6649746192893401E-2</v>
      </c>
      <c r="Q110">
        <v>1.55069192587939E-2</v>
      </c>
      <c r="R110">
        <v>3.1030791916188198E-4</v>
      </c>
      <c r="S110">
        <v>1.0180203045685199E-2</v>
      </c>
      <c r="T110" s="2">
        <v>2.7675492685117E-5</v>
      </c>
      <c r="U110" s="2"/>
      <c r="X110" s="2"/>
      <c r="Y110" s="2"/>
      <c r="Z110" s="2"/>
      <c r="AA110" s="2"/>
      <c r="AE110" s="2">
        <f>SUM(AV$5:$AV110)</f>
        <v>11.016867755148821</v>
      </c>
      <c r="AF110" s="2" cm="1">
        <f t="array" ref="AF110">2*SQRT(SUM((AW$5:$AW110/2)^2))</f>
        <v>6.1104892801294657E-2</v>
      </c>
      <c r="AG110" s="2">
        <f t="shared" si="29"/>
        <v>10.979321229908322</v>
      </c>
      <c r="AH110" s="2" cm="1">
        <f t="array" ref="AH110">2*SQRT(SUM((R$5:$R110/2)^2))</f>
        <v>4.8065185856122107E-2</v>
      </c>
      <c r="AI110" s="2">
        <f t="shared" si="30"/>
        <v>5.9864217194027702</v>
      </c>
      <c r="AJ110" s="2" cm="1">
        <f t="array" ref="AJ110">2*SQRT(SUM((T$5:$T110/2)^2))</f>
        <v>8.0895996140059028E-3</v>
      </c>
      <c r="AK110" s="47"/>
      <c r="AL110" s="2">
        <f>'Fit Lambdas'!$U$2*(10000/(C110+273))+'Fit Lambdas'!$V$2</f>
        <v>25.64167033113603</v>
      </c>
      <c r="AM110">
        <f>'Fit Lambdas'!$V$4</f>
        <v>6.7480704157997479E-2</v>
      </c>
      <c r="AN110" s="2">
        <f t="shared" si="16"/>
        <v>136784199007.97165</v>
      </c>
      <c r="AO110" s="2">
        <f t="shared" si="17"/>
        <v>9230294066.7455864</v>
      </c>
      <c r="AP110" s="2">
        <f>AN110*(C110+273)*$C$145*$E$144</f>
        <v>4.9270523078630311E-5</v>
      </c>
      <c r="AQ110" s="2">
        <f t="shared" si="26"/>
        <v>3.6020624776812763E-16</v>
      </c>
      <c r="AR110" s="2">
        <f>Q110/(1-EXP(-D110*60*AP110))</f>
        <v>4.3294632935978898E-2</v>
      </c>
      <c r="AS110" s="2">
        <f>2*SQRT(
((R110/2) * (1 / (1 - EXP(-D110 * 60 * AN110 * AQ110))))^2 +
(AO110 * (-Q110 * 60 * D110 * AQ110 * EXP(-D110 * 60 * AN110 * AQ110) / (1 - EXP(-D110 * 60 * AN110 * AQ110))^2))^2
)</f>
        <v>4.7231591963865895E-3</v>
      </c>
      <c r="AT110" s="2">
        <f>AT111+Q110</f>
        <v>3.3572162080158563E-2</v>
      </c>
      <c r="AU110" s="2">
        <f>AU111+R110</f>
        <v>1.8818592354985625E-3</v>
      </c>
      <c r="AV110" s="22"/>
      <c r="AW110" s="22"/>
      <c r="AX110" s="49"/>
      <c r="AY110" s="47"/>
      <c r="AZ110" s="2">
        <f t="shared" si="27"/>
        <v>88805250970.861771</v>
      </c>
      <c r="BA110" s="2">
        <f t="shared" si="28"/>
        <v>96308773299.869202</v>
      </c>
      <c r="BB110" s="2"/>
      <c r="BC110" s="2"/>
      <c r="BD110" s="2"/>
      <c r="BE110" s="2"/>
      <c r="BF110" s="2"/>
      <c r="BG110" s="2"/>
      <c r="BH110" s="2"/>
      <c r="BI110" s="2"/>
      <c r="BJ110" s="2"/>
      <c r="BK110" s="2"/>
      <c r="BL110" s="2"/>
      <c r="BM110" s="2"/>
      <c r="BN110" s="2"/>
      <c r="BO110" s="2"/>
      <c r="BP110" s="2"/>
      <c r="BQ110" s="2"/>
      <c r="BR110" s="2"/>
      <c r="BS110" s="2"/>
      <c r="BT110" s="2"/>
      <c r="BU110" s="2"/>
      <c r="BV110"/>
      <c r="BW110"/>
      <c r="BX110"/>
      <c r="BY110"/>
      <c r="BZ110"/>
      <c r="CA110"/>
      <c r="CB110"/>
      <c r="CC110"/>
      <c r="CD110"/>
      <c r="CE110"/>
      <c r="CF110"/>
      <c r="CG110"/>
    </row>
    <row r="111" spans="2:85" x14ac:dyDescent="0.3">
      <c r="B111" s="1">
        <v>45346.836111111108</v>
      </c>
      <c r="C111">
        <v>104.94</v>
      </c>
      <c r="D111">
        <f t="shared" si="25"/>
        <v>150</v>
      </c>
      <c r="F111" s="2">
        <v>1.1100000000000001</v>
      </c>
      <c r="G111" s="2">
        <v>0</v>
      </c>
      <c r="H111" s="2">
        <v>0.22600000000000001</v>
      </c>
      <c r="I111">
        <v>9000</v>
      </c>
      <c r="J111">
        <v>9129.4609999999993</v>
      </c>
      <c r="K111">
        <f t="shared" si="19"/>
        <v>27419.999999483116</v>
      </c>
      <c r="L111">
        <f t="shared" si="20"/>
        <v>18419.999999483116</v>
      </c>
      <c r="M111" s="47"/>
      <c r="N111">
        <v>6.3474997725309701E-3</v>
      </c>
      <c r="O111">
        <v>2.6649746192893401E-2</v>
      </c>
      <c r="Q111">
        <v>7.0457247475093701E-3</v>
      </c>
      <c r="R111">
        <v>2.7404115395894698E-4</v>
      </c>
      <c r="S111">
        <v>6.0228426395939E-3</v>
      </c>
      <c r="T111" s="2">
        <v>4.5094990770307301E-5</v>
      </c>
      <c r="U111" s="2"/>
      <c r="X111" s="2"/>
      <c r="Y111" s="2"/>
      <c r="Z111" s="2"/>
      <c r="AA111" s="2"/>
      <c r="AE111" s="2">
        <f>SUM(AV$5:$AV111)</f>
        <v>11.016867755148821</v>
      </c>
      <c r="AF111" s="2" cm="1">
        <f t="array" ref="AF111">2*SQRT(SUM((AW$5:$AW111/2)^2))</f>
        <v>6.1104892801294657E-2</v>
      </c>
      <c r="AG111" s="2">
        <f t="shared" si="29"/>
        <v>10.986366954655832</v>
      </c>
      <c r="AH111" s="2" cm="1">
        <f t="array" ref="AH111">2*SQRT(SUM((R$5:$R111/2)^2))</f>
        <v>4.806596706545728E-2</v>
      </c>
      <c r="AI111" s="2">
        <f t="shared" si="30"/>
        <v>5.9924445620423645</v>
      </c>
      <c r="AJ111" s="2" cm="1">
        <f t="array" ref="AJ111">2*SQRT(SUM((T$5:$T111/2)^2))</f>
        <v>8.0897253026982942E-3</v>
      </c>
      <c r="AK111" s="47"/>
      <c r="AL111" s="2">
        <f>'Fit Lambdas'!$U$2*(10000/(C111+273))+'Fit Lambdas'!$V$2</f>
        <v>25.639515993944542</v>
      </c>
      <c r="AM111">
        <f>'Fit Lambdas'!$V$4</f>
        <v>6.7480704157997479E-2</v>
      </c>
      <c r="AN111" s="2">
        <f t="shared" si="16"/>
        <v>136489836912.29478</v>
      </c>
      <c r="AO111" s="2">
        <f t="shared" si="17"/>
        <v>9210430305.2518883</v>
      </c>
      <c r="AP111" s="2">
        <f>AN111*(C111+273)*$C$145*$E$144</f>
        <v>4.9156688125040329E-5</v>
      </c>
      <c r="AQ111" s="2">
        <f t="shared" si="26"/>
        <v>3.6014907217324377E-16</v>
      </c>
      <c r="AR111" s="2">
        <f>Q111/(1-EXP(-D111*60*AP111))</f>
        <v>1.9707551304820707E-2</v>
      </c>
      <c r="AS111" s="2">
        <f>2*SQRT(
((R111/2) * (1 / (1 - EXP(-D111 * 60 * AN111 * AQ111))))^2 +
(AO111 * (-Q111 * 60 * D111 * AQ111 * EXP(-D111 * 60 * AN111 * AQ111) / (1 - EXP(-D111 * 60 * AN111 * AQ111))^2))^2
)</f>
        <v>2.2492858901139428E-3</v>
      </c>
      <c r="AT111" s="2">
        <f>AT112+Q111</f>
        <v>1.8065242821364659E-2</v>
      </c>
      <c r="AU111" s="2">
        <f>AU112+R111</f>
        <v>1.5715513163366806E-3</v>
      </c>
      <c r="AV111" s="22"/>
      <c r="AW111" s="22"/>
      <c r="AX111" s="49"/>
      <c r="AY111" s="47"/>
      <c r="AZ111" s="2">
        <f t="shared" si="27"/>
        <v>88713322810.279419</v>
      </c>
      <c r="BA111" s="2">
        <f t="shared" si="28"/>
        <v>96207918633.123276</v>
      </c>
      <c r="BB111" s="2"/>
      <c r="BC111" s="2"/>
      <c r="BD111" s="2"/>
      <c r="BE111" s="2"/>
      <c r="BF111" s="2"/>
      <c r="BG111" s="2"/>
      <c r="BH111" s="2"/>
      <c r="BI111" s="2"/>
      <c r="BJ111" s="2"/>
      <c r="BK111" s="2"/>
      <c r="BL111" s="2"/>
      <c r="BM111" s="2"/>
      <c r="BN111" s="2"/>
      <c r="BO111" s="2"/>
      <c r="BP111" s="2"/>
      <c r="BQ111" s="2"/>
      <c r="BR111" s="2"/>
      <c r="BS111" s="2"/>
      <c r="BT111" s="2"/>
      <c r="BU111" s="2"/>
      <c r="BV111"/>
      <c r="BW111"/>
      <c r="BX111"/>
      <c r="BY111"/>
      <c r="BZ111"/>
      <c r="CA111"/>
      <c r="CB111"/>
      <c r="CC111"/>
      <c r="CD111"/>
      <c r="CE111"/>
      <c r="CF111"/>
      <c r="CG111"/>
    </row>
    <row r="112" spans="2:85" s="30" customFormat="1" x14ac:dyDescent="0.3">
      <c r="B112" s="31">
        <v>45346.973611111112</v>
      </c>
      <c r="C112" s="30">
        <v>104.94</v>
      </c>
      <c r="D112" s="30">
        <f t="shared" si="25"/>
        <v>150</v>
      </c>
      <c r="E112" s="30" t="s">
        <v>81</v>
      </c>
      <c r="F112" s="32">
        <v>0.61799999999999999</v>
      </c>
      <c r="G112" s="32">
        <v>0</v>
      </c>
      <c r="H112" s="32">
        <v>0.38100000000000001</v>
      </c>
      <c r="I112" s="30">
        <v>9000</v>
      </c>
      <c r="J112" s="30">
        <v>9126.2950000000001</v>
      </c>
      <c r="K112" s="30">
        <f t="shared" si="19"/>
        <v>11880.000000377186</v>
      </c>
      <c r="L112" s="30">
        <f t="shared" si="20"/>
        <v>2880.0000003771856</v>
      </c>
      <c r="M112" s="47"/>
      <c r="N112" s="30">
        <v>6.3748083583655196E-3</v>
      </c>
      <c r="O112" s="30">
        <v>2.6649640533354901E-2</v>
      </c>
      <c r="Q112" s="30">
        <v>3.9396315654698904E-3</v>
      </c>
      <c r="R112" s="30">
        <v>1.9100740830813099E-4</v>
      </c>
      <c r="S112" s="30">
        <v>1.01535130432082E-2</v>
      </c>
      <c r="T112" s="32">
        <v>9.2229713280369001E-5</v>
      </c>
      <c r="U112" s="32"/>
      <c r="X112" s="32"/>
      <c r="Y112" s="32"/>
      <c r="Z112" s="32"/>
      <c r="AA112" s="32"/>
      <c r="AE112" s="32">
        <f>SUM(AV$5:$AV112)</f>
        <v>11.016867755148821</v>
      </c>
      <c r="AF112" s="32" cm="1">
        <f t="array" ref="AF112">2*SQRT(SUM((AW$5:$AW112/2)^2))</f>
        <v>6.1104892801294657E-2</v>
      </c>
      <c r="AG112" s="32">
        <f t="shared" si="29"/>
        <v>10.990306586221301</v>
      </c>
      <c r="AH112" s="32" cm="1">
        <f t="array" ref="AH112">2*SQRT(SUM((R$5:$R112/2)^2))</f>
        <v>4.806634658227784E-2</v>
      </c>
      <c r="AI112" s="32">
        <f t="shared" si="30"/>
        <v>6.0025980750855723</v>
      </c>
      <c r="AJ112" s="32" cm="1">
        <f t="array" ref="AJ112">2*SQRT(SUM((T$5:$T112/2)^2))</f>
        <v>8.0902510339994262E-3</v>
      </c>
      <c r="AK112" s="47"/>
      <c r="AL112" s="32">
        <f>'Fit Lambdas'!$U$2*(10000/(C112+273))+'Fit Lambdas'!$V$2</f>
        <v>25.639515993944542</v>
      </c>
      <c r="AM112" s="30">
        <f>'Fit Lambdas'!$V$4</f>
        <v>6.7480704157997479E-2</v>
      </c>
      <c r="AN112" s="32">
        <f t="shared" si="16"/>
        <v>136489836912.29478</v>
      </c>
      <c r="AO112" s="32">
        <f t="shared" si="17"/>
        <v>9210430305.2518883</v>
      </c>
      <c r="AP112" s="32">
        <f>AN112*(C112+273)*$C$145*$E$144</f>
        <v>4.9156688125040329E-5</v>
      </c>
      <c r="AQ112" s="32">
        <f t="shared" si="26"/>
        <v>3.6014907217324377E-16</v>
      </c>
      <c r="AR112" s="32">
        <f>Q112/(1-EXP(-D112*60*AP112))</f>
        <v>1.1019518073855287E-2</v>
      </c>
      <c r="AS112" s="32">
        <f>2*SQRT(
((R112/2) * (1 / (1 - EXP(-D112 * 60 * AN112 * AQ112))))^2 +
(AO112 * (-Q112 * 60 * D112 * AQ112 * EXP(-D112 * 60 * AN112 * AQ112) / (1 - EXP(-D112 * 60 * AN112 * AQ112))^2))^2
)</f>
        <v>1.2975101623777336E-3</v>
      </c>
      <c r="AT112" s="32" cm="1">
        <f t="array" ref="AT112:AU112">AR112:AS112</f>
        <v>1.1019518073855287E-2</v>
      </c>
      <c r="AU112" s="32">
        <v>1.2975101623777336E-3</v>
      </c>
      <c r="AV112" s="24"/>
      <c r="AW112" s="24"/>
      <c r="AX112" s="51"/>
      <c r="AY112" s="47"/>
      <c r="AZ112" s="32">
        <f t="shared" si="27"/>
        <v>88713322810.279419</v>
      </c>
      <c r="BA112" s="32">
        <f t="shared" si="28"/>
        <v>96207918633.123276</v>
      </c>
      <c r="BB112" s="32"/>
      <c r="BC112" s="32"/>
      <c r="BD112" s="32"/>
      <c r="BE112" s="32"/>
      <c r="BF112" s="32"/>
      <c r="BG112" s="32"/>
      <c r="BH112" s="32"/>
      <c r="BI112" s="32"/>
      <c r="BJ112" s="32"/>
      <c r="BK112" s="32"/>
      <c r="BL112" s="32"/>
      <c r="BM112" s="32"/>
      <c r="BN112" s="32"/>
      <c r="BO112" s="32"/>
      <c r="BP112" s="32"/>
      <c r="BQ112" s="32"/>
      <c r="BR112" s="32"/>
      <c r="BS112" s="32"/>
      <c r="BT112" s="32"/>
      <c r="BU112" s="32"/>
      <c r="BW112" s="32"/>
    </row>
    <row r="113" spans="2:85" s="27" customFormat="1" x14ac:dyDescent="0.3">
      <c r="B113" s="28">
        <v>45347.269444444442</v>
      </c>
      <c r="C113" s="27">
        <v>240</v>
      </c>
      <c r="D113" s="27">
        <f t="shared" ref="D113:D121" si="31">I113/60</f>
        <v>400</v>
      </c>
      <c r="E113" s="27" t="s">
        <v>460</v>
      </c>
      <c r="F113" s="29">
        <v>39.1</v>
      </c>
      <c r="G113" s="29">
        <v>0</v>
      </c>
      <c r="H113" s="29">
        <v>6.71</v>
      </c>
      <c r="I113" s="27">
        <v>24000</v>
      </c>
      <c r="J113" s="27">
        <v>24125.258999999998</v>
      </c>
      <c r="K113" s="27">
        <f t="shared" si="19"/>
        <v>25559.999999706633</v>
      </c>
      <c r="L113" s="27">
        <f t="shared" si="20"/>
        <v>1559.9999997066334</v>
      </c>
      <c r="M113" s="47"/>
      <c r="N113" s="27">
        <v>6.2009489055161798E-3</v>
      </c>
      <c r="O113" s="27">
        <v>2.6542123877553999E-2</v>
      </c>
      <c r="Q113" s="27">
        <v>0.24245710220568201</v>
      </c>
      <c r="R113" s="27">
        <v>1.17986564667764E-2</v>
      </c>
      <c r="S113" s="27">
        <v>0.178097651218387</v>
      </c>
      <c r="T113" s="27">
        <v>1.54157836581248E-3</v>
      </c>
      <c r="V113" s="29">
        <f>(1000*S113/Q113)/$AE$140</f>
        <v>0.72742534645454504</v>
      </c>
      <c r="W113" s="29"/>
      <c r="X113" s="29">
        <f>S113-AVERAGE(S114:S116)</f>
        <v>0.16902168824786956</v>
      </c>
      <c r="Y113" s="29">
        <f>T113+AVERAGE(S114:S116)</f>
        <v>1.0617541336329929E-2</v>
      </c>
      <c r="Z113" s="29"/>
      <c r="AA113" s="29">
        <f>(X113*1000)/Q113</f>
        <v>697.11997178158356</v>
      </c>
      <c r="AB113" s="29">
        <f>2*((1000*Y113/(2*Q113))^2+((R113/2)*1000*X113/(Q113^2))^2)^0.5</f>
        <v>55.394191527739558</v>
      </c>
      <c r="AC113" s="29">
        <f>AA113/$AE$140</f>
        <v>0.69035531513705362</v>
      </c>
      <c r="AD113" s="29">
        <f>2*(($AF$140*AA113/(2*$AE$140^2))^2+(AB113/($AE$140*2))^2)^0.5</f>
        <v>5.533837834586032E-2</v>
      </c>
      <c r="AE113" s="29">
        <f>SUM(AV$5:$AV113)</f>
        <v>11.27734525625041</v>
      </c>
      <c r="AF113" s="29" cm="1">
        <f t="array" ref="AF113">2*SQRT(SUM((AW$5:$AW113/2)^2))</f>
        <v>6.2331517576906345E-2</v>
      </c>
      <c r="AG113" s="29">
        <f t="shared" si="29"/>
        <v>11.232763688426983</v>
      </c>
      <c r="AH113" s="29" cm="1">
        <f t="array" ref="AH113">2*SQRT(SUM((R$5:$R113/2)^2))</f>
        <v>4.9493251743936338E-2</v>
      </c>
      <c r="AI113" s="29">
        <f t="shared" si="30"/>
        <v>6.1806957263039592</v>
      </c>
      <c r="AJ113" s="29" cm="1">
        <f t="array" ref="AJ113">2*SQRT(SUM((T$5:$T113/2)^2))</f>
        <v>8.2358135998254513E-3</v>
      </c>
      <c r="AK113" s="47"/>
      <c r="AL113" s="29"/>
      <c r="AN113" s="29"/>
      <c r="AO113" s="29"/>
      <c r="AP113" s="29"/>
      <c r="AQ113" s="29">
        <f t="shared" si="26"/>
        <v>4.8885133625674457E-16</v>
      </c>
      <c r="AR113" s="29"/>
      <c r="AS113" s="29"/>
      <c r="AT113" s="29">
        <f>AT112-Q112</f>
        <v>7.0798865083853968E-3</v>
      </c>
      <c r="AU113" s="29">
        <f>AU112+R112</f>
        <v>1.4885175706858646E-3</v>
      </c>
      <c r="AV113" s="23">
        <f>Q113+AT114-AT113</f>
        <v>0.26047750110158807</v>
      </c>
      <c r="AW113" s="23">
        <f>2*(((AU113/2)^2+(AU114/2)^2+(R113/2)^2)^(0.5))</f>
        <v>1.2304883550138675E-2</v>
      </c>
      <c r="AX113" s="50">
        <f>100*(AV113-Q113)/Q113</f>
        <v>7.4324071070596816</v>
      </c>
      <c r="AY113" s="47"/>
      <c r="AZ113" s="29">
        <f t="shared" si="27"/>
        <v>494357076108.85529</v>
      </c>
      <c r="BA113" s="29">
        <f t="shared" si="28"/>
        <v>546942020716.46802</v>
      </c>
      <c r="BB113" s="29">
        <f>Q113*BD113</f>
        <v>4.4758886448129864E-2</v>
      </c>
      <c r="BC113" s="29">
        <f>AQ113*BA113*I113</f>
        <v>6.4169601043730271</v>
      </c>
      <c r="BD113" s="29">
        <f>1/(BC113-1)</f>
        <v>0.1846053839666856</v>
      </c>
      <c r="BE113" s="29">
        <f>BG113*S113</f>
        <v>3.7103593747011075E-2</v>
      </c>
      <c r="BF113" s="29">
        <f>AQ113*AZ113*I113</f>
        <v>5.800010813850986</v>
      </c>
      <c r="BG113" s="29">
        <f>1/(BF113-1)</f>
        <v>0.20833286398321946</v>
      </c>
      <c r="BH113" s="29">
        <f>Q113-BB109</f>
        <v>0.20885295374871937</v>
      </c>
      <c r="BI113" s="29">
        <f>Q113+BB113</f>
        <v>0.28721598865381187</v>
      </c>
      <c r="BJ113" s="29">
        <f>X113-BE109</f>
        <v>0.14246445273339062</v>
      </c>
      <c r="BK113" s="29">
        <f>X113+BE113</f>
        <v>0.20612528199488064</v>
      </c>
      <c r="BL113" s="29">
        <f>BF113*1.29</f>
        <v>7.4820139498677722</v>
      </c>
      <c r="BM113" s="29">
        <f>Q113 / (BL113-1)</f>
        <v>3.7404594325291127E-2</v>
      </c>
      <c r="BN113" s="29">
        <f>(1000*(S113+BE113)/(Q113+BM113))/$AE$140</f>
        <v>0.76149396325349827</v>
      </c>
      <c r="BO113" s="29">
        <f>(1000*(S113-BE109)/(Q113-BM109))/$AE$140</f>
        <v>0.70013534383247578</v>
      </c>
      <c r="BP113" s="29">
        <f>(1000*(S113+BE113-BE109)/(Q113+BM113-BM109))/$AE$140</f>
        <v>0.74206315049932692</v>
      </c>
      <c r="BQ113" s="29">
        <f>MIN(BN113:BP113)</f>
        <v>0.70013534383247578</v>
      </c>
      <c r="BR113" s="29">
        <f>((1000*S113/Q113))/$AE$140</f>
        <v>0.72742534645454504</v>
      </c>
      <c r="BS113" s="29">
        <f>MAX(BN113:BP113)</f>
        <v>0.76149396325349827</v>
      </c>
      <c r="BT113" s="29"/>
      <c r="BU113" s="29"/>
    </row>
    <row r="114" spans="2:85" s="30" customFormat="1" x14ac:dyDescent="0.3">
      <c r="B114" s="31">
        <v>45347.39166666667</v>
      </c>
      <c r="C114" s="30">
        <v>95</v>
      </c>
      <c r="D114" s="30">
        <f t="shared" si="31"/>
        <v>150</v>
      </c>
      <c r="E114" s="30" t="s">
        <v>81</v>
      </c>
      <c r="F114" s="32">
        <v>1.07</v>
      </c>
      <c r="G114" s="32">
        <v>0</v>
      </c>
      <c r="H114" s="32">
        <v>0.38900000000000001</v>
      </c>
      <c r="I114" s="30">
        <v>9000</v>
      </c>
      <c r="J114" s="30">
        <v>9130.32</v>
      </c>
      <c r="K114" s="30">
        <f t="shared" si="19"/>
        <v>10560.000000474975</v>
      </c>
      <c r="L114" s="30">
        <f t="shared" si="20"/>
        <v>1560.0000004749745</v>
      </c>
      <c r="M114" s="47"/>
      <c r="N114" s="30">
        <v>6.0549696254431897E-3</v>
      </c>
      <c r="O114" s="30">
        <v>2.6442988452947101E-2</v>
      </c>
      <c r="Q114" s="30">
        <v>6.4788174992242197E-3</v>
      </c>
      <c r="R114" s="30">
        <v>3.1985409024865897E-4</v>
      </c>
      <c r="S114" s="30">
        <v>1.02863225081964E-2</v>
      </c>
      <c r="T114" s="32">
        <v>8.6304873890696398E-5</v>
      </c>
      <c r="U114" s="32"/>
      <c r="X114" s="32"/>
      <c r="Y114" s="32"/>
      <c r="Z114" s="32"/>
      <c r="AA114" s="32"/>
      <c r="AE114" s="32">
        <f>SUM(AV$5:$AV114)</f>
        <v>11.27734525625041</v>
      </c>
      <c r="AF114" s="32" cm="1">
        <f t="array" ref="AF114">2*SQRT(SUM((AW$5:$AW114/2)^2))</f>
        <v>6.2331517576906345E-2</v>
      </c>
      <c r="AG114" s="32">
        <f t="shared" si="29"/>
        <v>11.239242505926207</v>
      </c>
      <c r="AH114" s="32" cm="1">
        <f t="array" ref="AH114">2*SQRT(SUM((R$5:$R114/2)^2))</f>
        <v>4.9494285274440587E-2</v>
      </c>
      <c r="AI114" s="32">
        <f t="shared" si="30"/>
        <v>6.1909820488121561</v>
      </c>
      <c r="AJ114" s="32" cm="1">
        <f t="array" ref="AJ114">2*SQRT(SUM((T$5:$T114/2)^2))</f>
        <v>8.2362657911414661E-3</v>
      </c>
      <c r="AK114" s="47"/>
      <c r="AL114" s="32">
        <f>'Fit Lambdas'!$U$2*(10000/(C114+273))+'Fit Lambdas'!$V$2</f>
        <v>25.272915712407681</v>
      </c>
      <c r="AM114" s="30">
        <f>'Fit Lambdas'!$V$4</f>
        <v>6.7480704157997479E-2</v>
      </c>
      <c r="AN114" s="32">
        <f t="shared" si="16"/>
        <v>94599280986.297607</v>
      </c>
      <c r="AO114" s="32">
        <f t="shared" si="17"/>
        <v>6383626093.7956247</v>
      </c>
      <c r="AP114" s="32">
        <f>AN114*(C114+273)*$C$145*$E$144</f>
        <v>3.3173790351308016E-5</v>
      </c>
      <c r="AQ114" s="32">
        <f t="shared" si="26"/>
        <v>3.5067698195415599E-16</v>
      </c>
      <c r="AR114" s="32">
        <f>Q114/(1-EXP(-D114*60*AP114))</f>
        <v>2.5100285404291482E-2</v>
      </c>
      <c r="AS114" s="32">
        <f>2*SQRT(
((R114/2) * (1 / (1 - EXP(-D114 * 60 * AN114 * AQ114))))^2 +
(AO114 * (-Q114 * 60 * D114 * AQ114 * EXP(-D114 * 60 * AN114 * AQ114) / (1 - EXP(-D114 * 60 * AN114 * AQ114))^2))^2
)</f>
        <v>3.1600918029747577E-3</v>
      </c>
      <c r="AT114" s="32" cm="1">
        <f t="array" ref="AT114:AU114">AR114:AS114</f>
        <v>2.5100285404291482E-2</v>
      </c>
      <c r="AU114" s="32">
        <v>3.1600918029747577E-3</v>
      </c>
      <c r="AV114" s="24"/>
      <c r="AW114" s="24"/>
      <c r="AX114" s="51"/>
      <c r="AY114" s="47"/>
      <c r="AZ114" s="32">
        <f t="shared" si="27"/>
        <v>74378450025.067627</v>
      </c>
      <c r="BA114" s="32">
        <f t="shared" si="28"/>
        <v>80496818032.103622</v>
      </c>
      <c r="BB114" s="32"/>
      <c r="BC114" s="32"/>
      <c r="BD114" s="32"/>
      <c r="BE114" s="32"/>
      <c r="BF114" s="32"/>
      <c r="BG114" s="32"/>
      <c r="BH114" s="32"/>
      <c r="BI114" s="32"/>
      <c r="BJ114" s="32"/>
      <c r="BK114" s="32"/>
      <c r="BL114" s="32"/>
      <c r="BM114" s="32"/>
      <c r="BN114" s="32"/>
      <c r="BO114" s="32"/>
      <c r="BP114" s="32"/>
      <c r="BQ114" s="32"/>
      <c r="BR114" s="32"/>
      <c r="BS114" s="32"/>
      <c r="BT114" s="32"/>
      <c r="BU114" s="32"/>
    </row>
    <row r="115" spans="2:85" x14ac:dyDescent="0.3">
      <c r="B115" s="1">
        <v>45347.513888888891</v>
      </c>
      <c r="C115">
        <v>95</v>
      </c>
      <c r="D115">
        <f t="shared" si="31"/>
        <v>150</v>
      </c>
      <c r="F115" s="2">
        <v>0.78300000000000003</v>
      </c>
      <c r="G115" s="2">
        <v>0</v>
      </c>
      <c r="H115" s="2">
        <v>0.26300000000000001</v>
      </c>
      <c r="I115">
        <v>9000</v>
      </c>
      <c r="J115">
        <v>9125.3179999999993</v>
      </c>
      <c r="K115">
        <f t="shared" si="19"/>
        <v>10559.999999846332</v>
      </c>
      <c r="L115">
        <f t="shared" si="20"/>
        <v>1559.9999998463318</v>
      </c>
      <c r="M115" s="47"/>
      <c r="N115">
        <v>6.0608859247235402E-3</v>
      </c>
      <c r="O115">
        <v>2.64450841387164E-2</v>
      </c>
      <c r="Q115">
        <v>4.7456736790585296E-3</v>
      </c>
      <c r="R115">
        <v>2.2772235921134499E-4</v>
      </c>
      <c r="S115">
        <v>6.9550571284824302E-3</v>
      </c>
      <c r="T115" s="2">
        <v>5.5442706026271601E-5</v>
      </c>
      <c r="U115" s="2"/>
      <c r="X115" s="2"/>
      <c r="Y115" s="2"/>
      <c r="Z115" s="2"/>
      <c r="AA115" s="2"/>
      <c r="AE115" s="2">
        <f>SUM(AV$5:$AV115)</f>
        <v>11.27734525625041</v>
      </c>
      <c r="AF115" s="2" cm="1">
        <f t="array" ref="AF115">2*SQRT(SUM((AW$5:$AW115/2)^2))</f>
        <v>6.2331517576906345E-2</v>
      </c>
      <c r="AG115" s="2">
        <f t="shared" si="29"/>
        <v>11.243988179605266</v>
      </c>
      <c r="AH115" s="2" cm="1">
        <f t="array" ref="AH115">2*SQRT(SUM((R$5:$R115/2)^2))</f>
        <v>4.9494809145006216E-2</v>
      </c>
      <c r="AI115" s="2">
        <f t="shared" si="30"/>
        <v>6.1979371059406381</v>
      </c>
      <c r="AJ115" s="2" cm="1">
        <f t="array" ref="AJ115">2*SQRT(SUM((T$5:$T115/2)^2))</f>
        <v>8.23645239626738E-3</v>
      </c>
      <c r="AK115" s="47"/>
      <c r="AL115" s="2">
        <f>'Fit Lambdas'!$U$2*(10000/(C115+273))+'Fit Lambdas'!$V$2</f>
        <v>25.272915712407681</v>
      </c>
      <c r="AM115">
        <f>'Fit Lambdas'!$V$4</f>
        <v>6.7480704157997479E-2</v>
      </c>
      <c r="AN115" s="2">
        <f t="shared" si="16"/>
        <v>94599280986.297607</v>
      </c>
      <c r="AO115" s="2">
        <f t="shared" si="17"/>
        <v>6383626093.7956247</v>
      </c>
      <c r="AP115" s="2">
        <f>AN115*(C115+273)*$C$145*$E$144</f>
        <v>3.3173790351308016E-5</v>
      </c>
      <c r="AQ115" s="2">
        <f t="shared" si="26"/>
        <v>3.5067698195415599E-16</v>
      </c>
      <c r="AR115" s="2">
        <f>Q115/(1-EXP(-D115*60*AP115))</f>
        <v>1.838572606718222E-2</v>
      </c>
      <c r="AS115" s="2">
        <f>2*SQRT(
((R115/2) * (1 / (1 - EXP(-D115 * 60 * AN115 * AQ115))))^2 +
(AO115 * (-Q115 * 60 * D115 * AQ115 * EXP(-D115 * 60 * AN115 * AQ115) / (1 - EXP(-D115 * 60 * AN115 * AQ115))^2))^2
)</f>
        <v>2.30487890805104E-3</v>
      </c>
      <c r="AT115" s="2">
        <f>AT114*EXP(-AP114*D114*60)</f>
        <v>1.8621467905067263E-2</v>
      </c>
      <c r="AU115" s="2">
        <f>2*((((AU114/2)*EXP(-AP114*D114*60))^2+(AT114*EXP(-AP114*D114*60)*D114*60*AO114*AP114/AN114)^2)^0.5)</f>
        <v>2.4615668406163809E-3</v>
      </c>
      <c r="AV115" s="22"/>
      <c r="AW115" s="22"/>
      <c r="AX115" s="49"/>
      <c r="AY115" s="47"/>
      <c r="AZ115" s="2">
        <f t="shared" si="27"/>
        <v>74378450025.067627</v>
      </c>
      <c r="BA115" s="2">
        <f t="shared" si="28"/>
        <v>80496818032.103622</v>
      </c>
      <c r="BB115" s="2"/>
      <c r="BC115" s="2"/>
      <c r="BD115" s="2"/>
      <c r="BE115" s="2"/>
      <c r="BF115" s="2"/>
      <c r="BG115" s="2"/>
      <c r="BH115" s="2"/>
      <c r="BI115" s="2"/>
      <c r="BJ115" s="2"/>
      <c r="BK115" s="2"/>
      <c r="BL115" s="2"/>
      <c r="BM115" s="2"/>
      <c r="BN115" s="2"/>
      <c r="BO115" s="2"/>
      <c r="BP115" s="2"/>
      <c r="BQ115" s="2"/>
      <c r="BR115" s="2"/>
      <c r="BS115" s="2"/>
      <c r="BT115" s="2"/>
      <c r="BU115" s="2"/>
      <c r="BV115"/>
      <c r="BW115"/>
      <c r="BX115"/>
      <c r="BY115"/>
      <c r="BZ115"/>
      <c r="CA115"/>
      <c r="CB115"/>
      <c r="CC115"/>
      <c r="CD115"/>
      <c r="CE115"/>
      <c r="CF115"/>
      <c r="CG115"/>
    </row>
    <row r="116" spans="2:85" x14ac:dyDescent="0.3">
      <c r="B116" s="1">
        <v>45347.835416666669</v>
      </c>
      <c r="C116">
        <v>95</v>
      </c>
      <c r="D116" s="37">
        <f t="shared" si="31"/>
        <v>437</v>
      </c>
      <c r="F116" s="2">
        <v>1.59</v>
      </c>
      <c r="G116" s="2">
        <v>0</v>
      </c>
      <c r="H116" s="2">
        <v>0.376</v>
      </c>
      <c r="I116">
        <v>26220</v>
      </c>
      <c r="J116">
        <v>26342.477999999999</v>
      </c>
      <c r="K116">
        <f t="shared" si="19"/>
        <v>27780.00000002794</v>
      </c>
      <c r="L116">
        <f t="shared" si="20"/>
        <v>1560.0000000279397</v>
      </c>
      <c r="M116" s="47"/>
      <c r="N116">
        <v>6.2608810596023502E-3</v>
      </c>
      <c r="O116">
        <v>2.65598650927487E-2</v>
      </c>
      <c r="Q116">
        <v>9.9548008847677293E-3</v>
      </c>
      <c r="R116">
        <v>4.0339798812357298E-4</v>
      </c>
      <c r="S116">
        <v>9.9865092748735208E-3</v>
      </c>
      <c r="T116" s="2">
        <v>7.6070019203160406E-5</v>
      </c>
      <c r="U116" s="2"/>
      <c r="X116" s="2"/>
      <c r="Y116" s="2"/>
      <c r="Z116" s="2"/>
      <c r="AA116" s="2"/>
      <c r="AE116" s="2">
        <f>SUM(AV$5:$AV116)</f>
        <v>11.27734525625041</v>
      </c>
      <c r="AF116" s="2" cm="1">
        <f t="array" ref="AF116">2*SQRT(SUM((AW$5:$AW116/2)^2))</f>
        <v>6.2331517576906345E-2</v>
      </c>
      <c r="AG116" s="2">
        <f t="shared" si="29"/>
        <v>11.253942980490033</v>
      </c>
      <c r="AH116" s="2" cm="1">
        <f t="array" ref="AH116">2*SQRT(SUM((R$5:$R116/2)^2))</f>
        <v>4.9496453026832268E-2</v>
      </c>
      <c r="AI116" s="2">
        <f t="shared" si="30"/>
        <v>6.2079236152155115</v>
      </c>
      <c r="AJ116" s="2" cm="1">
        <f t="array" ref="AJ116">2*SQRT(SUM((T$5:$T116/2)^2))</f>
        <v>8.2368036715585406E-3</v>
      </c>
      <c r="AK116" s="47"/>
      <c r="AL116" s="2">
        <f>'Fit Lambdas'!$U$2*(10000/(C116+273))+'Fit Lambdas'!$V$2</f>
        <v>25.272915712407681</v>
      </c>
      <c r="AM116">
        <f>'Fit Lambdas'!$V$4</f>
        <v>6.7480704157997479E-2</v>
      </c>
      <c r="AN116" s="2">
        <f t="shared" si="16"/>
        <v>94599280986.297607</v>
      </c>
      <c r="AO116" s="2">
        <f t="shared" si="17"/>
        <v>6383626093.7956247</v>
      </c>
      <c r="AP116" s="2">
        <f>AN116*(C116+273)*$C$145*$E$144</f>
        <v>3.3173790351308016E-5</v>
      </c>
      <c r="AQ116" s="2">
        <f t="shared" si="26"/>
        <v>3.5067698195415599E-16</v>
      </c>
      <c r="AR116" s="2">
        <f>Q116/(1-EXP(-D116*60*AP116))</f>
        <v>1.7134743649804458E-2</v>
      </c>
      <c r="AS116" s="2">
        <f>2*SQRT(
((R116/2) * (1 / (1 - EXP(-D116 * 60 * AN116 * AQ116))))^2 +
(AO116 * (-Q116 * 60 * D116 * AQ116 * EXP(-D116 * 60 * AN116 * AQ116) / (1 - EXP(-D116 * 60 * AN116 * AQ116))^2))^2
)</f>
        <v>1.6083852416740824E-3</v>
      </c>
      <c r="AT116" s="2">
        <f>AT115*EXP(-AP115*D115*60)</f>
        <v>1.3814945183060093E-2</v>
      </c>
      <c r="AU116" s="2">
        <f>2*((((AU115/2)*EXP(-AP115*D115*60))^2+(AT115*EXP(-AP115*D115*60)*D115*60*AO115*AP115/AN115)^2)^0.5)</f>
        <v>1.9091525770986546E-3</v>
      </c>
      <c r="AV116" s="22"/>
      <c r="AW116" s="22"/>
      <c r="AX116" s="49"/>
      <c r="AY116" s="47"/>
      <c r="AZ116" s="2">
        <f t="shared" si="27"/>
        <v>74378450025.067627</v>
      </c>
      <c r="BA116" s="2">
        <f t="shared" si="28"/>
        <v>80496818032.103622</v>
      </c>
      <c r="BB116" s="2"/>
      <c r="BC116" s="2"/>
      <c r="BD116" s="2"/>
      <c r="BE116" s="2"/>
      <c r="BF116" s="2"/>
      <c r="BG116" s="2"/>
      <c r="BH116" s="2"/>
      <c r="BI116" s="2"/>
      <c r="BJ116" s="2"/>
      <c r="BK116" s="2"/>
      <c r="BL116" s="2"/>
      <c r="BM116" s="2"/>
      <c r="BN116" s="2"/>
      <c r="BO116" s="2"/>
      <c r="BP116" s="2"/>
      <c r="BQ116" s="2"/>
      <c r="BR116" s="2"/>
      <c r="BS116" s="2"/>
      <c r="BT116" s="2"/>
      <c r="BU116" s="2"/>
      <c r="BV116"/>
      <c r="BW116"/>
      <c r="BX116"/>
      <c r="BY116"/>
      <c r="BZ116"/>
      <c r="CA116"/>
      <c r="CB116"/>
      <c r="CC116"/>
      <c r="CD116"/>
      <c r="CE116"/>
      <c r="CF116"/>
      <c r="CG116"/>
    </row>
    <row r="117" spans="2:85" s="27" customFormat="1" x14ac:dyDescent="0.3">
      <c r="B117" s="28">
        <v>45348.099305555559</v>
      </c>
      <c r="C117" s="27">
        <v>245</v>
      </c>
      <c r="D117" s="27">
        <f t="shared" si="31"/>
        <v>350</v>
      </c>
      <c r="E117" s="27" t="s">
        <v>460</v>
      </c>
      <c r="F117" s="29">
        <v>50.4</v>
      </c>
      <c r="G117" s="29">
        <v>0</v>
      </c>
      <c r="H117" s="29">
        <v>8.68</v>
      </c>
      <c r="I117" s="27">
        <v>21000</v>
      </c>
      <c r="J117" s="27">
        <v>21126.679</v>
      </c>
      <c r="K117" s="27">
        <f t="shared" si="19"/>
        <v>22800.000000139698</v>
      </c>
      <c r="L117" s="27">
        <f t="shared" si="20"/>
        <v>1800.0000001396984</v>
      </c>
      <c r="M117" s="47"/>
      <c r="N117" s="27">
        <v>6.2499123709429403E-3</v>
      </c>
      <c r="O117" s="27">
        <v>2.65598650927487E-2</v>
      </c>
      <c r="Q117" s="27">
        <v>0.31499558349552398</v>
      </c>
      <c r="R117" s="27">
        <v>8.0950790239681294E-3</v>
      </c>
      <c r="S117" s="27">
        <v>0.230539629005059</v>
      </c>
      <c r="T117" s="27">
        <v>1.68247318853774E-3</v>
      </c>
      <c r="V117" s="29">
        <f>(1000*S117/Q117)/$AE$140</f>
        <v>0.72478012099254785</v>
      </c>
      <c r="W117" s="29"/>
      <c r="X117" s="29">
        <f>S117-AVERAGE(S118:S120)</f>
        <v>0.22345539614540713</v>
      </c>
      <c r="Y117" s="29">
        <f>T117+AVERAGE(S118:S120)</f>
        <v>8.7667060481896129E-3</v>
      </c>
      <c r="Z117" s="29"/>
      <c r="AA117" s="29">
        <f>(X117*1000)/Q117</f>
        <v>709.39215612393616</v>
      </c>
      <c r="AB117" s="29">
        <f>2*((1000*Y117/(2*Q117))^2+((R117/2)*1000*X117/(Q117^2))^2)^0.5</f>
        <v>33.270614281284885</v>
      </c>
      <c r="AC117" s="29">
        <f>AA117/$AE$140</f>
        <v>0.70250841364523886</v>
      </c>
      <c r="AD117" s="29">
        <f>2*(($AF$140*AA117/(2*$AE$140^2))^2+(AB117/($AE$140*2))^2)^0.5</f>
        <v>3.3771636449262274E-2</v>
      </c>
      <c r="AE117" s="29">
        <f>SUM(AV$5:$AV117)</f>
        <v>11.626026642346245</v>
      </c>
      <c r="AF117" s="29" cm="1">
        <f t="array" ref="AF117">2*SQRT(SUM((AW$5:$AW117/2)^2))</f>
        <v>6.3034673340638919E-2</v>
      </c>
      <c r="AG117" s="29">
        <f t="shared" si="29"/>
        <v>11.568938563985556</v>
      </c>
      <c r="AH117" s="29" cm="1">
        <f t="array" ref="AH117">2*SQRT(SUM((R$5:$R117/2)^2))</f>
        <v>5.0154054339023306E-2</v>
      </c>
      <c r="AI117" s="29">
        <f t="shared" si="30"/>
        <v>6.4384632442205705</v>
      </c>
      <c r="AJ117" s="29" cm="1">
        <f t="array" ref="AJ117">2*SQRT(SUM((T$5:$T117/2)^2))</f>
        <v>8.4068811549794491E-3</v>
      </c>
      <c r="AK117" s="47"/>
      <c r="AL117" s="29"/>
      <c r="AN117" s="29"/>
      <c r="AO117" s="29"/>
      <c r="AP117" s="29"/>
      <c r="AQ117" s="29">
        <f t="shared" si="26"/>
        <v>4.9361596916373049E-16</v>
      </c>
      <c r="AR117" s="29"/>
      <c r="AS117" s="29"/>
      <c r="AT117" s="29">
        <f>AT116*EXP(-AP116*D116*60)</f>
        <v>5.7888532063112182E-3</v>
      </c>
      <c r="AU117" s="29">
        <f>2*((((AU116/2)*EXP(-AP116*D116*60))^2+(AT116*EXP(-AP116*D116*60)*D116*60*AO116*AP116/AN116)^2)^0.5)</f>
        <v>1.0496612167003449E-3</v>
      </c>
      <c r="AV117" s="23">
        <f>Q117+AT118-AT117</f>
        <v>0.34868138609583449</v>
      </c>
      <c r="AW117" s="23">
        <f>2*(((AU117/2)^2+(AU118/2)^2+(R117/2)^2)^(0.5))</f>
        <v>9.3889275064231829E-3</v>
      </c>
      <c r="AX117" s="50">
        <f>100*(AV117-Q117)/Q117</f>
        <v>10.694055525000458</v>
      </c>
      <c r="AY117" s="47"/>
      <c r="AZ117" s="29">
        <f t="shared" si="27"/>
        <v>517835909307.63312</v>
      </c>
      <c r="BA117" s="29">
        <f t="shared" si="28"/>
        <v>573227627332.96106</v>
      </c>
      <c r="BB117" s="29">
        <f>Q117*BD117</f>
        <v>6.3737960416163419E-2</v>
      </c>
      <c r="BC117" s="29">
        <f>AQ117*BA117*I117</f>
        <v>5.9420405271650916</v>
      </c>
      <c r="BD117" s="29">
        <f>1/(BC117-1)</f>
        <v>0.2023455684961028</v>
      </c>
      <c r="BE117" s="29">
        <f>BG117*S117</f>
        <v>5.2780988622472796E-2</v>
      </c>
      <c r="BF117" s="29">
        <f>AQ117*AZ117*I117</f>
        <v>5.3678535590540477</v>
      </c>
      <c r="BG117" s="29">
        <f>1/(BF117-1)</f>
        <v>0.228945404528757</v>
      </c>
      <c r="BH117" s="29">
        <f>Q117-BB113</f>
        <v>0.27023669704739411</v>
      </c>
      <c r="BI117" s="29">
        <f>Q117+BB117</f>
        <v>0.3787335439116874</v>
      </c>
      <c r="BJ117" s="29">
        <f>X117-BE113</f>
        <v>0.18635180239839605</v>
      </c>
      <c r="BK117" s="29">
        <f>X117+BE117</f>
        <v>0.27623638476787993</v>
      </c>
      <c r="BL117" s="29">
        <f>BF117*1.29</f>
        <v>6.9245310911797215</v>
      </c>
      <c r="BM117" s="29">
        <f>Q117 / (BL117-1)</f>
        <v>5.3168019316242716E-2</v>
      </c>
      <c r="BN117" s="29">
        <f>(1000*(S117+BE117)/(Q117+BM117))/$AE$140</f>
        <v>0.76208335558058027</v>
      </c>
      <c r="BO117" s="29">
        <f>(1000*(S117-BE113)/(Q117-BM113))/$AE$140</f>
        <v>0.69007638471522992</v>
      </c>
      <c r="BP117" s="29">
        <f>(1000*(S117+BE117-BE113)/(Q117+BM117-BM113))/$AE$140</f>
        <v>0.73717660500700077</v>
      </c>
      <c r="BQ117" s="29">
        <f>MIN(BN117:BP117)</f>
        <v>0.69007638471522992</v>
      </c>
      <c r="BR117" s="29">
        <f>((1000*S117/Q117))/$AE$140</f>
        <v>0.72478012099254785</v>
      </c>
      <c r="BS117" s="29">
        <f>MAX(BN117:BP117)</f>
        <v>0.76208335558058027</v>
      </c>
      <c r="BT117" s="29"/>
      <c r="BU117" s="29"/>
    </row>
    <row r="118" spans="2:85" s="30" customFormat="1" x14ac:dyDescent="0.3">
      <c r="B118" s="31">
        <v>45348.242361111108</v>
      </c>
      <c r="C118" s="30">
        <v>90</v>
      </c>
      <c r="D118" s="30">
        <f t="shared" si="31"/>
        <v>180</v>
      </c>
      <c r="E118" s="30" t="s">
        <v>447</v>
      </c>
      <c r="F118" s="32">
        <v>1.6</v>
      </c>
      <c r="G118" s="32">
        <v>0</v>
      </c>
      <c r="H118" s="32">
        <v>0.45700000000000002</v>
      </c>
      <c r="I118" s="30">
        <v>10800</v>
      </c>
      <c r="J118" s="30">
        <v>10929.633</v>
      </c>
      <c r="K118" s="30">
        <f t="shared" si="19"/>
        <v>12359.999999427237</v>
      </c>
      <c r="L118" s="30">
        <f t="shared" si="20"/>
        <v>1559.9999994272366</v>
      </c>
      <c r="M118" s="47"/>
      <c r="N118" s="30">
        <v>6.2415967904154998E-3</v>
      </c>
      <c r="O118" s="30">
        <v>2.65642815520916E-2</v>
      </c>
      <c r="Q118" s="30">
        <v>9.9865548646648102E-3</v>
      </c>
      <c r="R118" s="32">
        <v>1.7291650258768201E-4</v>
      </c>
      <c r="S118" s="30">
        <v>1.2139876669305801E-2</v>
      </c>
      <c r="T118" s="32">
        <v>8.4180015652451093E-5</v>
      </c>
      <c r="U118" s="32"/>
      <c r="X118" s="32"/>
      <c r="Y118" s="32"/>
      <c r="Z118" s="32"/>
      <c r="AA118" s="32"/>
      <c r="AE118" s="32">
        <f>SUM(AV$5:$AV118)</f>
        <v>11.626026642346245</v>
      </c>
      <c r="AF118" s="32" cm="1">
        <f t="array" ref="AF118">2*SQRT(SUM((AW$5:$AW118/2)^2))</f>
        <v>6.3034673340638919E-2</v>
      </c>
      <c r="AG118" s="32">
        <f t="shared" si="29"/>
        <v>11.57892511885022</v>
      </c>
      <c r="AH118" s="32" cm="1">
        <f t="array" ref="AH118">2*SQRT(SUM((R$5:$R118/2)^2))</f>
        <v>5.0154352420887359E-2</v>
      </c>
      <c r="AI118" s="32">
        <f t="shared" si="30"/>
        <v>6.450603120889876</v>
      </c>
      <c r="AJ118" s="32" cm="1">
        <f t="array" ref="AJ118">2*SQRT(SUM((T$5:$T118/2)^2))</f>
        <v>8.4073026012499302E-3</v>
      </c>
      <c r="AK118" s="47"/>
      <c r="AL118" s="32">
        <f>'Fit Lambdas'!$U$2*(10000/(C118+273))+'Fit Lambdas'!$V$2</f>
        <v>25.080919505962346</v>
      </c>
      <c r="AM118" s="30">
        <f>'Fit Lambdas'!$V$4</f>
        <v>6.7480704157997479E-2</v>
      </c>
      <c r="AN118" s="32">
        <f t="shared" si="16"/>
        <v>78073732528.776489</v>
      </c>
      <c r="AO118" s="32">
        <f t="shared" si="17"/>
        <v>5268470447.2849903</v>
      </c>
      <c r="AP118" s="32">
        <f>AN118*(C118+273)*$C$145*$E$144</f>
        <v>2.7006668217909542E-5</v>
      </c>
      <c r="AQ118" s="32">
        <f t="shared" si="26"/>
        <v>3.4591234904717017E-16</v>
      </c>
      <c r="AR118" s="32">
        <f>Q118/(1-EXP(-D118*60*AP118))</f>
        <v>3.9474655806621739E-2</v>
      </c>
      <c r="AS118" s="32">
        <f>2*SQRT(
((R118/2) * (1 / (1 - EXP(-D118 * 60 * AN118 * AQ118))))^2 +
(AO118 * (-Q118 * 60 * D118 * AQ118 * EXP(-D118 * 60 * AN118 * AQ118) / (1 - EXP(-D118 * 60 * AN118 * AQ118))^2))^2
)</f>
        <v>4.6389510287064032E-3</v>
      </c>
      <c r="AT118" s="32" cm="1">
        <f t="array" ref="AT118:AU118">AR118:AS118</f>
        <v>3.9474655806621739E-2</v>
      </c>
      <c r="AU118" s="32">
        <v>4.6389510287064032E-3</v>
      </c>
      <c r="AV118" s="24"/>
      <c r="AW118" s="24"/>
      <c r="AX118" s="51"/>
      <c r="AY118" s="47"/>
      <c r="AZ118" s="32">
        <f t="shared" si="27"/>
        <v>67820444032.070572</v>
      </c>
      <c r="BA118" s="32">
        <f t="shared" si="28"/>
        <v>73320582427.391632</v>
      </c>
      <c r="BB118" s="32"/>
      <c r="BC118" s="32"/>
      <c r="BD118" s="32"/>
      <c r="BE118" s="32"/>
      <c r="BF118" s="32"/>
      <c r="BG118" s="32"/>
      <c r="BH118" s="32"/>
      <c r="BI118" s="32"/>
      <c r="BJ118" s="32"/>
      <c r="BK118" s="32"/>
      <c r="BL118" s="32"/>
      <c r="BM118" s="32"/>
      <c r="BN118" s="32"/>
      <c r="BO118" s="32"/>
      <c r="BP118" s="32"/>
      <c r="BQ118" s="32"/>
      <c r="BR118" s="32"/>
      <c r="BS118" s="32"/>
      <c r="BT118" s="32"/>
    </row>
    <row r="119" spans="2:85" s="8" customFormat="1" x14ac:dyDescent="0.3">
      <c r="B119" s="33">
        <v>45348.385416666664</v>
      </c>
      <c r="C119" s="8">
        <v>89.92</v>
      </c>
      <c r="D119" s="8">
        <f t="shared" si="31"/>
        <v>180</v>
      </c>
      <c r="E119" s="8" t="s">
        <v>448</v>
      </c>
      <c r="F119" s="34">
        <v>1.08</v>
      </c>
      <c r="G119" s="34">
        <v>0</v>
      </c>
      <c r="H119" s="34">
        <v>0.187</v>
      </c>
      <c r="I119" s="8">
        <v>10800</v>
      </c>
      <c r="J119" s="8">
        <v>10928.4</v>
      </c>
      <c r="K119" s="8">
        <f t="shared" si="19"/>
        <v>12360.000000055879</v>
      </c>
      <c r="L119" s="8">
        <f t="shared" si="20"/>
        <v>1560.0000000558794</v>
      </c>
      <c r="M119" s="47"/>
      <c r="N119" s="8">
        <v>6.2479930097031899E-3</v>
      </c>
      <c r="O119" s="8">
        <v>2.6627066492912702E-2</v>
      </c>
      <c r="Q119" s="8">
        <v>6.7478324504794502E-3</v>
      </c>
      <c r="R119" s="34">
        <v>1.2634301790377401E-4</v>
      </c>
      <c r="S119" s="8">
        <v>4.9792614341746897E-3</v>
      </c>
      <c r="T119" s="34">
        <v>3.8904689277950199E-5</v>
      </c>
      <c r="U119" s="34"/>
      <c r="X119" s="34"/>
      <c r="Y119" s="34"/>
      <c r="Z119" s="34"/>
      <c r="AA119" s="34"/>
      <c r="AE119" s="34">
        <f>SUM(AV$5:$AV119)</f>
        <v>11.626026642346245</v>
      </c>
      <c r="AF119" s="34" cm="1">
        <f t="array" ref="AF119">2*SQRT(SUM((AW$5:$AW119/2)^2))</f>
        <v>6.3034673340638919E-2</v>
      </c>
      <c r="AG119" s="34">
        <f t="shared" si="29"/>
        <v>11.585672951300699</v>
      </c>
      <c r="AH119" s="34" cm="1">
        <f t="array" ref="AH119">2*SQRT(SUM((R$5:$R119/2)^2))</f>
        <v>5.0154511554961256E-2</v>
      </c>
      <c r="AI119" s="34">
        <f t="shared" si="30"/>
        <v>6.4555823823240504</v>
      </c>
      <c r="AJ119" s="34" cm="1">
        <f t="array" ref="AJ119">2*SQRT(SUM((T$5:$T119/2)^2))</f>
        <v>8.4073926162533674E-3</v>
      </c>
      <c r="AK119" s="47"/>
      <c r="AL119" s="34">
        <f>'Fit Lambdas'!$U$2*(10000/(C119+273))+'Fit Lambdas'!$V$2</f>
        <v>25.077804566957745</v>
      </c>
      <c r="AM119" s="8">
        <f>'Fit Lambdas'!$V$4</f>
        <v>6.7480704157997479E-2</v>
      </c>
      <c r="AN119" s="34">
        <f t="shared" si="16"/>
        <v>77830915989.776245</v>
      </c>
      <c r="AO119" s="34">
        <f t="shared" si="17"/>
        <v>5252085016.2520466</v>
      </c>
      <c r="AP119" s="34">
        <f>AN119*(C119+273)*$C$145*$E$144</f>
        <v>2.691674160662037E-5</v>
      </c>
      <c r="AQ119" s="34">
        <f t="shared" si="26"/>
        <v>3.4583611492065842E-16</v>
      </c>
      <c r="AR119" s="34">
        <f>Q119/(1-EXP(-D119*60*AP119))</f>
        <v>2.6749446453529054E-2</v>
      </c>
      <c r="AS119" s="34">
        <f>2*SQRT(
((R119/2) * (1 / (1 - EXP(-D119 * 60 * AN119 * AQ119))))^2 +
(AO119 * (-Q119 * 60 * D119 * AQ119 * EXP(-D119 * 60 * AN119 * AQ119) / (1 - EXP(-D119 * 60 * AN119 * AQ119))^2))^2
)</f>
        <v>3.1508553518275E-3</v>
      </c>
      <c r="AT119" s="34">
        <f>AT118*EXP(-AP118*D118*60)</f>
        <v>2.9488100941956929E-2</v>
      </c>
      <c r="AU119" s="34">
        <f>2*((((AU118/2)*EXP(-AP118*D118*60))^2+(AT118*EXP(-AP118*D118*60)*D118*60*AO118*AP118/AN118)^2)^0.5)</f>
        <v>3.6546041391332445E-3</v>
      </c>
      <c r="AV119" s="25"/>
      <c r="AW119" s="25"/>
      <c r="AX119" s="52"/>
      <c r="AY119" s="47"/>
      <c r="AZ119" s="34">
        <f t="shared" si="27"/>
        <v>67718958026.041382</v>
      </c>
      <c r="BA119" s="34">
        <f t="shared" si="28"/>
        <v>73209590729.348495</v>
      </c>
      <c r="BB119" s="34"/>
      <c r="BC119" s="34"/>
      <c r="BD119" s="34"/>
      <c r="BE119" s="34"/>
      <c r="BF119" s="34"/>
      <c r="BG119" s="34"/>
      <c r="BH119" s="34"/>
      <c r="BI119" s="34"/>
      <c r="BJ119" s="34"/>
      <c r="BK119" s="34"/>
      <c r="BL119" s="34"/>
      <c r="BM119" s="34"/>
      <c r="BN119" s="34"/>
      <c r="BO119" s="34"/>
      <c r="BP119" s="34"/>
      <c r="BQ119" s="34"/>
      <c r="BR119" s="34"/>
      <c r="BS119" s="34"/>
      <c r="BT119" s="34"/>
    </row>
    <row r="120" spans="2:85" s="8" customFormat="1" x14ac:dyDescent="0.3">
      <c r="B120" s="33">
        <v>45348.52847222222</v>
      </c>
      <c r="C120" s="8">
        <v>90</v>
      </c>
      <c r="D120" s="8">
        <f t="shared" si="31"/>
        <v>180</v>
      </c>
      <c r="E120" s="8" t="s">
        <v>448</v>
      </c>
      <c r="F120" s="34">
        <v>0.85699999999999998</v>
      </c>
      <c r="G120" s="34">
        <v>0</v>
      </c>
      <c r="H120" s="34">
        <v>0.155</v>
      </c>
      <c r="I120" s="8">
        <v>10800</v>
      </c>
      <c r="J120" s="8">
        <v>10926.404</v>
      </c>
      <c r="K120" s="8">
        <f t="shared" si="19"/>
        <v>12360.000000055879</v>
      </c>
      <c r="L120" s="8">
        <f t="shared" si="20"/>
        <v>1560.0000000558794</v>
      </c>
      <c r="M120" s="47"/>
      <c r="N120" s="8">
        <v>6.2656091954486097E-3</v>
      </c>
      <c r="O120" s="8">
        <v>2.6668132099839498E-2</v>
      </c>
      <c r="Q120" s="8">
        <v>5.3696270804994501E-3</v>
      </c>
      <c r="R120" s="34">
        <v>1.07526757796298E-4</v>
      </c>
      <c r="S120" s="8">
        <v>4.1335604754751303E-3</v>
      </c>
      <c r="T120" s="34">
        <v>3.2776448561395702E-5</v>
      </c>
      <c r="U120" s="34"/>
      <c r="X120" s="34"/>
      <c r="Y120" s="34"/>
      <c r="Z120" s="34"/>
      <c r="AA120" s="34"/>
      <c r="AE120" s="34">
        <f>SUM(AV$5:$AV120)</f>
        <v>11.626026642346245</v>
      </c>
      <c r="AF120" s="34" cm="1">
        <f t="array" ref="AF120">2*SQRT(SUM((AW$5:$AW120/2)^2))</f>
        <v>6.3034673340638919E-2</v>
      </c>
      <c r="AG120" s="34">
        <f t="shared" si="29"/>
        <v>11.591042578381199</v>
      </c>
      <c r="AH120" s="34" cm="1">
        <f t="array" ref="AH120">2*SQRT(SUM((R$5:$R120/2)^2))</f>
        <v>5.0154626818673317E-2</v>
      </c>
      <c r="AI120" s="34">
        <f t="shared" si="30"/>
        <v>6.4597159427995257</v>
      </c>
      <c r="AJ120" s="34" cm="1">
        <f t="array" ref="AJ120">2*SQRT(SUM((T$5:$T120/2)^2))</f>
        <v>8.4074565059482735E-3</v>
      </c>
      <c r="AK120" s="47"/>
      <c r="AL120" s="34">
        <f>'Fit Lambdas'!$U$2*(10000/(C120+273))+'Fit Lambdas'!$V$2</f>
        <v>25.080919505962346</v>
      </c>
      <c r="AM120" s="8">
        <f>'Fit Lambdas'!$V$4</f>
        <v>6.7480704157997479E-2</v>
      </c>
      <c r="AN120" s="34">
        <f t="shared" si="16"/>
        <v>78073732528.776489</v>
      </c>
      <c r="AO120" s="34">
        <f t="shared" si="17"/>
        <v>5268470447.2849903</v>
      </c>
      <c r="AP120" s="34">
        <f>AN120*(C120+273)*$C$145*$E$144</f>
        <v>2.7006668217909542E-5</v>
      </c>
      <c r="AQ120" s="34">
        <f t="shared" si="26"/>
        <v>3.4591234904717017E-16</v>
      </c>
      <c r="AR120" s="34">
        <f>Q120/(1-EXP(-D120*60*AP120))</f>
        <v>2.1224955320940434E-2</v>
      </c>
      <c r="AS120" s="34">
        <f>2*SQRT(
((R120/2) * (1 / (1 - EXP(-D120 * 60 * AN120 * AQ120))))^2 +
(AO120 * (-Q120 * 60 * D120 * AQ120 * EXP(-D120 * 60 * AN120 * AQ120) / (1 - EXP(-D120 * 60 * AN120 * AQ120))^2))^2
)</f>
        <v>2.5034190096273148E-3</v>
      </c>
      <c r="AT120" s="34">
        <f>AT119*EXP(-AP119*D119*60)</f>
        <v>2.2049413760716247E-2</v>
      </c>
      <c r="AU120" s="34">
        <f>2*((((AU119/2)*EXP(-AP119*D119*60))^2+(AT119*EXP(-AP119*D119*60)*D119*60*AO119*AP119/AN119)^2)^0.5)</f>
        <v>2.8663485209492923E-3</v>
      </c>
      <c r="AV120" s="25"/>
      <c r="AW120" s="25"/>
      <c r="AX120" s="52"/>
      <c r="AY120" s="47"/>
      <c r="AZ120" s="34">
        <f t="shared" si="27"/>
        <v>67820444032.070572</v>
      </c>
      <c r="BA120" s="34">
        <f t="shared" si="28"/>
        <v>73320582427.391632</v>
      </c>
      <c r="BB120" s="34"/>
      <c r="BC120" s="34"/>
      <c r="BD120" s="34"/>
      <c r="BE120" s="34"/>
      <c r="BF120" s="34"/>
      <c r="BG120" s="34"/>
      <c r="BH120" s="34"/>
      <c r="BI120" s="34"/>
      <c r="BJ120" s="34"/>
      <c r="BK120" s="34"/>
      <c r="BL120" s="34"/>
      <c r="BM120" s="34"/>
      <c r="BN120" s="34"/>
      <c r="BO120" s="34"/>
      <c r="BP120" s="34"/>
      <c r="BQ120" s="34"/>
      <c r="BR120" s="34"/>
      <c r="BS120" s="34"/>
      <c r="BT120" s="34"/>
    </row>
    <row r="121" spans="2:85" s="27" customFormat="1" x14ac:dyDescent="0.3">
      <c r="B121" s="28">
        <v>45348.754861111112</v>
      </c>
      <c r="C121" s="27">
        <v>250</v>
      </c>
      <c r="D121" s="27">
        <f t="shared" si="31"/>
        <v>300</v>
      </c>
      <c r="E121" s="27" t="s">
        <v>460</v>
      </c>
      <c r="F121" s="29">
        <v>59</v>
      </c>
      <c r="G121" s="29">
        <v>0</v>
      </c>
      <c r="H121" s="29">
        <v>10.4</v>
      </c>
      <c r="I121" s="27">
        <v>18000</v>
      </c>
      <c r="J121" s="27">
        <v>18130.188999999998</v>
      </c>
      <c r="K121" s="27">
        <f t="shared" si="19"/>
        <v>19560.000000265427</v>
      </c>
      <c r="L121" s="27">
        <f t="shared" si="20"/>
        <v>1560.0000002654269</v>
      </c>
      <c r="M121" s="47"/>
      <c r="N121" s="27">
        <v>6.2985647198686903E-3</v>
      </c>
      <c r="O121" s="27">
        <v>2.6702478907027399E-2</v>
      </c>
      <c r="Q121" s="27">
        <v>0.37161531847225299</v>
      </c>
      <c r="R121" s="27">
        <v>7.7492846719158697E-3</v>
      </c>
      <c r="S121" s="27">
        <v>0.27770578063308499</v>
      </c>
      <c r="T121" s="27">
        <v>2.0848228251617099E-3</v>
      </c>
      <c r="V121" s="29">
        <f>(1000*S121/Q121)/$AE$140</f>
        <v>0.7400421564230798</v>
      </c>
      <c r="W121" s="29"/>
      <c r="X121" s="29">
        <f>S121-AVERAGE(S122:S125)</f>
        <v>0.27264591032379681</v>
      </c>
      <c r="Y121" s="29">
        <f>T121+AVERAGE(S122:S125)</f>
        <v>7.1446931344498858E-3</v>
      </c>
      <c r="Z121" s="29"/>
      <c r="AA121" s="29">
        <f>(X121*1000)/Q121</f>
        <v>733.67780274685902</v>
      </c>
      <c r="AB121" s="29">
        <f>2*((1000*Y121/(2*Q121))^2+((R121/2)*1000*X121/(Q121^2))^2)^0.5</f>
        <v>24.570538993132551</v>
      </c>
      <c r="AC121" s="29">
        <f>AA121/$AE$140</f>
        <v>0.72655839916613552</v>
      </c>
      <c r="AD121" s="29">
        <f>2*(($AF$140*AA121/(2*$AE$140^2))^2+(AB121/($AE$140*2))^2)^0.5</f>
        <v>2.5511721732183676E-2</v>
      </c>
      <c r="AE121" s="29">
        <f>SUM(AV$5:$AV121)</f>
        <v>12.027826486852026</v>
      </c>
      <c r="AF121" s="29" cm="1">
        <f t="array" ref="AF121">2*SQRT(SUM((AW$5:$AW121/2)^2))</f>
        <v>6.3764337223151279E-2</v>
      </c>
      <c r="AG121" s="29">
        <f t="shared" si="29"/>
        <v>11.962657896853452</v>
      </c>
      <c r="AH121" s="29" cm="1">
        <f t="array" ref="AH121">2*SQRT(SUM((R$5:$R121/2)^2))</f>
        <v>5.0749758661955968E-2</v>
      </c>
      <c r="AI121" s="29">
        <f t="shared" si="30"/>
        <v>6.737421723432611</v>
      </c>
      <c r="AJ121" s="29" cm="1">
        <f t="array" ref="AJ121">2*SQRT(SUM((T$5:$T121/2)^2))</f>
        <v>8.6620904585283116E-3</v>
      </c>
      <c r="AK121" s="47"/>
      <c r="AL121" s="29"/>
      <c r="AN121" s="29"/>
      <c r="AO121" s="29"/>
      <c r="AP121" s="29"/>
      <c r="AQ121" s="29">
        <f t="shared" si="26"/>
        <v>4.9838060207071621E-16</v>
      </c>
      <c r="AR121" s="29"/>
      <c r="AS121" s="29"/>
      <c r="AT121" s="29">
        <f>AT120*EXP(-AP120*D120*60)</f>
        <v>1.6471209828203413E-2</v>
      </c>
      <c r="AU121" s="29">
        <f>2*((((AU120/2)*EXP(-AP120*D120*60))^2+(AT120*EXP(-AP120*D120*60)*D120*60*AO120*AP120/AN120)^2)^0.5)</f>
        <v>2.2372168116405332E-3</v>
      </c>
      <c r="AV121" s="23">
        <f>Q121+AT122-AT121</f>
        <v>0.40179984450578188</v>
      </c>
      <c r="AW121" s="23">
        <f>2*(((AU121/2)^2+(AU122/2)^2+(R121/2)^2)^(0.5))</f>
        <v>9.6187659471836922E-3</v>
      </c>
      <c r="AX121" s="50">
        <f>100*(AV121-Q121)/Q121</f>
        <v>8.1225193185309053</v>
      </c>
      <c r="AY121" s="47"/>
      <c r="AZ121" s="29">
        <f t="shared" si="27"/>
        <v>541948810548.71661</v>
      </c>
      <c r="BA121" s="29">
        <f t="shared" si="28"/>
        <v>600237535013.72363</v>
      </c>
      <c r="BB121" s="29">
        <f>Q121*BD121</f>
        <v>8.4753868131547158E-2</v>
      </c>
      <c r="BC121" s="29">
        <f>AQ121*BA121*I121</f>
        <v>5.3846413935404795</v>
      </c>
      <c r="BD121" s="29">
        <f>1/(BC121-1)</f>
        <v>0.22806882256624572</v>
      </c>
      <c r="BE121" s="29">
        <f>BG121*S121</f>
        <v>7.1912050283329212E-2</v>
      </c>
      <c r="BF121" s="29">
        <f>AQ121*AZ121*I121</f>
        <v>4.8617419408700027</v>
      </c>
      <c r="BG121" s="29">
        <f>1/(BF121-1)</f>
        <v>0.25895049832737199</v>
      </c>
      <c r="BH121" s="29">
        <f>Q121-BB117</f>
        <v>0.30787735805608957</v>
      </c>
      <c r="BI121" s="29">
        <f>Q121+BB121</f>
        <v>0.45636918660380016</v>
      </c>
      <c r="BJ121" s="29">
        <f>X121-BE117</f>
        <v>0.21986492170132402</v>
      </c>
      <c r="BK121" s="29">
        <f>X121+BE121</f>
        <v>0.34455796060712601</v>
      </c>
      <c r="BL121" s="29">
        <f>BF121*1.29</f>
        <v>6.2716471037223034</v>
      </c>
      <c r="BM121" s="29">
        <f>Q121 / (BL121-1)</f>
        <v>7.0493208509700103E-2</v>
      </c>
      <c r="BN121" s="29">
        <f>(1000*(S121+BE121)/(Q121+BM121))/$AE$140</f>
        <v>0.7831227321632469</v>
      </c>
      <c r="BO121" s="29">
        <f>(1000*(S121-BE117)/(Q121-BM117))/$AE$140</f>
        <v>0.69946325661097597</v>
      </c>
      <c r="BP121" s="29">
        <f>(1000*(S121+BE121-BE117)/(Q121+BM121-BM117))/$AE$140</f>
        <v>0.75578762060958848</v>
      </c>
      <c r="BQ121" s="29">
        <f>MIN(BN121:BP121)</f>
        <v>0.69946325661097597</v>
      </c>
      <c r="BR121" s="29">
        <f>((1000*S121/Q121))/$AE$140</f>
        <v>0.7400421564230798</v>
      </c>
      <c r="BS121" s="29">
        <f>MAX(BN121:BP121)</f>
        <v>0.7831227321632469</v>
      </c>
      <c r="BT121" s="29"/>
    </row>
    <row r="122" spans="2:85" x14ac:dyDescent="0.3">
      <c r="B122" s="1">
        <v>45348.926388888889</v>
      </c>
      <c r="C122">
        <v>26</v>
      </c>
      <c r="D122" s="68">
        <f>K122/60</f>
        <v>246.99999999837019</v>
      </c>
      <c r="F122" s="2">
        <v>0.64500000000000002</v>
      </c>
      <c r="G122" s="2">
        <v>0</v>
      </c>
      <c r="H122" s="2">
        <v>0.20599999999999999</v>
      </c>
      <c r="I122">
        <f>D122*60</f>
        <v>14819.999999902211</v>
      </c>
      <c r="J122">
        <v>186.233</v>
      </c>
      <c r="K122">
        <f t="shared" si="19"/>
        <v>14819.999999902211</v>
      </c>
      <c r="L122">
        <f>K122-I122</f>
        <v>0</v>
      </c>
      <c r="M122" s="47"/>
      <c r="N122">
        <v>6.3030098514487397E-3</v>
      </c>
      <c r="O122">
        <v>2.67273183171663E-2</v>
      </c>
      <c r="Q122">
        <v>4.0654413541844304E-3</v>
      </c>
      <c r="R122" s="2">
        <v>8.1191297436724802E-5</v>
      </c>
      <c r="S122">
        <v>5.50582757333626E-3</v>
      </c>
      <c r="T122" s="2">
        <v>3.7680576166472597E-5</v>
      </c>
      <c r="U122" s="2"/>
      <c r="X122" s="2"/>
      <c r="Y122" s="2"/>
      <c r="Z122" s="2"/>
      <c r="AA122" s="2"/>
      <c r="AE122" s="2">
        <f>SUM(AV$5:$AV122)</f>
        <v>12.027826486852026</v>
      </c>
      <c r="AF122" s="2" cm="1">
        <f t="array" ref="AF122">2*SQRT(SUM((AW$5:$AW122/2)^2))</f>
        <v>6.3764337223151279E-2</v>
      </c>
      <c r="AG122" s="2">
        <f t="shared" si="29"/>
        <v>11.966723338207636</v>
      </c>
      <c r="AH122" s="2" cm="1">
        <f t="array" ref="AH122">2*SQRT(SUM((R$5:$R122/2)^2))</f>
        <v>5.0749823608299903E-2</v>
      </c>
      <c r="AI122" s="2">
        <f t="shared" si="30"/>
        <v>6.7429275510059474</v>
      </c>
      <c r="AJ122" s="2" cm="1">
        <f t="array" ref="AJ122">2*SQRT(SUM((T$5:$T122/2)^2))</f>
        <v>8.6621724144435863E-3</v>
      </c>
      <c r="AK122" s="47"/>
      <c r="AL122" s="2">
        <f>'Fit Lambdas'!$U$2*(10000/(C122+273))+'Fit Lambdas'!$V$2</f>
        <v>22.056240807500409</v>
      </c>
      <c r="AM122">
        <f>'Fit Lambdas'!$V$4</f>
        <v>6.7480704157997479E-2</v>
      </c>
      <c r="AN122" s="2">
        <f t="shared" si="16"/>
        <v>3792308628.8822436</v>
      </c>
      <c r="AO122" s="2">
        <f t="shared" si="17"/>
        <v>255907656.66142374</v>
      </c>
      <c r="AP122" s="2">
        <f>AN122*(C122+273)*$C$145*$E$144</f>
        <v>1.0805237174997918E-6</v>
      </c>
      <c r="AQ122" s="2">
        <f t="shared" si="26"/>
        <v>2.8492504783775176E-16</v>
      </c>
      <c r="AR122" s="2">
        <f>Q122/(1-EXP(-D122*60*AP122))</f>
        <v>0.25591621852102858</v>
      </c>
      <c r="AS122" s="2">
        <f>2*SQRT(
((R122/2) * (1 / (1 - EXP(-D122 * 60 * AN122 * AQ122))))^2 +
(AO122 * (-Q122 * 60 * D122 * AQ122 * EXP(-D122 * 60 * AN122 * AQ122) / (1 - EXP(-D122 * 60 * AN122 * AQ122))^2))^2
)</f>
        <v>3.4642104774356704E-2</v>
      </c>
      <c r="AT122" s="2">
        <f>AT123+Q122</f>
        <v>4.6655735861732307E-2</v>
      </c>
      <c r="AU122" s="2">
        <f>AU123+R122</f>
        <v>5.2406207989152687E-3</v>
      </c>
      <c r="AV122" s="22"/>
      <c r="AW122" s="22"/>
      <c r="AX122" s="49"/>
      <c r="AY122" s="47"/>
      <c r="AZ122" s="2">
        <f t="shared" si="27"/>
        <v>15843245574.991554</v>
      </c>
      <c r="BA122" s="2">
        <f t="shared" si="28"/>
        <v>16840819425.918863</v>
      </c>
      <c r="BB122" s="2"/>
      <c r="BC122" s="2"/>
      <c r="BD122" s="2"/>
      <c r="BE122" s="2"/>
      <c r="BF122" s="2"/>
      <c r="BG122" s="2"/>
      <c r="BH122" s="2"/>
      <c r="BI122" s="2"/>
      <c r="BJ122" s="2"/>
      <c r="BK122" s="2"/>
      <c r="BL122" s="2"/>
      <c r="BM122" s="2"/>
      <c r="BN122" s="2"/>
      <c r="BO122" s="2"/>
      <c r="BP122" s="2"/>
      <c r="BQ122" s="2"/>
      <c r="BR122" s="2"/>
      <c r="BS122" s="2"/>
      <c r="BT122" s="2"/>
      <c r="BU122"/>
      <c r="BV122"/>
      <c r="BW122"/>
      <c r="BX122"/>
      <c r="BY122"/>
      <c r="BZ122"/>
      <c r="CA122"/>
      <c r="CB122"/>
      <c r="CC122"/>
      <c r="CD122"/>
      <c r="CE122"/>
      <c r="CF122"/>
      <c r="CG122"/>
    </row>
    <row r="123" spans="2:85" s="30" customFormat="1" x14ac:dyDescent="0.3">
      <c r="B123" s="31">
        <v>45349.069444444445</v>
      </c>
      <c r="C123" s="30">
        <v>84.99</v>
      </c>
      <c r="D123" s="30">
        <f t="shared" ref="D123:D135" si="32">I123/60</f>
        <v>180</v>
      </c>
      <c r="F123" s="32">
        <v>1.42</v>
      </c>
      <c r="G123" s="32">
        <v>0</v>
      </c>
      <c r="H123" s="32">
        <v>0.216</v>
      </c>
      <c r="I123" s="30">
        <v>10800</v>
      </c>
      <c r="J123" s="30">
        <v>10924.35</v>
      </c>
      <c r="K123" s="30">
        <f t="shared" si="19"/>
        <v>12360.000000055879</v>
      </c>
      <c r="L123" s="30">
        <f t="shared" si="20"/>
        <v>1560.0000000558794</v>
      </c>
      <c r="M123" s="47"/>
      <c r="N123" s="30">
        <v>6.3059305945750198E-3</v>
      </c>
      <c r="O123" s="30">
        <v>2.6739231654309598E-2</v>
      </c>
      <c r="Q123" s="30">
        <v>8.9544214442965394E-3</v>
      </c>
      <c r="R123" s="32">
        <v>1.6911457529753299E-4</v>
      </c>
      <c r="S123" s="30">
        <v>5.7756740373308803E-3</v>
      </c>
      <c r="T123" s="32">
        <v>3.5979070848273099E-5</v>
      </c>
      <c r="U123" s="32"/>
      <c r="X123" s="32"/>
      <c r="Y123" s="32"/>
      <c r="Z123" s="32"/>
      <c r="AA123" s="32"/>
      <c r="AE123" s="32">
        <f>SUM(AV$5:$AV123)</f>
        <v>12.027826486852026</v>
      </c>
      <c r="AF123" s="32" cm="1">
        <f t="array" ref="AF123">2*SQRT(SUM((AW$5:$AW123/2)^2))</f>
        <v>6.3764337223151279E-2</v>
      </c>
      <c r="AG123" s="32">
        <f t="shared" si="29"/>
        <v>11.975677759651933</v>
      </c>
      <c r="AH123" s="32" cm="1">
        <f t="array" ref="AH123">2*SQRT(SUM((R$5:$R123/2)^2))</f>
        <v>5.0750105379330321E-2</v>
      </c>
      <c r="AI123" s="32">
        <f t="shared" si="30"/>
        <v>6.7487032250432781</v>
      </c>
      <c r="AJ123" s="32" cm="1">
        <f t="array" ref="AJ123">2*SQRT(SUM((T$5:$T123/2)^2))</f>
        <v>8.662247135188799E-3</v>
      </c>
      <c r="AK123" s="47"/>
      <c r="AL123" s="32">
        <f>'Fit Lambdas'!$U$2*(10000/(C123+273))+'Fit Lambdas'!$V$2</f>
        <v>24.883160034525076</v>
      </c>
      <c r="AM123" s="30">
        <f>'Fit Lambdas'!$V$4</f>
        <v>6.7480704157997479E-2</v>
      </c>
      <c r="AN123" s="32">
        <f t="shared" si="16"/>
        <v>64064744036.307487</v>
      </c>
      <c r="AO123" s="32">
        <f t="shared" si="17"/>
        <v>4323134039.2718992</v>
      </c>
      <c r="AP123" s="32">
        <f>AN123*(C123+273)*$C$145*$E$144</f>
        <v>2.1854930623116571E-5</v>
      </c>
      <c r="AQ123" s="32">
        <f t="shared" si="26"/>
        <v>3.4113818687437038E-16</v>
      </c>
      <c r="AR123" s="32">
        <f>Q123/(1-EXP(-D123*60*AP123))</f>
        <v>4.2590294507547879E-2</v>
      </c>
      <c r="AS123" s="32">
        <f>2*SQRT(
((R123/2) * (1 / (1 - EXP(-D123 * 60 * AN123 * AQ123))))^2 +
(AO123 * (-Q123 * 60 * D123 * AQ123 * EXP(-D123 * 60 * AN123 * AQ123) / (1 - EXP(-D123 * 60 * AN123 * AQ123))^2))^2
)</f>
        <v>5.1594295014785437E-3</v>
      </c>
      <c r="AT123" s="32" cm="1">
        <f t="array" ref="AT123:AU123">AR123:AS123</f>
        <v>4.2590294507547879E-2</v>
      </c>
      <c r="AU123" s="32">
        <v>5.1594295014785437E-3</v>
      </c>
      <c r="AV123" s="24"/>
      <c r="AW123" s="24"/>
      <c r="AX123" s="51"/>
      <c r="AY123" s="47"/>
      <c r="AZ123" s="32">
        <f t="shared" si="27"/>
        <v>61669557689.396935</v>
      </c>
      <c r="BA123" s="32">
        <f t="shared" si="28"/>
        <v>66597174060.010414</v>
      </c>
      <c r="BB123" s="32"/>
      <c r="BC123" s="32"/>
      <c r="BD123" s="32"/>
      <c r="BE123" s="32"/>
      <c r="BF123" s="32"/>
      <c r="BG123" s="32"/>
      <c r="BH123" s="32"/>
      <c r="BI123" s="32"/>
      <c r="BJ123" s="32"/>
      <c r="BK123" s="32"/>
      <c r="BL123" s="32"/>
      <c r="BM123" s="32"/>
      <c r="BN123" s="32"/>
      <c r="BO123" s="32"/>
      <c r="BP123" s="32"/>
      <c r="BQ123" s="32"/>
      <c r="BR123" s="32"/>
      <c r="BS123" s="32"/>
      <c r="BT123" s="32"/>
    </row>
    <row r="124" spans="2:85" x14ac:dyDescent="0.3">
      <c r="B124" s="1">
        <v>45349.212500000001</v>
      </c>
      <c r="C124">
        <v>84.99</v>
      </c>
      <c r="D124">
        <f t="shared" si="32"/>
        <v>180</v>
      </c>
      <c r="F124" s="2">
        <v>1.05</v>
      </c>
      <c r="G124" s="2">
        <v>0</v>
      </c>
      <c r="H124" s="2">
        <v>0.22900000000000001</v>
      </c>
      <c r="I124">
        <v>10800</v>
      </c>
      <c r="J124">
        <v>10929.771000000001</v>
      </c>
      <c r="K124">
        <f t="shared" si="19"/>
        <v>12360.000000055879</v>
      </c>
      <c r="L124">
        <f t="shared" si="20"/>
        <v>1560.0000000558794</v>
      </c>
      <c r="M124" s="47"/>
      <c r="N124">
        <v>6.3122563141569396E-3</v>
      </c>
      <c r="O124">
        <v>2.67402376910016E-2</v>
      </c>
      <c r="Q124">
        <v>6.6278691298647897E-3</v>
      </c>
      <c r="R124" s="2">
        <v>1.16180997769307E-4</v>
      </c>
      <c r="S124">
        <v>6.1235144312393802E-3</v>
      </c>
      <c r="T124" s="2">
        <v>3.4317751070540197E-5</v>
      </c>
      <c r="U124" s="2"/>
      <c r="X124" s="2"/>
      <c r="Y124" s="2"/>
      <c r="Z124" s="2"/>
      <c r="AA124" s="2"/>
      <c r="AE124" s="2">
        <f>SUM(AV$5:$AV124)</f>
        <v>12.027826486852026</v>
      </c>
      <c r="AF124" s="2" cm="1">
        <f t="array" ref="AF124">2*SQRT(SUM((AW$5:$AW124/2)^2))</f>
        <v>6.3764337223151279E-2</v>
      </c>
      <c r="AG124" s="2">
        <f t="shared" si="29"/>
        <v>11.982305628781798</v>
      </c>
      <c r="AH124" s="2" cm="1">
        <f t="array" ref="AH124">2*SQRT(SUM((R$5:$R124/2)^2))</f>
        <v>5.0750238364340464E-2</v>
      </c>
      <c r="AI124" s="2">
        <f t="shared" si="30"/>
        <v>6.7548267394745176</v>
      </c>
      <c r="AJ124" s="2" cm="1">
        <f t="array" ref="AJ124">2*SQRT(SUM((T$5:$T124/2)^2))</f>
        <v>8.6623151142823877E-3</v>
      </c>
      <c r="AK124" s="47"/>
      <c r="AL124" s="2">
        <f>'Fit Lambdas'!$U$2*(10000/(C124+273))+'Fit Lambdas'!$V$2</f>
        <v>24.883160034525076</v>
      </c>
      <c r="AM124">
        <f>'Fit Lambdas'!$V$4</f>
        <v>6.7480704157997479E-2</v>
      </c>
      <c r="AN124" s="2">
        <f t="shared" si="16"/>
        <v>64064744036.307487</v>
      </c>
      <c r="AO124" s="2">
        <f t="shared" si="17"/>
        <v>4323134039.2718992</v>
      </c>
      <c r="AP124" s="2">
        <f>AN124*(C124+273)*$C$145*$E$144</f>
        <v>2.1854930623116571E-5</v>
      </c>
      <c r="AQ124" s="2">
        <f t="shared" si="26"/>
        <v>3.4113818687437038E-16</v>
      </c>
      <c r="AR124" s="2">
        <f>Q124/(1-EXP(-D124*60*AP124))</f>
        <v>3.1524415056231769E-2</v>
      </c>
      <c r="AS124" s="2">
        <f>2*SQRT(
((R124/2) * (1 / (1 - EXP(-D124 * 60 * AN124 * AQ124))))^2 +
(AO124 * (-Q124 * 60 * D124 * AQ124 * EXP(-D124 * 60 * AN124 * AQ124) / (1 - EXP(-D124 * 60 * AN124 * AQ124))^2))^2
)</f>
        <v>3.8124630893995566E-3</v>
      </c>
      <c r="AT124" s="2">
        <f>AT123*EXP(-AP123*D123*60)</f>
        <v>3.3635873063251338E-2</v>
      </c>
      <c r="AU124" s="2">
        <f>2*((((AU123/2)*EXP(-AP123*D123*60))^2+(AT123*EXP(-AP123*D123*60)*D123*60*AO123*AP123/AN123)^2)^0.5)</f>
        <v>4.2132068690411695E-3</v>
      </c>
      <c r="AV124" s="22"/>
      <c r="AW124" s="22"/>
      <c r="AX124" s="49"/>
      <c r="AY124" s="47"/>
      <c r="AZ124" s="2">
        <f t="shared" si="27"/>
        <v>61669557689.396935</v>
      </c>
      <c r="BA124" s="2">
        <f t="shared" si="28"/>
        <v>66597174060.010414</v>
      </c>
      <c r="BB124" s="2"/>
      <c r="BC124" s="2"/>
      <c r="BD124" s="2"/>
      <c r="BE124" s="2"/>
      <c r="BF124" s="2"/>
      <c r="BG124" s="2"/>
      <c r="BH124" s="2"/>
      <c r="BI124" s="2"/>
      <c r="BJ124" s="2"/>
      <c r="BK124" s="2"/>
      <c r="BL124" s="2"/>
      <c r="BM124" s="2"/>
      <c r="BN124" s="2"/>
      <c r="BO124" s="2"/>
      <c r="BP124" s="2"/>
      <c r="BQ124" s="2"/>
      <c r="BR124" s="2"/>
      <c r="BS124" s="2"/>
      <c r="BT124" s="2"/>
      <c r="BU124"/>
      <c r="BV124"/>
      <c r="BW124"/>
      <c r="BX124"/>
      <c r="BY124"/>
      <c r="BZ124"/>
      <c r="CA124"/>
      <c r="CB124"/>
      <c r="CC124"/>
      <c r="CD124"/>
      <c r="CE124"/>
      <c r="CF124"/>
      <c r="CG124"/>
    </row>
    <row r="125" spans="2:85" x14ac:dyDescent="0.3">
      <c r="B125" s="1">
        <v>45349.356249999997</v>
      </c>
      <c r="C125">
        <v>26.68</v>
      </c>
      <c r="D125">
        <f t="shared" si="32"/>
        <v>180</v>
      </c>
      <c r="F125" s="2">
        <v>0.42799999999999999</v>
      </c>
      <c r="G125" s="2">
        <v>0</v>
      </c>
      <c r="H125" s="2">
        <v>0.106</v>
      </c>
      <c r="I125">
        <v>10800</v>
      </c>
      <c r="J125">
        <v>10979.954</v>
      </c>
      <c r="K125">
        <f t="shared" si="19"/>
        <v>12419.999999622814</v>
      </c>
      <c r="L125">
        <f t="shared" si="20"/>
        <v>1619.9999996228144</v>
      </c>
      <c r="M125" s="47"/>
      <c r="N125">
        <v>6.3178303279172602E-3</v>
      </c>
      <c r="O125">
        <v>2.67402376910016E-2</v>
      </c>
      <c r="Q125">
        <v>2.7040313803485799E-3</v>
      </c>
      <c r="R125" s="2">
        <v>4.40588291358177E-5</v>
      </c>
      <c r="S125">
        <v>2.8344651952461799E-3</v>
      </c>
      <c r="T125" s="2">
        <v>1.4668055301267999E-5</v>
      </c>
      <c r="U125" s="2"/>
      <c r="X125" s="2"/>
      <c r="Y125" s="2"/>
      <c r="Z125" s="2"/>
      <c r="AA125" s="2"/>
      <c r="AE125" s="2">
        <f>SUM(AV$5:$AV125)</f>
        <v>12.027826486852026</v>
      </c>
      <c r="AF125" s="2" cm="1">
        <f t="array" ref="AF125">2*SQRT(SUM((AW$5:$AW125/2)^2))</f>
        <v>6.3764337223151279E-2</v>
      </c>
      <c r="AG125" s="2">
        <f t="shared" si="29"/>
        <v>11.985009660162147</v>
      </c>
      <c r="AH125" s="2" cm="1">
        <f t="array" ref="AH125">2*SQRT(SUM((R$5:$R125/2)^2))</f>
        <v>5.0750257489177331E-2</v>
      </c>
      <c r="AI125" s="2">
        <f t="shared" si="30"/>
        <v>6.7576612046697635</v>
      </c>
      <c r="AJ125" s="2" cm="1">
        <f t="array" ref="AJ125">2*SQRT(SUM((T$5:$T125/2)^2))</f>
        <v>8.6623275331155318E-3</v>
      </c>
      <c r="AK125" s="47"/>
      <c r="AL125" s="2">
        <f>'Fit Lambdas'!$U$2*(10000/(C125+273))+'Fit Lambdas'!$V$2</f>
        <v>22.09516835573563</v>
      </c>
      <c r="AM125">
        <f>'Fit Lambdas'!$V$4</f>
        <v>6.7480704157997479E-2</v>
      </c>
      <c r="AN125" s="2">
        <f t="shared" si="16"/>
        <v>3942844900.7834935</v>
      </c>
      <c r="AO125" s="2">
        <f t="shared" si="17"/>
        <v>266065950.29063985</v>
      </c>
      <c r="AP125" s="2">
        <f>AN125*(C125+273)*$C$145*$E$144</f>
        <v>1.1259701963369249E-6</v>
      </c>
      <c r="AQ125" s="2">
        <f t="shared" si="26"/>
        <v>2.8557303791310182E-16</v>
      </c>
      <c r="AR125" s="2">
        <f>Q125/(1-EXP(-D125*60*AP125))</f>
        <v>0.22371701446246881</v>
      </c>
      <c r="AS125" s="2">
        <f>2*SQRT(
((R125/2) * (1 / (1 - EXP(-D125 * 60 * AN125 * AQ125))))^2 +
(AO125 * (-Q125 * 60 * D125 * AQ125 * EXP(-D125 * 60 * AN125 * AQ125) / (1 - EXP(-D125 * 60 * AN125 * AQ125))^2))^2
)</f>
        <v>3.0230526606290449E-2</v>
      </c>
      <c r="AT125" s="2">
        <f>AT124-Q124</f>
        <v>2.7008003933386548E-2</v>
      </c>
      <c r="AU125" s="2">
        <f>AU124+R124</f>
        <v>4.3293878668104763E-3</v>
      </c>
      <c r="AV125" s="22"/>
      <c r="AW125" s="22"/>
      <c r="AX125" s="49"/>
      <c r="AY125" s="47"/>
      <c r="AZ125" s="2">
        <f t="shared" si="27"/>
        <v>16142535757.045656</v>
      </c>
      <c r="BA125" s="2">
        <f t="shared" si="28"/>
        <v>17162690386.164949</v>
      </c>
      <c r="BB125" s="2"/>
      <c r="BC125" s="2"/>
      <c r="BD125" s="2"/>
      <c r="BE125" s="2"/>
      <c r="BF125" s="2"/>
      <c r="BG125" s="2"/>
      <c r="BH125" s="2"/>
      <c r="BI125" s="2"/>
      <c r="BJ125" s="2"/>
      <c r="BK125" s="2"/>
      <c r="BL125" s="2"/>
      <c r="BM125" s="2"/>
      <c r="BN125" s="2"/>
      <c r="BO125" s="2"/>
      <c r="BP125" s="2"/>
      <c r="BQ125" s="2"/>
      <c r="BR125" s="2"/>
      <c r="BS125" s="2"/>
      <c r="BT125" s="2"/>
      <c r="BU125"/>
      <c r="BV125"/>
      <c r="BW125"/>
      <c r="BX125"/>
      <c r="BY125"/>
      <c r="BZ125"/>
      <c r="CA125"/>
      <c r="CB125"/>
      <c r="CC125"/>
      <c r="CD125"/>
      <c r="CE125"/>
      <c r="CF125"/>
      <c r="CG125"/>
    </row>
    <row r="126" spans="2:85" s="27" customFormat="1" x14ac:dyDescent="0.3">
      <c r="B126" s="28">
        <v>45349.582638888889</v>
      </c>
      <c r="C126" s="27">
        <v>249.97</v>
      </c>
      <c r="D126" s="27">
        <f t="shared" si="32"/>
        <v>300</v>
      </c>
      <c r="E126" s="27" t="s">
        <v>460</v>
      </c>
      <c r="F126" s="29">
        <v>57.7</v>
      </c>
      <c r="G126" s="29">
        <v>0</v>
      </c>
      <c r="H126" s="29">
        <v>9.91</v>
      </c>
      <c r="I126" s="27">
        <v>18000</v>
      </c>
      <c r="J126" s="27">
        <v>18128.988000000001</v>
      </c>
      <c r="K126" s="27">
        <f t="shared" si="19"/>
        <v>19560.000000265427</v>
      </c>
      <c r="L126" s="27">
        <f t="shared" si="20"/>
        <v>1560.0000002654269</v>
      </c>
      <c r="M126" s="47"/>
      <c r="N126" s="27">
        <v>6.3081294054444896E-3</v>
      </c>
      <c r="O126" s="27">
        <v>2.6782826425556201E-2</v>
      </c>
      <c r="Q126" s="27">
        <v>0.36397906669414698</v>
      </c>
      <c r="R126" s="27">
        <v>5.4854197032926499E-3</v>
      </c>
      <c r="S126" s="27">
        <v>0.26541780987726199</v>
      </c>
      <c r="T126" s="27">
        <v>1.3589029657335701E-3</v>
      </c>
      <c r="V126" s="29">
        <f>(1000*S126/Q126)/$AE$140</f>
        <v>0.72213567745695473</v>
      </c>
      <c r="W126" s="29"/>
      <c r="X126" s="29">
        <f>S126-AVERAGE(S127:S129)</f>
        <v>0.25937316702011914</v>
      </c>
      <c r="Y126" s="29">
        <f>T126+AVERAGE(S127:S129)</f>
        <v>7.4035458228764225E-3</v>
      </c>
      <c r="Z126" s="29"/>
      <c r="AA126" s="29">
        <f>(X126*1000)/Q126</f>
        <v>712.60462689759959</v>
      </c>
      <c r="AB126" s="29">
        <f>2*((1000*Y126/(2*Q126))^2+((R126/2)*1000*X126/(Q126^2))^2)^0.5</f>
        <v>23.001631782912831</v>
      </c>
      <c r="AC126" s="29">
        <f>AA126/$AE$140</f>
        <v>0.70568971150370241</v>
      </c>
      <c r="AD126" s="29">
        <f>2*(($AF$140*AA126/(2*$AE$140^2))^2+(AB126/($AE$140*2))^2)^0.5</f>
        <v>2.3965058645100845E-2</v>
      </c>
      <c r="AE126" s="29">
        <f>SUM(AV$5:$AV126)</f>
        <v>12.401375241274035</v>
      </c>
      <c r="AF126" s="29" cm="1">
        <f t="array" ref="AF126">2*SQRT(SUM((AW$5:$AW126/2)^2))</f>
        <v>6.4262968936452308E-2</v>
      </c>
      <c r="AG126" s="29">
        <f t="shared" si="29"/>
        <v>12.348988726856295</v>
      </c>
      <c r="AH126" s="29" cm="1">
        <f t="array" ref="AH126">2*SQRT(SUM((R$5:$R126/2)^2))</f>
        <v>5.1045846692351675E-2</v>
      </c>
      <c r="AI126" s="29">
        <f t="shared" si="30"/>
        <v>7.0230790145470259</v>
      </c>
      <c r="AJ126" s="29" cm="1">
        <f t="array" ref="AJ126">2*SQRT(SUM((T$5:$T126/2)^2))</f>
        <v>8.768268675243187E-3</v>
      </c>
      <c r="AK126" s="47"/>
      <c r="AL126" s="29"/>
      <c r="AN126" s="29"/>
      <c r="AO126" s="29"/>
      <c r="AP126" s="29"/>
      <c r="AQ126" s="29">
        <f t="shared" si="26"/>
        <v>4.9835201427327435E-16</v>
      </c>
      <c r="AR126" s="29"/>
      <c r="AS126" s="29"/>
      <c r="AT126" s="29">
        <f>AT125-Q125</f>
        <v>2.430397255303797E-2</v>
      </c>
      <c r="AU126" s="29">
        <f>AU125+R125</f>
        <v>4.3734466959462941E-3</v>
      </c>
      <c r="AV126" s="23">
        <f>Q126+AT127-AT126</f>
        <v>0.37354875442200886</v>
      </c>
      <c r="AW126" s="23">
        <f>2*(((AU126/2)^2+(AU127/2)^2+(R126/2)^2)^(0.5))</f>
        <v>7.9898983109723681E-3</v>
      </c>
      <c r="AX126" s="50">
        <f>100*(AV126-Q126)/Q126</f>
        <v>2.629186292162049</v>
      </c>
      <c r="AY126" s="47"/>
      <c r="AZ126" s="29">
        <f t="shared" si="27"/>
        <v>541802242084.79565</v>
      </c>
      <c r="BA126" s="29">
        <f t="shared" si="28"/>
        <v>600073314436.42932</v>
      </c>
      <c r="BB126" s="29">
        <f>Q126*BD126</f>
        <v>8.3046028335276606E-2</v>
      </c>
      <c r="BC126" s="29">
        <f>AQ126*BA126*I126</f>
        <v>5.3828594092986206</v>
      </c>
      <c r="BD126" s="29">
        <f>1/(BC126-1)</f>
        <v>0.22816155085385861</v>
      </c>
      <c r="BE126" s="29">
        <f>BG126*S126</f>
        <v>6.8758449030283414E-2</v>
      </c>
      <c r="BF126" s="29">
        <f>AQ126*AZ126*I126</f>
        <v>4.8601482962532137</v>
      </c>
      <c r="BG126" s="29">
        <f>1/(BF126-1)</f>
        <v>0.25905740485945389</v>
      </c>
      <c r="BH126" s="29">
        <f>Q126-BB121</f>
        <v>0.27922519856259981</v>
      </c>
      <c r="BI126" s="29">
        <f>Q126+BB126</f>
        <v>0.44702509502942356</v>
      </c>
      <c r="BJ126" s="29">
        <f>X126-BE121</f>
        <v>0.18746111673678995</v>
      </c>
      <c r="BK126" s="29">
        <f>X126+BE126</f>
        <v>0.32813161605040253</v>
      </c>
      <c r="BL126" s="29">
        <f>BF126*1.29</f>
        <v>6.2695913021666456</v>
      </c>
      <c r="BM126" s="29">
        <f>Q126 / (BL126-1)</f>
        <v>6.9071593188734265E-2</v>
      </c>
      <c r="BN126" s="29">
        <f>(1000*(S126+BE126)/(Q126+BM126))/$AE$140</f>
        <v>0.76419120646621241</v>
      </c>
      <c r="BO126" s="29">
        <f>(1000*(S126-BE122)/(Q126-BM122))/$AE$140</f>
        <v>0.72213567745695473</v>
      </c>
      <c r="BP126" s="29">
        <f>(1000*(S126+BE126-BE122)/(Q126+BM126-BM122))/$AE$140</f>
        <v>0.76419120646621241</v>
      </c>
      <c r="BQ126" s="29">
        <f>MIN(BN126:BP126)</f>
        <v>0.72213567745695473</v>
      </c>
      <c r="BR126" s="29">
        <f>((1000*S126/Q126))/$AE$140</f>
        <v>0.72213567745695473</v>
      </c>
      <c r="BS126" s="29">
        <f>MAX(BN126:BP126)</f>
        <v>0.76419120646621241</v>
      </c>
      <c r="BT126" s="29"/>
    </row>
    <row r="127" spans="2:85" s="30" customFormat="1" x14ac:dyDescent="0.3">
      <c r="B127" s="31">
        <v>45349.704861111109</v>
      </c>
      <c r="C127" s="30">
        <v>99.99</v>
      </c>
      <c r="D127" s="30">
        <f t="shared" si="32"/>
        <v>150</v>
      </c>
      <c r="E127" s="30" t="s">
        <v>447</v>
      </c>
      <c r="F127" s="32">
        <v>1.64</v>
      </c>
      <c r="G127" s="32">
        <v>0</v>
      </c>
      <c r="H127" s="32">
        <v>0.30599999999999999</v>
      </c>
      <c r="I127" s="30">
        <v>9000</v>
      </c>
      <c r="J127" s="30">
        <v>9124.2659999999996</v>
      </c>
      <c r="K127" s="30">
        <f t="shared" si="19"/>
        <v>10559.999999846332</v>
      </c>
      <c r="L127" s="30">
        <f t="shared" si="20"/>
        <v>1559.9999998463318</v>
      </c>
      <c r="M127" s="47"/>
      <c r="N127" s="30">
        <v>6.31122485425823E-3</v>
      </c>
      <c r="O127" s="30">
        <v>2.6785714285714201E-2</v>
      </c>
      <c r="Q127" s="30">
        <v>1.03504087609835E-2</v>
      </c>
      <c r="R127" s="32">
        <v>1.5808081834991101E-4</v>
      </c>
      <c r="S127" s="30">
        <v>8.1964285714285698E-3</v>
      </c>
      <c r="T127" s="32">
        <v>4.5605848633088499E-5</v>
      </c>
      <c r="U127" s="32"/>
      <c r="X127" s="32"/>
      <c r="Y127" s="32"/>
      <c r="Z127" s="32"/>
      <c r="AA127" s="32"/>
      <c r="AE127" s="32">
        <f>SUM(AV$5:$AV127)</f>
        <v>12.401375241274035</v>
      </c>
      <c r="AF127" s="32" cm="1">
        <f t="array" ref="AF127">2*SQRT(SUM((AW$5:$AW127/2)^2))</f>
        <v>6.4262968936452308E-2</v>
      </c>
      <c r="AG127" s="32">
        <f t="shared" si="29"/>
        <v>12.359339135617278</v>
      </c>
      <c r="AH127" s="32" cm="1">
        <f t="array" ref="AH127">2*SQRT(SUM((R$5:$R127/2)^2))</f>
        <v>5.1046091467263202E-2</v>
      </c>
      <c r="AI127" s="32">
        <f t="shared" si="30"/>
        <v>7.0312754431184548</v>
      </c>
      <c r="AJ127" s="32" cm="1">
        <f t="array" ref="AJ127">2*SQRT(SUM((T$5:$T127/2)^2))</f>
        <v>8.7683872778681737E-3</v>
      </c>
      <c r="AK127" s="47"/>
      <c r="AL127" s="32">
        <f>'Fit Lambdas'!$U$2*(10000/(C127+273))+'Fit Lambdas'!$V$2</f>
        <v>25.45939586923167</v>
      </c>
      <c r="AM127" s="30">
        <f>'Fit Lambdas'!$V$4</f>
        <v>6.7480704157997479E-2</v>
      </c>
      <c r="AN127" s="32">
        <f t="shared" si="16"/>
        <v>113992200830.34454</v>
      </c>
      <c r="AO127" s="32">
        <f t="shared" si="17"/>
        <v>7692273980.5515146</v>
      </c>
      <c r="AP127" s="32">
        <f>AN127*(C127+273)*$C$145*$E$144</f>
        <v>4.0516485682730825E-5</v>
      </c>
      <c r="AQ127" s="32">
        <f t="shared" si="26"/>
        <v>3.5543208559532784E-16</v>
      </c>
      <c r="AR127" s="32">
        <f>Q127/(1-EXP(-D127*60*AP127))</f>
        <v>3.3873660280899824E-2</v>
      </c>
      <c r="AS127" s="32">
        <f>2*SQRT(
((R127/2) * (1 / (1 - EXP(-D127 * 60 * AN127 * AQ127))))^2 +
(AO127 * (-Q127 * 60 * D127 * AQ127 * EXP(-D127 * 60 * AN127 * AQ127) / (1 - EXP(-D127 * 60 * AN127 * AQ127))^2))^2
)</f>
        <v>3.8238213473074708E-3</v>
      </c>
      <c r="AT127" s="32" cm="1">
        <f t="array" ref="AT127:AU127">AR127:AS127</f>
        <v>3.3873660280899824E-2</v>
      </c>
      <c r="AU127" s="32">
        <v>3.8238213473074708E-3</v>
      </c>
      <c r="AV127" s="24"/>
      <c r="AW127" s="24"/>
      <c r="AX127" s="51"/>
      <c r="AY127" s="47"/>
      <c r="AZ127" s="32">
        <f t="shared" si="27"/>
        <v>81354566284.197021</v>
      </c>
      <c r="BA127" s="32">
        <f t="shared" si="28"/>
        <v>88138659054.577789</v>
      </c>
      <c r="BB127" s="32"/>
      <c r="BC127" s="32"/>
      <c r="BD127" s="32"/>
      <c r="BE127" s="32"/>
      <c r="BF127" s="32"/>
      <c r="BG127" s="32"/>
      <c r="BH127" s="32"/>
      <c r="BI127" s="32"/>
      <c r="BJ127" s="32"/>
      <c r="BK127" s="32"/>
      <c r="BL127" s="32"/>
      <c r="BM127" s="32"/>
      <c r="BN127" s="32"/>
      <c r="BO127" s="32"/>
      <c r="BP127" s="32"/>
      <c r="BQ127" s="32"/>
      <c r="BR127" s="32"/>
      <c r="BS127" s="32"/>
      <c r="BT127" s="32"/>
    </row>
    <row r="128" spans="2:85" s="8" customFormat="1" x14ac:dyDescent="0.3">
      <c r="B128" s="33">
        <v>45349.82708333333</v>
      </c>
      <c r="C128" s="8">
        <v>99.98</v>
      </c>
      <c r="D128" s="8">
        <f t="shared" si="32"/>
        <v>150</v>
      </c>
      <c r="E128" s="8" t="s">
        <v>448</v>
      </c>
      <c r="F128" s="34">
        <v>1.08</v>
      </c>
      <c r="G128" s="34">
        <v>0</v>
      </c>
      <c r="H128" s="34">
        <v>0.192</v>
      </c>
      <c r="I128" s="8">
        <v>9000</v>
      </c>
      <c r="J128" s="8">
        <v>9124.2849999999999</v>
      </c>
      <c r="K128" s="8">
        <f t="shared" si="19"/>
        <v>10559.999999846332</v>
      </c>
      <c r="L128" s="8">
        <f t="shared" si="20"/>
        <v>1559.9999998463318</v>
      </c>
      <c r="M128" s="47"/>
      <c r="N128" s="8">
        <v>6.32575275047136E-3</v>
      </c>
      <c r="O128" s="8">
        <v>2.6785714285714201E-2</v>
      </c>
      <c r="Q128" s="8">
        <v>6.8318129705090703E-3</v>
      </c>
      <c r="R128" s="34">
        <v>1.10718921375758E-4</v>
      </c>
      <c r="S128" s="8">
        <v>5.14285714285714E-3</v>
      </c>
      <c r="T128" s="34">
        <v>3.7664227717236002E-5</v>
      </c>
      <c r="U128" s="34"/>
      <c r="X128" s="34"/>
      <c r="Y128" s="34"/>
      <c r="Z128" s="34"/>
      <c r="AA128" s="34"/>
      <c r="AE128" s="34">
        <f>SUM(AV$5:$AV128)</f>
        <v>12.401375241274035</v>
      </c>
      <c r="AF128" s="34" cm="1">
        <f t="array" ref="AF128">2*SQRT(SUM((AW$5:$AW128/2)^2))</f>
        <v>6.4262968936452308E-2</v>
      </c>
      <c r="AG128" s="34">
        <f t="shared" si="29"/>
        <v>12.366170948587786</v>
      </c>
      <c r="AH128" s="34" cm="1">
        <f t="array" ref="AH128">2*SQRT(SUM((R$5:$R128/2)^2))</f>
        <v>5.1046211541736879E-2</v>
      </c>
      <c r="AI128" s="34">
        <f t="shared" si="30"/>
        <v>7.0364183002613121</v>
      </c>
      <c r="AJ128" s="34" cm="1">
        <f t="array" ref="AJ128">2*SQRT(SUM((T$5:$T128/2)^2))</f>
        <v>8.7684681700243398E-3</v>
      </c>
      <c r="AK128" s="47"/>
      <c r="AL128" s="34">
        <f>'Fit Lambdas'!$U$2*(10000/(C128+273))+'Fit Lambdas'!$V$2</f>
        <v>25.459027151219146</v>
      </c>
      <c r="AM128" s="8">
        <f>'Fit Lambdas'!$V$4</f>
        <v>6.7480704157997479E-2</v>
      </c>
      <c r="AN128" s="34">
        <f t="shared" si="16"/>
        <v>113950177600.44814</v>
      </c>
      <c r="AO128" s="34">
        <f t="shared" si="17"/>
        <v>7689438223.4071121</v>
      </c>
      <c r="AP128" s="34">
        <f>AN128*(C128+273)*$C$145*$E$144</f>
        <v>4.0500463416953386E-5</v>
      </c>
      <c r="AQ128" s="34">
        <f t="shared" si="26"/>
        <v>3.5542255632951387E-16</v>
      </c>
      <c r="AR128" s="34">
        <f>Q128/(1-EXP(-D128*60*AP128))</f>
        <v>2.2365723751140047E-2</v>
      </c>
      <c r="AS128" s="34">
        <f>2*SQRT(
((R128/2) * (1 / (1 - EXP(-D128 * 60 * AN128 * AQ128))))^2 +
(AO128 * (-Q128 * 60 * D128 * AQ128 * EXP(-D128 * 60 * AN128 * AQ128) / (1 - EXP(-D128 * 60 * AN128 * AQ128))^2))^2
)</f>
        <v>2.5278488901385255E-3</v>
      </c>
      <c r="AT128" s="34">
        <f>AT127*EXP(-AP127*D127*60)</f>
        <v>2.3523251519916324E-2</v>
      </c>
      <c r="AU128" s="34">
        <f>2*((((AU127/2)*EXP(-AP127*D127*60))^2+(AT127*EXP(-AP127*D127*60)*D127*60*AO127*AP127/AN127)^2)^0.5)</f>
        <v>2.8967948139657453E-3</v>
      </c>
      <c r="AV128" s="25"/>
      <c r="AW128" s="25"/>
      <c r="AX128" s="52"/>
      <c r="AY128" s="47"/>
      <c r="AZ128" s="34">
        <f t="shared" si="27"/>
        <v>81340146494.628036</v>
      </c>
      <c r="BA128" s="34">
        <f t="shared" si="28"/>
        <v>88122855098.335785</v>
      </c>
      <c r="BB128" s="34"/>
      <c r="BC128" s="34"/>
      <c r="BD128" s="34"/>
      <c r="BE128" s="34"/>
      <c r="BF128" s="34"/>
      <c r="BG128" s="34"/>
      <c r="BH128" s="34"/>
      <c r="BI128" s="34"/>
      <c r="BJ128" s="34"/>
      <c r="BK128" s="34"/>
      <c r="BL128" s="34"/>
      <c r="BM128" s="34"/>
      <c r="BN128" s="34"/>
      <c r="BO128" s="34"/>
      <c r="BP128" s="34"/>
      <c r="BQ128" s="34"/>
      <c r="BR128" s="34"/>
      <c r="BS128" s="34"/>
      <c r="BT128" s="34"/>
    </row>
    <row r="129" spans="1:86" s="8" customFormat="1" x14ac:dyDescent="0.3">
      <c r="B129" s="33">
        <v>45349.949305555558</v>
      </c>
      <c r="C129" s="8">
        <v>100</v>
      </c>
      <c r="D129" s="8">
        <f t="shared" si="32"/>
        <v>150</v>
      </c>
      <c r="E129" s="8" t="s">
        <v>448</v>
      </c>
      <c r="F129" s="34">
        <v>0.84799999999999998</v>
      </c>
      <c r="G129" s="34">
        <v>0</v>
      </c>
      <c r="H129" s="34">
        <v>0.17899999999999999</v>
      </c>
      <c r="I129" s="8">
        <v>9000</v>
      </c>
      <c r="J129" s="8">
        <v>9124.2870000000003</v>
      </c>
      <c r="K129" s="8">
        <f t="shared" si="19"/>
        <v>10560.000000474975</v>
      </c>
      <c r="L129" s="8">
        <f t="shared" si="20"/>
        <v>1560.0000004749745</v>
      </c>
      <c r="M129" s="47"/>
      <c r="N129" s="8">
        <v>6.3408591876399998E-3</v>
      </c>
      <c r="O129" s="8">
        <v>2.6785714285714201E-2</v>
      </c>
      <c r="Q129" s="8">
        <v>5.3770485911187197E-3</v>
      </c>
      <c r="R129" s="34">
        <v>9.37236987834509E-5</v>
      </c>
      <c r="S129" s="8">
        <v>4.7946428571428498E-3</v>
      </c>
      <c r="T129" s="34">
        <v>4.6249055477867197E-5</v>
      </c>
      <c r="U129" s="34"/>
      <c r="X129" s="34"/>
      <c r="Y129" s="34"/>
      <c r="Z129" s="34"/>
      <c r="AA129" s="34"/>
      <c r="AE129" s="34">
        <f>SUM(AV$5:$AV129)</f>
        <v>12.401375241274035</v>
      </c>
      <c r="AF129" s="34" cm="1">
        <f t="array" ref="AF129">2*SQRT(SUM((AW$5:$AW129/2)^2))</f>
        <v>6.4262968936452308E-2</v>
      </c>
      <c r="AG129" s="34">
        <f t="shared" si="29"/>
        <v>12.371547997178904</v>
      </c>
      <c r="AH129" s="34" cm="1">
        <f t="array" ref="AH129">2*SQRT(SUM((R$5:$R129/2)^2))</f>
        <v>5.104629758264026E-2</v>
      </c>
      <c r="AI129" s="34">
        <f t="shared" si="30"/>
        <v>7.0412129431184551</v>
      </c>
      <c r="AJ129" s="34" cm="1">
        <f t="array" ref="AJ129">2*SQRT(SUM((T$5:$T129/2)^2))</f>
        <v>8.7685901388913478E-3</v>
      </c>
      <c r="AK129" s="47"/>
      <c r="AL129" s="34">
        <f>'Fit Lambdas'!$U$2*(10000/(C129+273))+'Fit Lambdas'!$V$2</f>
        <v>25.45976456747379</v>
      </c>
      <c r="AM129" s="8">
        <f>'Fit Lambdas'!$V$4</f>
        <v>6.7480704157997479E-2</v>
      </c>
      <c r="AN129" s="34">
        <f t="shared" si="16"/>
        <v>114034237303.31673</v>
      </c>
      <c r="AO129" s="34">
        <f t="shared" si="17"/>
        <v>7695110631.3479958</v>
      </c>
      <c r="AP129" s="34">
        <f>AN129*(C129+273)*$C$145*$E$144</f>
        <v>4.053251345654956E-5</v>
      </c>
      <c r="AQ129" s="34">
        <f t="shared" si="26"/>
        <v>3.5544161486114176E-16</v>
      </c>
      <c r="AR129" s="34">
        <f>Q129/(1-EXP(-D129*60*AP129))</f>
        <v>1.7591636558720005E-2</v>
      </c>
      <c r="AS129" s="34">
        <f>2*SQRT(
((R129/2) * (1 / (1 - EXP(-D129 * 60 * AN129 * AQ129))))^2 +
(AO129 * (-Q129 * 60 * D129 * AQ129 * EXP(-D129 * 60 * AN129 * AQ129) / (1 - EXP(-D129 * 60 * AN129 * AQ129))^2))^2
)</f>
        <v>1.9911695655806926E-3</v>
      </c>
      <c r="AT129" s="34">
        <f>AT128*EXP(-AP128*D128*60)</f>
        <v>1.6337861204339353E-2</v>
      </c>
      <c r="AU129" s="34">
        <f>2*((((AU128/2)*EXP(-AP128*D128*60))^2+(AT128*EXP(-AP128*D128*60)*D128*60*AO128*AP128/AN128)^2)^0.5)</f>
        <v>2.1665378727082881E-3</v>
      </c>
      <c r="AV129" s="25"/>
      <c r="AW129" s="25"/>
      <c r="AX129" s="52"/>
      <c r="AY129" s="47"/>
      <c r="AZ129" s="34">
        <f t="shared" si="27"/>
        <v>81368987856.687653</v>
      </c>
      <c r="BA129" s="34">
        <f t="shared" si="28"/>
        <v>88154464997.476822</v>
      </c>
      <c r="BB129" s="34"/>
      <c r="BC129" s="34"/>
      <c r="BD129" s="34"/>
      <c r="BE129" s="34"/>
      <c r="BF129" s="34"/>
      <c r="BG129" s="34"/>
      <c r="BH129" s="34"/>
      <c r="BI129" s="34"/>
      <c r="BJ129" s="34"/>
      <c r="BK129" s="34"/>
      <c r="BL129" s="34"/>
      <c r="BM129" s="34"/>
      <c r="BN129" s="34"/>
      <c r="BO129" s="34"/>
      <c r="BP129" s="34"/>
      <c r="BQ129" s="34"/>
      <c r="BR129" s="34"/>
      <c r="BS129" s="34"/>
      <c r="BT129" s="34"/>
    </row>
    <row r="130" spans="1:86" s="27" customFormat="1" x14ac:dyDescent="0.3">
      <c r="B130" s="28">
        <v>45350.213888888888</v>
      </c>
      <c r="C130" s="27">
        <v>249.98</v>
      </c>
      <c r="D130" s="27">
        <f t="shared" si="32"/>
        <v>300</v>
      </c>
      <c r="E130" s="27" t="s">
        <v>460</v>
      </c>
      <c r="F130" s="29">
        <v>54.6</v>
      </c>
      <c r="G130" s="29">
        <v>0</v>
      </c>
      <c r="H130" s="29">
        <v>9.2799999999999994</v>
      </c>
      <c r="I130" s="27">
        <v>18000</v>
      </c>
      <c r="J130" s="27">
        <v>18124.592000000001</v>
      </c>
      <c r="K130" s="27">
        <f t="shared" si="19"/>
        <v>22859.999999706633</v>
      </c>
      <c r="L130" s="27">
        <f t="shared" si="20"/>
        <v>4859.9999997066334</v>
      </c>
      <c r="M130" s="47"/>
      <c r="N130" s="27">
        <v>6.3221821827654798E-3</v>
      </c>
      <c r="O130" s="27">
        <v>2.6820883887270601E-2</v>
      </c>
      <c r="Q130" s="27">
        <v>0.34519114717899502</v>
      </c>
      <c r="R130" s="27">
        <v>6.3251010869425804E-3</v>
      </c>
      <c r="S130" s="27">
        <v>0.248897802473871</v>
      </c>
      <c r="T130" s="27">
        <v>2.8044341407380598E-3</v>
      </c>
      <c r="V130" s="29">
        <f>(1000*S130/Q130)/$AE$140</f>
        <v>0.71404660877251513</v>
      </c>
      <c r="W130" s="29"/>
      <c r="X130" s="29">
        <f>S130-AVERAGE(S131:S132)</f>
        <v>0.23828393015298283</v>
      </c>
      <c r="Y130" s="29">
        <f>T130+AVERAGE(S131:S132)</f>
        <v>1.3418306461626235E-2</v>
      </c>
      <c r="Z130" s="29"/>
      <c r="AA130" s="29">
        <f>(X130*1000)/Q130</f>
        <v>690.2956002791791</v>
      </c>
      <c r="AB130" s="29">
        <f>2*((1000*Y130/(2*Q130))^2+((R130/2)*1000*X130/(Q130^2))^2)^0.5</f>
        <v>40.87820888112617</v>
      </c>
      <c r="AC130" s="29">
        <f>AA130/$AE$140</f>
        <v>0.68359716542128157</v>
      </c>
      <c r="AD130" s="29">
        <f>2*(($AF$140*AA130/(2*$AE$140^2))^2+(AB130/($AE$140*2))^2)^0.5</f>
        <v>4.1119381058756149E-2</v>
      </c>
      <c r="AE130" s="29">
        <f>SUM(AV$5:$AV130)</f>
        <v>12.774705850990113</v>
      </c>
      <c r="AF130" s="29" cm="1">
        <f t="array" ref="AF130">2*SQRT(SUM((AW$5:$AW130/2)^2))</f>
        <v>6.4748269229565961E-2</v>
      </c>
      <c r="AG130" s="29">
        <f t="shared" si="29"/>
        <v>12.716739144357899</v>
      </c>
      <c r="AH130" s="29" cm="1">
        <f t="array" ref="AH130">2*SQRT(SUM((R$5:$R130/2)^2))</f>
        <v>5.1436673693538028E-2</v>
      </c>
      <c r="AI130" s="29">
        <f t="shared" si="30"/>
        <v>7.290110745592326</v>
      </c>
      <c r="AJ130" s="29" cm="1">
        <f t="array" ref="AJ130">2*SQRT(SUM((T$5:$T130/2)^2))</f>
        <v>9.2061405525659772E-3</v>
      </c>
      <c r="AK130" s="47"/>
      <c r="AL130" s="29"/>
      <c r="AN130" s="29"/>
      <c r="AO130" s="29"/>
      <c r="AP130" s="29"/>
      <c r="AQ130" s="29">
        <f t="shared" si="26"/>
        <v>4.9836154353908837E-16</v>
      </c>
      <c r="AR130" s="29"/>
      <c r="AS130" s="29"/>
      <c r="AT130" s="29">
        <f>AT129*EXP(-AP129*D129*60)</f>
        <v>1.1344040801249001E-2</v>
      </c>
      <c r="AU130" s="29">
        <f>2*((((AU129/2)*EXP(-AP129*D129*60))^2+(AT129*EXP(-AP129*D129*60)*D129*60*AO129*AP129/AN129)^2)^0.5)</f>
        <v>1.6046454522322178E-3</v>
      </c>
      <c r="AV130" s="23">
        <f>Q130+AT131-AT130</f>
        <v>0.37333060971607829</v>
      </c>
      <c r="AW130" s="23">
        <f>2*(((AU130/2)^2+(AU131/2)^2+(R130/2)^2)^(0.5))</f>
        <v>7.9125970260669649E-3</v>
      </c>
      <c r="AX130" s="50">
        <f>100*(AV130-Q130)/Q130</f>
        <v>8.1518494222830871</v>
      </c>
      <c r="AY130" s="47"/>
      <c r="AZ130" s="29">
        <f t="shared" si="27"/>
        <v>541851095702.86389</v>
      </c>
      <c r="BA130" s="29">
        <f t="shared" si="28"/>
        <v>600128051729.38245</v>
      </c>
      <c r="BB130" s="29">
        <f>Q130*BD130</f>
        <v>7.87486757330257E-2</v>
      </c>
      <c r="BC130" s="29">
        <f>AQ130*BA130*I130</f>
        <v>5.3834533592572962</v>
      </c>
      <c r="BD130" s="29">
        <f>1/(BC130-1)</f>
        <v>0.22813063537863978</v>
      </c>
      <c r="BE130" s="29">
        <f>BG130*S130</f>
        <v>6.4469947402812741E-2</v>
      </c>
      <c r="BF130" s="29">
        <f>AQ130*AZ130*I130</f>
        <v>4.8606794716108599</v>
      </c>
      <c r="BG130" s="29">
        <f>1/(BF130-1)</f>
        <v>0.25902176219326289</v>
      </c>
      <c r="BH130" s="29">
        <f>Q130-BB126</f>
        <v>0.26214511884371838</v>
      </c>
      <c r="BI130" s="29">
        <f>Q130+BB130</f>
        <v>0.4239398229120207</v>
      </c>
      <c r="BJ130" s="29">
        <f>X130-BE126</f>
        <v>0.16952548112269941</v>
      </c>
      <c r="BK130" s="29">
        <f>X130+BE130</f>
        <v>0.30275387755579558</v>
      </c>
      <c r="BL130" s="29">
        <f>BF130*1.29</f>
        <v>6.2702765183780098</v>
      </c>
      <c r="BM130" s="29">
        <f>Q130 / (BL130-1)</f>
        <v>6.5497729763377144E-2</v>
      </c>
      <c r="BN130" s="29">
        <f>(1000*(S130+BE130)/(Q130+BM130))/$AE$140</f>
        <v>0.75562532750025968</v>
      </c>
      <c r="BO130" s="29">
        <f>(1000*(S130-BE126)/(Q130-BM126))/$AE$140</f>
        <v>0.646065550642557</v>
      </c>
      <c r="BP130" s="29">
        <f>(1000*(S130+BE130-BE126)/(Q130+BM130-BM126))/$AE$140</f>
        <v>0.70908496826941858</v>
      </c>
      <c r="BQ130" s="29">
        <f>MIN(BN130:BP130)</f>
        <v>0.646065550642557</v>
      </c>
      <c r="BR130" s="29">
        <f>((1000*S130/Q130))/$AE$140</f>
        <v>0.71404660877251513</v>
      </c>
      <c r="BS130" s="29">
        <f>MAX(BN130:BP130)</f>
        <v>0.75562532750025968</v>
      </c>
      <c r="BT130" s="29"/>
    </row>
    <row r="131" spans="1:86" s="30" customFormat="1" x14ac:dyDescent="0.3">
      <c r="B131" s="31">
        <v>45350.335416666669</v>
      </c>
      <c r="C131" s="30">
        <v>100</v>
      </c>
      <c r="D131" s="30">
        <f t="shared" si="32"/>
        <v>150</v>
      </c>
      <c r="E131" s="30" t="s">
        <v>81</v>
      </c>
      <c r="F131" s="32">
        <v>1.91</v>
      </c>
      <c r="G131" s="32">
        <v>0</v>
      </c>
      <c r="H131" s="32">
        <v>0.50600000000000001</v>
      </c>
      <c r="I131" s="30">
        <v>9000</v>
      </c>
      <c r="J131" s="30">
        <v>9121.1880000000001</v>
      </c>
      <c r="K131" s="30">
        <f t="shared" si="19"/>
        <v>10500.000000279397</v>
      </c>
      <c r="L131" s="30">
        <f t="shared" si="20"/>
        <v>1500.0000002793968</v>
      </c>
      <c r="M131" s="47"/>
      <c r="N131" s="30">
        <v>6.3185878811506304E-3</v>
      </c>
      <c r="O131" s="30">
        <v>2.6833225011953701E-2</v>
      </c>
      <c r="Q131" s="30">
        <v>1.20685028529977E-2</v>
      </c>
      <c r="R131" s="32">
        <v>2.2218710331890301E-4</v>
      </c>
      <c r="S131" s="30">
        <v>1.3577611856048499E-2</v>
      </c>
      <c r="T131" s="30">
        <v>1.5498253517727201E-4</v>
      </c>
      <c r="AE131" s="32">
        <f>SUM(AV$5:$AV131)</f>
        <v>12.774705850990113</v>
      </c>
      <c r="AF131" s="32" cm="1">
        <f t="array" ref="AF131">2*SQRT(SUM((AW$5:$AW131/2)^2))</f>
        <v>6.4748269229565961E-2</v>
      </c>
      <c r="AG131" s="32">
        <f t="shared" si="29"/>
        <v>12.728807647210896</v>
      </c>
      <c r="AH131" s="32" cm="1">
        <f t="array" ref="AH131">2*SQRT(SUM((R$5:$R131/2)^2))</f>
        <v>5.1437153573699899E-2</v>
      </c>
      <c r="AI131" s="32">
        <f t="shared" si="30"/>
        <v>7.3036883574483742</v>
      </c>
      <c r="AJ131" s="32" cm="1">
        <f t="array" ref="AJ131">2*SQRT(SUM((T$5:$T131/2)^2))</f>
        <v>9.2074450017260358E-3</v>
      </c>
      <c r="AK131" s="47"/>
      <c r="AL131" s="32">
        <f>'Fit Lambdas'!$U$2*(10000/(C131+273))+'Fit Lambdas'!$V$2</f>
        <v>25.45976456747379</v>
      </c>
      <c r="AM131" s="30">
        <f>'Fit Lambdas'!$V$4</f>
        <v>6.7480704157997479E-2</v>
      </c>
      <c r="AN131" s="32">
        <f t="shared" si="16"/>
        <v>114034237303.31673</v>
      </c>
      <c r="AO131" s="32">
        <f t="shared" si="17"/>
        <v>7695110631.3479958</v>
      </c>
      <c r="AP131" s="32">
        <f>AN131*(C131+273)*$C$145*$E$144</f>
        <v>4.053251345654956E-5</v>
      </c>
      <c r="AQ131" s="32">
        <f t="shared" si="26"/>
        <v>3.5544161486114176E-16</v>
      </c>
      <c r="AR131" s="32">
        <f>Q131/(1-EXP(-D131*60*AP131))</f>
        <v>3.948350333833231E-2</v>
      </c>
      <c r="AS131" s="32">
        <f>2*SQRT(
((R131/2) * (1 / (1 - EXP(-D131 * 60 * AN131 * AQ131))))^2 +
(AO131 * (-Q131 * 60 * D131 * AQ131 * EXP(-D131 * 60 * AN131 * AQ131) / (1 - EXP(-D131 * 60 * AN131 * AQ131))^2))^2
)</f>
        <v>4.4751984212448095E-3</v>
      </c>
      <c r="AT131" s="32" cm="1">
        <f t="array" ref="AT131:AU131">AR131:AS131</f>
        <v>3.948350333833231E-2</v>
      </c>
      <c r="AU131" s="32">
        <v>4.4751984212448095E-3</v>
      </c>
      <c r="AV131" s="24"/>
      <c r="AW131" s="24"/>
      <c r="AX131" s="51"/>
      <c r="AY131" s="47"/>
      <c r="AZ131" s="32">
        <f t="shared" si="27"/>
        <v>81368987856.687653</v>
      </c>
      <c r="BA131" s="32">
        <f t="shared" si="28"/>
        <v>88154464997.476822</v>
      </c>
      <c r="BB131" s="32"/>
      <c r="BC131" s="32"/>
      <c r="BD131" s="32"/>
      <c r="BE131" s="32"/>
      <c r="BF131" s="32"/>
      <c r="BG131" s="32"/>
      <c r="BH131" s="32"/>
      <c r="BI131" s="32"/>
      <c r="BJ131" s="32"/>
      <c r="BK131" s="32"/>
      <c r="BL131" s="32"/>
      <c r="BM131" s="32"/>
      <c r="BN131" s="32"/>
      <c r="BO131" s="32"/>
      <c r="BP131" s="32"/>
      <c r="BQ131" s="32"/>
      <c r="BR131" s="32"/>
      <c r="BS131" s="32"/>
      <c r="BT131" s="32"/>
    </row>
    <row r="132" spans="1:86" x14ac:dyDescent="0.3">
      <c r="B132" s="1">
        <v>45350.457638888889</v>
      </c>
      <c r="C132">
        <v>99.94</v>
      </c>
      <c r="D132">
        <f t="shared" si="32"/>
        <v>150</v>
      </c>
      <c r="F132" s="2">
        <v>1.1100000000000001</v>
      </c>
      <c r="G132" s="2">
        <v>0</v>
      </c>
      <c r="H132" s="2">
        <v>0.28499999999999998</v>
      </c>
      <c r="I132">
        <v>9000</v>
      </c>
      <c r="J132">
        <v>9124.4110000000001</v>
      </c>
      <c r="K132">
        <f t="shared" si="19"/>
        <v>10559.999999846332</v>
      </c>
      <c r="L132">
        <f t="shared" si="20"/>
        <v>1559.9999998463318</v>
      </c>
      <c r="M132" s="47"/>
      <c r="N132">
        <v>6.3187325174070101E-3</v>
      </c>
      <c r="O132">
        <v>2.6842571177992401E-2</v>
      </c>
      <c r="Q132">
        <v>7.0137930943217804E-3</v>
      </c>
      <c r="R132" s="2">
        <v>1.29082914997403E-4</v>
      </c>
      <c r="S132">
        <v>7.6501327857278504E-3</v>
      </c>
      <c r="T132" s="2">
        <v>8.7306145894588301E-5</v>
      </c>
      <c r="U132" s="2"/>
      <c r="X132" s="2"/>
      <c r="Y132" s="2"/>
      <c r="Z132" s="2"/>
      <c r="AA132" s="2"/>
      <c r="AE132" s="2">
        <f>SUM(AV$5:$AV132)</f>
        <v>12.774705850990113</v>
      </c>
      <c r="AF132" s="2" cm="1">
        <f t="array" ref="AF132">2*SQRT(SUM((AW$5:$AW132/2)^2))</f>
        <v>6.4748269229565961E-2</v>
      </c>
      <c r="AG132" s="2">
        <f t="shared" si="29"/>
        <v>12.735821440305218</v>
      </c>
      <c r="AH132" s="2" cm="1">
        <f t="array" ref="AH132">2*SQRT(SUM((R$5:$R132/2)^2))</f>
        <v>5.1437315541961681E-2</v>
      </c>
      <c r="AI132" s="2">
        <f t="shared" si="30"/>
        <v>7.3113384902341023</v>
      </c>
      <c r="AJ132" s="2" cm="1">
        <f t="array" ref="AJ132">2*SQRT(SUM((T$5:$T132/2)^2))</f>
        <v>9.2078589163236396E-3</v>
      </c>
      <c r="AK132" s="47"/>
      <c r="AL132" s="2">
        <f>'Fit Lambdas'!$U$2*(10000/(C132+273))+'Fit Lambdas'!$V$2</f>
        <v>25.457552081433214</v>
      </c>
      <c r="AM132">
        <f>'Fit Lambdas'!$V$4</f>
        <v>6.7480704157997479E-2</v>
      </c>
      <c r="AN132" s="2">
        <f t="shared" ref="AN132:AN137" si="33">EXP(AL132)</f>
        <v>113782217043.59386</v>
      </c>
      <c r="AO132" s="2">
        <f t="shared" ref="AO132:AO137" si="34">AM132*AN132</f>
        <v>7678104126.7598152</v>
      </c>
      <c r="AP132" s="2">
        <f>AN132*(C132+273)*$C$145*$E$144</f>
        <v>4.0436429402509261E-5</v>
      </c>
      <c r="AQ132" s="2">
        <f t="shared" ref="AQ132:AQ137" si="35">(C132+273)*$C$145*$E$144</f>
        <v>3.5538443926625795E-16</v>
      </c>
      <c r="AR132" s="2">
        <f>Q132/(1-EXP(-D132*60*AP132))</f>
        <v>2.2991619705614103E-2</v>
      </c>
      <c r="AS132" s="2">
        <f>2*SQRT(
((R132/2) * (1 / (1 - EXP(-D132 * 60 * AN132 * AQ132))))^2 +
(AO132 * (-Q132 * 60 * D132 * AQ132 * EXP(-D132 * 60 * AN132 * AQ132) / (1 - EXP(-D132 * 60 * AN132 * AQ132))^2))^2
)</f>
        <v>2.6070907284340751E-3</v>
      </c>
      <c r="AT132" s="2">
        <f>AT131*EXP(-AP131*D131*60)</f>
        <v>2.7415000485334611E-2</v>
      </c>
      <c r="AU132" s="2">
        <f>2*((((AU131/2)*EXP(-AP131*D131*60))^2+(AT131*EXP(-AP131*D131*60)*D131*60*AO131*AP131/AN131)^2)^0.5)</f>
        <v>3.387791950041691E-3</v>
      </c>
      <c r="AV132" s="22"/>
      <c r="AW132" s="22"/>
      <c r="AX132" s="49"/>
      <c r="AY132" s="47"/>
      <c r="AZ132" s="2">
        <f t="shared" si="27"/>
        <v>81282485163.486313</v>
      </c>
      <c r="BA132" s="2">
        <f t="shared" si="28"/>
        <v>88059659137.528412</v>
      </c>
      <c r="BB132" s="2"/>
      <c r="BC132" s="2"/>
      <c r="BD132" s="2"/>
      <c r="BE132" s="2"/>
      <c r="BF132" s="2"/>
      <c r="BG132" s="2"/>
      <c r="BH132" s="2"/>
      <c r="BI132" s="2"/>
      <c r="BJ132" s="2"/>
      <c r="BK132" s="2"/>
      <c r="BL132" s="2"/>
      <c r="BM132" s="2"/>
      <c r="BN132" s="2"/>
      <c r="BO132" s="2"/>
      <c r="BP132" s="2"/>
      <c r="BQ132" s="2"/>
      <c r="BR132" s="2"/>
      <c r="BS132" s="2"/>
      <c r="BT132" s="2"/>
      <c r="BU132" s="2"/>
      <c r="BV132"/>
      <c r="BW132"/>
      <c r="BX132"/>
      <c r="BY132"/>
      <c r="BZ132"/>
      <c r="CA132"/>
      <c r="CB132"/>
      <c r="CC132"/>
      <c r="CD132"/>
      <c r="CE132"/>
      <c r="CF132"/>
      <c r="CG132"/>
    </row>
    <row r="133" spans="1:86" s="27" customFormat="1" x14ac:dyDescent="0.3">
      <c r="B133" s="28">
        <v>45357.732638888891</v>
      </c>
      <c r="C133" s="27">
        <v>250</v>
      </c>
      <c r="D133" s="27">
        <f t="shared" si="32"/>
        <v>10250</v>
      </c>
      <c r="E133" s="27" t="s">
        <v>460</v>
      </c>
      <c r="F133" s="29">
        <v>1340</v>
      </c>
      <c r="G133" s="29">
        <v>0</v>
      </c>
      <c r="H133" s="29">
        <v>251</v>
      </c>
      <c r="I133" s="27">
        <v>615000</v>
      </c>
      <c r="J133" s="27">
        <v>189.81299999999999</v>
      </c>
      <c r="K133" s="27">
        <f t="shared" ref="K133:K137" si="36">(B133-B132)*24*3600</f>
        <v>628560.00000012573</v>
      </c>
      <c r="L133" s="27">
        <f>K133-I133</f>
        <v>13560.000000125729</v>
      </c>
      <c r="M133" s="47"/>
      <c r="N133" s="27">
        <v>6.3305284377801196E-3</v>
      </c>
      <c r="O133" s="27">
        <v>2.7108433734939701E-2</v>
      </c>
      <c r="Q133" s="27">
        <v>8.4829081066253593</v>
      </c>
      <c r="R133" s="27">
        <v>0.127588734899796</v>
      </c>
      <c r="S133" s="27">
        <v>6.8042168674698704</v>
      </c>
      <c r="T133" s="27">
        <v>3.0800470299049702E-2</v>
      </c>
      <c r="V133" s="29">
        <f>(1000*S133/Q133)/$AE$140</f>
        <v>0.79432555098625657</v>
      </c>
      <c r="W133" s="29"/>
      <c r="X133" s="29">
        <f>S133-AVERAGE(S134)</f>
        <v>6.7607238951181738</v>
      </c>
      <c r="Y133" s="29">
        <f>T133+AVERAGE(S134)</f>
        <v>7.42934426507465E-2</v>
      </c>
      <c r="Z133" s="29"/>
      <c r="AA133" s="29">
        <f>(X133*1000)/Q133</f>
        <v>796.98186166108326</v>
      </c>
      <c r="AB133" s="29">
        <f>2*((1000*Y133/(2*Q133))^2+((R133/2)*1000*X133/(Q133^2))^2)^0.5</f>
        <v>14.84569461666716</v>
      </c>
      <c r="AC133" s="29">
        <f>AA133/$AE$140</f>
        <v>0.78924817325121421</v>
      </c>
      <c r="AD133" s="29">
        <f>2*(($AF$140*AA133/(2*$AE$140^2))^2+(AB133/($AE$140*2))^2)^0.5</f>
        <v>1.6897286270380802E-2</v>
      </c>
      <c r="AE133" s="29">
        <f>SUM(AV$5:$AV133)</f>
        <v>21.35509235267952</v>
      </c>
      <c r="AF133" s="29" cm="1">
        <f t="array" ref="AF133">2*SQRT(SUM((AW$5:$AW133/2)^2))</f>
        <v>0.14329054451855811</v>
      </c>
      <c r="AG133" s="29">
        <f t="shared" si="29"/>
        <v>21.218729546930575</v>
      </c>
      <c r="AH133" s="29" cm="1">
        <f t="array" ref="AH133">2*SQRT(SUM((R$5:$R133/2)^2))</f>
        <v>0.13756701168337471</v>
      </c>
      <c r="AI133" s="29">
        <f t="shared" si="30"/>
        <v>14.115555357703972</v>
      </c>
      <c r="AJ133" s="29" cm="1">
        <f t="array" ref="AJ133">2*SQRT(SUM((T$5:$T133/2)^2))</f>
        <v>3.2147373710235856E-2</v>
      </c>
      <c r="AK133" s="47"/>
      <c r="AL133" s="29"/>
      <c r="AN133" s="29"/>
      <c r="AO133" s="29"/>
      <c r="AP133" s="29"/>
      <c r="AQ133" s="29">
        <f t="shared" si="35"/>
        <v>4.9838060207071621E-16</v>
      </c>
      <c r="AR133" s="29"/>
      <c r="AS133" s="29"/>
      <c r="AT133" s="29">
        <f>AT132*EXP(-AP132*D132*60)</f>
        <v>1.9051816701552888E-2</v>
      </c>
      <c r="AU133" s="29">
        <f>2*((((AU132/2)*EXP(-AP132*D132*60))^2+(AT132*EXP(-AP132*D132*60)*D132*60*AO132*AP132/AN132)^2)^0.5)</f>
        <v>2.5334641758869769E-3</v>
      </c>
      <c r="AV133" s="23">
        <f>Q133+AT134-AT133</f>
        <v>8.580386501689409</v>
      </c>
      <c r="AW133" s="23">
        <f>2*(((AU133/2)^2+(AU134/2)^2+(R133/2)^2)^(0.5))</f>
        <v>0.12782739057103734</v>
      </c>
      <c r="AX133" s="50">
        <f>100*(AV133-Q133)/Q133</f>
        <v>1.1491153014838935</v>
      </c>
      <c r="AY133" s="47"/>
      <c r="AZ133" s="29">
        <f t="shared" si="27"/>
        <v>541948810548.71661</v>
      </c>
      <c r="BA133" s="29">
        <f t="shared" ref="BA133:BA137" si="37">AZ133 * 1.17*EXP(-57/(1.987*(273+C133)))</f>
        <v>600237535013.72363</v>
      </c>
      <c r="BB133" s="29">
        <f>Q133*BD133</f>
        <v>4.6360959841869227E-2</v>
      </c>
      <c r="BC133" s="29">
        <f>AQ133*BA133*I133</f>
        <v>183.97524761263304</v>
      </c>
      <c r="BD133" s="29">
        <f>1/(BC133-1)</f>
        <v>5.4652200942339789E-3</v>
      </c>
      <c r="BE133" s="29">
        <f>BG133*S133</f>
        <v>4.1210325239937298E-2</v>
      </c>
      <c r="BF133" s="29">
        <f>AQ133*AZ133*I133</f>
        <v>166.10951631305841</v>
      </c>
      <c r="BG133" s="29">
        <f>1/(BF133-1)</f>
        <v>6.05658609103993E-3</v>
      </c>
      <c r="BH133" s="29">
        <f>Q133-BB130</f>
        <v>8.4041594308923333</v>
      </c>
      <c r="BI133" s="29">
        <f>Q133+BB133</f>
        <v>8.5292690664672293</v>
      </c>
      <c r="BJ133" s="29">
        <f>X133-BE130</f>
        <v>6.6962539477153609</v>
      </c>
      <c r="BK133" s="29">
        <f>X133+BE133</f>
        <v>6.8019342203581115</v>
      </c>
      <c r="BL133" s="29">
        <f>BF133*1.29</f>
        <v>214.28127604384534</v>
      </c>
      <c r="BM133" s="29">
        <f>Q133 / (BL133-1)</f>
        <v>3.977333718165435E-2</v>
      </c>
      <c r="BN133" s="29">
        <f>(1000*(S133+BE133)/(Q133+BM133))/$AE$140</f>
        <v>0.79540707138495415</v>
      </c>
      <c r="BO133" s="29">
        <f>(1000*(S133-BE129)/(Q133-BM129))/$AE$140</f>
        <v>0.79432555098625657</v>
      </c>
      <c r="BP133" s="29">
        <f>(1000*(S133+BE133-BE129)/(Q133+BM133-BM129))/$AE$140</f>
        <v>0.79540707138495415</v>
      </c>
      <c r="BQ133" s="29">
        <f>MIN(BN133:BP133)</f>
        <v>0.79432555098625657</v>
      </c>
      <c r="BR133" s="29">
        <f>((1000*S133/Q133))/$AE$140</f>
        <v>0.79432555098625657</v>
      </c>
      <c r="BS133" s="29">
        <f>MAX(BN133:BP133)</f>
        <v>0.79540707138495415</v>
      </c>
      <c r="BT133" s="29"/>
      <c r="BU133" s="29"/>
    </row>
    <row r="134" spans="1:86" s="54" customFormat="1" x14ac:dyDescent="0.3">
      <c r="A134" s="90" t="s">
        <v>469</v>
      </c>
      <c r="B134" s="55">
        <v>45362.880555555559</v>
      </c>
      <c r="C134" s="54">
        <v>100</v>
      </c>
      <c r="D134" s="54">
        <f t="shared" si="32"/>
        <v>7200</v>
      </c>
      <c r="E134" s="54" t="s">
        <v>158</v>
      </c>
      <c r="F134" s="56">
        <v>18.2</v>
      </c>
      <c r="G134" s="56">
        <v>0</v>
      </c>
      <c r="H134" s="56">
        <v>1.6</v>
      </c>
      <c r="I134" s="54">
        <v>432000</v>
      </c>
      <c r="J134" s="54" t="s">
        <v>71</v>
      </c>
      <c r="K134" s="54">
        <f t="shared" si="36"/>
        <v>444780.00000016764</v>
      </c>
      <c r="L134" s="54">
        <f>K134-I134</f>
        <v>12780.000000167638</v>
      </c>
      <c r="M134" s="47"/>
      <c r="N134" s="54">
        <v>6.4027588882200398E-3</v>
      </c>
      <c r="O134" s="54">
        <v>2.7183107719810501E-2</v>
      </c>
      <c r="Q134" s="54">
        <v>0.11653021176560401</v>
      </c>
      <c r="R134" s="54">
        <v>7.3849892443793698E-3</v>
      </c>
      <c r="S134" s="54">
        <v>4.3492972351696801E-2</v>
      </c>
      <c r="T134" s="56">
        <v>1.8018362315392399E-4</v>
      </c>
      <c r="U134" s="56"/>
      <c r="X134" s="56"/>
      <c r="Y134" s="56"/>
      <c r="Z134" s="56"/>
      <c r="AA134" s="56"/>
      <c r="AE134" s="56">
        <f>SUM(AV$5:$AV134)</f>
        <v>21.35509235267952</v>
      </c>
      <c r="AF134" s="56" cm="1">
        <f t="array" ref="AF134">2*SQRT(SUM((AW$5:$AW134/2)^2))</f>
        <v>0.14329054451855811</v>
      </c>
      <c r="AG134" s="56">
        <f t="shared" si="29"/>
        <v>21.335259758696179</v>
      </c>
      <c r="AH134" s="56" cm="1">
        <f t="array" ref="AH134">2*SQRT(SUM((R$5:$R134/2)^2))</f>
        <v>0.13776509271086546</v>
      </c>
      <c r="AI134" s="56">
        <f t="shared" si="30"/>
        <v>14.159048330055668</v>
      </c>
      <c r="AJ134" s="56" cm="1">
        <f t="array" ref="AJ134">2*SQRT(SUM((T$5:$T134/2)^2))</f>
        <v>3.2147878664129867E-2</v>
      </c>
      <c r="AK134" s="47"/>
      <c r="AL134" s="56">
        <f>'Fit Lambdas'!$U$2*(10000/(C134+273))+'Fit Lambdas'!$V$2</f>
        <v>25.45976456747379</v>
      </c>
      <c r="AM134" s="54">
        <f>'Fit Lambdas'!$V$4</f>
        <v>6.7480704157997479E-2</v>
      </c>
      <c r="AN134" s="56">
        <f t="shared" si="33"/>
        <v>114034237303.31673</v>
      </c>
      <c r="AO134" s="56">
        <f t="shared" si="34"/>
        <v>7695110631.3479958</v>
      </c>
      <c r="AP134" s="56">
        <f>AN134*(C134+273)*$C$145*$E$144</f>
        <v>4.053251345654956E-5</v>
      </c>
      <c r="AQ134" s="56">
        <f t="shared" si="35"/>
        <v>3.5544161486114176E-16</v>
      </c>
      <c r="AR134" s="56">
        <f>Q134/(1-EXP(-D134*60*AP134))</f>
        <v>0.11653021466242909</v>
      </c>
      <c r="AS134" s="56">
        <f>2*SQRT(
((R134/2) * (1 / (1 - EXP(-D134 * 60 * AN134 * AQ134))))^2 +
(AO134 * (-Q134 * 60 * D134 * AQ134 * EXP(-D134 * 60 * AN134 * AQ134) / (1 - EXP(-D134 * 60 * AN134 * AQ134))^2))^2
)</f>
        <v>7.3849894279660244E-3</v>
      </c>
      <c r="AT134" s="56" cm="1">
        <f t="array" ref="AT134:AU134">Q134:R134</f>
        <v>0.11653021176560401</v>
      </c>
      <c r="AU134" s="56">
        <v>7.3849892443793698E-3</v>
      </c>
      <c r="AV134" s="59"/>
      <c r="AW134" s="59"/>
      <c r="AX134" s="57"/>
      <c r="AY134" s="47"/>
      <c r="AZ134" s="56">
        <f t="shared" si="27"/>
        <v>81368987856.687653</v>
      </c>
      <c r="BA134" s="56">
        <f t="shared" si="37"/>
        <v>88154464997.476822</v>
      </c>
      <c r="BB134" s="56"/>
      <c r="BC134" s="56"/>
      <c r="BD134" s="56"/>
      <c r="BE134" s="56"/>
      <c r="BF134" s="56"/>
      <c r="BG134" s="56"/>
      <c r="BH134" s="56"/>
      <c r="BI134" s="56"/>
      <c r="BJ134" s="56"/>
      <c r="BK134" s="56"/>
      <c r="BL134" s="56"/>
      <c r="BM134" s="56"/>
      <c r="BN134" s="56"/>
      <c r="BO134" s="56"/>
      <c r="BP134" s="56"/>
      <c r="BQ134" s="56"/>
      <c r="BR134" s="56"/>
      <c r="BS134" s="56"/>
      <c r="BT134" s="56"/>
      <c r="BU134" s="56"/>
    </row>
    <row r="135" spans="1:86" s="27" customFormat="1" x14ac:dyDescent="0.3">
      <c r="B135" s="28">
        <v>45363.45416666667</v>
      </c>
      <c r="C135" s="27">
        <v>240</v>
      </c>
      <c r="D135" s="27">
        <f t="shared" si="32"/>
        <v>785</v>
      </c>
      <c r="E135" s="27" t="s">
        <v>460</v>
      </c>
      <c r="F135" s="29">
        <v>34.4</v>
      </c>
      <c r="G135" s="29">
        <v>0</v>
      </c>
      <c r="H135" s="29">
        <v>6.82</v>
      </c>
      <c r="I135" s="27">
        <v>47100</v>
      </c>
      <c r="J135" s="27" t="s">
        <v>71</v>
      </c>
      <c r="K135" s="27">
        <f t="shared" si="36"/>
        <v>49559.99999998603</v>
      </c>
      <c r="L135" s="27">
        <f>K135-I135</f>
        <v>2459.9999999860302</v>
      </c>
      <c r="M135" s="47"/>
      <c r="N135" s="27">
        <v>6.5734078265436997E-3</v>
      </c>
      <c r="O135" s="27">
        <v>2.7167619375327599E-2</v>
      </c>
      <c r="Q135" s="27">
        <v>0.22612522923310299</v>
      </c>
      <c r="R135" s="27">
        <v>2.1894704367404101E-2</v>
      </c>
      <c r="S135" s="27">
        <v>0.185283164139734</v>
      </c>
      <c r="T135" s="27">
        <v>9.5603041985698703E-4</v>
      </c>
      <c r="V135" s="29">
        <f>(1000*S135/Q135)/$AE$140</f>
        <v>0.81143191723592045</v>
      </c>
      <c r="W135" s="29"/>
      <c r="X135" s="29">
        <f>S135-AVERAGE(S136:S137)</f>
        <v>0.16777942942238755</v>
      </c>
      <c r="Y135" s="29">
        <f>T135+AVERAGE(S136:S137)</f>
        <v>1.8459765137203439E-2</v>
      </c>
      <c r="Z135" s="29"/>
      <c r="AA135" s="29">
        <f>(X135*1000)/Q135</f>
        <v>741.97571846098958</v>
      </c>
      <c r="AB135" s="29">
        <f>2*((1000*Y135/(2*Q135))^2+((R135/2)*1000*X135/(Q135^2))^2)^0.5</f>
        <v>108.74558051382942</v>
      </c>
      <c r="AC135" s="29">
        <f>AA135/$AE$140</f>
        <v>0.73477579423397354</v>
      </c>
      <c r="AD135" s="29">
        <f>2*(($AF$140*AA135/(2*$AE$140^2))^2+(AB135/($AE$140*2))^2)^0.5</f>
        <v>0.1079691801834938</v>
      </c>
      <c r="AE135" s="29">
        <f>SUM(AV$5:$AV135)</f>
        <v>21.607555004830054</v>
      </c>
      <c r="AF135" s="29" cm="1">
        <f t="array" ref="AF135">2*SQRT(SUM((AW$5:$AW135/2)^2))</f>
        <v>0.14498309777535534</v>
      </c>
      <c r="AG135" s="29">
        <f t="shared" si="29"/>
        <v>21.56138498792928</v>
      </c>
      <c r="AH135" s="29" cm="1">
        <f t="array" ref="AH135">2*SQRT(SUM((R$5:$R135/2)^2))</f>
        <v>0.13949408177040837</v>
      </c>
      <c r="AI135" s="29">
        <f t="shared" si="30"/>
        <v>14.344331494195403</v>
      </c>
      <c r="AJ135" s="29" cm="1">
        <f t="array" ref="AJ135">2*SQRT(SUM((T$5:$T135/2)^2))</f>
        <v>3.2162090988729394E-2</v>
      </c>
      <c r="AK135" s="47"/>
      <c r="AL135" s="29"/>
      <c r="AN135" s="29"/>
      <c r="AO135" s="29"/>
      <c r="AP135" s="29"/>
      <c r="AQ135" s="29">
        <f t="shared" si="35"/>
        <v>4.8885133625674457E-16</v>
      </c>
      <c r="AR135" s="29"/>
      <c r="AS135" s="29"/>
      <c r="AT135" s="29">
        <f>AT134*EXP(-AP134*D134*60)</f>
        <v>2.8968250085057248E-9</v>
      </c>
      <c r="AU135" s="29">
        <f>2*((((AU134/2)*EXP(-AP134*D134*60))^2+(AT134*EXP(-AP134*D134*60)*D134*60*AO134*AP134/AN134)^2)^0.5)</f>
        <v>6.8481813665907213E-9</v>
      </c>
      <c r="AV135" s="23">
        <f>Q135+AT136-AT135</f>
        <v>0.25246265215053254</v>
      </c>
      <c r="AW135" s="23">
        <f>2*(((AU135/2)^2+(AU136/2)^2+(R135/2)^2)^(0.5))</f>
        <v>2.2088877113003287E-2</v>
      </c>
      <c r="AX135" s="50">
        <f>100*(AV135-Q135)/Q135</f>
        <v>11.647273064908386</v>
      </c>
      <c r="AY135" s="47"/>
      <c r="AZ135" s="29">
        <f t="shared" si="27"/>
        <v>494357076108.85529</v>
      </c>
      <c r="BA135" s="29">
        <f t="shared" si="37"/>
        <v>546942020716.46802</v>
      </c>
      <c r="BB135" s="29">
        <f>Q135*BD135</f>
        <v>1.9504846533379586E-2</v>
      </c>
      <c r="BC135" s="29">
        <f>AQ135*BA135*I135</f>
        <v>12.593284204832065</v>
      </c>
      <c r="BD135" s="29">
        <f>1/(BC135-1)</f>
        <v>8.625683476155975E-2</v>
      </c>
      <c r="BE135" s="29">
        <f>BG135*S135</f>
        <v>1.7845681234329783E-2</v>
      </c>
      <c r="BF135" s="29">
        <f>AQ135*AZ135*I135</f>
        <v>11.382521222182559</v>
      </c>
      <c r="BG135" s="29">
        <f>1/(BF135-1)</f>
        <v>9.6315719332551994E-2</v>
      </c>
      <c r="BH135" s="29">
        <f>Q135-BB133</f>
        <v>0.17976426939123377</v>
      </c>
      <c r="BI135" s="29">
        <f>Q135+BB135</f>
        <v>0.24563007576648258</v>
      </c>
      <c r="BJ135" s="29">
        <f>X135-BE133</f>
        <v>0.12656910418245026</v>
      </c>
      <c r="BK135" s="29">
        <f>X135+BE135</f>
        <v>0.18562511065671733</v>
      </c>
      <c r="BL135" s="29">
        <f>BF135*1.29</f>
        <v>14.683452376615502</v>
      </c>
      <c r="BM135" s="29">
        <f>Q135 / (BL135-1)</f>
        <v>1.6525451546098292E-2</v>
      </c>
      <c r="BN135" s="29">
        <f>(1000*(S135+BE135)/(Q135+BM135))/$AE$140</f>
        <v>0.82900134215949495</v>
      </c>
      <c r="BO135" s="29">
        <f>(1000*(S135-BE131)/(Q135-BM131))/$AE$140</f>
        <v>0.81143191723592045</v>
      </c>
      <c r="BP135" s="29">
        <f>(1000*(S135+BE135-BE131)/(Q135+BM135-BM131))/$AE$140</f>
        <v>0.82900134215949495</v>
      </c>
      <c r="BQ135" s="29">
        <f>MIN(BN135:BP135)</f>
        <v>0.81143191723592045</v>
      </c>
      <c r="BR135" s="29">
        <f>((1000*S135/Q135))/$AE$140</f>
        <v>0.81143191723592045</v>
      </c>
      <c r="BS135" s="29">
        <f>MAX(BN135:BP135)</f>
        <v>0.82900134215949495</v>
      </c>
      <c r="BT135" s="29"/>
      <c r="BU135" s="29"/>
    </row>
    <row r="136" spans="1:86" s="54" customFormat="1" x14ac:dyDescent="0.3">
      <c r="A136" s="90" t="s">
        <v>470</v>
      </c>
      <c r="B136" s="55">
        <v>45364.574999999997</v>
      </c>
      <c r="C136" s="54">
        <v>100</v>
      </c>
      <c r="D136" s="58">
        <f>(K136-1520)/60</f>
        <v>1588.6666666575863</v>
      </c>
      <c r="E136" s="54" t="s">
        <v>158</v>
      </c>
      <c r="F136" s="56">
        <v>4.18</v>
      </c>
      <c r="G136" s="56">
        <v>0</v>
      </c>
      <c r="H136" s="56">
        <v>1.1100000000000001</v>
      </c>
      <c r="I136" s="54">
        <v>60</v>
      </c>
      <c r="J136" s="54" t="s">
        <v>71</v>
      </c>
      <c r="K136" s="54">
        <f t="shared" si="36"/>
        <v>96839.999999455176</v>
      </c>
      <c r="L136" s="54">
        <f>K136-I136</f>
        <v>96779.999999455176</v>
      </c>
      <c r="M136" s="47"/>
      <c r="N136" s="54">
        <v>6.1685455352981497E-3</v>
      </c>
      <c r="O136" s="54">
        <v>2.7018036524747199E-2</v>
      </c>
      <c r="Q136" s="54">
        <v>2.5784520337546201E-2</v>
      </c>
      <c r="R136" s="54">
        <v>2.8464852265301299E-3</v>
      </c>
      <c r="S136" s="54">
        <v>2.9990020542469398E-2</v>
      </c>
      <c r="T136" s="54">
        <v>2.2958014031697999E-4</v>
      </c>
      <c r="AE136" s="56">
        <f>SUM(AV$5:$AV136)</f>
        <v>21.607555004830054</v>
      </c>
      <c r="AF136" s="56" cm="1">
        <f t="array" ref="AF136">2*SQRT(SUM((AW$5:$AW136/2)^2))</f>
        <v>0.14498309777535534</v>
      </c>
      <c r="AG136" s="56">
        <f t="shared" si="29"/>
        <v>21.587169508266825</v>
      </c>
      <c r="AH136" s="56" cm="1">
        <f t="array" ref="AH136">2*SQRT(SUM((R$5:$R136/2)^2))</f>
        <v>0.13952312112017215</v>
      </c>
      <c r="AI136" s="56">
        <f t="shared" si="30"/>
        <v>14.374321514737872</v>
      </c>
      <c r="AJ136" s="56" cm="1">
        <f t="array" ref="AJ136">2*SQRT(SUM((T$5:$T136/2)^2))</f>
        <v>3.2162910375277548E-2</v>
      </c>
      <c r="AK136" s="47"/>
      <c r="AL136" s="56">
        <f>'Fit Lambdas'!$U$2*(10000/(C136+273))+'Fit Lambdas'!$V$2</f>
        <v>25.45976456747379</v>
      </c>
      <c r="AM136" s="54">
        <f>'Fit Lambdas'!$V$4</f>
        <v>6.7480704157997479E-2</v>
      </c>
      <c r="AN136" s="56">
        <f t="shared" si="33"/>
        <v>114034237303.31673</v>
      </c>
      <c r="AO136" s="56">
        <f t="shared" si="34"/>
        <v>7695110631.3479958</v>
      </c>
      <c r="AP136" s="56">
        <f>AN136*(C136+273)*$C$145*$E$144</f>
        <v>4.053251345654956E-5</v>
      </c>
      <c r="AQ136" s="56">
        <f t="shared" si="35"/>
        <v>3.5544161486114176E-16</v>
      </c>
      <c r="AR136" s="56">
        <f>Q136/(1-EXP(-D136*60*AP136))</f>
        <v>2.6337425814254526E-2</v>
      </c>
      <c r="AS136" s="56">
        <f>2*SQRT(
((R136/2) * (1 / (1 - EXP(-D136 * 60 * AN136 * AQ136))))^2 +
(AO136 * (-Q136 * 60 * D136 * AQ136 * EXP(-D136 * 60 * AN136 * AQ136) / (1 - EXP(-D136 * 60 * AN136 * AQ136))^2))^2
)</f>
        <v>2.9223984631273859E-3</v>
      </c>
      <c r="AT136" s="56" cm="1">
        <f t="array" ref="AT136:AU136">AR136:AS136</f>
        <v>2.6337425814254526E-2</v>
      </c>
      <c r="AU136" s="56">
        <v>2.9223984631273859E-3</v>
      </c>
      <c r="AV136" s="59"/>
      <c r="AW136" s="59"/>
      <c r="AX136" s="57"/>
      <c r="AY136" s="47"/>
      <c r="AZ136" s="56">
        <f t="shared" si="27"/>
        <v>81368987856.687653</v>
      </c>
      <c r="BA136" s="56">
        <f t="shared" si="37"/>
        <v>88154464997.476822</v>
      </c>
      <c r="BB136" s="56"/>
      <c r="BC136" s="56"/>
      <c r="BD136" s="56"/>
      <c r="BE136" s="56"/>
      <c r="BF136" s="56"/>
      <c r="BG136" s="56"/>
      <c r="BH136" s="56"/>
      <c r="BI136" s="56"/>
      <c r="BJ136" s="56"/>
      <c r="BK136" s="56"/>
      <c r="BL136" s="56"/>
      <c r="BM136" s="56"/>
      <c r="BN136" s="56"/>
      <c r="BO136" s="56"/>
      <c r="BP136" s="56"/>
      <c r="BQ136" s="56"/>
      <c r="BR136" s="56"/>
      <c r="BS136" s="56"/>
      <c r="BT136" s="56"/>
      <c r="BU136" s="56"/>
    </row>
    <row r="137" spans="1:86" s="54" customFormat="1" x14ac:dyDescent="0.3">
      <c r="B137" s="55">
        <v>45364.762499999997</v>
      </c>
      <c r="C137" s="54">
        <v>100</v>
      </c>
      <c r="D137" s="58">
        <f>(K137-1520)/60</f>
        <v>244.66666666666666</v>
      </c>
      <c r="E137" s="54" t="s">
        <v>158</v>
      </c>
      <c r="F137" s="56">
        <v>0.60899999999999999</v>
      </c>
      <c r="G137" s="56">
        <v>0</v>
      </c>
      <c r="H137" s="56">
        <v>0.185</v>
      </c>
      <c r="I137" s="54">
        <v>60</v>
      </c>
      <c r="J137" s="54" t="s">
        <v>71</v>
      </c>
      <c r="K137" s="54">
        <f t="shared" si="36"/>
        <v>16200</v>
      </c>
      <c r="L137" s="54">
        <f>K137-I137</f>
        <v>16140</v>
      </c>
      <c r="M137" s="47"/>
      <c r="N137" s="54">
        <v>6.2710184549172304E-3</v>
      </c>
      <c r="O137" s="54">
        <v>2.7121345363370301E-2</v>
      </c>
      <c r="Q137" s="54">
        <v>3.8190502390445902E-3</v>
      </c>
      <c r="R137" s="54">
        <v>1.63749099919393E-4</v>
      </c>
      <c r="S137" s="54">
        <v>5.0174488922235102E-3</v>
      </c>
      <c r="T137" s="56">
        <v>3.8309233838511402E-5</v>
      </c>
      <c r="U137" s="56"/>
      <c r="X137" s="56"/>
      <c r="Y137" s="56"/>
      <c r="Z137" s="56"/>
      <c r="AA137" s="56"/>
      <c r="AE137" s="56">
        <f>SUM(AV$5:$AV137)</f>
        <v>21.607555004830054</v>
      </c>
      <c r="AF137" s="56" cm="1">
        <f t="array" ref="AF137">2*SQRT(SUM((AW$5:$AW137/2)^2))</f>
        <v>0.14498309777535534</v>
      </c>
      <c r="AG137" s="56">
        <f t="shared" si="29"/>
        <v>21.59098855850587</v>
      </c>
      <c r="AH137" s="56" cm="1">
        <f t="array" ref="AH137">2*SQRT(SUM((R$5:$R137/2)^2))</f>
        <v>0.13952321721090707</v>
      </c>
      <c r="AI137" s="56">
        <f t="shared" si="30"/>
        <v>14.379338963630095</v>
      </c>
      <c r="AJ137" s="56" cm="1">
        <f t="array" ref="AJ137">2*SQRT(SUM((T$5:$T137/2)^2))</f>
        <v>3.2162933190328487E-2</v>
      </c>
      <c r="AK137" s="47"/>
      <c r="AL137" s="56">
        <f>'Fit Lambdas'!$U$2*(10000/(C137+273))+'Fit Lambdas'!$V$2</f>
        <v>25.45976456747379</v>
      </c>
      <c r="AM137" s="54">
        <f>'Fit Lambdas'!$V$4</f>
        <v>6.7480704157997479E-2</v>
      </c>
      <c r="AN137" s="56">
        <f t="shared" si="33"/>
        <v>114034237303.31673</v>
      </c>
      <c r="AO137" s="56">
        <f t="shared" si="34"/>
        <v>7695110631.3479958</v>
      </c>
      <c r="AP137" s="56">
        <f>AN137*(C137+273)*$C$145*$E$144</f>
        <v>4.053251345654956E-5</v>
      </c>
      <c r="AQ137" s="56">
        <f t="shared" si="35"/>
        <v>3.5544161486114176E-16</v>
      </c>
      <c r="AR137" s="56">
        <f>Q137/(1-EXP(-D137*60*AP137))</f>
        <v>8.5161690328599861E-3</v>
      </c>
      <c r="AS137" s="56">
        <f>2*SQRT(
((R137/2) * (1 / (1 - EXP(-D137 * 60 * AN137 * AQ137))))^2 +
(AO137 * (-Q137 * 60 * D137 * AQ137 * EXP(-D137 * 60 * AN137 * AQ137) / (1 - EXP(-D137 * 60 * AN137 * AQ137))^2))^2
)</f>
        <v>9.1696276203032589E-4</v>
      </c>
      <c r="AT137" s="56">
        <f>AT136-Q136</f>
        <v>5.5290547670832496E-4</v>
      </c>
      <c r="AU137" s="56">
        <f>AU136+R136</f>
        <v>5.7688836896575158E-3</v>
      </c>
      <c r="AV137" s="59"/>
      <c r="AW137" s="59"/>
      <c r="AX137" s="57"/>
      <c r="AY137" s="47"/>
      <c r="AZ137" s="56">
        <f t="shared" si="27"/>
        <v>81368987856.687653</v>
      </c>
      <c r="BA137" s="56">
        <f t="shared" si="37"/>
        <v>88154464997.476822</v>
      </c>
      <c r="BB137" s="56"/>
      <c r="BC137" s="56"/>
      <c r="BD137" s="56"/>
      <c r="BE137" s="56"/>
      <c r="BF137" s="56"/>
      <c r="BG137" s="56"/>
      <c r="BH137" s="56"/>
      <c r="BI137" s="56"/>
      <c r="BJ137" s="56"/>
      <c r="BK137" s="56"/>
      <c r="BL137" s="56"/>
      <c r="BM137" s="56"/>
      <c r="BN137" s="56"/>
      <c r="BO137" s="56"/>
      <c r="BP137" s="56"/>
      <c r="BQ137" s="56"/>
      <c r="BR137" s="56"/>
      <c r="BS137" s="56"/>
      <c r="BT137" s="56"/>
      <c r="BU137" s="56"/>
    </row>
    <row r="138" spans="1:86" x14ac:dyDescent="0.3">
      <c r="A138" t="s">
        <v>116</v>
      </c>
      <c r="C138">
        <v>1100</v>
      </c>
      <c r="Q138">
        <f>Totals!W7</f>
        <v>124.54078707011602</v>
      </c>
      <c r="R138">
        <f>Totals!W8</f>
        <v>1.0730577113002813</v>
      </c>
      <c r="S138">
        <f>Totals!V7</f>
        <v>133.18435333935949</v>
      </c>
      <c r="T138">
        <f>Totals!V8</f>
        <v>1.1001273148073354</v>
      </c>
      <c r="AD138" t="s">
        <v>92</v>
      </c>
      <c r="AE138">
        <f>Totals!W7</f>
        <v>124.54078707011602</v>
      </c>
      <c r="AF138">
        <f>Totals!W8</f>
        <v>1.0730577113002813</v>
      </c>
      <c r="AG138">
        <f>Totals!V7</f>
        <v>133.18435333935949</v>
      </c>
      <c r="AH138">
        <f>Totals!V8</f>
        <v>1.1001273148073354</v>
      </c>
      <c r="AM138" s="2"/>
      <c r="AN138" s="2"/>
      <c r="AO138" s="2"/>
      <c r="AP138" s="2"/>
      <c r="AQ138" s="2"/>
      <c r="AR138" s="2"/>
      <c r="AS138" s="2"/>
      <c r="AT138" s="2"/>
      <c r="AU138" s="2"/>
      <c r="BC138" s="2"/>
      <c r="BG138" s="2"/>
      <c r="BM138" s="2"/>
      <c r="BN138" s="2"/>
      <c r="BO138" s="2"/>
      <c r="CH138" s="2"/>
    </row>
    <row r="139" spans="1:86" ht="15" thickBot="1" x14ac:dyDescent="0.35">
      <c r="AD139" t="s">
        <v>429</v>
      </c>
      <c r="AE139" s="2">
        <f>AE138+AG137</f>
        <v>146.13177562862188</v>
      </c>
      <c r="AF139" s="2" cm="1">
        <f t="array" ref="AF139">2*SUM(((AF137:AF138)/2)^2)^0.5</f>
        <v>1.0828079009785327</v>
      </c>
      <c r="AG139" s="2">
        <f>AG138+AI137</f>
        <v>147.56369230298958</v>
      </c>
      <c r="AH139" s="2" cm="1">
        <f t="array" ref="AH139">2*SUM(((AH137:AH138)/2)^2)^0.5</f>
        <v>1.1089395100392447</v>
      </c>
      <c r="AI139" s="2"/>
      <c r="AJ139" s="2"/>
      <c r="CH139" s="2"/>
    </row>
    <row r="140" spans="1:86" ht="15" thickBot="1" x14ac:dyDescent="0.35">
      <c r="AE140" s="35">
        <f>(AG139*1000)/AE139</f>
        <v>1009.7988043203331</v>
      </c>
      <c r="AF140" s="69">
        <f>2*((AF139*1000*AG139/(2*AE139^2))^2+(1000*AH139/(AE139*2))^2)^0.5</f>
        <v>10.657098259817015</v>
      </c>
      <c r="BB140" s="2"/>
    </row>
    <row r="141" spans="1:86" ht="15" thickBot="1" x14ac:dyDescent="0.35">
      <c r="B141" s="13" t="s">
        <v>122</v>
      </c>
      <c r="C141" s="36"/>
      <c r="D141" s="36"/>
      <c r="E141" s="14"/>
      <c r="AE141" s="17" t="s">
        <v>139</v>
      </c>
      <c r="AF141" s="18" t="s">
        <v>153</v>
      </c>
      <c r="AM141" s="2"/>
    </row>
    <row r="142" spans="1:86" x14ac:dyDescent="0.3">
      <c r="B142" s="15" t="s">
        <v>123</v>
      </c>
      <c r="C142">
        <v>5.0500000000000003E-2</v>
      </c>
      <c r="D142">
        <v>5.7000000000000002E-2</v>
      </c>
      <c r="E142" s="16">
        <f>AVERAGE(C142:D142)</f>
        <v>5.3750000000000006E-2</v>
      </c>
    </row>
    <row r="143" spans="1:86" x14ac:dyDescent="0.3">
      <c r="B143" s="15" t="s">
        <v>124</v>
      </c>
      <c r="C143">
        <v>7.8700000000000006E-2</v>
      </c>
      <c r="D143">
        <v>8.1000000000000003E-2</v>
      </c>
      <c r="E143" s="16">
        <f>AVERAGE(C143:D143)</f>
        <v>7.9850000000000004E-2</v>
      </c>
    </row>
    <row r="144" spans="1:86" ht="16.2" x14ac:dyDescent="0.3">
      <c r="B144" s="15" t="s">
        <v>466</v>
      </c>
      <c r="C144">
        <f>2/((LN(C143/C142)*((C142/2)^2)))</f>
        <v>7070.4547002279523</v>
      </c>
      <c r="D144">
        <f>2/((LN(D143/D142)*((D142/2)^2)))</f>
        <v>7007.1454136003194</v>
      </c>
      <c r="E144" s="16">
        <f>2/((LN(E143/E142)*((E142/2)^2)))</f>
        <v>6996.0104353363404</v>
      </c>
    </row>
    <row r="145" spans="2:5" ht="33" thickBot="1" x14ac:dyDescent="0.35">
      <c r="B145" s="44" t="s">
        <v>467</v>
      </c>
      <c r="C145" s="45">
        <v>1.3621000000000001E-22</v>
      </c>
      <c r="D145" s="38"/>
      <c r="E145" s="18"/>
    </row>
  </sheetData>
  <mergeCells count="4">
    <mergeCell ref="A1:L1"/>
    <mergeCell ref="AZ1:BT1"/>
    <mergeCell ref="AL1:AX1"/>
    <mergeCell ref="N1:AJ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A1F567-537C-4B0B-ACDF-BF303830A283}">
  <dimension ref="A1:AI81"/>
  <sheetViews>
    <sheetView topLeftCell="U41" zoomScale="70" zoomScaleNormal="70" workbookViewId="0">
      <selection activeCell="W3" sqref="W3"/>
    </sheetView>
  </sheetViews>
  <sheetFormatPr defaultRowHeight="14.4" x14ac:dyDescent="0.3"/>
  <cols>
    <col min="1" max="1" width="9" bestFit="1" customWidth="1"/>
    <col min="2" max="4" width="9" style="7" bestFit="1" customWidth="1"/>
    <col min="5" max="5" width="9" style="7" customWidth="1"/>
    <col min="6" max="6" width="9" bestFit="1" customWidth="1"/>
    <col min="7" max="9" width="9" customWidth="1"/>
    <col min="10" max="10" width="3.33203125" style="47" customWidth="1"/>
    <col min="11" max="11" width="12" bestFit="1" customWidth="1"/>
    <col min="12" max="12" width="12.21875" bestFit="1" customWidth="1"/>
    <col min="13" max="14" width="12.109375" bestFit="1" customWidth="1"/>
    <col min="15" max="16" width="9.109375" bestFit="1" customWidth="1"/>
    <col min="17" max="17" width="9.21875" bestFit="1" customWidth="1"/>
    <col min="18" max="18" width="10.6640625" customWidth="1"/>
    <col min="19" max="19" width="10.21875" customWidth="1"/>
    <col min="21" max="21" width="12.77734375" bestFit="1" customWidth="1"/>
    <col min="22" max="23" width="9.109375" bestFit="1" customWidth="1"/>
    <col min="26" max="26" width="9" bestFit="1" customWidth="1"/>
    <col min="27" max="27" width="12.77734375" bestFit="1" customWidth="1"/>
    <col min="28" max="30" width="9" bestFit="1" customWidth="1"/>
    <col min="31" max="31" width="11.33203125" bestFit="1" customWidth="1"/>
    <col min="34" max="35" width="9" bestFit="1" customWidth="1"/>
  </cols>
  <sheetData>
    <row r="1" spans="1:35" s="4" customFormat="1" ht="41.4" customHeight="1" thickBot="1" x14ac:dyDescent="0.35">
      <c r="A1" s="4" t="s">
        <v>137</v>
      </c>
      <c r="B1" s="60"/>
      <c r="C1" s="60"/>
      <c r="D1" s="60"/>
      <c r="E1" s="60"/>
      <c r="G1" s="60" t="s">
        <v>461</v>
      </c>
      <c r="H1" s="60" t="s">
        <v>408</v>
      </c>
      <c r="I1" s="60" t="s">
        <v>445</v>
      </c>
      <c r="J1" s="46"/>
      <c r="K1" s="4" t="s">
        <v>84</v>
      </c>
      <c r="L1" s="4" t="s">
        <v>85</v>
      </c>
      <c r="M1" s="4" t="s">
        <v>86</v>
      </c>
      <c r="N1" s="4" t="s">
        <v>87</v>
      </c>
      <c r="O1" s="4" t="s">
        <v>89</v>
      </c>
      <c r="P1" s="4" t="s">
        <v>88</v>
      </c>
      <c r="Q1" s="4" t="s">
        <v>90</v>
      </c>
      <c r="R1" s="4" t="s">
        <v>388</v>
      </c>
      <c r="S1" s="4" t="s">
        <v>150</v>
      </c>
      <c r="U1" s="93" t="s">
        <v>135</v>
      </c>
      <c r="V1" s="93"/>
      <c r="W1" s="93"/>
      <c r="AH1" s="4" t="s">
        <v>147</v>
      </c>
    </row>
    <row r="2" spans="1:35" x14ac:dyDescent="0.3">
      <c r="G2" s="7"/>
      <c r="H2" s="7"/>
      <c r="I2" s="7"/>
      <c r="K2" t="s">
        <v>129</v>
      </c>
      <c r="L2" t="s">
        <v>130</v>
      </c>
      <c r="M2" t="s">
        <v>131</v>
      </c>
      <c r="U2" t="s">
        <v>132</v>
      </c>
      <c r="V2" t="s">
        <v>133</v>
      </c>
      <c r="W2" t="s">
        <v>134</v>
      </c>
      <c r="AH2" s="13" cm="1">
        <f t="array" ref="AH2:AI6">LINEST(P27:P37,O27:O37,TRUE,TRUE)</f>
        <v>-1.8744687637659125</v>
      </c>
      <c r="AI2" s="14">
        <v>15.914615484411939</v>
      </c>
    </row>
    <row r="3" spans="1:35" ht="30.6" x14ac:dyDescent="0.3">
      <c r="A3" t="s">
        <v>91</v>
      </c>
      <c r="B3" s="7" t="s">
        <v>94</v>
      </c>
      <c r="C3" s="7" t="s">
        <v>95</v>
      </c>
      <c r="D3" s="7" t="s">
        <v>410</v>
      </c>
      <c r="E3" s="4" t="s">
        <v>414</v>
      </c>
      <c r="F3" t="s">
        <v>96</v>
      </c>
      <c r="H3">
        <v>0</v>
      </c>
      <c r="I3">
        <v>0</v>
      </c>
      <c r="U3">
        <v>0</v>
      </c>
      <c r="V3">
        <v>0</v>
      </c>
      <c r="W3">
        <v>0</v>
      </c>
      <c r="AH3" s="15">
        <v>2.621809845402899E-2</v>
      </c>
      <c r="AI3" s="16">
        <v>0.51086761899604338</v>
      </c>
    </row>
    <row r="4" spans="1:35" x14ac:dyDescent="0.3">
      <c r="A4" s="5">
        <v>1</v>
      </c>
      <c r="B4" s="7">
        <v>170</v>
      </c>
      <c r="C4" s="6">
        <v>300</v>
      </c>
      <c r="D4" s="11" cm="1">
        <f t="array" ref="D4:D37">DistilledBoundingMethod!D2:D35</f>
        <v>0.96295641608282601</v>
      </c>
      <c r="E4"/>
      <c r="F4">
        <f t="shared" ref="F4:F37" si="0">60*C4</f>
        <v>18000</v>
      </c>
      <c r="G4" s="2" cm="1">
        <f t="array" ref="G4:G37">DistilledBoundingMethod!E2:E35</f>
        <v>1.079934644179728</v>
      </c>
      <c r="H4" s="2">
        <f t="shared" ref="H4:H37" si="1">(G4)/$G$38</f>
        <v>7.3901424897776184E-3</v>
      </c>
      <c r="I4" s="2">
        <f t="shared" ref="I4:I37" si="2">((E4+G4)/$G$38)</f>
        <v>7.3901424897776184E-3</v>
      </c>
      <c r="K4" s="2">
        <f>((H4^2-H3^2)*PI())/(36*F4)</f>
        <v>2.6477714261050945E-10</v>
      </c>
      <c r="L4" s="2">
        <f t="shared" ref="L4:L37" si="3">(1/(PI()*PI()*F4))*(-(H4-H3)*PI()*PI()/3-2*PI()*(SQRT(1-PI()/3*H4)-SQRT(1-PI()/3*H3)))</f>
        <v>2.6580667227312933E-10</v>
      </c>
      <c r="M4" s="2">
        <f t="shared" ref="M4:M37" si="4">(1/(PI()^2*F4))*LN((1-H3)/(1-H4))</f>
        <v>4.1753248869779749E-8</v>
      </c>
      <c r="N4" s="2">
        <f t="shared" ref="N4:N37" si="5">(I4&lt;0.05)*K4+((I4&gt;=0.05)*(I4&lt;0.9))*L4+(I4&gt;=0.9)*M4</f>
        <v>2.6477714261050945E-10</v>
      </c>
      <c r="O4">
        <f t="shared" ref="O4:O37" si="6">10000/(273+B4)</f>
        <v>22.573363431151243</v>
      </c>
      <c r="P4">
        <f t="shared" ref="P4:P37" si="7">LN(N4)</f>
        <v>-22.05213261503815</v>
      </c>
      <c r="Q4">
        <f t="shared" ref="Q4:Q37" si="8">LOG10(N4)</f>
        <v>-9.5771195089097958</v>
      </c>
      <c r="R4">
        <f t="shared" ref="R4:R37" si="9">$AI$2+$AH$2*O4</f>
        <v>-26.398449160416789</v>
      </c>
      <c r="S4">
        <f t="shared" ref="S4:S37" si="10">P4-R4</f>
        <v>4.3463165453786381</v>
      </c>
      <c r="U4" s="2">
        <f t="shared" ref="U4:U37" si="11" xml:space="preserve"> (I4 * PI()) / (18 * F4)</f>
        <v>7.1656843687861577E-8</v>
      </c>
      <c r="V4" s="2">
        <f t="shared" ref="V4:V37" si="12" xml:space="preserve"> (1 / (PI()^2 * F4)) * (PI()^2 / 3 - PI()^2 / (3 * SQRT(1 - (PI() / 3) * I4)))</f>
        <v>-7.207545519942476E-8</v>
      </c>
      <c r="W4" s="2">
        <f t="shared" ref="W4:W37" si="13" xml:space="preserve"> (-1) / (PI()^2 * F4 * (1 - I4))</f>
        <v>-5.6708631333923391E-6</v>
      </c>
      <c r="AH4" s="15">
        <v>0.99824238205257176</v>
      </c>
      <c r="AI4" s="16">
        <v>2.9567799815233879E-2</v>
      </c>
    </row>
    <row r="5" spans="1:35" x14ac:dyDescent="0.3">
      <c r="A5" s="5">
        <v>2</v>
      </c>
      <c r="B5" s="7">
        <v>180</v>
      </c>
      <c r="C5" s="6">
        <v>463</v>
      </c>
      <c r="D5" s="11">
        <v>0.544184151846411</v>
      </c>
      <c r="E5"/>
      <c r="F5">
        <f t="shared" si="0"/>
        <v>27780</v>
      </c>
      <c r="G5" s="11">
        <v>1.682029378378312</v>
      </c>
      <c r="H5" s="2">
        <f t="shared" si="1"/>
        <v>1.151036022892795E-2</v>
      </c>
      <c r="I5" s="2">
        <f t="shared" si="2"/>
        <v>1.151036022892795E-2</v>
      </c>
      <c r="K5" s="2">
        <f>((H5^2-H4^2)*PI())/(36*F5)</f>
        <v>2.4462940211331559E-10</v>
      </c>
      <c r="L5" s="2">
        <f t="shared" si="3"/>
        <v>2.4648968340675174E-10</v>
      </c>
      <c r="M5" s="2">
        <f t="shared" si="4"/>
        <v>1.5170940842185419E-8</v>
      </c>
      <c r="N5" s="2">
        <f t="shared" si="5"/>
        <v>2.4462940211331559E-10</v>
      </c>
      <c r="O5">
        <f t="shared" si="6"/>
        <v>22.075055187637968</v>
      </c>
      <c r="P5">
        <f t="shared" si="7"/>
        <v>-22.131276695020862</v>
      </c>
      <c r="Q5">
        <f t="shared" si="8"/>
        <v>-9.6114913461215963</v>
      </c>
      <c r="R5">
        <f t="shared" si="9"/>
        <v>-25.4643859232241</v>
      </c>
      <c r="S5">
        <f t="shared" si="10"/>
        <v>3.333109228203238</v>
      </c>
      <c r="U5">
        <f t="shared" si="11"/>
        <v>7.2315940995464729E-8</v>
      </c>
      <c r="V5" s="2">
        <f t="shared" si="12"/>
        <v>-7.2976329454655304E-8</v>
      </c>
      <c r="W5" s="2">
        <f t="shared" si="13"/>
        <v>-3.6897410784219128E-6</v>
      </c>
      <c r="AH5" s="15">
        <v>5111.5667381634794</v>
      </c>
      <c r="AI5" s="16">
        <v>9</v>
      </c>
    </row>
    <row r="6" spans="1:35" ht="15" thickBot="1" x14ac:dyDescent="0.35">
      <c r="A6" s="5">
        <v>3</v>
      </c>
      <c r="B6" s="7">
        <v>190</v>
      </c>
      <c r="C6" s="6">
        <v>550</v>
      </c>
      <c r="D6" s="11">
        <v>0.52920163854343805</v>
      </c>
      <c r="E6" s="2" cm="1">
        <f t="array" ref="E6:E37">DistilledBoundingMethod!F4:F35</f>
        <v>0.1426419055679381</v>
      </c>
      <c r="F6">
        <f t="shared" si="0"/>
        <v>33000</v>
      </c>
      <c r="G6" s="11">
        <v>2.2456606027787114</v>
      </c>
      <c r="H6" s="2">
        <f t="shared" si="1"/>
        <v>1.5367366838036753E-2</v>
      </c>
      <c r="I6" s="2">
        <f t="shared" si="2"/>
        <v>1.6343485173383934E-2</v>
      </c>
      <c r="K6" s="2">
        <f t="shared" ref="K6:K37" si="14">((H6^2-H5^2)*PI())/(36*F6)</f>
        <v>2.7414249096399491E-10</v>
      </c>
      <c r="L6" s="2">
        <f t="shared" si="3"/>
        <v>2.7709096217391979E-10</v>
      </c>
      <c r="M6" s="2">
        <f t="shared" si="4"/>
        <v>1.20036478924405E-8</v>
      </c>
      <c r="N6" s="2">
        <f t="shared" si="5"/>
        <v>2.7414249096399491E-10</v>
      </c>
      <c r="O6">
        <f t="shared" si="6"/>
        <v>21.598272138228943</v>
      </c>
      <c r="P6">
        <f t="shared" si="7"/>
        <v>-22.017373104699846</v>
      </c>
      <c r="Q6">
        <f t="shared" si="8"/>
        <v>-9.5620236453762093</v>
      </c>
      <c r="R6">
        <f t="shared" si="9"/>
        <v>-24.570670990013816</v>
      </c>
      <c r="S6">
        <f t="shared" si="10"/>
        <v>2.5532978853139703</v>
      </c>
      <c r="U6">
        <f t="shared" si="11"/>
        <v>8.6438675008007872E-8</v>
      </c>
      <c r="V6" s="2">
        <f t="shared" si="12"/>
        <v>-8.7564279584086811E-8</v>
      </c>
      <c r="W6" s="2">
        <f t="shared" si="13"/>
        <v>-3.1213526794908203E-6</v>
      </c>
      <c r="AH6" s="17">
        <v>4.4688116843569308</v>
      </c>
      <c r="AI6" s="18">
        <v>7.8682930732237016E-3</v>
      </c>
    </row>
    <row r="7" spans="1:35" x14ac:dyDescent="0.3">
      <c r="A7" s="5">
        <v>4</v>
      </c>
      <c r="B7" s="7">
        <v>200</v>
      </c>
      <c r="C7" s="6">
        <v>500</v>
      </c>
      <c r="D7" s="11">
        <v>0.51895322426698798</v>
      </c>
      <c r="E7">
        <v>0.13299380100956529</v>
      </c>
      <c r="F7">
        <f t="shared" si="0"/>
        <v>30000</v>
      </c>
      <c r="G7" s="11">
        <v>2.8028239799204773</v>
      </c>
      <c r="H7" s="2">
        <f t="shared" si="1"/>
        <v>1.9180113071667258E-2</v>
      </c>
      <c r="I7" s="2">
        <f t="shared" si="2"/>
        <v>2.0090208089930464E-2</v>
      </c>
      <c r="K7" s="2">
        <f t="shared" si="14"/>
        <v>3.8316019965913242E-10</v>
      </c>
      <c r="L7" s="2">
        <f t="shared" si="3"/>
        <v>3.8846015375598176E-10</v>
      </c>
      <c r="M7" s="2">
        <f t="shared" si="4"/>
        <v>1.3103426715695901E-8</v>
      </c>
      <c r="N7" s="2">
        <f t="shared" si="5"/>
        <v>3.8316019965913242E-10</v>
      </c>
      <c r="O7">
        <f t="shared" si="6"/>
        <v>21.141649048625794</v>
      </c>
      <c r="P7">
        <f t="shared" si="7"/>
        <v>-21.682567938328461</v>
      </c>
      <c r="Q7">
        <f t="shared" si="8"/>
        <v>-9.4166196091084178</v>
      </c>
      <c r="R7">
        <f t="shared" si="9"/>
        <v>-23.714745271738437</v>
      </c>
      <c r="S7">
        <f t="shared" si="10"/>
        <v>2.032177333409976</v>
      </c>
      <c r="U7">
        <f t="shared" si="11"/>
        <v>1.1688009286002923E-7</v>
      </c>
      <c r="V7" s="2">
        <f t="shared" si="12"/>
        <v>-1.1875726168260555E-7</v>
      </c>
      <c r="W7" s="2">
        <f t="shared" si="13"/>
        <v>-3.4466160211488954E-6</v>
      </c>
    </row>
    <row r="8" spans="1:35" x14ac:dyDescent="0.3">
      <c r="A8" s="5">
        <v>5</v>
      </c>
      <c r="B8" s="7">
        <v>210</v>
      </c>
      <c r="C8" s="6">
        <v>475</v>
      </c>
      <c r="D8" s="11">
        <v>0.57702821305164198</v>
      </c>
      <c r="E8">
        <v>0.13406375804081494</v>
      </c>
      <c r="F8">
        <f t="shared" si="0"/>
        <v>28500</v>
      </c>
      <c r="G8" s="11">
        <v>3.4217967693947355</v>
      </c>
      <c r="H8" s="2">
        <f t="shared" si="1"/>
        <v>2.3415829683003798E-2</v>
      </c>
      <c r="I8" s="2">
        <f t="shared" si="2"/>
        <v>2.4333246565568227E-2</v>
      </c>
      <c r="K8" s="2">
        <f>((H8^2-H7^2)*PI())/(36*F8)</f>
        <v>5.5245593401867848E-10</v>
      </c>
      <c r="L8" s="2">
        <f t="shared" si="3"/>
        <v>5.6190448133025614E-10</v>
      </c>
      <c r="M8" s="2">
        <f t="shared" si="4"/>
        <v>1.5386239209253838E-8</v>
      </c>
      <c r="N8" s="2">
        <f t="shared" si="5"/>
        <v>5.5245593401867848E-10</v>
      </c>
      <c r="O8">
        <f t="shared" si="6"/>
        <v>20.703933747412009</v>
      </c>
      <c r="P8">
        <f t="shared" si="7"/>
        <v>-21.316647443149691</v>
      </c>
      <c r="Q8">
        <f t="shared" si="8"/>
        <v>-9.2577023572369725</v>
      </c>
      <c r="R8">
        <f t="shared" si="9"/>
        <v>-22.894261612190803</v>
      </c>
      <c r="S8">
        <f t="shared" si="10"/>
        <v>1.5776141690411123</v>
      </c>
      <c r="U8">
        <f t="shared" si="11"/>
        <v>1.4901588430483082E-7</v>
      </c>
      <c r="V8" s="2">
        <f t="shared" si="12"/>
        <v>-1.5192562385857638E-7</v>
      </c>
      <c r="W8" s="2">
        <f t="shared" si="13"/>
        <v>-3.643794603120358E-6</v>
      </c>
    </row>
    <row r="9" spans="1:35" x14ac:dyDescent="0.3">
      <c r="A9" s="5">
        <v>6</v>
      </c>
      <c r="B9" s="7">
        <v>220</v>
      </c>
      <c r="C9" s="6">
        <v>450</v>
      </c>
      <c r="D9" s="11">
        <v>0.63333256423751405</v>
      </c>
      <c r="E9">
        <v>0.13488029339869259</v>
      </c>
      <c r="F9">
        <f t="shared" si="0"/>
        <v>27000</v>
      </c>
      <c r="G9" s="11">
        <v>4.0986662873104702</v>
      </c>
      <c r="H9" s="2">
        <f t="shared" si="1"/>
        <v>2.8047741633734663E-2</v>
      </c>
      <c r="I9" s="2">
        <f t="shared" si="2"/>
        <v>2.8970746180955635E-2</v>
      </c>
      <c r="K9" s="2">
        <f t="shared" si="14"/>
        <v>7.7044887216073224E-10</v>
      </c>
      <c r="L9" s="2">
        <f t="shared" si="3"/>
        <v>7.8642251473511226E-10</v>
      </c>
      <c r="M9" s="2">
        <f t="shared" si="4"/>
        <v>1.7840994930024539E-8</v>
      </c>
      <c r="N9" s="2">
        <f t="shared" si="5"/>
        <v>7.7044887216073224E-10</v>
      </c>
      <c r="O9">
        <f t="shared" si="6"/>
        <v>20.28397565922921</v>
      </c>
      <c r="P9">
        <f t="shared" si="7"/>
        <v>-20.984047820072568</v>
      </c>
      <c r="Q9">
        <f t="shared" si="8"/>
        <v>-9.1132561762514772</v>
      </c>
      <c r="R9">
        <f t="shared" si="9"/>
        <v>-22.107063293801296</v>
      </c>
      <c r="S9">
        <f t="shared" si="10"/>
        <v>1.1230154737287279</v>
      </c>
      <c r="U9" s="2">
        <f t="shared" si="11"/>
        <v>1.8727218800638843E-7</v>
      </c>
      <c r="V9" s="2">
        <f t="shared" si="12"/>
        <v>-1.916439673819233E-7</v>
      </c>
      <c r="W9" s="2">
        <f t="shared" si="13"/>
        <v>-3.864596680726795E-6</v>
      </c>
    </row>
    <row r="10" spans="1:35" x14ac:dyDescent="0.3">
      <c r="A10" s="5">
        <v>7</v>
      </c>
      <c r="B10" s="7">
        <v>230</v>
      </c>
      <c r="C10" s="6">
        <v>425</v>
      </c>
      <c r="D10" s="11">
        <v>0.78987804878048695</v>
      </c>
      <c r="E10">
        <v>0.15582339135746193</v>
      </c>
      <c r="F10">
        <f t="shared" si="0"/>
        <v>25500</v>
      </c>
      <c r="G10" s="11">
        <v>4.9329186716051234</v>
      </c>
      <c r="H10" s="2">
        <f t="shared" si="1"/>
        <v>3.3756646358295152E-2</v>
      </c>
      <c r="I10" s="2">
        <f t="shared" si="2"/>
        <v>3.4822967428350927E-2</v>
      </c>
      <c r="K10" s="2">
        <f t="shared" si="14"/>
        <v>1.2074781950877388E-9</v>
      </c>
      <c r="L10" s="2">
        <f t="shared" si="3"/>
        <v>1.2376881765264943E-9</v>
      </c>
      <c r="M10" s="2">
        <f t="shared" si="4"/>
        <v>2.3407040951549344E-8</v>
      </c>
      <c r="N10" s="2">
        <f t="shared" si="5"/>
        <v>1.2074781950877388E-9</v>
      </c>
      <c r="O10">
        <f t="shared" si="6"/>
        <v>19.880715705765407</v>
      </c>
      <c r="P10">
        <f t="shared" si="7"/>
        <v>-20.534731788463219</v>
      </c>
      <c r="Q10">
        <f t="shared" si="8"/>
        <v>-8.9181207030928693</v>
      </c>
      <c r="R10">
        <f t="shared" si="9"/>
        <v>-21.351165107355705</v>
      </c>
      <c r="S10">
        <f t="shared" si="10"/>
        <v>0.81643331889248572</v>
      </c>
      <c r="U10">
        <f t="shared" si="11"/>
        <v>2.3834330860371224E-7</v>
      </c>
      <c r="V10" s="2">
        <f t="shared" si="12"/>
        <v>-2.4506660265030903E-7</v>
      </c>
      <c r="W10" s="2">
        <f t="shared" si="13"/>
        <v>-4.116736740091204E-6</v>
      </c>
    </row>
    <row r="11" spans="1:35" x14ac:dyDescent="0.3">
      <c r="A11" s="5">
        <v>8</v>
      </c>
      <c r="B11" s="7">
        <v>225</v>
      </c>
      <c r="C11" s="6">
        <v>908</v>
      </c>
      <c r="D11" s="11">
        <v>0.75127118186624997</v>
      </c>
      <c r="E11">
        <v>6.6994769544214849E-2</v>
      </c>
      <c r="F11">
        <f t="shared" si="0"/>
        <v>54480</v>
      </c>
      <c r="G11" s="11">
        <v>5.7114006753916717</v>
      </c>
      <c r="H11" s="2">
        <f t="shared" si="1"/>
        <v>3.9083906637161374E-2</v>
      </c>
      <c r="I11" s="2">
        <f t="shared" si="2"/>
        <v>3.9542361133153237E-2</v>
      </c>
      <c r="K11" s="2">
        <f t="shared" si="14"/>
        <v>6.2156624758986711E-10</v>
      </c>
      <c r="L11" s="2">
        <f t="shared" si="3"/>
        <v>6.3996533535250965E-10</v>
      </c>
      <c r="M11" s="2">
        <f t="shared" si="4"/>
        <v>1.0282069269079474E-8</v>
      </c>
      <c r="N11" s="2">
        <f t="shared" si="5"/>
        <v>6.2156624758986711E-10</v>
      </c>
      <c r="O11">
        <f t="shared" si="6"/>
        <v>20.080321285140563</v>
      </c>
      <c r="P11">
        <f t="shared" si="7"/>
        <v>-21.198778617593469</v>
      </c>
      <c r="Q11">
        <f t="shared" si="8"/>
        <v>-9.2065125767094891</v>
      </c>
      <c r="R11">
        <f t="shared" si="9"/>
        <v>-21.72531953096783</v>
      </c>
      <c r="S11">
        <f t="shared" si="10"/>
        <v>0.52654091337436171</v>
      </c>
      <c r="U11">
        <f t="shared" si="11"/>
        <v>1.2667848674488983E-7</v>
      </c>
      <c r="V11" s="2">
        <f t="shared" si="12"/>
        <v>-1.3075354426832804E-7</v>
      </c>
      <c r="W11" s="2">
        <f t="shared" si="13"/>
        <v>-1.9363548191153302E-6</v>
      </c>
    </row>
    <row r="12" spans="1:35" x14ac:dyDescent="0.3">
      <c r="A12" s="5">
        <v>9</v>
      </c>
      <c r="B12" s="7">
        <v>215</v>
      </c>
      <c r="C12" s="6">
        <v>450</v>
      </c>
      <c r="D12" s="11">
        <v>0.141512821493641</v>
      </c>
      <c r="E12">
        <v>3.2510015207520296E-2</v>
      </c>
      <c r="F12">
        <f t="shared" si="0"/>
        <v>27000</v>
      </c>
      <c r="G12" s="11">
        <v>5.8728624970617931</v>
      </c>
      <c r="H12" s="2">
        <f t="shared" si="1"/>
        <v>4.0188812267545691E-2</v>
      </c>
      <c r="I12" s="2">
        <f t="shared" si="2"/>
        <v>4.0411282808724497E-2</v>
      </c>
      <c r="K12" s="2">
        <f t="shared" si="14"/>
        <v>2.8309522775545289E-10</v>
      </c>
      <c r="L12" s="2">
        <f t="shared" si="3"/>
        <v>2.922250390784519E-10</v>
      </c>
      <c r="M12" s="2">
        <f t="shared" si="4"/>
        <v>4.3174370664560529E-9</v>
      </c>
      <c r="N12" s="2">
        <f t="shared" si="5"/>
        <v>2.8309522775545289E-10</v>
      </c>
      <c r="O12">
        <f t="shared" si="6"/>
        <v>20.491803278688526</v>
      </c>
      <c r="P12">
        <f t="shared" si="7"/>
        <v>-21.985237781051143</v>
      </c>
      <c r="Q12">
        <f t="shared" si="8"/>
        <v>-9.548067451641403</v>
      </c>
      <c r="R12">
        <f t="shared" si="9"/>
        <v>-22.496629674725611</v>
      </c>
      <c r="S12">
        <f t="shared" si="10"/>
        <v>0.51139189367446747</v>
      </c>
      <c r="U12">
        <f t="shared" si="11"/>
        <v>2.6122590369141646E-7</v>
      </c>
      <c r="V12" s="2">
        <f t="shared" si="12"/>
        <v>-2.6982058211367877E-7</v>
      </c>
      <c r="W12" s="2">
        <f t="shared" si="13"/>
        <v>-3.9106716908694955E-6</v>
      </c>
    </row>
    <row r="13" spans="1:35" s="9" customFormat="1" x14ac:dyDescent="0.3">
      <c r="A13" s="95">
        <v>10</v>
      </c>
      <c r="B13" s="96">
        <v>205</v>
      </c>
      <c r="C13" s="97">
        <v>520</v>
      </c>
      <c r="D13" s="98">
        <v>7.6269133314252294E-2</v>
      </c>
      <c r="E13" s="9">
        <v>1.7161164539828491E-2</v>
      </c>
      <c r="F13" s="9">
        <f t="shared" si="0"/>
        <v>31200</v>
      </c>
      <c r="G13" s="98">
        <v>5.9575572993078474</v>
      </c>
      <c r="H13" s="39">
        <f t="shared" si="1"/>
        <v>4.0768390541208066E-2</v>
      </c>
      <c r="I13" s="39">
        <f t="shared" si="2"/>
        <v>4.0885826769338503E-2</v>
      </c>
      <c r="J13" s="73"/>
      <c r="K13" s="39">
        <f t="shared" si="14"/>
        <v>1.3123823139929786E-10</v>
      </c>
      <c r="L13" s="39">
        <f t="shared" si="3"/>
        <v>1.3556367987460735E-10</v>
      </c>
      <c r="M13" s="39">
        <f t="shared" si="4"/>
        <v>1.9615668174300319E-9</v>
      </c>
      <c r="N13" s="39">
        <f t="shared" si="5"/>
        <v>1.3123823139929786E-10</v>
      </c>
      <c r="O13" s="9">
        <f t="shared" si="6"/>
        <v>20.92050209205021</v>
      </c>
      <c r="P13" s="9">
        <f t="shared" si="7"/>
        <v>-22.754006884006166</v>
      </c>
      <c r="Q13" s="9">
        <f t="shared" si="8"/>
        <v>-9.8819396309124841</v>
      </c>
      <c r="R13" s="9">
        <f t="shared" si="9"/>
        <v>-23.300212209435607</v>
      </c>
      <c r="S13" s="9">
        <f t="shared" si="10"/>
        <v>0.54620532542944034</v>
      </c>
      <c r="U13" s="9">
        <f t="shared" si="11"/>
        <v>2.2871547901442085E-7</v>
      </c>
      <c r="V13" s="39">
        <f t="shared" si="12"/>
        <v>-2.3633216864257865E-7</v>
      </c>
      <c r="W13" s="39">
        <f t="shared" si="13"/>
        <v>-3.3859095458380996E-6</v>
      </c>
    </row>
    <row r="14" spans="1:35" s="9" customFormat="1" x14ac:dyDescent="0.3">
      <c r="A14" s="95">
        <v>11</v>
      </c>
      <c r="B14" s="96">
        <v>195</v>
      </c>
      <c r="C14" s="97">
        <v>1106</v>
      </c>
      <c r="D14" s="98">
        <v>6.7045156410478396E-2</v>
      </c>
      <c r="E14" s="9">
        <v>7.3345908498363586E-3</v>
      </c>
      <c r="F14" s="9">
        <f t="shared" si="0"/>
        <v>66360</v>
      </c>
      <c r="G14" s="98">
        <v>6.0383537324714629</v>
      </c>
      <c r="H14" s="39">
        <f t="shared" si="1"/>
        <v>4.1321291734778387E-2</v>
      </c>
      <c r="I14" s="39">
        <f t="shared" si="2"/>
        <v>4.1371483356814627E-2</v>
      </c>
      <c r="J14" s="73"/>
      <c r="K14" s="39">
        <f t="shared" si="14"/>
        <v>5.9686635243896057E-11</v>
      </c>
      <c r="L14" s="39">
        <f t="shared" si="3"/>
        <v>6.168237263997678E-11</v>
      </c>
      <c r="M14" s="39">
        <f t="shared" si="4"/>
        <v>8.8032516523220032E-10</v>
      </c>
      <c r="N14" s="39">
        <f t="shared" si="5"/>
        <v>5.9686635243896057E-11</v>
      </c>
      <c r="O14" s="9">
        <f t="shared" si="6"/>
        <v>21.367521367521366</v>
      </c>
      <c r="P14" s="9">
        <f t="shared" si="7"/>
        <v>-23.541912985852932</v>
      </c>
      <c r="Q14" s="9">
        <f t="shared" si="8"/>
        <v>-10.224122903202435</v>
      </c>
      <c r="R14" s="9">
        <f t="shared" si="9"/>
        <v>-24.138135878107555</v>
      </c>
      <c r="S14" s="9">
        <f t="shared" si="10"/>
        <v>0.5962228922546231</v>
      </c>
      <c r="U14" s="9">
        <f t="shared" si="11"/>
        <v>1.0881081992321447E-7</v>
      </c>
      <c r="V14" s="39">
        <f t="shared" si="12"/>
        <v>-1.1247910204848009E-7</v>
      </c>
      <c r="W14" s="39">
        <f t="shared" si="13"/>
        <v>-1.5927350352701897E-6</v>
      </c>
    </row>
    <row r="15" spans="1:35" s="9" customFormat="1" x14ac:dyDescent="0.3">
      <c r="A15" s="95">
        <v>12</v>
      </c>
      <c r="B15" s="96">
        <v>185</v>
      </c>
      <c r="C15" s="97">
        <v>740</v>
      </c>
      <c r="D15" s="98">
        <v>2.2678534031413601E-2</v>
      </c>
      <c r="E15" s="9">
        <v>4.6183250516809334E-3</v>
      </c>
      <c r="F15" s="9">
        <f t="shared" si="0"/>
        <v>44400</v>
      </c>
      <c r="G15" s="98">
        <v>6.0633601728868252</v>
      </c>
      <c r="H15" s="39">
        <f t="shared" si="1"/>
        <v>4.1492414273376105E-2</v>
      </c>
      <c r="I15" s="39">
        <f t="shared" si="2"/>
        <v>4.1524018111978728E-2</v>
      </c>
      <c r="J15" s="73"/>
      <c r="K15" s="39">
        <f t="shared" si="14"/>
        <v>2.7853119113636402E-11</v>
      </c>
      <c r="L15" s="39">
        <f t="shared" si="3"/>
        <v>2.8792951140800605E-11</v>
      </c>
      <c r="M15" s="39">
        <f t="shared" si="4"/>
        <v>4.0737106658990819E-10</v>
      </c>
      <c r="N15" s="39">
        <f t="shared" si="5"/>
        <v>2.7853119113636402E-11</v>
      </c>
      <c r="O15" s="9">
        <f t="shared" si="6"/>
        <v>21.834061135371179</v>
      </c>
      <c r="P15" s="9">
        <f t="shared" si="7"/>
        <v>-24.304076158927465</v>
      </c>
      <c r="Q15" s="9">
        <f t="shared" si="8"/>
        <v>-10.55512616357858</v>
      </c>
      <c r="R15" s="9">
        <f t="shared" si="9"/>
        <v>-25.012650099996634</v>
      </c>
      <c r="S15" s="9">
        <f t="shared" si="10"/>
        <v>0.70857394106916871</v>
      </c>
      <c r="U15" s="9">
        <f t="shared" si="11"/>
        <v>1.6322766547562799E-7</v>
      </c>
      <c r="V15" s="39">
        <f t="shared" si="12"/>
        <v>-1.6875152853770844E-7</v>
      </c>
      <c r="W15" s="39">
        <f t="shared" si="13"/>
        <v>-2.3808720131912498E-6</v>
      </c>
    </row>
    <row r="16" spans="1:35" s="9" customFormat="1" x14ac:dyDescent="0.3">
      <c r="A16" s="95">
        <v>13</v>
      </c>
      <c r="B16" s="96">
        <v>175</v>
      </c>
      <c r="C16" s="97">
        <v>920</v>
      </c>
      <c r="D16" s="98">
        <v>1.80179115952207E-2</v>
      </c>
      <c r="E16" s="9">
        <v>3.3584635186452907E-3</v>
      </c>
      <c r="F16" s="9">
        <f t="shared" si="0"/>
        <v>55200</v>
      </c>
      <c r="G16" s="98">
        <v>6.0856701125021608</v>
      </c>
      <c r="H16" s="39">
        <f t="shared" si="1"/>
        <v>4.1645084283162576E-2</v>
      </c>
      <c r="I16" s="39">
        <f t="shared" si="2"/>
        <v>4.1668066714630324E-2</v>
      </c>
      <c r="J16" s="73"/>
      <c r="K16" s="39">
        <f t="shared" si="14"/>
        <v>2.0065915587050467E-11</v>
      </c>
      <c r="L16" s="39">
        <f t="shared" si="3"/>
        <v>2.0745735505690363E-11</v>
      </c>
      <c r="M16" s="39">
        <f t="shared" si="4"/>
        <v>2.9238423029388275E-10</v>
      </c>
      <c r="N16" s="39">
        <f t="shared" si="5"/>
        <v>2.0065915587050467E-11</v>
      </c>
      <c r="O16" s="9">
        <f t="shared" si="6"/>
        <v>22.321428571428573</v>
      </c>
      <c r="P16" s="9">
        <f t="shared" si="7"/>
        <v>-24.631998482199126</v>
      </c>
      <c r="Q16" s="9">
        <f t="shared" si="8"/>
        <v>-10.697541019068355</v>
      </c>
      <c r="R16" s="9">
        <f t="shared" si="9"/>
        <v>-25.926205135362899</v>
      </c>
      <c r="S16" s="9">
        <f t="shared" si="10"/>
        <v>1.2942066531637728</v>
      </c>
      <c r="U16" s="9">
        <f t="shared" si="11"/>
        <v>1.3174727483894125E-7</v>
      </c>
      <c r="V16" s="39">
        <f t="shared" si="12"/>
        <v>-1.3622184808484733E-7</v>
      </c>
      <c r="W16" s="39">
        <f t="shared" si="13"/>
        <v>-1.9153370825077231E-6</v>
      </c>
    </row>
    <row r="17" spans="1:31" s="9" customFormat="1" x14ac:dyDescent="0.3">
      <c r="A17" s="95">
        <v>14</v>
      </c>
      <c r="B17" s="96">
        <v>200</v>
      </c>
      <c r="C17" s="97">
        <v>260</v>
      </c>
      <c r="D17" s="98">
        <v>2.24239448032976E-2</v>
      </c>
      <c r="E17" s="9">
        <v>1.3606769693483249E-2</v>
      </c>
      <c r="F17" s="9">
        <f t="shared" si="0"/>
        <v>15600</v>
      </c>
      <c r="G17" s="98">
        <v>6.1101517653644759</v>
      </c>
      <c r="H17" s="39">
        <f t="shared" si="1"/>
        <v>4.1812615627779451E-2</v>
      </c>
      <c r="I17" s="39">
        <f t="shared" si="2"/>
        <v>4.1905728639203221E-2</v>
      </c>
      <c r="J17" s="73"/>
      <c r="K17" s="39">
        <f t="shared" si="14"/>
        <v>7.8214137256399401E-11</v>
      </c>
      <c r="L17" s="39">
        <f t="shared" si="3"/>
        <v>8.0874573966284653E-11</v>
      </c>
      <c r="M17" s="39">
        <f t="shared" si="4"/>
        <v>1.1354900113488022E-9</v>
      </c>
      <c r="N17" s="39">
        <f t="shared" si="5"/>
        <v>7.8214137256399401E-11</v>
      </c>
      <c r="O17" s="9">
        <f t="shared" si="6"/>
        <v>21.141649048625794</v>
      </c>
      <c r="P17" s="9">
        <f t="shared" si="7"/>
        <v>-23.271570701386704</v>
      </c>
      <c r="Q17" s="9">
        <f t="shared" si="8"/>
        <v>-10.106714740833633</v>
      </c>
      <c r="R17" s="9">
        <f t="shared" si="9"/>
        <v>-23.714745271738437</v>
      </c>
      <c r="S17" s="9">
        <f t="shared" si="10"/>
        <v>0.44317457035173291</v>
      </c>
      <c r="U17" s="9">
        <f t="shared" si="11"/>
        <v>4.6884162833421737E-7</v>
      </c>
      <c r="V17" s="39">
        <f t="shared" si="12"/>
        <v>-4.8485932385664883E-7</v>
      </c>
      <c r="W17" s="39">
        <f t="shared" si="13"/>
        <v>-6.7790277674406166E-6</v>
      </c>
    </row>
    <row r="18" spans="1:31" s="9" customFormat="1" x14ac:dyDescent="0.3">
      <c r="A18" s="95">
        <v>15</v>
      </c>
      <c r="B18" s="96">
        <v>209.99</v>
      </c>
      <c r="C18" s="97">
        <v>520</v>
      </c>
      <c r="D18" s="98">
        <v>8.1207064838573401E-2</v>
      </c>
      <c r="E18" s="9">
        <v>1.689740953964939E-2</v>
      </c>
      <c r="F18" s="9">
        <f t="shared" si="0"/>
        <v>31200</v>
      </c>
      <c r="G18" s="98">
        <v>6.2030276702175868</v>
      </c>
      <c r="H18" s="39">
        <f t="shared" si="1"/>
        <v>4.2448178320791168E-2</v>
      </c>
      <c r="I18" s="39">
        <f t="shared" si="2"/>
        <v>4.2563809636888994E-2</v>
      </c>
      <c r="J18" s="73"/>
      <c r="K18" s="39">
        <f t="shared" si="14"/>
        <v>1.4978789632580962E-10</v>
      </c>
      <c r="L18" s="39">
        <f t="shared" si="3"/>
        <v>1.5493390313709698E-10</v>
      </c>
      <c r="M18" s="39">
        <f t="shared" si="4"/>
        <v>2.154753930037986E-9</v>
      </c>
      <c r="N18" s="39">
        <f t="shared" si="5"/>
        <v>1.4978789632580962E-10</v>
      </c>
      <c r="O18" s="9">
        <f t="shared" si="6"/>
        <v>20.704362409159611</v>
      </c>
      <c r="P18" s="9">
        <f t="shared" si="7"/>
        <v>-22.621800847002962</v>
      </c>
      <c r="Q18" s="9">
        <f t="shared" si="8"/>
        <v>-9.8245232785676944</v>
      </c>
      <c r="R18" s="9">
        <f t="shared" si="9"/>
        <v>-22.895065125246909</v>
      </c>
      <c r="S18" s="9">
        <f t="shared" si="10"/>
        <v>0.27326427824394628</v>
      </c>
      <c r="U18" s="9">
        <f t="shared" si="11"/>
        <v>2.3810212190891187E-7</v>
      </c>
      <c r="V18" s="39">
        <f t="shared" si="12"/>
        <v>-2.4636943134326349E-7</v>
      </c>
      <c r="W18" s="39">
        <f t="shared" si="13"/>
        <v>-3.3918436208878817E-6</v>
      </c>
    </row>
    <row r="19" spans="1:31" x14ac:dyDescent="0.3">
      <c r="A19" s="5">
        <v>16</v>
      </c>
      <c r="B19" s="7">
        <v>219.98</v>
      </c>
      <c r="C19" s="6">
        <v>1167</v>
      </c>
      <c r="D19" s="11">
        <v>0.576620115600047</v>
      </c>
      <c r="E19">
        <v>4.1885014562295146E-2</v>
      </c>
      <c r="F19">
        <f t="shared" si="0"/>
        <v>70020</v>
      </c>
      <c r="G19" s="11">
        <v>6.7985876520417872</v>
      </c>
      <c r="H19" s="2">
        <f t="shared" si="1"/>
        <v>4.6523677843480556E-2</v>
      </c>
      <c r="I19" s="2">
        <f t="shared" si="2"/>
        <v>4.6810302804972441E-2</v>
      </c>
      <c r="K19" s="2">
        <f t="shared" si="14"/>
        <v>4.5191708788977451E-10</v>
      </c>
      <c r="L19" s="2">
        <f t="shared" si="3"/>
        <v>4.68358190063494E-10</v>
      </c>
      <c r="M19" s="2">
        <f t="shared" si="4"/>
        <v>6.1719523699168344E-9</v>
      </c>
      <c r="N19" s="2">
        <f t="shared" si="5"/>
        <v>4.5191708788977451E-10</v>
      </c>
      <c r="O19">
        <f t="shared" si="6"/>
        <v>20.28479857195018</v>
      </c>
      <c r="P19">
        <f t="shared" si="7"/>
        <v>-21.517522386794546</v>
      </c>
      <c r="Q19">
        <f t="shared" si="8"/>
        <v>-9.3449412368145612</v>
      </c>
      <c r="R19">
        <f t="shared" si="9"/>
        <v>-22.108605817992064</v>
      </c>
      <c r="S19">
        <f t="shared" si="10"/>
        <v>0.59108343119751794</v>
      </c>
      <c r="U19">
        <f t="shared" si="11"/>
        <v>1.1668007823511941E-7</v>
      </c>
      <c r="V19" s="2">
        <f t="shared" si="12"/>
        <v>-1.2115288606288117E-7</v>
      </c>
      <c r="W19" s="2">
        <f t="shared" si="13"/>
        <v>-1.5180945064099014E-6</v>
      </c>
    </row>
    <row r="20" spans="1:31" x14ac:dyDescent="0.3">
      <c r="A20" s="5">
        <v>17</v>
      </c>
      <c r="B20" s="7">
        <v>229.99</v>
      </c>
      <c r="C20" s="6">
        <v>370</v>
      </c>
      <c r="D20" s="11">
        <v>0.35768644224377999</v>
      </c>
      <c r="E20">
        <v>8.3512557592208367E-2</v>
      </c>
      <c r="F20">
        <f t="shared" si="0"/>
        <v>22200</v>
      </c>
      <c r="G20" s="11">
        <v>7.1814697077418925</v>
      </c>
      <c r="H20" s="2">
        <f t="shared" si="1"/>
        <v>4.9143792832524132E-2</v>
      </c>
      <c r="I20" s="2">
        <f t="shared" si="2"/>
        <v>4.9715280842116565E-2</v>
      </c>
      <c r="K20" s="2">
        <f t="shared" si="14"/>
        <v>9.8532395417722847E-10</v>
      </c>
      <c r="L20" s="2">
        <f t="shared" si="3"/>
        <v>1.0239677758582609E-9</v>
      </c>
      <c r="M20" s="2">
        <f t="shared" si="4"/>
        <v>1.2559001592729454E-8</v>
      </c>
      <c r="N20" s="2">
        <f t="shared" si="5"/>
        <v>9.8532395417722847E-10</v>
      </c>
      <c r="O20">
        <f t="shared" si="6"/>
        <v>19.881110956480249</v>
      </c>
      <c r="P20">
        <f t="shared" si="7"/>
        <v>-20.738050641338521</v>
      </c>
      <c r="Q20">
        <f t="shared" si="8"/>
        <v>-9.0064209589635134</v>
      </c>
      <c r="R20">
        <f t="shared" si="9"/>
        <v>-21.351905992474535</v>
      </c>
      <c r="S20">
        <f t="shared" si="10"/>
        <v>0.61385535113601364</v>
      </c>
      <c r="U20">
        <f t="shared" si="11"/>
        <v>3.9085375641828525E-7</v>
      </c>
      <c r="V20" s="2">
        <f t="shared" si="12"/>
        <v>-4.0680890342571311E-7</v>
      </c>
      <c r="W20" s="2">
        <f t="shared" si="13"/>
        <v>-4.8027893000646105E-6</v>
      </c>
    </row>
    <row r="21" spans="1:31" x14ac:dyDescent="0.3">
      <c r="A21" s="5">
        <v>18</v>
      </c>
      <c r="B21" s="7">
        <v>240</v>
      </c>
      <c r="C21" s="6">
        <v>320</v>
      </c>
      <c r="D21" s="11">
        <v>0.67668226199703296</v>
      </c>
      <c r="E21">
        <v>0.16370415300486033</v>
      </c>
      <c r="F21">
        <f t="shared" si="0"/>
        <v>19200</v>
      </c>
      <c r="G21" s="11">
        <v>7.9194197655198151</v>
      </c>
      <c r="H21" s="2">
        <f t="shared" si="1"/>
        <v>5.4193687385597537E-2</v>
      </c>
      <c r="I21" s="2">
        <f t="shared" si="2"/>
        <v>5.5313937600177131E-2</v>
      </c>
      <c r="K21" s="2">
        <f t="shared" si="14"/>
        <v>2.3718450870413417E-9</v>
      </c>
      <c r="L21" s="2">
        <f t="shared" si="3"/>
        <v>2.4727397680164717E-9</v>
      </c>
      <c r="M21" s="2">
        <f t="shared" si="4"/>
        <v>2.8101033674792555E-8</v>
      </c>
      <c r="N21" s="2">
        <f t="shared" si="5"/>
        <v>2.4727397680164717E-9</v>
      </c>
      <c r="O21">
        <f t="shared" si="6"/>
        <v>19.49317738791423</v>
      </c>
      <c r="P21">
        <f t="shared" si="7"/>
        <v>-19.817939083213641</v>
      </c>
      <c r="Q21">
        <f t="shared" si="8"/>
        <v>-8.6068215865344744</v>
      </c>
      <c r="R21">
        <f t="shared" si="9"/>
        <v>-20.624736635781289</v>
      </c>
      <c r="S21">
        <f t="shared" si="10"/>
        <v>0.80679755256764807</v>
      </c>
      <c r="U21">
        <f t="shared" si="11"/>
        <v>5.0281788196134464E-7</v>
      </c>
      <c r="V21" s="2">
        <f t="shared" si="12"/>
        <v>-5.2577284660433469E-7</v>
      </c>
      <c r="W21" s="2">
        <f t="shared" si="13"/>
        <v>-5.5861361688411305E-6</v>
      </c>
      <c r="Y21" s="2"/>
      <c r="Z21" s="2"/>
    </row>
    <row r="22" spans="1:31" x14ac:dyDescent="0.3">
      <c r="A22" s="5">
        <v>19</v>
      </c>
      <c r="B22" s="7">
        <v>245</v>
      </c>
      <c r="C22" s="6">
        <v>250</v>
      </c>
      <c r="D22" s="11">
        <v>0.55490965024488204</v>
      </c>
      <c r="E22">
        <v>0.17093539216439185</v>
      </c>
      <c r="F22">
        <f t="shared" si="0"/>
        <v>15000</v>
      </c>
      <c r="G22" s="11">
        <v>8.5151292281677282</v>
      </c>
      <c r="H22" s="2">
        <f t="shared" si="1"/>
        <v>5.8270209826287264E-2</v>
      </c>
      <c r="I22" s="2">
        <f t="shared" si="2"/>
        <v>5.9439944412957899E-2</v>
      </c>
      <c r="K22" s="2">
        <f t="shared" si="14"/>
        <v>2.667221475693456E-9</v>
      </c>
      <c r="L22" s="2">
        <f t="shared" si="3"/>
        <v>2.7911729272028635E-9</v>
      </c>
      <c r="M22" s="2">
        <f t="shared" si="4"/>
        <v>2.9176570126435307E-8</v>
      </c>
      <c r="N22" s="2">
        <f t="shared" si="5"/>
        <v>2.7911729272028635E-9</v>
      </c>
      <c r="O22">
        <f t="shared" si="6"/>
        <v>19.305019305019304</v>
      </c>
      <c r="P22">
        <f t="shared" si="7"/>
        <v>-19.696803925442783</v>
      </c>
      <c r="Q22">
        <f t="shared" si="8"/>
        <v>-8.5542132559501098</v>
      </c>
      <c r="R22">
        <f t="shared" si="9"/>
        <v>-20.272040186744668</v>
      </c>
      <c r="S22">
        <f t="shared" si="10"/>
        <v>0.57523626130188532</v>
      </c>
      <c r="U22">
        <f t="shared" si="11"/>
        <v>6.9161515813901548E-7</v>
      </c>
      <c r="V22" s="2">
        <f t="shared" si="12"/>
        <v>-7.256739552523531E-7</v>
      </c>
      <c r="W22" s="2">
        <f t="shared" si="13"/>
        <v>-7.181620712076635E-6</v>
      </c>
    </row>
    <row r="23" spans="1:31" x14ac:dyDescent="0.3">
      <c r="A23" s="5">
        <v>20</v>
      </c>
      <c r="B23" s="7">
        <v>249.99</v>
      </c>
      <c r="C23" s="6">
        <v>210</v>
      </c>
      <c r="D23" s="11">
        <v>0.69344251385634403</v>
      </c>
      <c r="E23">
        <v>0.24861073914416129</v>
      </c>
      <c r="F23">
        <f t="shared" si="0"/>
        <v>12600</v>
      </c>
      <c r="G23" s="11">
        <v>9.2547747615459457</v>
      </c>
      <c r="H23" s="2">
        <f t="shared" si="1"/>
        <v>6.333170675395032E-2</v>
      </c>
      <c r="I23" s="2">
        <f t="shared" si="2"/>
        <v>6.5032984508735014E-2</v>
      </c>
      <c r="K23" s="2">
        <f t="shared" si="14"/>
        <v>4.2628124383779052E-9</v>
      </c>
      <c r="L23" s="2">
        <f t="shared" si="3"/>
        <v>4.4779520387503297E-9</v>
      </c>
      <c r="M23" s="2">
        <f t="shared" si="4"/>
        <v>4.3336326777405002E-8</v>
      </c>
      <c r="N23" s="2">
        <f t="shared" si="5"/>
        <v>4.4779520387503297E-9</v>
      </c>
      <c r="O23">
        <f t="shared" si="6"/>
        <v>19.120824489952007</v>
      </c>
      <c r="P23">
        <f t="shared" si="7"/>
        <v>-19.224100029244727</v>
      </c>
      <c r="Q23">
        <f t="shared" si="8"/>
        <v>-8.3489205622571276</v>
      </c>
      <c r="R23">
        <f t="shared" si="9"/>
        <v>-19.926772759453385</v>
      </c>
      <c r="S23">
        <f t="shared" si="10"/>
        <v>0.70267273020865773</v>
      </c>
      <c r="U23">
        <f t="shared" si="11"/>
        <v>9.0082516037769286E-7</v>
      </c>
      <c r="V23" s="2">
        <f t="shared" si="12"/>
        <v>-9.4961341977940018E-7</v>
      </c>
      <c r="W23" s="2">
        <f t="shared" si="13"/>
        <v>-8.6006924820900762E-6</v>
      </c>
    </row>
    <row r="24" spans="1:31" x14ac:dyDescent="0.3">
      <c r="A24" s="5">
        <v>21</v>
      </c>
      <c r="B24" s="7">
        <v>244.909999999999</v>
      </c>
      <c r="C24" s="6">
        <v>270</v>
      </c>
      <c r="D24" s="11">
        <v>0.465872340425531</v>
      </c>
      <c r="E24">
        <v>0.13015995584759732</v>
      </c>
      <c r="F24">
        <f t="shared" si="0"/>
        <v>16200</v>
      </c>
      <c r="G24" s="11">
        <v>9.7499793316782419</v>
      </c>
      <c r="H24" s="2">
        <f t="shared" si="1"/>
        <v>6.6720460281388505E-2</v>
      </c>
      <c r="I24" s="2">
        <f t="shared" si="2"/>
        <v>6.7611162904330585E-2</v>
      </c>
      <c r="K24" s="2">
        <f t="shared" si="14"/>
        <v>2.3740503924198151E-9</v>
      </c>
      <c r="L24" s="2">
        <f t="shared" si="3"/>
        <v>2.5026460863782484E-9</v>
      </c>
      <c r="M24" s="2">
        <f t="shared" si="4"/>
        <v>2.2668678488328572E-8</v>
      </c>
      <c r="N24" s="2">
        <f t="shared" si="5"/>
        <v>2.5026460863782484E-9</v>
      </c>
      <c r="O24">
        <f t="shared" si="6"/>
        <v>19.308374041821978</v>
      </c>
      <c r="P24">
        <f t="shared" si="7"/>
        <v>-19.80591723026787</v>
      </c>
      <c r="Q24">
        <f t="shared" si="8"/>
        <v>-8.6016005621378735</v>
      </c>
      <c r="R24">
        <f t="shared" si="9"/>
        <v>-20.278328536091941</v>
      </c>
      <c r="S24">
        <f t="shared" si="10"/>
        <v>0.47241130582407109</v>
      </c>
      <c r="U24">
        <f t="shared" si="11"/>
        <v>7.2841815048322263E-7</v>
      </c>
      <c r="V24" s="2">
        <f t="shared" si="12"/>
        <v>-7.6953160874803999E-7</v>
      </c>
      <c r="W24" s="2">
        <f t="shared" si="13"/>
        <v>-6.7079246374057738E-6</v>
      </c>
    </row>
    <row r="25" spans="1:31" x14ac:dyDescent="0.3">
      <c r="A25" s="5">
        <v>22</v>
      </c>
      <c r="B25" s="7">
        <v>239.99</v>
      </c>
      <c r="C25" s="6">
        <v>320</v>
      </c>
      <c r="D25" s="11">
        <v>0.28572750818781401</v>
      </c>
      <c r="E25">
        <v>6.9133509342071728E-2</v>
      </c>
      <c r="F25">
        <f t="shared" si="0"/>
        <v>19200</v>
      </c>
      <c r="G25" s="11">
        <v>10.053632662874906</v>
      </c>
      <c r="H25" s="2">
        <f t="shared" si="1"/>
        <v>6.8798402124566851E-2</v>
      </c>
      <c r="I25" s="2">
        <f t="shared" si="2"/>
        <v>6.9271492313505406E-2</v>
      </c>
      <c r="K25" s="2">
        <f t="shared" si="14"/>
        <v>1.2799095486322261E-9</v>
      </c>
      <c r="L25" s="2">
        <f t="shared" si="3"/>
        <v>1.3523252039682833E-9</v>
      </c>
      <c r="M25" s="2">
        <f t="shared" si="4"/>
        <v>1.1762634320376259E-8</v>
      </c>
      <c r="N25" s="2">
        <f t="shared" si="5"/>
        <v>1.3523252039682833E-9</v>
      </c>
      <c r="O25">
        <f t="shared" si="6"/>
        <v>19.493557379286145</v>
      </c>
      <c r="P25">
        <f t="shared" si="7"/>
        <v>-20.421440352770158</v>
      </c>
      <c r="Q25">
        <f t="shared" si="8"/>
        <v>-8.8689188577244771</v>
      </c>
      <c r="R25">
        <f t="shared" si="9"/>
        <v>-20.625448917738446</v>
      </c>
      <c r="S25">
        <f t="shared" si="10"/>
        <v>0.20400856496828723</v>
      </c>
      <c r="U25">
        <f t="shared" si="11"/>
        <v>6.2969563470865288E-7</v>
      </c>
      <c r="V25" s="2">
        <f t="shared" si="12"/>
        <v>-6.6616629996637619E-7</v>
      </c>
      <c r="W25" s="2">
        <f t="shared" si="13"/>
        <v>-5.6699079675652373E-6</v>
      </c>
      <c r="AB25" t="s">
        <v>153</v>
      </c>
      <c r="AC25" t="s">
        <v>397</v>
      </c>
    </row>
    <row r="26" spans="1:31" x14ac:dyDescent="0.3">
      <c r="A26" s="5">
        <v>23</v>
      </c>
      <c r="B26" s="7">
        <v>235</v>
      </c>
      <c r="C26" s="6">
        <v>370</v>
      </c>
      <c r="D26" s="11">
        <v>0.21993533317982999</v>
      </c>
      <c r="E26">
        <v>4.7779571417787325E-2</v>
      </c>
      <c r="F26">
        <f t="shared" si="0"/>
        <v>22200</v>
      </c>
      <c r="G26" s="11">
        <v>10.28791368707695</v>
      </c>
      <c r="H26" s="2">
        <f t="shared" si="1"/>
        <v>7.0401619653363903E-2</v>
      </c>
      <c r="I26" s="2">
        <f t="shared" si="2"/>
        <v>7.0728581884625732E-2</v>
      </c>
      <c r="K26" s="2">
        <f t="shared" si="14"/>
        <v>8.7725560815818519E-10</v>
      </c>
      <c r="L26" s="2">
        <f t="shared" si="3"/>
        <v>9.2832364097232273E-10</v>
      </c>
      <c r="M26" s="2">
        <f t="shared" si="4"/>
        <v>7.8644823764938398E-9</v>
      </c>
      <c r="N26" s="2">
        <f t="shared" si="5"/>
        <v>9.2832364097232273E-10</v>
      </c>
      <c r="O26">
        <f t="shared" si="6"/>
        <v>19.685039370078741</v>
      </c>
      <c r="P26">
        <f t="shared" si="7"/>
        <v>-20.797640692894099</v>
      </c>
      <c r="Q26">
        <f t="shared" si="8"/>
        <v>-9.0323005895304291</v>
      </c>
      <c r="R26">
        <f t="shared" si="9"/>
        <v>-20.984375928302875</v>
      </c>
      <c r="S26">
        <f t="shared" si="10"/>
        <v>0.18673523540877568</v>
      </c>
      <c r="U26">
        <f t="shared" si="11"/>
        <v>5.560570401590699E-7</v>
      </c>
      <c r="V26" s="2">
        <f t="shared" si="12"/>
        <v>-5.8898500307700738E-7</v>
      </c>
      <c r="W26" s="2">
        <f t="shared" si="13"/>
        <v>-4.9113931540502177E-6</v>
      </c>
      <c r="Z26" t="s">
        <v>148</v>
      </c>
      <c r="AA26">
        <f>-10000*1.987046*AH2</f>
        <v>37246.55659166001</v>
      </c>
      <c r="AB26">
        <f>2*AH3*10000*1.987046</f>
        <v>1041.9313532136898</v>
      </c>
      <c r="AC26">
        <f>AA26*8.314/(1000*1.987)</f>
        <v>155.84694086716726</v>
      </c>
      <c r="AD26">
        <f>AB26*8.314/(1000*1.987)</f>
        <v>4.3596463364965361</v>
      </c>
    </row>
    <row r="27" spans="1:31" x14ac:dyDescent="0.3">
      <c r="A27" s="5">
        <v>24</v>
      </c>
      <c r="B27" s="7">
        <v>230</v>
      </c>
      <c r="C27" s="6">
        <v>420</v>
      </c>
      <c r="D27" s="11">
        <v>0.14002473498233201</v>
      </c>
      <c r="E27">
        <v>2.8018065944746637E-2</v>
      </c>
      <c r="F27">
        <f t="shared" si="0"/>
        <v>25200</v>
      </c>
      <c r="G27" s="11">
        <v>10.441446014382523</v>
      </c>
      <c r="H27" s="2">
        <f t="shared" si="1"/>
        <v>7.1452262654484747E-2</v>
      </c>
      <c r="I27" s="2">
        <f t="shared" si="2"/>
        <v>7.1643994164104871E-2</v>
      </c>
      <c r="K27" s="2">
        <f t="shared" si="14"/>
        <v>5.1611113521026929E-10</v>
      </c>
      <c r="L27" s="2">
        <f t="shared" si="3"/>
        <v>5.4676567059347884E-10</v>
      </c>
      <c r="M27" s="2">
        <f t="shared" si="4"/>
        <v>4.5467917705894758E-9</v>
      </c>
      <c r="N27" s="2">
        <f t="shared" si="5"/>
        <v>5.4676567059347884E-10</v>
      </c>
      <c r="O27">
        <f t="shared" si="6"/>
        <v>19.880715705765407</v>
      </c>
      <c r="P27">
        <f t="shared" si="7"/>
        <v>-21.327000795431729</v>
      </c>
      <c r="Q27">
        <f t="shared" si="8"/>
        <v>-9.2621987610022618</v>
      </c>
      <c r="R27">
        <f t="shared" si="9"/>
        <v>-21.351165107355705</v>
      </c>
      <c r="S27">
        <f t="shared" si="10"/>
        <v>2.416431192397539E-2</v>
      </c>
      <c r="U27">
        <f t="shared" si="11"/>
        <v>4.9619983628699705E-7</v>
      </c>
      <c r="V27" s="2">
        <f t="shared" si="12"/>
        <v>-5.2598907641063289E-7</v>
      </c>
      <c r="W27" s="2">
        <f t="shared" si="13"/>
        <v>-4.3309698707110993E-6</v>
      </c>
      <c r="Z27" t="s">
        <v>156</v>
      </c>
      <c r="AA27">
        <f>EXP(AI2)</f>
        <v>8158863.8600699948</v>
      </c>
      <c r="AB27">
        <f>EXP(AI2)*AI3*2</f>
        <v>8336198.7078136522</v>
      </c>
    </row>
    <row r="28" spans="1:31" x14ac:dyDescent="0.3">
      <c r="A28" s="5">
        <v>25</v>
      </c>
      <c r="B28" s="7">
        <v>225</v>
      </c>
      <c r="C28" s="6">
        <v>652</v>
      </c>
      <c r="D28" s="11">
        <v>0.14936733471146901</v>
      </c>
      <c r="E28">
        <v>1.9222809007177592E-2</v>
      </c>
      <c r="F28">
        <f t="shared" si="0"/>
        <v>39120</v>
      </c>
      <c r="G28" s="11">
        <v>10.603175228891002</v>
      </c>
      <c r="H28" s="2">
        <f t="shared" si="1"/>
        <v>7.255899809113267E-2</v>
      </c>
      <c r="I28" s="2">
        <f t="shared" si="2"/>
        <v>7.2690542438174813E-2</v>
      </c>
      <c r="K28" s="2">
        <f t="shared" si="14"/>
        <v>3.5554026691609941E-10</v>
      </c>
      <c r="L28" s="2">
        <f t="shared" si="3"/>
        <v>3.770005402500241E-10</v>
      </c>
      <c r="M28" s="2">
        <f t="shared" si="4"/>
        <v>3.0888721613287825E-9</v>
      </c>
      <c r="N28" s="2">
        <f t="shared" si="5"/>
        <v>3.770005402500241E-10</v>
      </c>
      <c r="O28">
        <f t="shared" si="6"/>
        <v>20.080321285140563</v>
      </c>
      <c r="P28">
        <f t="shared" si="7"/>
        <v>-21.698774495457627</v>
      </c>
      <c r="Q28">
        <f t="shared" si="8"/>
        <v>-9.4236580274402648</v>
      </c>
      <c r="R28">
        <f t="shared" si="9"/>
        <v>-21.72531953096783</v>
      </c>
      <c r="S28">
        <f t="shared" si="10"/>
        <v>2.6545035510203263E-2</v>
      </c>
      <c r="U28">
        <f t="shared" si="11"/>
        <v>3.2430708093221293E-7</v>
      </c>
      <c r="V28" s="2">
        <f t="shared" si="12"/>
        <v>-3.4408058311434589E-7</v>
      </c>
      <c r="W28" s="2">
        <f t="shared" si="13"/>
        <v>-2.7930371956068891E-6</v>
      </c>
      <c r="Z28" t="s">
        <v>396</v>
      </c>
      <c r="AA28">
        <f>AD32</f>
        <v>96.769646427899943</v>
      </c>
      <c r="AB28">
        <v>9.1999999999999993</v>
      </c>
    </row>
    <row r="29" spans="1:31" x14ac:dyDescent="0.3">
      <c r="A29" s="5">
        <v>26</v>
      </c>
      <c r="B29" s="7">
        <v>230</v>
      </c>
      <c r="C29" s="6">
        <v>500</v>
      </c>
      <c r="D29" s="11">
        <v>0.154978273856932</v>
      </c>
      <c r="E29">
        <v>2.5240473254976706E-2</v>
      </c>
      <c r="F29">
        <f t="shared" si="0"/>
        <v>30000</v>
      </c>
      <c r="G29" s="11">
        <v>10.768685594706378</v>
      </c>
      <c r="H29" s="2">
        <f t="shared" si="1"/>
        <v>7.3691608470383807E-2</v>
      </c>
      <c r="I29" s="2">
        <f t="shared" si="2"/>
        <v>7.3864332528148779E-2</v>
      </c>
      <c r="K29" s="2">
        <f t="shared" si="14"/>
        <v>4.8184164223802537E-10</v>
      </c>
      <c r="L29" s="2">
        <f t="shared" si="3"/>
        <v>5.1140871893386457E-10</v>
      </c>
      <c r="M29" s="2">
        <f t="shared" si="4"/>
        <v>4.1270389232839616E-9</v>
      </c>
      <c r="N29" s="2">
        <f t="shared" si="5"/>
        <v>5.1140871893386457E-10</v>
      </c>
      <c r="O29">
        <f t="shared" si="6"/>
        <v>19.880715705765407</v>
      </c>
      <c r="P29">
        <f t="shared" si="7"/>
        <v>-21.393852004069622</v>
      </c>
      <c r="Q29">
        <f t="shared" si="8"/>
        <v>-9.2912318720222622</v>
      </c>
      <c r="R29">
        <f t="shared" si="9"/>
        <v>-21.351165107355705</v>
      </c>
      <c r="S29">
        <f t="shared" si="10"/>
        <v>-4.2686896713917122E-2</v>
      </c>
      <c r="U29">
        <f t="shared" si="11"/>
        <v>4.2972526746804776E-7</v>
      </c>
      <c r="V29" s="2">
        <f t="shared" si="12"/>
        <v>-4.563787237401297E-7</v>
      </c>
      <c r="W29" s="2">
        <f t="shared" si="13"/>
        <v>-3.646736549189838E-6</v>
      </c>
    </row>
    <row r="30" spans="1:31" x14ac:dyDescent="0.3">
      <c r="A30" s="5">
        <v>27</v>
      </c>
      <c r="B30" s="7">
        <v>234.89999999999901</v>
      </c>
      <c r="C30" s="6">
        <v>450</v>
      </c>
      <c r="D30" s="11">
        <v>0.19512871594315101</v>
      </c>
      <c r="E30">
        <v>3.3604148456962642E-2</v>
      </c>
      <c r="F30">
        <f t="shared" si="0"/>
        <v>27000</v>
      </c>
      <c r="G30" s="11">
        <v>10.990306586221301</v>
      </c>
      <c r="H30" s="2">
        <f t="shared" si="1"/>
        <v>7.5208191640345062E-2</v>
      </c>
      <c r="I30" s="2">
        <f t="shared" si="2"/>
        <v>7.5438149487037934E-2</v>
      </c>
      <c r="K30" s="2">
        <f t="shared" si="14"/>
        <v>7.2986738089161364E-10</v>
      </c>
      <c r="L30" s="2">
        <f t="shared" si="3"/>
        <v>7.7552277735445089E-10</v>
      </c>
      <c r="M30" s="2">
        <f t="shared" si="4"/>
        <v>6.1489772711897521E-9</v>
      </c>
      <c r="N30" s="2">
        <f t="shared" si="5"/>
        <v>7.7552277735445089E-10</v>
      </c>
      <c r="O30">
        <f t="shared" si="6"/>
        <v>19.68891514077578</v>
      </c>
      <c r="P30">
        <f t="shared" si="7"/>
        <v>-20.977483762557657</v>
      </c>
      <c r="Q30">
        <f t="shared" si="8"/>
        <v>-9.110405442293855</v>
      </c>
      <c r="R30">
        <f t="shared" si="9"/>
        <v>-20.991640939409997</v>
      </c>
      <c r="S30">
        <f t="shared" si="10"/>
        <v>1.4157176852339859E-2</v>
      </c>
      <c r="U30">
        <f t="shared" si="11"/>
        <v>4.8764595931869748E-7</v>
      </c>
      <c r="V30" s="2">
        <f t="shared" si="12"/>
        <v>-5.1858210179480254E-7</v>
      </c>
      <c r="W30" s="2">
        <f t="shared" si="13"/>
        <v>-4.0588268152267706E-6</v>
      </c>
      <c r="Z30" t="s">
        <v>146</v>
      </c>
    </row>
    <row r="31" spans="1:31" ht="15" thickBot="1" x14ac:dyDescent="0.35">
      <c r="A31" s="5">
        <v>28</v>
      </c>
      <c r="B31" s="7">
        <v>240</v>
      </c>
      <c r="C31" s="6">
        <v>400</v>
      </c>
      <c r="D31" s="11">
        <v>0.24245710220568201</v>
      </c>
      <c r="E31">
        <v>4.4758886448129864E-2</v>
      </c>
      <c r="F31">
        <f t="shared" si="0"/>
        <v>24000</v>
      </c>
      <c r="G31" s="11">
        <v>11.253942980490033</v>
      </c>
      <c r="H31" s="2">
        <f t="shared" si="1"/>
        <v>7.7012292036269456E-2</v>
      </c>
      <c r="I31" s="2">
        <f t="shared" si="2"/>
        <v>7.731858330150311E-2</v>
      </c>
      <c r="K31" s="2">
        <f t="shared" si="14"/>
        <v>9.9855026118633473E-10</v>
      </c>
      <c r="L31" s="2">
        <f t="shared" si="3"/>
        <v>1.0625063135503055E-9</v>
      </c>
      <c r="M31" s="2">
        <f t="shared" si="4"/>
        <v>8.2438427670645354E-9</v>
      </c>
      <c r="N31" s="2">
        <f t="shared" si="5"/>
        <v>1.0625063135503055E-9</v>
      </c>
      <c r="O31">
        <f t="shared" si="6"/>
        <v>19.49317738791423</v>
      </c>
      <c r="P31">
        <f t="shared" si="7"/>
        <v>-20.662635272982637</v>
      </c>
      <c r="Q31">
        <f t="shared" si="8"/>
        <v>-8.9736684806358511</v>
      </c>
      <c r="R31">
        <f t="shared" si="9"/>
        <v>-20.624736635781289</v>
      </c>
      <c r="S31">
        <f t="shared" si="10"/>
        <v>-3.7898637201347896E-2</v>
      </c>
      <c r="U31">
        <f t="shared" si="11"/>
        <v>5.6227660482864031E-7</v>
      </c>
      <c r="V31" s="2">
        <f t="shared" si="12"/>
        <v>-5.9890126670165174E-7</v>
      </c>
      <c r="W31" s="2">
        <f t="shared" si="13"/>
        <v>-4.575486087281772E-6</v>
      </c>
      <c r="Z31" t="s">
        <v>145</v>
      </c>
      <c r="AA31">
        <f>EXP(AI2)</f>
        <v>8158863.8600699948</v>
      </c>
      <c r="AB31">
        <v>346</v>
      </c>
      <c r="AC31">
        <f>(AA32/1.987)/(LN((AA31*AB31^2*55*1.987)/(AA32*AA33)))</f>
        <v>370.78154209975622</v>
      </c>
      <c r="AD31" t="s">
        <v>386</v>
      </c>
      <c r="AE31" t="s">
        <v>153</v>
      </c>
    </row>
    <row r="32" spans="1:31" ht="15" thickBot="1" x14ac:dyDescent="0.35">
      <c r="A32" s="5">
        <v>29</v>
      </c>
      <c r="B32" s="7">
        <v>245</v>
      </c>
      <c r="C32" s="6">
        <v>350</v>
      </c>
      <c r="D32" s="11">
        <v>0.31499558349552398</v>
      </c>
      <c r="E32">
        <v>6.3737960416163419E-2</v>
      </c>
      <c r="F32">
        <f t="shared" si="0"/>
        <v>21000</v>
      </c>
      <c r="G32" s="11">
        <v>11.591042578381199</v>
      </c>
      <c r="H32" s="2">
        <f t="shared" si="1"/>
        <v>7.9319111319351793E-2</v>
      </c>
      <c r="I32" s="2">
        <f t="shared" si="2"/>
        <v>7.9755279018963871E-2</v>
      </c>
      <c r="K32" s="2">
        <f t="shared" si="14"/>
        <v>1.4986074137563575E-9</v>
      </c>
      <c r="L32" s="2">
        <f t="shared" si="3"/>
        <v>1.5973779016677716E-9</v>
      </c>
      <c r="M32" s="2">
        <f t="shared" si="4"/>
        <v>1.207374215510957E-8</v>
      </c>
      <c r="N32" s="2">
        <f t="shared" si="5"/>
        <v>1.5973779016677716E-9</v>
      </c>
      <c r="O32">
        <f t="shared" si="6"/>
        <v>19.305019305019304</v>
      </c>
      <c r="P32">
        <f t="shared" si="7"/>
        <v>-20.254902363478742</v>
      </c>
      <c r="Q32">
        <f t="shared" si="8"/>
        <v>-8.7965923279479501</v>
      </c>
      <c r="R32">
        <f t="shared" si="9"/>
        <v>-20.272040186744668</v>
      </c>
      <c r="S32">
        <f t="shared" si="10"/>
        <v>1.71378232659265E-2</v>
      </c>
      <c r="U32">
        <f t="shared" si="11"/>
        <v>6.6285343558460605E-7</v>
      </c>
      <c r="V32" s="2">
        <f t="shared" si="12"/>
        <v>-7.0749256190353059E-7</v>
      </c>
      <c r="W32" s="2">
        <f t="shared" si="13"/>
        <v>-5.2429730469295224E-6</v>
      </c>
      <c r="Z32" t="s">
        <v>144</v>
      </c>
      <c r="AA32">
        <f>AA26</f>
        <v>37246.55659166001</v>
      </c>
      <c r="AB32">
        <f>AC31</f>
        <v>370.78154209975622</v>
      </c>
      <c r="AC32">
        <f>(AA32/1.987)/(LN((AA31*AB32^2*55*1.987)/(AA32*AA33)))</f>
        <v>369.76964642789994</v>
      </c>
      <c r="AD32" s="19">
        <f>AC32-273</f>
        <v>96.769646427899943</v>
      </c>
      <c r="AE32">
        <f>AE34-AD32</f>
        <v>-96.769646427899943</v>
      </c>
    </row>
    <row r="33" spans="1:31" ht="15" thickBot="1" x14ac:dyDescent="0.35">
      <c r="A33" s="5">
        <v>30</v>
      </c>
      <c r="B33" s="7">
        <v>250</v>
      </c>
      <c r="C33" s="6">
        <v>300</v>
      </c>
      <c r="D33" s="11">
        <v>0.37161531847225299</v>
      </c>
      <c r="E33">
        <v>8.4753868131547158E-2</v>
      </c>
      <c r="F33">
        <f t="shared" si="0"/>
        <v>18000</v>
      </c>
      <c r="G33" s="11">
        <v>11.985009660162147</v>
      </c>
      <c r="H33" s="2">
        <f t="shared" si="1"/>
        <v>8.201508267866911E-2</v>
      </c>
      <c r="I33" s="2">
        <f t="shared" si="2"/>
        <v>8.2595065148374669E-2</v>
      </c>
      <c r="K33" s="2">
        <f t="shared" si="14"/>
        <v>2.108708578118529E-9</v>
      </c>
      <c r="L33" s="2">
        <f t="shared" si="3"/>
        <v>2.2524801618098637E-9</v>
      </c>
      <c r="M33" s="2">
        <f t="shared" si="4"/>
        <v>1.6507090452840863E-8</v>
      </c>
      <c r="N33" s="2">
        <f t="shared" si="5"/>
        <v>2.2524801618098637E-9</v>
      </c>
      <c r="O33">
        <f t="shared" si="6"/>
        <v>19.120458891013385</v>
      </c>
      <c r="P33">
        <f t="shared" si="7"/>
        <v>-19.91123393367247</v>
      </c>
      <c r="Q33">
        <f t="shared" si="8"/>
        <v>-8.6473390252787308</v>
      </c>
      <c r="R33">
        <f t="shared" si="9"/>
        <v>-19.926087455662874</v>
      </c>
      <c r="S33">
        <f t="shared" si="10"/>
        <v>1.4853521990403351E-2</v>
      </c>
      <c r="U33">
        <f t="shared" si="11"/>
        <v>8.0086435152130939E-7</v>
      </c>
      <c r="V33" s="2">
        <f t="shared" si="12"/>
        <v>-8.5686838292642204E-7</v>
      </c>
      <c r="W33" s="2">
        <f t="shared" si="13"/>
        <v>-6.1357361759852874E-6</v>
      </c>
      <c r="Z33" t="s">
        <v>143</v>
      </c>
      <c r="AA33">
        <f>AA35/(1000000*365*24*60*60)</f>
        <v>3.1709791983764587E-13</v>
      </c>
      <c r="AD33" t="s">
        <v>384</v>
      </c>
      <c r="AE33" t="s">
        <v>385</v>
      </c>
    </row>
    <row r="34" spans="1:31" ht="15" thickBot="1" x14ac:dyDescent="0.35">
      <c r="A34" s="5">
        <v>31</v>
      </c>
      <c r="B34" s="7">
        <v>249.97</v>
      </c>
      <c r="C34" s="6">
        <v>300</v>
      </c>
      <c r="D34" s="11">
        <v>0.36397906669414698</v>
      </c>
      <c r="E34">
        <v>8.3046028335276606E-2</v>
      </c>
      <c r="F34">
        <f t="shared" si="0"/>
        <v>18000</v>
      </c>
      <c r="G34" s="11">
        <v>12.371547997178904</v>
      </c>
      <c r="H34" s="2">
        <f t="shared" si="1"/>
        <v>8.4660218107660973E-2</v>
      </c>
      <c r="I34" s="2">
        <f t="shared" si="2"/>
        <v>8.5228513592869676E-2</v>
      </c>
      <c r="K34" s="2">
        <f t="shared" si="14"/>
        <v>2.1374404643691047E-9</v>
      </c>
      <c r="L34" s="2">
        <f t="shared" si="3"/>
        <v>2.2883754213965954E-9</v>
      </c>
      <c r="M34" s="2">
        <f t="shared" si="4"/>
        <v>1.6243012165299356E-8</v>
      </c>
      <c r="N34" s="2">
        <f t="shared" si="5"/>
        <v>2.2883754213965954E-9</v>
      </c>
      <c r="O34">
        <f t="shared" si="6"/>
        <v>19.121555729774173</v>
      </c>
      <c r="P34">
        <f t="shared" si="7"/>
        <v>-19.895423694110733</v>
      </c>
      <c r="Q34">
        <f t="shared" si="8"/>
        <v>-8.6404727254795013</v>
      </c>
      <c r="R34">
        <f t="shared" si="9"/>
        <v>-19.928143445658854</v>
      </c>
      <c r="S34">
        <f t="shared" si="10"/>
        <v>3.2719751548121678E-2</v>
      </c>
      <c r="U34">
        <f t="shared" si="11"/>
        <v>8.2639898820906549E-7</v>
      </c>
      <c r="V34" s="2">
        <f t="shared" si="12"/>
        <v>-8.8618047250293945E-7</v>
      </c>
      <c r="W34" s="2">
        <f t="shared" si="13"/>
        <v>-6.1533997620596015E-6</v>
      </c>
      <c r="Z34" t="s">
        <v>142</v>
      </c>
      <c r="AB34">
        <f>0.97*AA32</f>
        <v>36129.159893910211</v>
      </c>
      <c r="AC34" t="s">
        <v>141</v>
      </c>
      <c r="AD34" s="19"/>
    </row>
    <row r="35" spans="1:31" x14ac:dyDescent="0.3">
      <c r="A35" s="5">
        <v>32</v>
      </c>
      <c r="B35" s="6">
        <v>249.98</v>
      </c>
      <c r="C35" s="6">
        <v>300</v>
      </c>
      <c r="D35" s="12">
        <v>0.34519114717899502</v>
      </c>
      <c r="E35">
        <v>7.87486757330257E-2</v>
      </c>
      <c r="F35">
        <f t="shared" si="0"/>
        <v>18000</v>
      </c>
      <c r="G35" s="11">
        <v>12.735821440305218</v>
      </c>
      <c r="H35" s="2">
        <f t="shared" si="1"/>
        <v>8.7152991781006842E-2</v>
      </c>
      <c r="I35" s="2">
        <f t="shared" si="2"/>
        <v>8.7691879886583252E-2</v>
      </c>
      <c r="K35" s="2">
        <f t="shared" si="14"/>
        <v>2.0764155268952854E-9</v>
      </c>
      <c r="L35" s="2">
        <f t="shared" si="3"/>
        <v>2.2279280597718626E-9</v>
      </c>
      <c r="M35" s="2">
        <f t="shared" si="4"/>
        <v>1.5350421219306032E-8</v>
      </c>
      <c r="N35" s="2">
        <f t="shared" si="5"/>
        <v>2.2279280597718626E-9</v>
      </c>
      <c r="O35">
        <f t="shared" si="6"/>
        <v>19.121190102872003</v>
      </c>
      <c r="P35">
        <f t="shared" si="7"/>
        <v>-19.922193804553547</v>
      </c>
      <c r="Q35">
        <f t="shared" si="8"/>
        <v>-8.6520988367247575</v>
      </c>
      <c r="R35">
        <f t="shared" si="9"/>
        <v>-19.927458089451548</v>
      </c>
      <c r="S35">
        <f t="shared" si="10"/>
        <v>5.2642848980006818E-3</v>
      </c>
      <c r="U35">
        <f t="shared" si="11"/>
        <v>8.5028446182459398E-7</v>
      </c>
      <c r="V35" s="2">
        <f t="shared" si="12"/>
        <v>-9.1372020061644436E-7</v>
      </c>
      <c r="W35" s="2">
        <f t="shared" si="13"/>
        <v>-6.1700148477213599E-6</v>
      </c>
      <c r="Z35" t="s">
        <v>140</v>
      </c>
      <c r="AA35">
        <v>10</v>
      </c>
      <c r="AD35">
        <v>64439823.670807518</v>
      </c>
      <c r="AE35">
        <v>4828742.7687072773</v>
      </c>
    </row>
    <row r="36" spans="1:31" x14ac:dyDescent="0.3">
      <c r="A36" s="5">
        <v>33</v>
      </c>
      <c r="B36" s="6">
        <v>250</v>
      </c>
      <c r="C36" s="6">
        <v>10250</v>
      </c>
      <c r="D36" s="12">
        <v>8.4829081066253593</v>
      </c>
      <c r="E36">
        <v>4.6360959841869227E-2</v>
      </c>
      <c r="F36">
        <f t="shared" si="0"/>
        <v>615000</v>
      </c>
      <c r="G36" s="12">
        <v>21.335259758696179</v>
      </c>
      <c r="H36" s="2">
        <f t="shared" si="1"/>
        <v>0.14600014040011008</v>
      </c>
      <c r="I36" s="2">
        <f t="shared" si="2"/>
        <v>0.14631739487568485</v>
      </c>
      <c r="K36" s="2">
        <f t="shared" si="14"/>
        <v>1.9468788836426782E-9</v>
      </c>
      <c r="L36" s="2">
        <f t="shared" si="3"/>
        <v>2.1506884278522255E-9</v>
      </c>
      <c r="M36" s="2">
        <f t="shared" si="4"/>
        <v>1.0978482508887153E-8</v>
      </c>
      <c r="N36" s="2">
        <f t="shared" si="5"/>
        <v>2.1506884278522255E-9</v>
      </c>
      <c r="O36">
        <f t="shared" si="6"/>
        <v>19.120458891013385</v>
      </c>
      <c r="P36">
        <f t="shared" si="7"/>
        <v>-19.957477847058563</v>
      </c>
      <c r="Q36">
        <f t="shared" si="8"/>
        <v>-8.6674225016839248</v>
      </c>
      <c r="R36">
        <f t="shared" si="9"/>
        <v>-19.926087455662874</v>
      </c>
      <c r="S36">
        <f t="shared" si="10"/>
        <v>-3.1390391395689221E-2</v>
      </c>
      <c r="U36">
        <f t="shared" si="11"/>
        <v>4.1523907211729751E-8</v>
      </c>
      <c r="V36" s="2">
        <f t="shared" si="12"/>
        <v>-4.6999820252385828E-8</v>
      </c>
      <c r="W36" s="2">
        <f t="shared" si="13"/>
        <v>-1.9298728955285552E-7</v>
      </c>
    </row>
    <row r="37" spans="1:31" x14ac:dyDescent="0.3">
      <c r="A37" s="5">
        <v>34</v>
      </c>
      <c r="B37" s="6">
        <v>240</v>
      </c>
      <c r="C37" s="6">
        <v>785</v>
      </c>
      <c r="D37" s="12">
        <v>0.22612522923310299</v>
      </c>
      <c r="E37">
        <v>1.9504846533379586E-2</v>
      </c>
      <c r="F37">
        <f t="shared" si="0"/>
        <v>47100</v>
      </c>
      <c r="G37" s="12">
        <v>21.59098855850587</v>
      </c>
      <c r="H37" s="2">
        <f t="shared" si="1"/>
        <v>0.14775012803086054</v>
      </c>
      <c r="I37" s="2">
        <f t="shared" si="2"/>
        <v>0.14788360239979553</v>
      </c>
      <c r="K37" s="2">
        <f t="shared" si="14"/>
        <v>9.5244458267192656E-10</v>
      </c>
      <c r="L37" s="2">
        <f t="shared" si="3"/>
        <v>1.078599262848463E-9</v>
      </c>
      <c r="M37" s="2">
        <f t="shared" si="4"/>
        <v>4.4126743516543612E-9</v>
      </c>
      <c r="N37" s="2">
        <f t="shared" si="5"/>
        <v>1.078599262848463E-9</v>
      </c>
      <c r="O37">
        <f t="shared" si="6"/>
        <v>19.49317738791423</v>
      </c>
      <c r="P37">
        <f t="shared" si="7"/>
        <v>-20.647602616459306</v>
      </c>
      <c r="Q37">
        <f t="shared" si="8"/>
        <v>-8.9671398808594223</v>
      </c>
      <c r="R37">
        <f t="shared" si="9"/>
        <v>-20.624736635781289</v>
      </c>
      <c r="S37">
        <f t="shared" si="10"/>
        <v>-2.2865980678016484E-2</v>
      </c>
      <c r="U37">
        <f t="shared" si="11"/>
        <v>5.4799485596318886E-7</v>
      </c>
      <c r="V37" s="2">
        <f t="shared" si="12"/>
        <v>-6.2115097543407052E-7</v>
      </c>
      <c r="W37" s="2">
        <f t="shared" si="13"/>
        <v>-2.5245293538614149E-6</v>
      </c>
      <c r="AB37">
        <v>98.9</v>
      </c>
      <c r="AC37">
        <v>99.09</v>
      </c>
    </row>
    <row r="38" spans="1:31" x14ac:dyDescent="0.3">
      <c r="A38" t="s">
        <v>92</v>
      </c>
      <c r="D38" s="6" cm="1">
        <f t="array" ref="D38:E38">'Raw Data and Corrections'!AE138:AF138</f>
        <v>124.54078707011602</v>
      </c>
      <c r="E38" s="6">
        <v>1.0730577113002813</v>
      </c>
      <c r="F38">
        <f>3600*C38</f>
        <v>0</v>
      </c>
      <c r="G38" s="2">
        <f>'Raw Data and Corrections'!AE139</f>
        <v>146.13177562862188</v>
      </c>
      <c r="I38" s="2">
        <f>G38/$G$38</f>
        <v>1</v>
      </c>
      <c r="AB38">
        <v>18003069.985226665</v>
      </c>
      <c r="AC38">
        <v>17354426.675797403</v>
      </c>
    </row>
    <row r="39" spans="1:31" x14ac:dyDescent="0.3">
      <c r="D39" s="11">
        <f>SUM(D4:D38)</f>
        <v>145.09439385441266</v>
      </c>
      <c r="E39" s="6">
        <v>1.0726345452392398</v>
      </c>
      <c r="AB39">
        <v>38038.944164075619</v>
      </c>
      <c r="AC39">
        <v>38032.636907850479</v>
      </c>
    </row>
    <row r="43" spans="1:31" x14ac:dyDescent="0.3">
      <c r="A43" t="s">
        <v>387</v>
      </c>
      <c r="G43" s="7" t="s">
        <v>138</v>
      </c>
      <c r="H43" s="7" t="s">
        <v>408</v>
      </c>
      <c r="I43" s="7" t="s">
        <v>445</v>
      </c>
      <c r="K43" t="s">
        <v>84</v>
      </c>
      <c r="L43" t="s">
        <v>85</v>
      </c>
      <c r="M43" t="s">
        <v>86</v>
      </c>
      <c r="N43" t="s">
        <v>87</v>
      </c>
      <c r="O43" t="s">
        <v>89</v>
      </c>
      <c r="P43" t="s">
        <v>88</v>
      </c>
      <c r="Q43" t="s">
        <v>90</v>
      </c>
      <c r="R43" t="s">
        <v>149</v>
      </c>
      <c r="S43" t="s">
        <v>150</v>
      </c>
      <c r="U43" t="s">
        <v>135</v>
      </c>
    </row>
    <row r="44" spans="1:31" x14ac:dyDescent="0.3">
      <c r="G44" s="7"/>
      <c r="H44" s="7"/>
      <c r="I44" s="7"/>
      <c r="K44" t="s">
        <v>129</v>
      </c>
      <c r="L44" t="s">
        <v>130</v>
      </c>
      <c r="M44" t="s">
        <v>131</v>
      </c>
      <c r="U44" t="s">
        <v>132</v>
      </c>
      <c r="V44" t="s">
        <v>133</v>
      </c>
      <c r="W44" t="s">
        <v>134</v>
      </c>
    </row>
    <row r="45" spans="1:31" ht="30.6" x14ac:dyDescent="0.3">
      <c r="A45" t="s">
        <v>91</v>
      </c>
      <c r="B45" s="7" t="s">
        <v>94</v>
      </c>
      <c r="C45" s="7" t="s">
        <v>95</v>
      </c>
      <c r="D45" s="7" t="s">
        <v>420</v>
      </c>
      <c r="E45" s="4" t="s">
        <v>444</v>
      </c>
      <c r="F45" t="s">
        <v>96</v>
      </c>
      <c r="I45">
        <v>0</v>
      </c>
      <c r="U45">
        <v>0</v>
      </c>
      <c r="V45">
        <v>0</v>
      </c>
      <c r="W45">
        <v>0</v>
      </c>
    </row>
    <row r="46" spans="1:31" x14ac:dyDescent="0.3">
      <c r="A46" s="5">
        <v>1</v>
      </c>
      <c r="B46" s="7">
        <v>170</v>
      </c>
      <c r="C46" s="6">
        <v>300</v>
      </c>
      <c r="D46" s="11" cm="1">
        <f t="array" ref="D46:D79">DistilledBoundingMethod!M2:M35</f>
        <v>1.9201957516247901E-2</v>
      </c>
      <c r="E46">
        <v>0</v>
      </c>
      <c r="F46">
        <v>18000</v>
      </c>
      <c r="G46" s="2" cm="1">
        <f t="array" ref="G46:G79">DistilledBoundingMethod!N2:N35</f>
        <v>3.5498608430005754E-2</v>
      </c>
      <c r="H46" s="2">
        <f>(G46)/$G$38</f>
        <v>2.4292189893197243E-4</v>
      </c>
      <c r="I46" s="2">
        <f t="shared" ref="I46:I79" si="15">((E46+G46)/$G$38)</f>
        <v>2.4292189893197243E-4</v>
      </c>
      <c r="K46" s="2">
        <f t="shared" ref="K46:K79" si="16">((H46^2-H45^2)*PI())/(36*F46)</f>
        <v>2.860936388247578E-13</v>
      </c>
      <c r="L46" s="2">
        <f t="shared" ref="L46:L79" si="17">(1/(PI()*PI()*F46))*(-(H46-H45)*PI()*PI()/3-2*PI()*(SQRT(1-PI()/3*H46)-SQRT(1-PI()/3*H45)))</f>
        <v>2.8613003144494788E-13</v>
      </c>
      <c r="M46" s="2">
        <f t="shared" ref="M46:M79" si="18">(1/(PI()^2*F46))*LN((1-H45)/(1-H46))</f>
        <v>1.3675624639624005E-9</v>
      </c>
      <c r="N46" s="2">
        <f t="shared" ref="N46:N79" si="19">(I46&lt;0.05)*K46+((I46&gt;=0.05)*(I46&lt;0.9))*L46+(I46&gt;=0.9)*M46</f>
        <v>2.860936388247578E-13</v>
      </c>
      <c r="O46">
        <f t="shared" ref="O46:O79" si="20">10000/(273+B46)</f>
        <v>22.573363431151243</v>
      </c>
      <c r="P46">
        <f t="shared" ref="P46:P79" si="21">LN(N46)</f>
        <v>-28.882457229199119</v>
      </c>
      <c r="Q46">
        <f t="shared" ref="Q46:Q79" si="22">LOG10(N46)</f>
        <v>-12.543491798447862</v>
      </c>
      <c r="R46">
        <f t="shared" ref="R46:R79" si="23">$AI$2+$AH$2*O46</f>
        <v>-26.398449160416789</v>
      </c>
      <c r="S46">
        <f t="shared" ref="S46:S79" si="24">P46-R46</f>
        <v>-2.4840080687823303</v>
      </c>
      <c r="U46" s="2">
        <f t="shared" ref="U46:U79" si="25" xml:space="preserve"> (I46 * PI()) / (18 * F46)</f>
        <v>2.3554372008665642E-9</v>
      </c>
      <c r="V46" s="2">
        <f t="shared" ref="V46:V79" si="26" xml:space="preserve"> (1 / (PI()^2 * F46)) * (PI()^2 / 3 - PI()^2 / (3 * SQRT(1 - (PI() / 3) * I46)))</f>
        <v>-2.3558866909902421E-9</v>
      </c>
      <c r="W46" s="2">
        <f t="shared" ref="W46:W79" si="27" xml:space="preserve"> (-1) / (PI()^2 * F46 * (1 - I46))</f>
        <v>-5.6303223753995739E-6</v>
      </c>
    </row>
    <row r="47" spans="1:31" x14ac:dyDescent="0.3">
      <c r="A47" s="5">
        <v>2</v>
      </c>
      <c r="B47" s="7">
        <v>180</v>
      </c>
      <c r="C47" s="6">
        <v>463</v>
      </c>
      <c r="D47" s="11">
        <v>3.0467213114754099E-2</v>
      </c>
      <c r="E47">
        <v>0</v>
      </c>
      <c r="F47">
        <v>27780</v>
      </c>
      <c r="G47" s="2">
        <v>8.1744338181746742E-2</v>
      </c>
      <c r="H47" s="2">
        <f t="shared" ref="H47:H79" si="28">(G47)/$G$38</f>
        <v>5.5938783902476585E-4</v>
      </c>
      <c r="I47" s="2">
        <f t="shared" si="15"/>
        <v>5.5938783902476585E-4</v>
      </c>
      <c r="K47" s="2">
        <f t="shared" si="16"/>
        <v>7.9759820796111582E-13</v>
      </c>
      <c r="L47" s="2">
        <f t="shared" si="17"/>
        <v>7.9786264060221599E-13</v>
      </c>
      <c r="M47" s="2">
        <f t="shared" si="18"/>
        <v>1.154700215071864E-9</v>
      </c>
      <c r="N47" s="2">
        <f t="shared" si="19"/>
        <v>7.9759820796111582E-13</v>
      </c>
      <c r="O47">
        <f t="shared" si="20"/>
        <v>22.075055187637968</v>
      </c>
      <c r="P47">
        <f t="shared" si="21"/>
        <v>-27.857171423054552</v>
      </c>
      <c r="Q47">
        <f t="shared" si="22"/>
        <v>-12.09821583046555</v>
      </c>
      <c r="R47">
        <f t="shared" si="23"/>
        <v>-25.4643859232241</v>
      </c>
      <c r="S47">
        <f t="shared" si="24"/>
        <v>-2.3927854998304525</v>
      </c>
      <c r="U47">
        <f t="shared" si="25"/>
        <v>3.5144562946717748E-9</v>
      </c>
      <c r="V47" s="2">
        <f t="shared" si="26"/>
        <v>-3.5160010976919314E-9</v>
      </c>
      <c r="W47" s="2">
        <f t="shared" si="27"/>
        <v>-3.6493122103290659E-6</v>
      </c>
    </row>
    <row r="48" spans="1:31" x14ac:dyDescent="0.3">
      <c r="A48" s="5">
        <v>3</v>
      </c>
      <c r="B48" s="7">
        <v>190</v>
      </c>
      <c r="C48" s="6">
        <v>550</v>
      </c>
      <c r="D48" s="11">
        <v>5.5770491803278699E-2</v>
      </c>
      <c r="E48" s="2">
        <f>DistilledBoundingMethod!O4</f>
        <v>1.6987915797927026E-2</v>
      </c>
      <c r="F48">
        <v>33000</v>
      </c>
      <c r="G48" s="2">
        <v>0.1475409902094329</v>
      </c>
      <c r="H48" s="2">
        <f t="shared" si="28"/>
        <v>1.0096434507467587E-3</v>
      </c>
      <c r="I48" s="2">
        <f t="shared" si="15"/>
        <v>1.1258941137175557E-3</v>
      </c>
      <c r="K48" s="2">
        <f t="shared" si="16"/>
        <v>1.8682034544222389E-12</v>
      </c>
      <c r="L48" s="2">
        <f t="shared" si="17"/>
        <v>1.8693870126404453E-12</v>
      </c>
      <c r="M48" s="2">
        <f t="shared" si="18"/>
        <v>1.3835227374511722E-9</v>
      </c>
      <c r="N48" s="2">
        <f t="shared" si="19"/>
        <v>1.8682034544222389E-12</v>
      </c>
      <c r="O48">
        <f t="shared" si="20"/>
        <v>21.598272138228943</v>
      </c>
      <c r="P48">
        <f t="shared" si="21"/>
        <v>-27.006043866409179</v>
      </c>
      <c r="Q48">
        <f t="shared" si="22"/>
        <v>-11.728575829218666</v>
      </c>
      <c r="R48">
        <f t="shared" si="23"/>
        <v>-24.570670990013816</v>
      </c>
      <c r="S48">
        <f t="shared" si="24"/>
        <v>-2.4353728763953626</v>
      </c>
      <c r="U48">
        <f t="shared" si="25"/>
        <v>5.9547149433923642E-9</v>
      </c>
      <c r="V48" s="2">
        <f t="shared" si="26"/>
        <v>-5.9599857289046665E-9</v>
      </c>
      <c r="W48" s="2">
        <f t="shared" si="27"/>
        <v>-3.0737996712092208E-6</v>
      </c>
    </row>
    <row r="49" spans="1:26" x14ac:dyDescent="0.3">
      <c r="A49" s="5">
        <v>4</v>
      </c>
      <c r="B49" s="7">
        <v>200</v>
      </c>
      <c r="C49" s="6">
        <v>500</v>
      </c>
      <c r="D49" s="11">
        <v>0.102413793103448</v>
      </c>
      <c r="E49" s="2">
        <f>'Raw Data and Corrections'!BE17</f>
        <v>2.9669813641736882E-2</v>
      </c>
      <c r="F49">
        <v>30000</v>
      </c>
      <c r="G49" s="2">
        <v>0.25955013207236705</v>
      </c>
      <c r="H49" s="2">
        <f t="shared" si="28"/>
        <v>1.776137537204678E-3</v>
      </c>
      <c r="I49" s="2">
        <f t="shared" si="15"/>
        <v>1.9791721853098204E-3</v>
      </c>
      <c r="K49" s="2">
        <f t="shared" si="16"/>
        <v>6.2112912782814661E-12</v>
      </c>
      <c r="L49" s="2">
        <f t="shared" si="17"/>
        <v>6.2182666357865305E-12</v>
      </c>
      <c r="M49" s="2">
        <f t="shared" si="18"/>
        <v>2.5923472527680156E-9</v>
      </c>
      <c r="N49" s="2">
        <f t="shared" si="19"/>
        <v>6.2112912782814661E-12</v>
      </c>
      <c r="O49">
        <f t="shared" si="20"/>
        <v>21.141649048625794</v>
      </c>
      <c r="P49">
        <f t="shared" si="21"/>
        <v>-25.804652306287686</v>
      </c>
      <c r="Q49">
        <f t="shared" si="22"/>
        <v>-11.206818104052763</v>
      </c>
      <c r="R49">
        <f t="shared" si="23"/>
        <v>-23.714745271738437</v>
      </c>
      <c r="S49">
        <f t="shared" si="24"/>
        <v>-2.089907034549249</v>
      </c>
      <c r="U49">
        <f t="shared" si="25"/>
        <v>1.1514357032515905E-8</v>
      </c>
      <c r="V49" s="2">
        <f t="shared" si="26"/>
        <v>-1.1532286358304432E-8</v>
      </c>
      <c r="W49" s="2">
        <f t="shared" si="27"/>
        <v>-3.3840704461781311E-6</v>
      </c>
    </row>
    <row r="50" spans="1:26" x14ac:dyDescent="0.3">
      <c r="A50" s="5">
        <v>5</v>
      </c>
      <c r="B50" s="7">
        <v>210</v>
      </c>
      <c r="C50" s="6">
        <v>475</v>
      </c>
      <c r="D50" s="11">
        <v>0.145987300080372</v>
      </c>
      <c r="E50" s="2">
        <f>'Raw Data and Corrections'!BE21</f>
        <v>3.8308281275653229E-2</v>
      </c>
      <c r="F50">
        <v>28500</v>
      </c>
      <c r="G50" s="2">
        <v>0.42289759134912647</v>
      </c>
      <c r="H50" s="2">
        <f t="shared" si="28"/>
        <v>2.8939468471516762E-3</v>
      </c>
      <c r="I50" s="2">
        <f t="shared" si="15"/>
        <v>3.156095726892997E-3</v>
      </c>
      <c r="K50" s="2">
        <f t="shared" si="16"/>
        <v>1.598434933092645E-11</v>
      </c>
      <c r="L50" s="2">
        <f t="shared" si="17"/>
        <v>1.6014286746281561E-11</v>
      </c>
      <c r="M50" s="2">
        <f t="shared" si="18"/>
        <v>3.9832580657681978E-9</v>
      </c>
      <c r="N50" s="2">
        <f t="shared" si="19"/>
        <v>1.598434933092645E-11</v>
      </c>
      <c r="O50">
        <f t="shared" si="20"/>
        <v>20.703933747412009</v>
      </c>
      <c r="P50">
        <f t="shared" si="21"/>
        <v>-24.859411039223229</v>
      </c>
      <c r="Q50">
        <f t="shared" si="22"/>
        <v>-10.796305037699431</v>
      </c>
      <c r="R50">
        <f t="shared" si="23"/>
        <v>-22.894261612190803</v>
      </c>
      <c r="S50">
        <f t="shared" si="24"/>
        <v>-1.9651494270324257</v>
      </c>
      <c r="U50">
        <f t="shared" si="25"/>
        <v>1.9327811207861947E-8</v>
      </c>
      <c r="V50" s="2">
        <f t="shared" si="26"/>
        <v>-1.9375853163591725E-8</v>
      </c>
      <c r="W50" s="2">
        <f t="shared" si="27"/>
        <v>-3.5663851033936189E-6</v>
      </c>
    </row>
    <row r="51" spans="1:26" x14ac:dyDescent="0.3">
      <c r="A51" s="5">
        <v>6</v>
      </c>
      <c r="B51" s="7">
        <v>220</v>
      </c>
      <c r="C51" s="6">
        <v>450</v>
      </c>
      <c r="D51" s="11">
        <v>0.20905016447368399</v>
      </c>
      <c r="E51" s="2">
        <f>'Raw Data and Corrections'!BE25</f>
        <v>5.0257030981856542E-2</v>
      </c>
      <c r="F51">
        <v>27000</v>
      </c>
      <c r="G51" s="2">
        <v>0.65557350151594507</v>
      </c>
      <c r="H51" s="2">
        <f t="shared" si="28"/>
        <v>4.4861803580763587E-3</v>
      </c>
      <c r="I51" s="2">
        <f t="shared" si="15"/>
        <v>4.8300961886044115E-3</v>
      </c>
      <c r="K51" s="2">
        <f t="shared" si="16"/>
        <v>3.7979934838306646E-11</v>
      </c>
      <c r="L51" s="2">
        <f t="shared" si="17"/>
        <v>3.8092087205405494E-11</v>
      </c>
      <c r="M51" s="2">
        <f t="shared" si="18"/>
        <v>5.9972048189958543E-9</v>
      </c>
      <c r="N51" s="2">
        <f t="shared" si="19"/>
        <v>3.7979934838306646E-11</v>
      </c>
      <c r="O51">
        <f t="shared" si="20"/>
        <v>20.28397565922921</v>
      </c>
      <c r="P51">
        <f t="shared" si="21"/>
        <v>-23.993963126230277</v>
      </c>
      <c r="Q51">
        <f t="shared" si="22"/>
        <v>-10.420445784711907</v>
      </c>
      <c r="R51">
        <f t="shared" si="23"/>
        <v>-22.107063293801296</v>
      </c>
      <c r="S51">
        <f t="shared" si="24"/>
        <v>-1.8868998324289805</v>
      </c>
      <c r="U51">
        <f t="shared" si="25"/>
        <v>3.1222622844139257E-8</v>
      </c>
      <c r="V51" s="2">
        <f t="shared" si="26"/>
        <v>-3.1341568853506534E-8</v>
      </c>
      <c r="W51" s="2">
        <f t="shared" si="27"/>
        <v>-3.7708499994076331E-6</v>
      </c>
    </row>
    <row r="52" spans="1:26" x14ac:dyDescent="0.3">
      <c r="A52" s="5">
        <v>7</v>
      </c>
      <c r="B52" s="7">
        <v>230</v>
      </c>
      <c r="C52" s="6">
        <v>425</v>
      </c>
      <c r="D52" s="11">
        <v>0.32434102141680399</v>
      </c>
      <c r="E52" s="2">
        <f>'Raw Data and Corrections'!BE29</f>
        <v>7.2209604783353476E-2</v>
      </c>
      <c r="F52">
        <v>25500</v>
      </c>
      <c r="G52" s="2">
        <v>1.000444012224347</v>
      </c>
      <c r="H52" s="2">
        <f t="shared" si="28"/>
        <v>6.8461770749085223E-3</v>
      </c>
      <c r="I52" s="2">
        <f t="shared" si="15"/>
        <v>7.3403174114145689E-3</v>
      </c>
      <c r="K52" s="2">
        <f t="shared" si="16"/>
        <v>9.1524813879954029E-11</v>
      </c>
      <c r="L52" s="2">
        <f t="shared" si="17"/>
        <v>9.1940119116258573E-11</v>
      </c>
      <c r="M52" s="2">
        <f t="shared" si="18"/>
        <v>9.4306030506098937E-9</v>
      </c>
      <c r="N52" s="2">
        <f t="shared" si="19"/>
        <v>9.1524813879954029E-11</v>
      </c>
      <c r="O52">
        <f t="shared" si="20"/>
        <v>19.880715705765407</v>
      </c>
      <c r="P52">
        <f t="shared" si="21"/>
        <v>-23.114410990467565</v>
      </c>
      <c r="Q52">
        <f t="shared" si="22"/>
        <v>-10.038461145603941</v>
      </c>
      <c r="R52">
        <f t="shared" si="23"/>
        <v>-21.351165107355705</v>
      </c>
      <c r="S52">
        <f t="shared" si="24"/>
        <v>-1.7632458831118605</v>
      </c>
      <c r="U52">
        <f t="shared" si="25"/>
        <v>5.0240277243392718E-8</v>
      </c>
      <c r="V52" s="2">
        <f t="shared" si="26"/>
        <v>-5.0531783935890111E-8</v>
      </c>
      <c r="W52" s="2">
        <f t="shared" si="27"/>
        <v>-4.0027612890637635E-6</v>
      </c>
    </row>
    <row r="53" spans="1:26" x14ac:dyDescent="0.3">
      <c r="A53" s="5">
        <v>8</v>
      </c>
      <c r="B53" s="7">
        <v>225</v>
      </c>
      <c r="C53" s="6">
        <v>908</v>
      </c>
      <c r="D53" s="11">
        <v>0.34826732673267302</v>
      </c>
      <c r="E53" s="2">
        <f>'Raw Data and Corrections'!BE33</f>
        <v>3.4625205848866775E-2</v>
      </c>
      <c r="F53">
        <v>54480</v>
      </c>
      <c r="G53" s="2">
        <v>1.3643577781885887</v>
      </c>
      <c r="H53" s="2">
        <f t="shared" si="28"/>
        <v>9.3364894275695144E-3</v>
      </c>
      <c r="I53" s="2">
        <f t="shared" si="15"/>
        <v>9.5734345115522281E-3</v>
      </c>
      <c r="K53" s="2">
        <f t="shared" si="16"/>
        <v>6.4552665525711956E-11</v>
      </c>
      <c r="L53" s="2">
        <f t="shared" si="17"/>
        <v>6.4969118580062115E-11</v>
      </c>
      <c r="M53" s="2">
        <f t="shared" si="18"/>
        <v>4.6692327363768218E-9</v>
      </c>
      <c r="N53" s="2">
        <f t="shared" si="19"/>
        <v>6.4552665525711956E-11</v>
      </c>
      <c r="O53">
        <f t="shared" si="20"/>
        <v>20.080321285140563</v>
      </c>
      <c r="P53">
        <f t="shared" si="21"/>
        <v>-23.463539705519267</v>
      </c>
      <c r="Q53">
        <f t="shared" si="22"/>
        <v>-10.190085820024869</v>
      </c>
      <c r="R53">
        <f t="shared" si="23"/>
        <v>-21.72531953096783</v>
      </c>
      <c r="S53">
        <f t="shared" si="24"/>
        <v>-1.7382201745514365</v>
      </c>
      <c r="U53">
        <f t="shared" si="25"/>
        <v>3.0669594888150056E-8</v>
      </c>
      <c r="V53" s="2">
        <f t="shared" si="26"/>
        <v>-3.0902141886676097E-8</v>
      </c>
      <c r="W53" s="2">
        <f t="shared" si="27"/>
        <v>-1.8777634227316598E-6</v>
      </c>
    </row>
    <row r="54" spans="1:26" x14ac:dyDescent="0.3">
      <c r="A54" s="5">
        <v>9</v>
      </c>
      <c r="B54" s="7">
        <v>215</v>
      </c>
      <c r="C54" s="6">
        <v>450</v>
      </c>
      <c r="D54" s="11">
        <v>7.1590909090909094E-2</v>
      </c>
      <c r="E54" s="2">
        <f>'Raw Data and Corrections'!BE38</f>
        <v>1.8584746842407716E-2</v>
      </c>
      <c r="F54">
        <v>27000</v>
      </c>
      <c r="G54" s="2">
        <v>1.4527785385191672</v>
      </c>
      <c r="H54" s="2">
        <f t="shared" si="28"/>
        <v>9.9415649489625509E-3</v>
      </c>
      <c r="I54" s="2">
        <f t="shared" si="15"/>
        <v>1.0068742948151712E-2</v>
      </c>
      <c r="K54" s="2">
        <f t="shared" si="16"/>
        <v>3.7701305797330786E-11</v>
      </c>
      <c r="L54" s="2">
        <f t="shared" si="17"/>
        <v>3.7989240913593719E-11</v>
      </c>
      <c r="M54" s="2">
        <f t="shared" si="18"/>
        <v>2.2927281851490789E-9</v>
      </c>
      <c r="N54" s="2">
        <f t="shared" si="19"/>
        <v>3.7701305797330786E-11</v>
      </c>
      <c r="O54">
        <f t="shared" si="20"/>
        <v>20.491803278688526</v>
      </c>
      <c r="P54">
        <f t="shared" si="21"/>
        <v>-24.001326385540441</v>
      </c>
      <c r="Q54">
        <f t="shared" si="22"/>
        <v>-10.423643607599134</v>
      </c>
      <c r="R54">
        <f t="shared" si="23"/>
        <v>-22.496629674725611</v>
      </c>
      <c r="S54">
        <f t="shared" si="24"/>
        <v>-1.5046967108148301</v>
      </c>
      <c r="U54">
        <f t="shared" si="25"/>
        <v>6.5086191104521506E-8</v>
      </c>
      <c r="V54" s="2">
        <f t="shared" si="26"/>
        <v>-6.5605455499300809E-8</v>
      </c>
      <c r="W54" s="2">
        <f t="shared" si="27"/>
        <v>-3.7908050730447321E-6</v>
      </c>
    </row>
    <row r="55" spans="1:26" x14ac:dyDescent="0.3">
      <c r="A55" s="5">
        <v>10</v>
      </c>
      <c r="B55" s="7">
        <v>205</v>
      </c>
      <c r="C55" s="6">
        <v>520</v>
      </c>
      <c r="D55" s="11">
        <v>3.8451904805222398E-2</v>
      </c>
      <c r="E55" s="2">
        <f>'Raw Data and Corrections'!BE43</f>
        <v>9.7567832307909347E-3</v>
      </c>
      <c r="F55">
        <v>31200</v>
      </c>
      <c r="G55" s="2">
        <v>1.5131325924103853</v>
      </c>
      <c r="H55" s="2">
        <f t="shared" si="28"/>
        <v>1.0354576107087402E-2</v>
      </c>
      <c r="I55" s="2">
        <f t="shared" si="15"/>
        <v>1.0421343127393696E-2</v>
      </c>
      <c r="K55" s="2">
        <f t="shared" si="16"/>
        <v>2.3445960845023084E-11</v>
      </c>
      <c r="L55" s="2">
        <f t="shared" si="17"/>
        <v>2.3634528554644556E-11</v>
      </c>
      <c r="M55" s="2">
        <f t="shared" si="18"/>
        <v>1.3549935186965384E-9</v>
      </c>
      <c r="N55" s="2">
        <f t="shared" si="19"/>
        <v>2.3445960845023084E-11</v>
      </c>
      <c r="O55">
        <f t="shared" si="20"/>
        <v>20.92050209205021</v>
      </c>
      <c r="P55">
        <f t="shared" si="21"/>
        <v>-24.476322881287</v>
      </c>
      <c r="Q55">
        <f t="shared" si="22"/>
        <v>-10.629931964625245</v>
      </c>
      <c r="R55">
        <f t="shared" si="23"/>
        <v>-23.300212209435607</v>
      </c>
      <c r="S55">
        <f t="shared" si="24"/>
        <v>-1.1761106718513936</v>
      </c>
      <c r="U55">
        <f t="shared" si="25"/>
        <v>5.8297035273430398E-8</v>
      </c>
      <c r="V55" s="2">
        <f t="shared" si="26"/>
        <v>-5.8778572158875226E-8</v>
      </c>
      <c r="W55" s="2">
        <f t="shared" si="27"/>
        <v>-3.2816732779518488E-6</v>
      </c>
    </row>
    <row r="56" spans="1:26" x14ac:dyDescent="0.3">
      <c r="A56" s="5">
        <v>11</v>
      </c>
      <c r="B56" s="7">
        <v>195</v>
      </c>
      <c r="C56" s="6">
        <v>1106</v>
      </c>
      <c r="D56" s="11">
        <v>3.3582644628099102E-2</v>
      </c>
      <c r="E56" s="2">
        <f>'Raw Data and Corrections'!BE47</f>
        <v>4.0877758151822369E-3</v>
      </c>
      <c r="F56">
        <v>66360</v>
      </c>
      <c r="G56" s="2">
        <v>1.5941014420436159</v>
      </c>
      <c r="H56" s="2">
        <f t="shared" si="28"/>
        <v>1.0908657170462722E-2</v>
      </c>
      <c r="I56" s="2">
        <f t="shared" si="15"/>
        <v>1.0936630387085854E-2</v>
      </c>
      <c r="K56" s="2">
        <f t="shared" si="16"/>
        <v>1.5493288434344527E-11</v>
      </c>
      <c r="L56" s="2">
        <f t="shared" si="17"/>
        <v>1.5623900397290631E-11</v>
      </c>
      <c r="M56" s="2">
        <f t="shared" si="18"/>
        <v>8.5508476467000119E-10</v>
      </c>
      <c r="N56" s="2">
        <f t="shared" si="19"/>
        <v>1.5493288434344527E-11</v>
      </c>
      <c r="O56">
        <f t="shared" si="20"/>
        <v>21.367521367521366</v>
      </c>
      <c r="P56">
        <f t="shared" si="21"/>
        <v>-24.890614190012588</v>
      </c>
      <c r="Q56">
        <f t="shared" si="22"/>
        <v>-10.809856393905246</v>
      </c>
      <c r="R56">
        <f t="shared" si="23"/>
        <v>-24.138135878107555</v>
      </c>
      <c r="S56">
        <f t="shared" si="24"/>
        <v>-0.75247831190503334</v>
      </c>
      <c r="U56">
        <f t="shared" si="25"/>
        <v>2.876434739727397E-8</v>
      </c>
      <c r="V56" s="2">
        <f t="shared" si="26"/>
        <v>-2.9013803865329432E-8</v>
      </c>
      <c r="W56" s="2">
        <f t="shared" si="27"/>
        <v>-1.5437243670890847E-6</v>
      </c>
    </row>
    <row r="57" spans="1:26" x14ac:dyDescent="0.3">
      <c r="A57" s="5">
        <v>12</v>
      </c>
      <c r="B57" s="7">
        <v>185</v>
      </c>
      <c r="C57" s="6">
        <v>740</v>
      </c>
      <c r="D57" s="11">
        <v>7.9399336711820697E-3</v>
      </c>
      <c r="E57" s="2">
        <f>'Raw Data and Corrections'!BE51</f>
        <v>1.8134793264172192E-3</v>
      </c>
      <c r="F57">
        <v>44400</v>
      </c>
      <c r="G57" s="2">
        <v>1.6199227189983803</v>
      </c>
      <c r="H57" s="2">
        <f t="shared" si="28"/>
        <v>1.1085355748466636E-2</v>
      </c>
      <c r="I57" s="2">
        <f t="shared" si="15"/>
        <v>1.1097765638913914E-2</v>
      </c>
      <c r="K57" s="2">
        <f t="shared" si="16"/>
        <v>7.638391818077077E-12</v>
      </c>
      <c r="L57" s="2">
        <f t="shared" si="17"/>
        <v>7.7050058582286838E-12</v>
      </c>
      <c r="M57" s="2">
        <f t="shared" si="18"/>
        <v>4.0771128650904758E-10</v>
      </c>
      <c r="N57" s="2">
        <f t="shared" si="19"/>
        <v>7.638391818077077E-12</v>
      </c>
      <c r="O57">
        <f t="shared" si="20"/>
        <v>21.834061135371179</v>
      </c>
      <c r="P57">
        <f t="shared" si="21"/>
        <v>-25.597834029923394</v>
      </c>
      <c r="Q57">
        <f t="shared" si="22"/>
        <v>-11.116998067871009</v>
      </c>
      <c r="R57">
        <f t="shared" si="23"/>
        <v>-25.012650099996634</v>
      </c>
      <c r="S57">
        <f t="shared" si="24"/>
        <v>-0.58518392992676027</v>
      </c>
      <c r="U57">
        <f t="shared" si="25"/>
        <v>4.3624448201292779E-8</v>
      </c>
      <c r="V57" s="2">
        <f t="shared" si="26"/>
        <v>-4.4008406383499748E-8</v>
      </c>
      <c r="W57" s="2">
        <f t="shared" si="27"/>
        <v>-2.3076180448389446E-6</v>
      </c>
    </row>
    <row r="58" spans="1:26" x14ac:dyDescent="0.3">
      <c r="A58" s="5">
        <v>13</v>
      </c>
      <c r="B58" s="7">
        <v>175</v>
      </c>
      <c r="C58" s="6">
        <v>920</v>
      </c>
      <c r="D58" s="11">
        <v>1.5191836823502501E-2</v>
      </c>
      <c r="E58" s="2">
        <f>'Raw Data and Corrections'!BE55</f>
        <v>3.1650678213308433E-3</v>
      </c>
      <c r="F58">
        <v>55200</v>
      </c>
      <c r="G58" s="2">
        <v>1.6440058651952798</v>
      </c>
      <c r="H58" s="2">
        <f t="shared" si="28"/>
        <v>1.1250160056724029E-2</v>
      </c>
      <c r="I58" s="2">
        <f t="shared" si="15"/>
        <v>1.1271819054623121E-2</v>
      </c>
      <c r="K58" s="2">
        <f t="shared" si="16"/>
        <v>5.8193280639654628E-12</v>
      </c>
      <c r="L58" s="2">
        <f t="shared" si="17"/>
        <v>5.870873725113941E-12</v>
      </c>
      <c r="M58" s="2">
        <f t="shared" si="18"/>
        <v>3.0591947119830536E-10</v>
      </c>
      <c r="N58" s="2">
        <f t="shared" si="19"/>
        <v>5.8193280639654628E-12</v>
      </c>
      <c r="O58">
        <f t="shared" si="20"/>
        <v>22.321428571428573</v>
      </c>
      <c r="P58">
        <f t="shared" si="21"/>
        <v>-25.869836313777299</v>
      </c>
      <c r="Q58">
        <f t="shared" si="22"/>
        <v>-11.235127158813842</v>
      </c>
      <c r="R58">
        <f t="shared" si="23"/>
        <v>-25.926205135362899</v>
      </c>
      <c r="S58">
        <f t="shared" si="24"/>
        <v>5.6368821585600415E-2</v>
      </c>
      <c r="U58">
        <f t="shared" si="25"/>
        <v>3.5639557100037689E-8</v>
      </c>
      <c r="V58" s="2">
        <f t="shared" si="26"/>
        <v>-3.5958205263040734E-8</v>
      </c>
      <c r="W58" s="2">
        <f t="shared" si="27"/>
        <v>-1.8564543061953965E-6</v>
      </c>
    </row>
    <row r="59" spans="1:26" x14ac:dyDescent="0.3">
      <c r="A59" s="5">
        <v>14</v>
      </c>
      <c r="B59" s="7">
        <v>200</v>
      </c>
      <c r="C59" s="6">
        <v>260</v>
      </c>
      <c r="D59" s="11">
        <v>1.0662386255492901E-2</v>
      </c>
      <c r="E59" s="2">
        <f>'Raw Data and Corrections'!BE59</f>
        <v>7.6204226029924606E-3</v>
      </c>
      <c r="F59">
        <v>15600</v>
      </c>
      <c r="G59" s="2">
        <v>1.6548136201808463</v>
      </c>
      <c r="H59" s="2">
        <f t="shared" si="28"/>
        <v>1.1324119022452559E-2</v>
      </c>
      <c r="I59" s="2">
        <f t="shared" si="15"/>
        <v>1.1376266630802703E-2</v>
      </c>
      <c r="K59" s="2">
        <f t="shared" si="16"/>
        <v>9.3395831411325175E-12</v>
      </c>
      <c r="L59" s="2">
        <f t="shared" si="17"/>
        <v>9.4232019436591097E-12</v>
      </c>
      <c r="M59" s="2">
        <f t="shared" si="18"/>
        <v>4.8584339449961516E-10</v>
      </c>
      <c r="N59" s="2">
        <f t="shared" si="19"/>
        <v>9.3395831411325175E-12</v>
      </c>
      <c r="O59">
        <f t="shared" si="20"/>
        <v>21.141649048625794</v>
      </c>
      <c r="P59">
        <f t="shared" si="21"/>
        <v>-25.396759496254209</v>
      </c>
      <c r="Q59">
        <f t="shared" si="22"/>
        <v>-11.029672507447213</v>
      </c>
      <c r="R59">
        <f t="shared" si="23"/>
        <v>-23.714745271738437</v>
      </c>
      <c r="S59">
        <f t="shared" si="24"/>
        <v>-1.6820142245157719</v>
      </c>
      <c r="U59">
        <f t="shared" si="25"/>
        <v>1.2727776236683932E-7</v>
      </c>
      <c r="V59" s="2">
        <f t="shared" si="26"/>
        <v>-1.2842638514969249E-7</v>
      </c>
      <c r="W59" s="2">
        <f t="shared" si="27"/>
        <v>-6.5696861709419603E-6</v>
      </c>
    </row>
    <row r="60" spans="1:26" x14ac:dyDescent="0.3">
      <c r="A60" s="5">
        <v>15</v>
      </c>
      <c r="B60" s="7">
        <v>209.99</v>
      </c>
      <c r="C60" s="6">
        <v>520</v>
      </c>
      <c r="D60" s="11">
        <v>0.21658617347290901</v>
      </c>
      <c r="E60" s="2">
        <f>'Raw Data and Corrections'!BE61</f>
        <v>5.077086075528895E-2</v>
      </c>
      <c r="F60">
        <v>31200</v>
      </c>
      <c r="G60" s="2">
        <v>2.3578929916624825</v>
      </c>
      <c r="H60" s="2">
        <f t="shared" si="28"/>
        <v>1.6135388634808713E-2</v>
      </c>
      <c r="I60" s="2">
        <f t="shared" si="15"/>
        <v>1.6482820673712543E-2</v>
      </c>
      <c r="K60" s="2">
        <f t="shared" si="16"/>
        <v>3.6952618512419412E-10</v>
      </c>
      <c r="L60" s="2">
        <f t="shared" si="17"/>
        <v>3.7360153686514721E-10</v>
      </c>
      <c r="M60" s="2">
        <f t="shared" si="18"/>
        <v>1.5842010061177627E-8</v>
      </c>
      <c r="N60" s="2">
        <f t="shared" si="19"/>
        <v>3.6952618512419412E-10</v>
      </c>
      <c r="O60">
        <f t="shared" si="20"/>
        <v>20.704362409159611</v>
      </c>
      <c r="P60">
        <f t="shared" si="21"/>
        <v>-21.718799511679897</v>
      </c>
      <c r="Q60">
        <f t="shared" si="22"/>
        <v>-9.4323547814856195</v>
      </c>
      <c r="R60">
        <f t="shared" si="23"/>
        <v>-22.895065125246909</v>
      </c>
      <c r="S60">
        <f t="shared" si="24"/>
        <v>1.1762656135670113</v>
      </c>
      <c r="U60">
        <f t="shared" si="25"/>
        <v>9.22049649910493E-8</v>
      </c>
      <c r="V60" s="2">
        <f t="shared" si="26"/>
        <v>-9.3416044258780392E-8</v>
      </c>
      <c r="W60" s="2">
        <f t="shared" si="27"/>
        <v>-3.3018984344684695E-6</v>
      </c>
    </row>
    <row r="61" spans="1:26" x14ac:dyDescent="0.3">
      <c r="A61" s="5">
        <v>16</v>
      </c>
      <c r="B61" s="7">
        <v>219.98</v>
      </c>
      <c r="C61" s="6">
        <v>1167</v>
      </c>
      <c r="D61" s="11">
        <v>0.31868729096989901</v>
      </c>
      <c r="E61" s="2">
        <f>'Raw Data and Corrections'!BE65</f>
        <v>2.5747603489509538E-2</v>
      </c>
      <c r="F61">
        <v>70020</v>
      </c>
      <c r="G61" s="2">
        <v>2.9503223326902375</v>
      </c>
      <c r="H61" s="2">
        <f t="shared" si="28"/>
        <v>2.018946474850318E-2</v>
      </c>
      <c r="I61" s="2">
        <f t="shared" si="15"/>
        <v>2.0365659168770433E-2</v>
      </c>
      <c r="K61" s="2">
        <f t="shared" si="16"/>
        <v>1.8353590333637815E-10</v>
      </c>
      <c r="L61" s="2">
        <f t="shared" si="17"/>
        <v>1.8620759809764626E-10</v>
      </c>
      <c r="M61" s="2">
        <f t="shared" si="18"/>
        <v>5.9749051523884883E-9</v>
      </c>
      <c r="N61" s="2">
        <f t="shared" si="19"/>
        <v>1.8353590333637815E-10</v>
      </c>
      <c r="O61">
        <f t="shared" si="20"/>
        <v>20.28479857195018</v>
      </c>
      <c r="P61">
        <f t="shared" si="21"/>
        <v>-22.418610809063679</v>
      </c>
      <c r="Q61">
        <f t="shared" si="22"/>
        <v>-9.7362789663129519</v>
      </c>
      <c r="R61">
        <f t="shared" si="23"/>
        <v>-22.108605817992064</v>
      </c>
      <c r="S61">
        <f t="shared" si="24"/>
        <v>-0.31000499107161517</v>
      </c>
      <c r="U61">
        <f t="shared" si="25"/>
        <v>5.0763754189376693E-8</v>
      </c>
      <c r="V61" s="2">
        <f t="shared" si="26"/>
        <v>-5.1590433399880274E-8</v>
      </c>
      <c r="W61" s="2">
        <f t="shared" si="27"/>
        <v>-1.4771144523684904E-6</v>
      </c>
    </row>
    <row r="62" spans="1:26" x14ac:dyDescent="0.3">
      <c r="A62" s="5">
        <v>17</v>
      </c>
      <c r="B62" s="7">
        <v>229.99</v>
      </c>
      <c r="C62" s="6">
        <v>370</v>
      </c>
      <c r="D62" s="11">
        <v>0.21132607073022699</v>
      </c>
      <c r="E62" s="2">
        <f>'Raw Data and Corrections'!BE69</f>
        <v>5.5900246885354443E-2</v>
      </c>
      <c r="F62">
        <v>22200</v>
      </c>
      <c r="G62" s="2">
        <v>3.214413338430429</v>
      </c>
      <c r="H62" s="2">
        <f t="shared" si="28"/>
        <v>2.1996676113753062E-2</v>
      </c>
      <c r="I62" s="2">
        <f t="shared" si="15"/>
        <v>2.2379209253071228E-2</v>
      </c>
      <c r="K62" s="2">
        <f t="shared" si="16"/>
        <v>2.9969061645421529E-10</v>
      </c>
      <c r="L62" s="2">
        <f t="shared" si="17"/>
        <v>3.0475183054568463E-10</v>
      </c>
      <c r="M62" s="2">
        <f t="shared" si="18"/>
        <v>8.4258737937997122E-9</v>
      </c>
      <c r="N62" s="2">
        <f t="shared" si="19"/>
        <v>2.9969061645421529E-10</v>
      </c>
      <c r="O62">
        <f t="shared" si="20"/>
        <v>19.881110956480249</v>
      </c>
      <c r="P62">
        <f t="shared" si="21"/>
        <v>-21.928270451891837</v>
      </c>
      <c r="Q62">
        <f t="shared" si="22"/>
        <v>-9.5233268549387518</v>
      </c>
      <c r="R62">
        <f t="shared" si="23"/>
        <v>-21.351905992474535</v>
      </c>
      <c r="S62">
        <f t="shared" si="24"/>
        <v>-0.5763644594173023</v>
      </c>
      <c r="U62">
        <f t="shared" si="25"/>
        <v>1.7594184029679E-7</v>
      </c>
      <c r="V62" s="2">
        <f t="shared" si="26"/>
        <v>-1.7909595728865594E-7</v>
      </c>
      <c r="W62" s="2">
        <f t="shared" si="27"/>
        <v>-4.6684944964185484E-6</v>
      </c>
    </row>
    <row r="63" spans="1:26" x14ac:dyDescent="0.3">
      <c r="A63" s="5">
        <v>18</v>
      </c>
      <c r="B63" s="7">
        <v>240</v>
      </c>
      <c r="C63" s="6">
        <v>320</v>
      </c>
      <c r="D63" s="11">
        <v>0.42862847782896701</v>
      </c>
      <c r="E63" s="2">
        <f>'Raw Data and Corrections'!BE73</f>
        <v>0.11775479646228286</v>
      </c>
      <c r="F63">
        <v>19200</v>
      </c>
      <c r="G63" s="2">
        <v>3.8370569266360577</v>
      </c>
      <c r="H63" s="2">
        <f t="shared" si="28"/>
        <v>2.6257512509719468E-2</v>
      </c>
      <c r="I63" s="2">
        <f t="shared" si="15"/>
        <v>2.7063324907165072E-2</v>
      </c>
      <c r="K63" s="2">
        <f t="shared" si="16"/>
        <v>9.344929290422187E-10</v>
      </c>
      <c r="L63" s="2">
        <f t="shared" si="17"/>
        <v>9.5263132479201128E-10</v>
      </c>
      <c r="M63" s="2">
        <f t="shared" si="18"/>
        <v>2.3040999491654938E-8</v>
      </c>
      <c r="N63" s="2">
        <f t="shared" si="19"/>
        <v>9.344929290422187E-10</v>
      </c>
      <c r="O63">
        <f t="shared" si="20"/>
        <v>19.49317738791423</v>
      </c>
      <c r="P63">
        <f t="shared" si="21"/>
        <v>-20.791017055629542</v>
      </c>
      <c r="Q63">
        <f t="shared" si="22"/>
        <v>-9.0294239804163041</v>
      </c>
      <c r="R63">
        <f t="shared" si="23"/>
        <v>-20.624736635781289</v>
      </c>
      <c r="S63">
        <f t="shared" si="24"/>
        <v>-0.16628041984825259</v>
      </c>
      <c r="U63">
        <f t="shared" si="25"/>
        <v>2.4601256571198917E-7</v>
      </c>
      <c r="V63" s="2">
        <f t="shared" si="26"/>
        <v>-2.5136832209149333E-7</v>
      </c>
      <c r="W63" s="2">
        <f t="shared" si="27"/>
        <v>-5.4239346881113606E-6</v>
      </c>
      <c r="Y63" s="2"/>
      <c r="Z63" s="2"/>
    </row>
    <row r="64" spans="1:26" x14ac:dyDescent="0.3">
      <c r="A64" s="5">
        <v>19</v>
      </c>
      <c r="B64" s="7">
        <v>245</v>
      </c>
      <c r="C64" s="6">
        <v>250</v>
      </c>
      <c r="D64" s="11">
        <v>0.39881989764248399</v>
      </c>
      <c r="E64" s="2">
        <f>'Raw Data and Corrections'!BE77</f>
        <v>0.1402214195171109</v>
      </c>
      <c r="F64">
        <v>15000</v>
      </c>
      <c r="G64" s="2">
        <v>4.2823756563482975</v>
      </c>
      <c r="H64" s="2">
        <f t="shared" si="28"/>
        <v>2.9304890315104994E-2</v>
      </c>
      <c r="I64" s="2">
        <f t="shared" si="15"/>
        <v>3.0264444928835746E-2</v>
      </c>
      <c r="K64" s="2">
        <f t="shared" si="16"/>
        <v>9.8506169576649441E-10</v>
      </c>
      <c r="L64" s="2">
        <f t="shared" si="17"/>
        <v>1.0071129584407478E-9</v>
      </c>
      <c r="M64" s="2">
        <f t="shared" si="18"/>
        <v>2.117247540655157E-8</v>
      </c>
      <c r="N64" s="2">
        <f t="shared" si="19"/>
        <v>9.8506169576649441E-10</v>
      </c>
      <c r="O64">
        <f t="shared" si="20"/>
        <v>19.305019305019304</v>
      </c>
      <c r="P64">
        <f t="shared" si="21"/>
        <v>-20.738316841422034</v>
      </c>
      <c r="Q64">
        <f t="shared" si="22"/>
        <v>-9.0065365681908638</v>
      </c>
      <c r="R64">
        <f t="shared" si="23"/>
        <v>-20.272040186744668</v>
      </c>
      <c r="S64">
        <f t="shared" si="24"/>
        <v>-0.46627665467736534</v>
      </c>
      <c r="U64">
        <f t="shared" si="25"/>
        <v>3.5214280686445646E-7</v>
      </c>
      <c r="V64" s="2">
        <f t="shared" si="26"/>
        <v>-3.6074049071817956E-7</v>
      </c>
      <c r="W64" s="2">
        <f t="shared" si="27"/>
        <v>-6.9655542078790274E-6</v>
      </c>
    </row>
    <row r="65" spans="1:23" x14ac:dyDescent="0.3">
      <c r="A65" s="5">
        <v>20</v>
      </c>
      <c r="B65" s="7">
        <v>249.99</v>
      </c>
      <c r="C65" s="6">
        <v>210</v>
      </c>
      <c r="D65" s="11">
        <v>0.443959731543624</v>
      </c>
      <c r="E65" s="2">
        <f>'Raw Data and Corrections'!BE81</f>
        <v>0.18328170319118076</v>
      </c>
      <c r="F65">
        <v>12600</v>
      </c>
      <c r="G65" s="2">
        <v>4.772238578295827</v>
      </c>
      <c r="H65" s="2">
        <f t="shared" si="28"/>
        <v>3.2657090203460991E-2</v>
      </c>
      <c r="I65" s="2">
        <f t="shared" si="15"/>
        <v>3.3911312308152114E-2</v>
      </c>
      <c r="K65" s="2">
        <f t="shared" si="16"/>
        <v>1.4385733975094069E-9</v>
      </c>
      <c r="L65" s="2">
        <f t="shared" si="17"/>
        <v>1.4745884871397987E-9</v>
      </c>
      <c r="M65" s="2">
        <f t="shared" si="18"/>
        <v>2.7818118510766524E-8</v>
      </c>
      <c r="N65" s="2">
        <f t="shared" si="19"/>
        <v>1.4385733975094069E-9</v>
      </c>
      <c r="O65">
        <f t="shared" si="20"/>
        <v>19.120824489952007</v>
      </c>
      <c r="P65">
        <f t="shared" si="21"/>
        <v>-20.359613910596337</v>
      </c>
      <c r="Q65">
        <f t="shared" si="22"/>
        <v>-8.8420679750526752</v>
      </c>
      <c r="R65">
        <f t="shared" si="23"/>
        <v>-19.926772759453385</v>
      </c>
      <c r="S65">
        <f t="shared" si="24"/>
        <v>-0.43284115114295219</v>
      </c>
      <c r="U65">
        <f t="shared" si="25"/>
        <v>4.6973337575343832E-7</v>
      </c>
      <c r="V65" s="2">
        <f t="shared" si="26"/>
        <v>-4.8262631891345591E-7</v>
      </c>
      <c r="W65" s="2">
        <f t="shared" si="27"/>
        <v>-8.323628962419715E-6</v>
      </c>
    </row>
    <row r="66" spans="1:23" x14ac:dyDescent="0.3">
      <c r="A66" s="5">
        <v>21</v>
      </c>
      <c r="B66" s="7">
        <v>244.909999999999</v>
      </c>
      <c r="C66" s="6">
        <v>270</v>
      </c>
      <c r="D66" s="11">
        <v>0.312337571455232</v>
      </c>
      <c r="E66" s="2">
        <f>'Raw Data and Corrections'!BE85</f>
        <v>9.9572914304118187E-2</v>
      </c>
      <c r="F66">
        <v>16200</v>
      </c>
      <c r="G66" s="2">
        <v>5.1104463241871612</v>
      </c>
      <c r="H66" s="2">
        <f t="shared" si="28"/>
        <v>3.4971492696939561E-2</v>
      </c>
      <c r="I66" s="2">
        <f t="shared" si="15"/>
        <v>3.5652883954082511E-2</v>
      </c>
      <c r="K66" s="2">
        <f t="shared" si="16"/>
        <v>8.4314357162158122E-10</v>
      </c>
      <c r="L66" s="2">
        <f t="shared" si="17"/>
        <v>8.6622697728569502E-10</v>
      </c>
      <c r="M66" s="2">
        <f t="shared" si="18"/>
        <v>1.4981790749480382E-8</v>
      </c>
      <c r="N66" s="2">
        <f t="shared" si="19"/>
        <v>8.4314357162158122E-10</v>
      </c>
      <c r="O66">
        <f t="shared" si="20"/>
        <v>19.308374041821978</v>
      </c>
      <c r="P66">
        <f t="shared" si="21"/>
        <v>-20.893883862081967</v>
      </c>
      <c r="Q66">
        <f t="shared" si="22"/>
        <v>-9.0740984668296019</v>
      </c>
      <c r="R66">
        <f t="shared" si="23"/>
        <v>-20.278328536091941</v>
      </c>
      <c r="S66">
        <f t="shared" si="24"/>
        <v>-0.6155553259900266</v>
      </c>
      <c r="U66">
        <f t="shared" si="25"/>
        <v>3.8411124248777448E-7</v>
      </c>
      <c r="V66" s="2">
        <f t="shared" si="26"/>
        <v>-3.9521297113727173E-7</v>
      </c>
      <c r="W66" s="2">
        <f t="shared" si="27"/>
        <v>-6.4856252981196827E-6</v>
      </c>
    </row>
    <row r="67" spans="1:23" x14ac:dyDescent="0.3">
      <c r="A67" s="5">
        <v>22</v>
      </c>
      <c r="B67" s="7">
        <v>239.99</v>
      </c>
      <c r="C67" s="6">
        <v>320</v>
      </c>
      <c r="D67" s="11">
        <v>0.19266524672441601</v>
      </c>
      <c r="E67" s="2">
        <f>'Raw Data and Corrections'!BE89</f>
        <v>5.293752545351068E-2</v>
      </c>
      <c r="F67">
        <v>19200</v>
      </c>
      <c r="G67" s="2">
        <v>5.3197430414998124</v>
      </c>
      <c r="H67" s="2">
        <f t="shared" si="28"/>
        <v>3.6403739149925646E-2</v>
      </c>
      <c r="I67" s="2">
        <f t="shared" si="15"/>
        <v>3.6765997975740816E-2</v>
      </c>
      <c r="K67" s="2">
        <f t="shared" si="16"/>
        <v>4.6463447508194517E-10</v>
      </c>
      <c r="L67" s="2">
        <f t="shared" si="17"/>
        <v>4.7807894338072687E-10</v>
      </c>
      <c r="M67" s="2">
        <f t="shared" si="18"/>
        <v>7.837889148471533E-9</v>
      </c>
      <c r="N67" s="2">
        <f t="shared" si="19"/>
        <v>4.6463447508194517E-10</v>
      </c>
      <c r="O67">
        <f t="shared" si="20"/>
        <v>19.493557379286145</v>
      </c>
      <c r="P67">
        <f t="shared" si="21"/>
        <v>-21.489770094552814</v>
      </c>
      <c r="Q67">
        <f t="shared" si="22"/>
        <v>-9.3328885694338091</v>
      </c>
      <c r="R67">
        <f t="shared" si="23"/>
        <v>-20.625448917738446</v>
      </c>
      <c r="S67">
        <f t="shared" si="24"/>
        <v>-0.86432117681436793</v>
      </c>
      <c r="U67">
        <f t="shared" si="25"/>
        <v>3.3421235284283726E-7</v>
      </c>
      <c r="V67" s="2">
        <f t="shared" si="26"/>
        <v>-3.4418349376668273E-7</v>
      </c>
      <c r="W67" s="2">
        <f t="shared" si="27"/>
        <v>-5.478570077760662E-6</v>
      </c>
    </row>
    <row r="68" spans="1:23" x14ac:dyDescent="0.3">
      <c r="A68" s="5">
        <v>23</v>
      </c>
      <c r="B68" s="7">
        <v>235</v>
      </c>
      <c r="C68" s="6">
        <v>370</v>
      </c>
      <c r="D68" s="11">
        <v>0.151676470588235</v>
      </c>
      <c r="E68" s="2">
        <f>'Raw Data and Corrections'!BE93</f>
        <v>3.7292521960038655E-2</v>
      </c>
      <c r="F68">
        <v>22200</v>
      </c>
      <c r="G68" s="2">
        <v>5.484390100323342</v>
      </c>
      <c r="H68" s="2">
        <f t="shared" si="28"/>
        <v>3.7530441799744685E-2</v>
      </c>
      <c r="I68" s="2">
        <f t="shared" si="15"/>
        <v>3.7785639697666719E-2</v>
      </c>
      <c r="K68" s="2">
        <f t="shared" si="16"/>
        <v>3.2745300425125145E-10</v>
      </c>
      <c r="L68" s="2">
        <f t="shared" si="17"/>
        <v>3.3727851570612097E-10</v>
      </c>
      <c r="M68" s="2">
        <f t="shared" si="18"/>
        <v>5.3396835146860634E-9</v>
      </c>
      <c r="N68" s="2">
        <f t="shared" si="19"/>
        <v>3.2745300425125145E-10</v>
      </c>
      <c r="O68">
        <f t="shared" si="20"/>
        <v>19.685039370078741</v>
      </c>
      <c r="P68">
        <f t="shared" si="21"/>
        <v>-21.839676569619595</v>
      </c>
      <c r="Q68">
        <f t="shared" si="22"/>
        <v>-9.4848510207375298</v>
      </c>
      <c r="R68">
        <f t="shared" si="23"/>
        <v>-20.984375928302875</v>
      </c>
      <c r="S68">
        <f t="shared" si="24"/>
        <v>-0.85530064131672034</v>
      </c>
      <c r="U68">
        <f t="shared" si="25"/>
        <v>2.9706478499845002E-7</v>
      </c>
      <c r="V68" s="2">
        <f t="shared" si="26"/>
        <v>-3.0618184359077443E-7</v>
      </c>
      <c r="W68" s="2">
        <f t="shared" si="27"/>
        <v>-4.743243781720682E-6</v>
      </c>
    </row>
    <row r="69" spans="1:23" x14ac:dyDescent="0.3">
      <c r="A69" s="5">
        <v>24</v>
      </c>
      <c r="B69" s="7">
        <v>230</v>
      </c>
      <c r="C69" s="6">
        <v>420</v>
      </c>
      <c r="D69" s="11">
        <v>9.9129484321787698E-2</v>
      </c>
      <c r="E69" s="2">
        <f>'Raw Data and Corrections'!BE97</f>
        <v>2.2391756517430875E-2</v>
      </c>
      <c r="F69">
        <v>25200</v>
      </c>
      <c r="G69" s="2">
        <v>5.5973108474220847</v>
      </c>
      <c r="H69" s="2">
        <f t="shared" si="28"/>
        <v>3.8303174127214096E-2</v>
      </c>
      <c r="I69" s="2">
        <f t="shared" si="15"/>
        <v>3.8456404021404503E-2</v>
      </c>
      <c r="K69" s="2">
        <f t="shared" si="16"/>
        <v>2.0292599180721209E-10</v>
      </c>
      <c r="L69" s="2">
        <f t="shared" si="17"/>
        <v>2.0917647960484647E-10</v>
      </c>
      <c r="M69" s="2">
        <f t="shared" si="18"/>
        <v>3.2293579890542501E-9</v>
      </c>
      <c r="N69" s="2">
        <f t="shared" si="19"/>
        <v>2.0292599180721209E-10</v>
      </c>
      <c r="O69">
        <f t="shared" si="20"/>
        <v>19.880715705765407</v>
      </c>
      <c r="P69">
        <f t="shared" si="21"/>
        <v>-22.318179775737693</v>
      </c>
      <c r="Q69">
        <f t="shared" si="22"/>
        <v>-9.6926623227276334</v>
      </c>
      <c r="R69">
        <f t="shared" si="23"/>
        <v>-21.351165107355705</v>
      </c>
      <c r="S69">
        <f t="shared" si="24"/>
        <v>-0.96701466838198868</v>
      </c>
      <c r="U69">
        <f t="shared" si="25"/>
        <v>2.6634558279789542E-7</v>
      </c>
      <c r="V69" s="2">
        <f t="shared" si="26"/>
        <v>-2.7467001938458215E-7</v>
      </c>
      <c r="W69" s="2">
        <f t="shared" si="27"/>
        <v>-4.1814868378141241E-6</v>
      </c>
    </row>
    <row r="70" spans="1:23" x14ac:dyDescent="0.3">
      <c r="A70" s="5">
        <v>25</v>
      </c>
      <c r="B70" s="7">
        <v>225</v>
      </c>
      <c r="C70" s="6">
        <v>652</v>
      </c>
      <c r="D70" s="11">
        <v>9.9545904641576893E-2</v>
      </c>
      <c r="E70" s="2">
        <f>'Raw Data and Corrections'!BE101</f>
        <v>1.4342816287205771E-2</v>
      </c>
      <c r="F70">
        <v>39120</v>
      </c>
      <c r="G70" s="2">
        <v>5.7200357598482583</v>
      </c>
      <c r="H70" s="2">
        <f t="shared" si="28"/>
        <v>3.9142997717246053E-2</v>
      </c>
      <c r="I70" s="2">
        <f t="shared" si="15"/>
        <v>3.9241147597554468E-2</v>
      </c>
      <c r="K70" s="2">
        <f t="shared" si="16"/>
        <v>1.4508968933528076E-10</v>
      </c>
      <c r="L70" s="2">
        <f t="shared" si="17"/>
        <v>1.4965710348699069E-10</v>
      </c>
      <c r="M70" s="2">
        <f t="shared" si="18"/>
        <v>2.2627730268661519E-9</v>
      </c>
      <c r="N70" s="2">
        <f t="shared" si="19"/>
        <v>1.4508968933528076E-10</v>
      </c>
      <c r="O70">
        <f t="shared" si="20"/>
        <v>20.080321285140563</v>
      </c>
      <c r="P70">
        <f t="shared" si="21"/>
        <v>-22.653669017589539</v>
      </c>
      <c r="Q70">
        <f t="shared" si="22"/>
        <v>-9.8383634492017968</v>
      </c>
      <c r="R70">
        <f t="shared" si="23"/>
        <v>-21.72531953096783</v>
      </c>
      <c r="S70">
        <f t="shared" si="24"/>
        <v>-0.92834948662170902</v>
      </c>
      <c r="U70">
        <f t="shared" si="25"/>
        <v>1.7507342224907673E-7</v>
      </c>
      <c r="V70" s="2">
        <f t="shared" si="26"/>
        <v>-1.806608452218153E-7</v>
      </c>
      <c r="W70" s="2">
        <f t="shared" si="27"/>
        <v>-2.6957959329042066E-6</v>
      </c>
    </row>
    <row r="71" spans="1:23" x14ac:dyDescent="0.3">
      <c r="A71" s="5">
        <v>26</v>
      </c>
      <c r="B71" s="7">
        <v>230</v>
      </c>
      <c r="C71" s="6">
        <v>500</v>
      </c>
      <c r="D71" s="11">
        <v>0.105088682432432</v>
      </c>
      <c r="E71" s="2">
        <f>'Raw Data and Corrections'!BE105</f>
        <v>1.9244273084753682E-2</v>
      </c>
      <c r="F71">
        <v>30000</v>
      </c>
      <c r="G71" s="2">
        <v>5.8393197940464843</v>
      </c>
      <c r="H71" s="2">
        <f t="shared" si="28"/>
        <v>3.9959274900528717E-2</v>
      </c>
      <c r="I71" s="2">
        <f t="shared" si="15"/>
        <v>4.0090966129229452E-2</v>
      </c>
      <c r="K71" s="2">
        <f t="shared" si="16"/>
        <v>1.878247136537972E-10</v>
      </c>
      <c r="L71" s="2">
        <f t="shared" si="17"/>
        <v>1.9386837302710346E-10</v>
      </c>
      <c r="M71" s="2">
        <f t="shared" si="18"/>
        <v>2.8704000978224991E-9</v>
      </c>
      <c r="N71" s="2">
        <f t="shared" si="19"/>
        <v>1.878247136537972E-10</v>
      </c>
      <c r="O71">
        <f t="shared" si="20"/>
        <v>19.880715705765407</v>
      </c>
      <c r="P71">
        <f t="shared" si="21"/>
        <v>-22.395511962211703</v>
      </c>
      <c r="Q71">
        <f t="shared" si="22"/>
        <v>-9.7262472645868101</v>
      </c>
      <c r="R71">
        <f t="shared" si="23"/>
        <v>-21.351165107355705</v>
      </c>
      <c r="S71">
        <f t="shared" si="24"/>
        <v>-1.0443468548559984</v>
      </c>
      <c r="U71">
        <f t="shared" si="25"/>
        <v>2.3323978642019346E-7</v>
      </c>
      <c r="V71" s="2">
        <f t="shared" si="26"/>
        <v>-2.4085064457467871E-7</v>
      </c>
      <c r="W71" s="2">
        <f t="shared" si="27"/>
        <v>-3.5184300479587014E-6</v>
      </c>
    </row>
    <row r="72" spans="1:23" x14ac:dyDescent="0.3">
      <c r="A72" s="5">
        <v>27</v>
      </c>
      <c r="B72" s="7">
        <v>234.89999999999901</v>
      </c>
      <c r="C72" s="6">
        <v>450</v>
      </c>
      <c r="D72" s="11">
        <v>0.13692172231060101</v>
      </c>
      <c r="E72" s="2">
        <f>'Raw Data and Corrections'!BE109</f>
        <v>2.6557235514478934E-2</v>
      </c>
      <c r="F72">
        <v>27000</v>
      </c>
      <c r="G72" s="2">
        <v>6.0025980750855723</v>
      </c>
      <c r="H72" s="2">
        <f t="shared" si="28"/>
        <v>4.107661081420462E-2</v>
      </c>
      <c r="I72" s="2">
        <f t="shared" si="15"/>
        <v>4.1258345658664257E-2</v>
      </c>
      <c r="K72" s="2">
        <f t="shared" si="16"/>
        <v>2.9264745338132454E-10</v>
      </c>
      <c r="L72" s="2">
        <f t="shared" si="17"/>
        <v>3.0230294821842516E-10</v>
      </c>
      <c r="M72" s="2">
        <f t="shared" si="18"/>
        <v>4.3700201563681428E-9</v>
      </c>
      <c r="N72" s="2">
        <f t="shared" si="19"/>
        <v>2.9264745338132454E-10</v>
      </c>
      <c r="O72">
        <f t="shared" si="20"/>
        <v>19.68891514077578</v>
      </c>
      <c r="P72">
        <f t="shared" si="21"/>
        <v>-21.952052462155287</v>
      </c>
      <c r="Q72">
        <f t="shared" si="22"/>
        <v>-9.5336552507647347</v>
      </c>
      <c r="R72">
        <f t="shared" si="23"/>
        <v>-20.991640939409997</v>
      </c>
      <c r="S72">
        <f t="shared" si="24"/>
        <v>-0.9604115227452894</v>
      </c>
      <c r="U72">
        <f t="shared" si="25"/>
        <v>2.6670147247022215E-7</v>
      </c>
      <c r="V72" s="2">
        <f t="shared" si="26"/>
        <v>-2.7566712958989491E-7</v>
      </c>
      <c r="W72" s="2">
        <f t="shared" si="27"/>
        <v>-3.9141268288544223E-6</v>
      </c>
    </row>
    <row r="73" spans="1:23" x14ac:dyDescent="0.3">
      <c r="A73" s="5">
        <v>28</v>
      </c>
      <c r="B73" s="7">
        <v>240</v>
      </c>
      <c r="C73" s="6">
        <v>400</v>
      </c>
      <c r="D73" s="11">
        <v>0.178097651218387</v>
      </c>
      <c r="E73" s="2">
        <f>'Raw Data and Corrections'!BE113</f>
        <v>3.7103593747011075E-2</v>
      </c>
      <c r="F73">
        <v>24000</v>
      </c>
      <c r="G73" s="2">
        <v>6.2079236152155115</v>
      </c>
      <c r="H73" s="2">
        <f t="shared" si="28"/>
        <v>4.2481681951174528E-2</v>
      </c>
      <c r="I73" s="2">
        <f t="shared" si="15"/>
        <v>4.2735586987142235E-2</v>
      </c>
      <c r="K73" s="2">
        <f t="shared" si="16"/>
        <v>4.2689788270933571E-10</v>
      </c>
      <c r="L73" s="2">
        <f t="shared" si="17"/>
        <v>4.4143834297922981E-10</v>
      </c>
      <c r="M73" s="2">
        <f t="shared" si="18"/>
        <v>6.1904437996741979E-9</v>
      </c>
      <c r="N73" s="2">
        <f t="shared" si="19"/>
        <v>4.2689788270933571E-10</v>
      </c>
      <c r="O73">
        <f t="shared" si="20"/>
        <v>19.49317738791423</v>
      </c>
      <c r="P73">
        <f t="shared" si="21"/>
        <v>-21.574476281864598</v>
      </c>
      <c r="Q73">
        <f t="shared" si="22"/>
        <v>-9.3696759991663789</v>
      </c>
      <c r="R73">
        <f t="shared" si="23"/>
        <v>-20.624736635781289</v>
      </c>
      <c r="S73">
        <f t="shared" si="24"/>
        <v>-0.94973964608330874</v>
      </c>
      <c r="U73">
        <f t="shared" si="25"/>
        <v>3.1078195862419816E-7</v>
      </c>
      <c r="V73" s="2">
        <f t="shared" si="26"/>
        <v>-3.2161807832472671E-7</v>
      </c>
      <c r="W73" s="2">
        <f t="shared" si="27"/>
        <v>-4.4101879561260805E-6</v>
      </c>
    </row>
    <row r="74" spans="1:23" x14ac:dyDescent="0.3">
      <c r="A74" s="5">
        <v>29</v>
      </c>
      <c r="B74" s="7">
        <v>245</v>
      </c>
      <c r="C74" s="6">
        <v>350</v>
      </c>
      <c r="D74" s="11">
        <v>0.230539629005059</v>
      </c>
      <c r="E74" s="2">
        <f>'Raw Data and Corrections'!BE117</f>
        <v>5.2780988622472796E-2</v>
      </c>
      <c r="F74">
        <v>21000</v>
      </c>
      <c r="G74" s="2">
        <v>6.4597159427995257</v>
      </c>
      <c r="H74" s="2">
        <f t="shared" si="28"/>
        <v>4.4204731756741229E-2</v>
      </c>
      <c r="I74" s="2">
        <f t="shared" si="15"/>
        <v>4.4565919379319703E-2</v>
      </c>
      <c r="K74" s="2">
        <f t="shared" si="16"/>
        <v>6.2069313853252388E-10</v>
      </c>
      <c r="L74" s="2">
        <f t="shared" si="17"/>
        <v>6.4265799290173726E-10</v>
      </c>
      <c r="M74" s="2">
        <f t="shared" si="18"/>
        <v>8.6900594724393821E-9</v>
      </c>
      <c r="N74" s="2">
        <f t="shared" si="19"/>
        <v>6.2069313853252388E-10</v>
      </c>
      <c r="O74">
        <f t="shared" si="20"/>
        <v>19.305019305019304</v>
      </c>
      <c r="P74">
        <f t="shared" si="21"/>
        <v>-21.200184296972292</v>
      </c>
      <c r="Q74">
        <f t="shared" si="22"/>
        <v>-9.2071230555070365</v>
      </c>
      <c r="R74">
        <f t="shared" si="23"/>
        <v>-20.272040186744668</v>
      </c>
      <c r="S74">
        <f t="shared" si="24"/>
        <v>-0.928144110227624</v>
      </c>
      <c r="U74">
        <f t="shared" si="25"/>
        <v>3.7039144159403644E-7</v>
      </c>
      <c r="V74" s="2">
        <f t="shared" si="26"/>
        <v>-3.8388157372330426E-7</v>
      </c>
      <c r="W74" s="2">
        <f t="shared" si="27"/>
        <v>-5.0498703851430513E-6</v>
      </c>
    </row>
    <row r="75" spans="1:23" x14ac:dyDescent="0.3">
      <c r="A75" s="5">
        <v>30</v>
      </c>
      <c r="B75" s="7">
        <v>250</v>
      </c>
      <c r="C75" s="6">
        <v>300</v>
      </c>
      <c r="D75" s="11">
        <v>0.27770578063308499</v>
      </c>
      <c r="E75" s="2">
        <f>'Raw Data and Corrections'!BE121</f>
        <v>7.1912050283329212E-2</v>
      </c>
      <c r="F75">
        <v>18000</v>
      </c>
      <c r="G75" s="2">
        <v>6.7576612046697635</v>
      </c>
      <c r="H75" s="2">
        <f t="shared" si="28"/>
        <v>4.6243612490165245E-2</v>
      </c>
      <c r="I75" s="2">
        <f t="shared" si="15"/>
        <v>4.6735716619975352E-2</v>
      </c>
      <c r="K75" s="2">
        <f t="shared" si="16"/>
        <v>8.9406132733182434E-10</v>
      </c>
      <c r="L75" s="2">
        <f t="shared" si="17"/>
        <v>9.2713106938319716E-10</v>
      </c>
      <c r="M75" s="2">
        <f t="shared" si="18"/>
        <v>1.2020383429198395E-8</v>
      </c>
      <c r="N75" s="2">
        <f t="shared" si="19"/>
        <v>8.9406132733182434E-10</v>
      </c>
      <c r="O75">
        <f t="shared" si="20"/>
        <v>19.120458891013385</v>
      </c>
      <c r="P75">
        <f t="shared" si="21"/>
        <v>-20.835246744302651</v>
      </c>
      <c r="Q75">
        <f t="shared" si="22"/>
        <v>-9.048632690143334</v>
      </c>
      <c r="R75">
        <f t="shared" si="23"/>
        <v>-19.926087455662874</v>
      </c>
      <c r="S75">
        <f t="shared" si="24"/>
        <v>-0.90915928863977769</v>
      </c>
      <c r="U75">
        <f t="shared" si="25"/>
        <v>4.5316229627644739E-7</v>
      </c>
      <c r="V75" s="2">
        <f t="shared" si="26"/>
        <v>-4.7050493405862939E-7</v>
      </c>
      <c r="W75" s="2">
        <f t="shared" si="27"/>
        <v>-5.9049255751382495E-6</v>
      </c>
    </row>
    <row r="76" spans="1:23" x14ac:dyDescent="0.3">
      <c r="A76" s="5">
        <v>31</v>
      </c>
      <c r="B76" s="7">
        <v>249.97</v>
      </c>
      <c r="C76" s="6">
        <v>300</v>
      </c>
      <c r="D76" s="11">
        <v>0.26541780987726199</v>
      </c>
      <c r="E76" s="2">
        <f>'Raw Data and Corrections'!BE126</f>
        <v>6.8758449030283414E-2</v>
      </c>
      <c r="F76">
        <v>18000</v>
      </c>
      <c r="G76" s="2">
        <v>7.0412129431184551</v>
      </c>
      <c r="H76" s="2">
        <f t="shared" si="28"/>
        <v>4.8183996347330622E-2</v>
      </c>
      <c r="I76" s="2">
        <f t="shared" si="15"/>
        <v>4.8654519946558117E-2</v>
      </c>
      <c r="K76" s="2">
        <f t="shared" si="16"/>
        <v>8.8830378382392094E-10</v>
      </c>
      <c r="L76" s="2">
        <f t="shared" si="17"/>
        <v>9.22667432423983E-10</v>
      </c>
      <c r="M76" s="2">
        <f t="shared" si="18"/>
        <v>1.146357551676461E-8</v>
      </c>
      <c r="N76" s="2">
        <f t="shared" si="19"/>
        <v>8.8830378382392094E-10</v>
      </c>
      <c r="O76">
        <f t="shared" si="20"/>
        <v>19.121555729774173</v>
      </c>
      <c r="P76">
        <f t="shared" si="21"/>
        <v>-20.841707332538054</v>
      </c>
      <c r="Q76">
        <f t="shared" si="22"/>
        <v>-9.0514384879638179</v>
      </c>
      <c r="R76">
        <f t="shared" si="23"/>
        <v>-19.928143445658854</v>
      </c>
      <c r="S76">
        <f t="shared" si="24"/>
        <v>-0.91356388687919932</v>
      </c>
      <c r="U76">
        <f t="shared" si="25"/>
        <v>4.7176753835816366E-7</v>
      </c>
      <c r="V76" s="2">
        <f t="shared" si="26"/>
        <v>-4.90596479191235E-7</v>
      </c>
      <c r="W76" s="2">
        <f t="shared" si="27"/>
        <v>-5.9168354344631325E-6</v>
      </c>
    </row>
    <row r="77" spans="1:23" x14ac:dyDescent="0.3">
      <c r="A77" s="5">
        <v>32</v>
      </c>
      <c r="B77" s="6">
        <v>249.98</v>
      </c>
      <c r="C77" s="6">
        <v>300</v>
      </c>
      <c r="D77" s="12">
        <v>0.248897802473871</v>
      </c>
      <c r="E77" s="2">
        <f>'Raw Data and Corrections'!BE130</f>
        <v>6.4469947402812741E-2</v>
      </c>
      <c r="F77">
        <v>18000</v>
      </c>
      <c r="G77" s="2">
        <v>7.3113384902341023</v>
      </c>
      <c r="H77" s="2">
        <f t="shared" si="28"/>
        <v>5.0032502915827691E-2</v>
      </c>
      <c r="I77" s="2">
        <f t="shared" si="15"/>
        <v>5.04736797038704E-2</v>
      </c>
      <c r="K77" s="2">
        <f t="shared" si="16"/>
        <v>8.8019787440249112E-10</v>
      </c>
      <c r="L77" s="2">
        <f t="shared" si="17"/>
        <v>9.1567478987843685E-10</v>
      </c>
      <c r="M77" s="2">
        <f t="shared" si="18"/>
        <v>1.0942531482817241E-8</v>
      </c>
      <c r="N77" s="2">
        <f t="shared" si="19"/>
        <v>9.1567478987843685E-10</v>
      </c>
      <c r="O77">
        <f t="shared" si="20"/>
        <v>19.121190102872003</v>
      </c>
      <c r="P77">
        <f t="shared" si="21"/>
        <v>-20.811359847177314</v>
      </c>
      <c r="Q77">
        <f t="shared" si="22"/>
        <v>-9.03825874253201</v>
      </c>
      <c r="R77">
        <f t="shared" si="23"/>
        <v>-19.927458089451548</v>
      </c>
      <c r="S77">
        <f t="shared" si="24"/>
        <v>-0.8839017577257664</v>
      </c>
      <c r="U77">
        <f t="shared" si="25"/>
        <v>4.8940660912754164E-7</v>
      </c>
      <c r="V77" s="2">
        <f t="shared" si="26"/>
        <v>-5.0970368122096112E-7</v>
      </c>
      <c r="W77" s="2">
        <f t="shared" si="27"/>
        <v>-5.9281712644269167E-6</v>
      </c>
    </row>
    <row r="78" spans="1:23" x14ac:dyDescent="0.3">
      <c r="A78" s="5">
        <v>33</v>
      </c>
      <c r="B78" s="6">
        <v>250</v>
      </c>
      <c r="C78" s="6">
        <v>10250</v>
      </c>
      <c r="D78" s="12">
        <v>6.8042168674698704</v>
      </c>
      <c r="E78" s="2">
        <f>'Raw Data and Corrections'!BE133</f>
        <v>4.1210325239937298E-2</v>
      </c>
      <c r="F78">
        <v>615000</v>
      </c>
      <c r="G78" s="2">
        <v>14.159048330055668</v>
      </c>
      <c r="H78" s="2">
        <f t="shared" si="28"/>
        <v>9.6892330700472429E-2</v>
      </c>
      <c r="I78" s="2">
        <f t="shared" si="15"/>
        <v>9.7174338669394053E-2</v>
      </c>
      <c r="K78" s="2">
        <f t="shared" si="16"/>
        <v>9.7694058511575644E-10</v>
      </c>
      <c r="L78" s="2">
        <f t="shared" si="17"/>
        <v>1.03951768850644E-9</v>
      </c>
      <c r="M78" s="2">
        <f t="shared" si="18"/>
        <v>8.3340362295829486E-9</v>
      </c>
      <c r="N78" s="2">
        <f t="shared" si="19"/>
        <v>1.03951768850644E-9</v>
      </c>
      <c r="O78">
        <f t="shared" si="20"/>
        <v>19.120458891013385</v>
      </c>
      <c r="P78">
        <f t="shared" si="21"/>
        <v>-20.684508992415047</v>
      </c>
      <c r="Q78">
        <f t="shared" si="22"/>
        <v>-8.9831681162840464</v>
      </c>
      <c r="R78">
        <f t="shared" si="23"/>
        <v>-19.926087455662874</v>
      </c>
      <c r="S78">
        <f t="shared" si="24"/>
        <v>-0.75842153675217361</v>
      </c>
      <c r="U78">
        <f t="shared" si="25"/>
        <v>2.7577433467137752E-8</v>
      </c>
      <c r="V78" s="2">
        <f t="shared" si="26"/>
        <v>-2.9878137794794836E-8</v>
      </c>
      <c r="W78" s="2">
        <f t="shared" si="27"/>
        <v>-1.8248250925715817E-7</v>
      </c>
    </row>
    <row r="79" spans="1:23" x14ac:dyDescent="0.3">
      <c r="A79" s="5">
        <v>34</v>
      </c>
      <c r="B79" s="6">
        <v>240</v>
      </c>
      <c r="C79" s="6">
        <v>785</v>
      </c>
      <c r="D79" s="12">
        <v>0.185283164139734</v>
      </c>
      <c r="E79" s="2">
        <f>'Raw Data and Corrections'!BE135</f>
        <v>1.7845681234329783E-2</v>
      </c>
      <c r="F79">
        <v>47100</v>
      </c>
      <c r="G79" s="2">
        <v>14.379338963630095</v>
      </c>
      <c r="H79" s="2">
        <f t="shared" si="28"/>
        <v>9.839981004660911E-2</v>
      </c>
      <c r="I79" s="2">
        <f t="shared" si="15"/>
        <v>9.8521930517379841E-2</v>
      </c>
      <c r="K79" s="2">
        <f t="shared" si="16"/>
        <v>5.4545961485112459E-10</v>
      </c>
      <c r="L79" s="2">
        <f t="shared" si="17"/>
        <v>5.9120848424293963E-10</v>
      </c>
      <c r="M79" s="2">
        <f t="shared" si="18"/>
        <v>3.593800006536826E-9</v>
      </c>
      <c r="N79" s="2">
        <f t="shared" si="19"/>
        <v>5.9120848424293963E-10</v>
      </c>
      <c r="O79">
        <f t="shared" si="20"/>
        <v>19.49317738791423</v>
      </c>
      <c r="P79">
        <f t="shared" si="21"/>
        <v>-21.248852395512991</v>
      </c>
      <c r="Q79">
        <f t="shared" si="22"/>
        <v>-9.2282593421479859</v>
      </c>
      <c r="R79">
        <f t="shared" si="23"/>
        <v>-20.624736635781289</v>
      </c>
      <c r="S79">
        <f t="shared" si="24"/>
        <v>-0.6241157597317013</v>
      </c>
      <c r="U79">
        <f t="shared" si="25"/>
        <v>3.6508111952215687E-7</v>
      </c>
      <c r="V79" s="2">
        <f t="shared" si="26"/>
        <v>-3.9600126516666298E-7</v>
      </c>
      <c r="W79" s="2">
        <f t="shared" si="27"/>
        <v>-2.3862952760270493E-6</v>
      </c>
    </row>
    <row r="80" spans="1:23" x14ac:dyDescent="0.3">
      <c r="A80" t="s">
        <v>92</v>
      </c>
      <c r="D80" s="6">
        <f>'Raw Data and Corrections'!AG138</f>
        <v>133.18435333935949</v>
      </c>
      <c r="E80" s="6">
        <v>0</v>
      </c>
      <c r="F80">
        <f>3600*C80</f>
        <v>0</v>
      </c>
      <c r="G80" s="2">
        <f>'Raw Data and Corrections'!AG139</f>
        <v>147.56369230298958</v>
      </c>
      <c r="I80" s="2"/>
    </row>
    <row r="81" spans="5:5" x14ac:dyDescent="0.3">
      <c r="E81" s="7">
        <v>1.1024229619583501</v>
      </c>
    </row>
  </sheetData>
  <mergeCells count="1">
    <mergeCell ref="U1:W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BBF80-199D-4C22-B785-9CD84BE80241}">
  <dimension ref="A1:AI81"/>
  <sheetViews>
    <sheetView topLeftCell="O40" zoomScale="70" zoomScaleNormal="70" workbookViewId="0">
      <selection activeCell="K46" sqref="K46:M79"/>
    </sheetView>
  </sheetViews>
  <sheetFormatPr defaultRowHeight="14.4" x14ac:dyDescent="0.3"/>
  <cols>
    <col min="1" max="1" width="9" bestFit="1" customWidth="1"/>
    <col min="2" max="4" width="9" style="7" bestFit="1" customWidth="1"/>
    <col min="5" max="5" width="9" style="7" customWidth="1"/>
    <col min="6" max="6" width="9" bestFit="1" customWidth="1"/>
    <col min="7" max="9" width="9" customWidth="1"/>
    <col min="10" max="10" width="3.33203125" style="47" customWidth="1"/>
    <col min="11" max="11" width="12" bestFit="1" customWidth="1"/>
    <col min="12" max="12" width="12.21875" bestFit="1" customWidth="1"/>
    <col min="13" max="14" width="12.109375" bestFit="1" customWidth="1"/>
    <col min="15" max="16" width="9.109375" bestFit="1" customWidth="1"/>
    <col min="17" max="17" width="9.21875" bestFit="1" customWidth="1"/>
    <col min="18" max="18" width="10.6640625" customWidth="1"/>
    <col min="19" max="19" width="10.21875" customWidth="1"/>
    <col min="21" max="21" width="12.77734375" bestFit="1" customWidth="1"/>
    <col min="22" max="23" width="9.109375" bestFit="1" customWidth="1"/>
    <col min="26" max="26" width="9" bestFit="1" customWidth="1"/>
    <col min="27" max="27" width="12.77734375" bestFit="1" customWidth="1"/>
    <col min="28" max="30" width="9" bestFit="1" customWidth="1"/>
    <col min="31" max="31" width="11.33203125" bestFit="1" customWidth="1"/>
    <col min="34" max="35" width="9" bestFit="1" customWidth="1"/>
  </cols>
  <sheetData>
    <row r="1" spans="1:35" s="4" customFormat="1" ht="41.4" customHeight="1" thickBot="1" x14ac:dyDescent="0.35">
      <c r="A1" s="4" t="s">
        <v>137</v>
      </c>
      <c r="B1" s="60"/>
      <c r="C1" s="60"/>
      <c r="D1" s="60"/>
      <c r="E1" s="60"/>
      <c r="G1" s="60" t="s">
        <v>461</v>
      </c>
      <c r="H1" s="60" t="s">
        <v>408</v>
      </c>
      <c r="I1" s="60" t="s">
        <v>445</v>
      </c>
      <c r="J1" s="46"/>
      <c r="K1" s="4" t="s">
        <v>84</v>
      </c>
      <c r="L1" s="4" t="s">
        <v>85</v>
      </c>
      <c r="M1" s="4" t="s">
        <v>86</v>
      </c>
      <c r="N1" s="4" t="s">
        <v>87</v>
      </c>
      <c r="O1" s="4" t="s">
        <v>89</v>
      </c>
      <c r="P1" s="4" t="s">
        <v>88</v>
      </c>
      <c r="Q1" s="4" t="s">
        <v>90</v>
      </c>
      <c r="R1" s="4" t="s">
        <v>388</v>
      </c>
      <c r="S1" s="4" t="s">
        <v>150</v>
      </c>
      <c r="U1" s="93" t="s">
        <v>135</v>
      </c>
      <c r="V1" s="93"/>
      <c r="W1" s="93"/>
      <c r="AH1" s="4" t="s">
        <v>147</v>
      </c>
    </row>
    <row r="2" spans="1:35" x14ac:dyDescent="0.3">
      <c r="G2" s="7"/>
      <c r="H2" s="7"/>
      <c r="I2" s="7"/>
      <c r="K2" t="s">
        <v>129</v>
      </c>
      <c r="L2" t="s">
        <v>130</v>
      </c>
      <c r="M2" t="s">
        <v>131</v>
      </c>
      <c r="U2" t="s">
        <v>132</v>
      </c>
      <c r="V2" t="s">
        <v>133</v>
      </c>
      <c r="W2" t="s">
        <v>134</v>
      </c>
      <c r="AH2" s="13" cm="1">
        <f t="array" ref="AH2:AI6">LINEST(P27:P37,O27:O37,TRUE,TRUE)</f>
        <v>-1.9274224310111134</v>
      </c>
      <c r="AI2" s="14">
        <v>16.768585777477494</v>
      </c>
    </row>
    <row r="3" spans="1:35" ht="30.6" x14ac:dyDescent="0.3">
      <c r="A3" t="s">
        <v>91</v>
      </c>
      <c r="B3" s="7" t="s">
        <v>94</v>
      </c>
      <c r="C3" s="7" t="s">
        <v>95</v>
      </c>
      <c r="D3" s="7" t="s">
        <v>410</v>
      </c>
      <c r="E3" s="4" t="s">
        <v>414</v>
      </c>
      <c r="F3" t="s">
        <v>96</v>
      </c>
      <c r="H3">
        <v>0</v>
      </c>
      <c r="I3">
        <v>0</v>
      </c>
      <c r="U3">
        <v>0</v>
      </c>
      <c r="V3">
        <v>0</v>
      </c>
      <c r="W3">
        <v>0</v>
      </c>
      <c r="AH3" s="15">
        <v>7.3321202372858121E-2</v>
      </c>
      <c r="AI3" s="16">
        <v>1.4286859187681824</v>
      </c>
    </row>
    <row r="4" spans="1:35" x14ac:dyDescent="0.3">
      <c r="A4" s="5">
        <v>1</v>
      </c>
      <c r="B4" s="7">
        <v>170</v>
      </c>
      <c r="C4" s="6">
        <v>300</v>
      </c>
      <c r="D4" s="11" cm="1">
        <f t="array" ref="D4:D37">DistilledBoundingMethod!D2:D35</f>
        <v>0.96295641608282601</v>
      </c>
      <c r="E4"/>
      <c r="F4">
        <f t="shared" ref="F4:F37" si="0">60*C4</f>
        <v>18000</v>
      </c>
      <c r="G4" s="2" cm="1">
        <f t="array" ref="G4:G37">DistilledBoundingMethod!E2:E35</f>
        <v>1.079934644179728</v>
      </c>
      <c r="H4" s="2">
        <f t="shared" ref="H4:H37" si="1">(G4)/$G$38</f>
        <v>7.3901424897776184E-3</v>
      </c>
      <c r="I4" s="2">
        <f t="shared" ref="I4:I37" si="2">((E4+G4)/$G$38)</f>
        <v>7.3901424897776184E-3</v>
      </c>
      <c r="K4" s="2">
        <f>((H4^2-I3^2)*PI())/(36*F4)</f>
        <v>2.6477714261050945E-10</v>
      </c>
      <c r="L4" s="2">
        <f>(1/(PI()*PI()*F4))*(-(H4-I3)*PI()*PI()/3-2*PI()*(SQRT(1-PI()/3*H4)-SQRT(1-PI()/3*I3)))</f>
        <v>2.6580667227312933E-10</v>
      </c>
      <c r="M4" s="2">
        <f>(1/(PI()^2*F4))*LN((1-I3)/(1-H4))</f>
        <v>4.1753248869779749E-8</v>
      </c>
      <c r="N4" s="2">
        <f t="shared" ref="N4:N37" si="3">(I4&lt;0.05)*K4+((I4&gt;=0.05)*(I4&lt;0.9))*L4+(I4&gt;=0.9)*M4</f>
        <v>2.6477714261050945E-10</v>
      </c>
      <c r="O4">
        <f t="shared" ref="O4:O37" si="4">10000/(273+B4)</f>
        <v>22.573363431151243</v>
      </c>
      <c r="P4">
        <f t="shared" ref="P4:P37" si="5">LN(N4)</f>
        <v>-22.05213261503815</v>
      </c>
      <c r="Q4">
        <f t="shared" ref="Q4:Q37" si="6">LOG10(N4)</f>
        <v>-9.5771195089097958</v>
      </c>
      <c r="R4">
        <f t="shared" ref="R4:R37" si="7">$AI$2+$AH$2*O4</f>
        <v>-26.739821243089406</v>
      </c>
      <c r="S4">
        <f t="shared" ref="S4:S37" si="8">P4-R4</f>
        <v>4.6876886280512551</v>
      </c>
      <c r="U4" s="2">
        <f t="shared" ref="U4:U37" si="9" xml:space="preserve"> (I4 * PI()) / (18 * F4)</f>
        <v>7.1656843687861577E-8</v>
      </c>
      <c r="V4" s="2">
        <f t="shared" ref="V4:V37" si="10" xml:space="preserve"> (1 / (PI()^2 * F4)) * (PI()^2 / 3 - PI()^2 / (3 * SQRT(1 - (PI() / 3) * I4)))</f>
        <v>-7.207545519942476E-8</v>
      </c>
      <c r="W4" s="2">
        <f t="shared" ref="W4:W37" si="11" xml:space="preserve"> (-1) / (PI()^2 * F4 * (1 - I4))</f>
        <v>-5.6708631333923391E-6</v>
      </c>
      <c r="AH4" s="15">
        <v>0.98714334266299508</v>
      </c>
      <c r="AI4" s="16">
        <v>8.2688934812500392E-2</v>
      </c>
    </row>
    <row r="5" spans="1:35" x14ac:dyDescent="0.3">
      <c r="A5" s="5">
        <v>2</v>
      </c>
      <c r="B5" s="7">
        <v>180</v>
      </c>
      <c r="C5" s="6">
        <v>463</v>
      </c>
      <c r="D5" s="11">
        <v>0.544184151846411</v>
      </c>
      <c r="E5"/>
      <c r="F5">
        <f t="shared" si="0"/>
        <v>27780</v>
      </c>
      <c r="G5" s="11">
        <v>1.682029378378312</v>
      </c>
      <c r="H5" s="2">
        <f t="shared" si="1"/>
        <v>1.151036022892795E-2</v>
      </c>
      <c r="I5" s="2">
        <f t="shared" si="2"/>
        <v>1.151036022892795E-2</v>
      </c>
      <c r="K5" s="2">
        <f t="shared" ref="K5:K37" si="12">((H5^2-I4^2)*PI())/(36*F5)</f>
        <v>2.4462940211331559E-10</v>
      </c>
      <c r="L5" s="2">
        <f t="shared" ref="L5:L37" si="13">(1/(PI()*PI()*F5))*(-(H5-I4)*PI()*PI()/3-2*PI()*(SQRT(1-PI()/3*H5)-SQRT(1-PI()/3*I4)))</f>
        <v>2.4648968340675174E-10</v>
      </c>
      <c r="M5" s="2">
        <f t="shared" ref="M5:M37" si="14">(1/(PI()^2*F5))*LN((1-I4)/(1-H5))</f>
        <v>1.5170940842185419E-8</v>
      </c>
      <c r="N5" s="2">
        <f t="shared" si="3"/>
        <v>2.4462940211331559E-10</v>
      </c>
      <c r="O5">
        <f t="shared" si="4"/>
        <v>22.075055187637968</v>
      </c>
      <c r="P5">
        <f t="shared" si="5"/>
        <v>-22.131276695020862</v>
      </c>
      <c r="Q5">
        <f t="shared" si="6"/>
        <v>-9.6114913461215963</v>
      </c>
      <c r="R5">
        <f t="shared" si="7"/>
        <v>-25.779370756984168</v>
      </c>
      <c r="S5">
        <f t="shared" si="8"/>
        <v>3.648094061963306</v>
      </c>
      <c r="U5">
        <f t="shared" si="9"/>
        <v>7.2315940995464729E-8</v>
      </c>
      <c r="V5" s="2">
        <f t="shared" si="10"/>
        <v>-7.2976329454655304E-8</v>
      </c>
      <c r="W5" s="2">
        <f t="shared" si="11"/>
        <v>-3.6897410784219128E-6</v>
      </c>
      <c r="AH5" s="15">
        <v>691.02643487242938</v>
      </c>
      <c r="AI5" s="16">
        <v>9</v>
      </c>
    </row>
    <row r="6" spans="1:35" ht="15" thickBot="1" x14ac:dyDescent="0.35">
      <c r="A6" s="5">
        <v>3</v>
      </c>
      <c r="B6" s="7">
        <v>190</v>
      </c>
      <c r="C6" s="6">
        <v>550</v>
      </c>
      <c r="D6" s="11">
        <v>0.52920163854343805</v>
      </c>
      <c r="E6" s="2" cm="1">
        <f t="array" ref="E6:E37">DistilledBoundingMethod!F4:F35</f>
        <v>0.1426419055679381</v>
      </c>
      <c r="F6">
        <f t="shared" si="0"/>
        <v>33000</v>
      </c>
      <c r="G6" s="11">
        <v>2.2456606027787114</v>
      </c>
      <c r="H6" s="2">
        <f t="shared" si="1"/>
        <v>1.5367366838036753E-2</v>
      </c>
      <c r="I6" s="2">
        <f t="shared" si="2"/>
        <v>1.6343485173383934E-2</v>
      </c>
      <c r="K6" s="2">
        <f t="shared" si="12"/>
        <v>2.7414249096399491E-10</v>
      </c>
      <c r="L6" s="2">
        <f t="shared" si="13"/>
        <v>2.7709096217391979E-10</v>
      </c>
      <c r="M6" s="2">
        <f t="shared" si="14"/>
        <v>1.20036478924405E-8</v>
      </c>
      <c r="N6" s="2">
        <f t="shared" si="3"/>
        <v>2.7414249096399491E-10</v>
      </c>
      <c r="O6">
        <f t="shared" si="4"/>
        <v>21.598272138228943</v>
      </c>
      <c r="P6">
        <f t="shared" si="5"/>
        <v>-22.017373104699846</v>
      </c>
      <c r="Q6">
        <f t="shared" si="6"/>
        <v>-9.5620236453762093</v>
      </c>
      <c r="R6">
        <f t="shared" si="7"/>
        <v>-24.860408412827336</v>
      </c>
      <c r="S6">
        <f t="shared" si="8"/>
        <v>2.8430353081274902</v>
      </c>
      <c r="U6">
        <f t="shared" si="9"/>
        <v>8.6438675008007872E-8</v>
      </c>
      <c r="V6" s="2">
        <f t="shared" si="10"/>
        <v>-8.7564279584086811E-8</v>
      </c>
      <c r="W6" s="2">
        <f t="shared" si="11"/>
        <v>-3.1213526794908203E-6</v>
      </c>
      <c r="AH6" s="17">
        <v>4.7248655662155894</v>
      </c>
      <c r="AI6" s="18">
        <v>6.1537139463833442E-2</v>
      </c>
    </row>
    <row r="7" spans="1:35" x14ac:dyDescent="0.3">
      <c r="A7" s="5">
        <v>4</v>
      </c>
      <c r="B7" s="7">
        <v>200</v>
      </c>
      <c r="C7" s="6">
        <v>500</v>
      </c>
      <c r="D7" s="11">
        <v>0.51895322426698798</v>
      </c>
      <c r="E7">
        <v>0.13299380100956529</v>
      </c>
      <c r="F7">
        <f t="shared" si="0"/>
        <v>30000</v>
      </c>
      <c r="G7" s="11">
        <v>2.8028239799204773</v>
      </c>
      <c r="H7" s="2">
        <f t="shared" si="1"/>
        <v>1.9180113071667258E-2</v>
      </c>
      <c r="I7" s="2">
        <f t="shared" si="2"/>
        <v>2.0090208089930464E-2</v>
      </c>
      <c r="K7" s="2">
        <f t="shared" si="12"/>
        <v>2.9311998977258181E-10</v>
      </c>
      <c r="L7" s="2">
        <f t="shared" si="13"/>
        <v>2.972825768209243E-10</v>
      </c>
      <c r="M7" s="2">
        <f t="shared" si="14"/>
        <v>9.7535979800368066E-9</v>
      </c>
      <c r="N7" s="2">
        <f t="shared" si="3"/>
        <v>2.9311998977258181E-10</v>
      </c>
      <c r="O7">
        <f t="shared" si="4"/>
        <v>21.141649048625794</v>
      </c>
      <c r="P7">
        <f t="shared" si="5"/>
        <v>-21.950439069334358</v>
      </c>
      <c r="Q7">
        <f t="shared" si="6"/>
        <v>-9.5329545631654629</v>
      </c>
      <c r="R7">
        <f t="shared" si="7"/>
        <v>-23.980302827408625</v>
      </c>
      <c r="S7">
        <f t="shared" si="8"/>
        <v>2.0298637580742671</v>
      </c>
      <c r="U7">
        <f t="shared" si="9"/>
        <v>1.1688009286002923E-7</v>
      </c>
      <c r="V7" s="2">
        <f t="shared" si="10"/>
        <v>-1.1875726168260555E-7</v>
      </c>
      <c r="W7" s="2">
        <f t="shared" si="11"/>
        <v>-3.4466160211488954E-6</v>
      </c>
    </row>
    <row r="8" spans="1:35" x14ac:dyDescent="0.3">
      <c r="A8" s="5">
        <v>5</v>
      </c>
      <c r="B8" s="7">
        <v>210</v>
      </c>
      <c r="C8" s="6">
        <v>475</v>
      </c>
      <c r="D8" s="11">
        <v>0.57702821305164198</v>
      </c>
      <c r="E8">
        <v>0.13406375804081494</v>
      </c>
      <c r="F8">
        <f t="shared" si="0"/>
        <v>28500</v>
      </c>
      <c r="G8" s="11">
        <v>3.4217967693947355</v>
      </c>
      <c r="H8" s="2">
        <f t="shared" si="1"/>
        <v>2.3415829683003798E-2</v>
      </c>
      <c r="I8" s="2">
        <f t="shared" si="2"/>
        <v>2.4333246565568227E-2</v>
      </c>
      <c r="K8" s="2">
        <f t="shared" si="12"/>
        <v>4.4302157410138518E-10</v>
      </c>
      <c r="L8" s="2">
        <f t="shared" si="13"/>
        <v>4.5075272252011713E-10</v>
      </c>
      <c r="M8" s="2">
        <f t="shared" si="14"/>
        <v>1.2085931484493103E-8</v>
      </c>
      <c r="N8" s="2">
        <f t="shared" si="3"/>
        <v>4.4302157410138518E-10</v>
      </c>
      <c r="O8">
        <f t="shared" si="4"/>
        <v>20.703933747412009</v>
      </c>
      <c r="P8">
        <f t="shared" si="5"/>
        <v>-21.537402647066092</v>
      </c>
      <c r="Q8">
        <f t="shared" si="6"/>
        <v>-9.3535751241492928</v>
      </c>
      <c r="R8">
        <f t="shared" si="7"/>
        <v>-23.13664053745239</v>
      </c>
      <c r="S8">
        <f t="shared" si="8"/>
        <v>1.5992378903862985</v>
      </c>
      <c r="U8">
        <f t="shared" si="9"/>
        <v>1.4901588430483082E-7</v>
      </c>
      <c r="V8" s="2">
        <f t="shared" si="10"/>
        <v>-1.5192562385857638E-7</v>
      </c>
      <c r="W8" s="2">
        <f t="shared" si="11"/>
        <v>-3.643794603120358E-6</v>
      </c>
    </row>
    <row r="9" spans="1:35" x14ac:dyDescent="0.3">
      <c r="A9" s="5">
        <v>6</v>
      </c>
      <c r="B9" s="7">
        <v>220</v>
      </c>
      <c r="C9" s="6">
        <v>450</v>
      </c>
      <c r="D9" s="11">
        <v>0.63333256423751405</v>
      </c>
      <c r="E9">
        <v>0.13488029339869259</v>
      </c>
      <c r="F9">
        <f t="shared" si="0"/>
        <v>27000</v>
      </c>
      <c r="G9" s="11">
        <v>4.0986662873104702</v>
      </c>
      <c r="H9" s="2">
        <f t="shared" si="1"/>
        <v>2.8047741633734663E-2</v>
      </c>
      <c r="I9" s="2">
        <f t="shared" si="2"/>
        <v>2.8970746180955635E-2</v>
      </c>
      <c r="K9" s="2">
        <f t="shared" si="12"/>
        <v>6.2886450310193208E-10</v>
      </c>
      <c r="L9" s="2">
        <f t="shared" si="13"/>
        <v>6.4212639624660875E-10</v>
      </c>
      <c r="M9" s="2">
        <f t="shared" si="14"/>
        <v>1.4314058686692119E-8</v>
      </c>
      <c r="N9" s="2">
        <f t="shared" si="3"/>
        <v>6.2886450310193208E-10</v>
      </c>
      <c r="O9">
        <f t="shared" si="4"/>
        <v>20.28397565922921</v>
      </c>
      <c r="P9">
        <f t="shared" si="5"/>
        <v>-21.187105298805673</v>
      </c>
      <c r="Q9">
        <f t="shared" si="6"/>
        <v>-9.2014429187744522</v>
      </c>
      <c r="R9">
        <f t="shared" si="7"/>
        <v>-22.327203898204321</v>
      </c>
      <c r="S9">
        <f t="shared" si="8"/>
        <v>1.1400985993986481</v>
      </c>
      <c r="U9" s="2">
        <f t="shared" si="9"/>
        <v>1.8727218800638843E-7</v>
      </c>
      <c r="V9" s="2">
        <f t="shared" si="10"/>
        <v>-1.916439673819233E-7</v>
      </c>
      <c r="W9" s="2">
        <f t="shared" si="11"/>
        <v>-3.864596680726795E-6</v>
      </c>
    </row>
    <row r="10" spans="1:35" x14ac:dyDescent="0.3">
      <c r="A10" s="5">
        <v>7</v>
      </c>
      <c r="B10" s="7">
        <v>230</v>
      </c>
      <c r="C10" s="6">
        <v>425</v>
      </c>
      <c r="D10" s="11">
        <v>0.78987804878048695</v>
      </c>
      <c r="E10">
        <v>0.15582339135746193</v>
      </c>
      <c r="F10">
        <f t="shared" si="0"/>
        <v>25500</v>
      </c>
      <c r="G10" s="11">
        <v>4.9329186716051234</v>
      </c>
      <c r="H10" s="2">
        <f t="shared" si="1"/>
        <v>3.3756646358295152E-2</v>
      </c>
      <c r="I10" s="2">
        <f t="shared" si="2"/>
        <v>3.4822967428350927E-2</v>
      </c>
      <c r="K10" s="2">
        <f t="shared" si="12"/>
        <v>1.0273727979545494E-9</v>
      </c>
      <c r="L10" s="2">
        <f t="shared" si="13"/>
        <v>1.0534466156409099E-9</v>
      </c>
      <c r="M10" s="2">
        <f t="shared" si="14"/>
        <v>1.9631968640682E-8</v>
      </c>
      <c r="N10" s="2">
        <f t="shared" si="3"/>
        <v>1.0273727979545494E-9</v>
      </c>
      <c r="O10">
        <f t="shared" si="4"/>
        <v>19.880715705765407</v>
      </c>
      <c r="P10">
        <f t="shared" si="5"/>
        <v>-20.69626097483286</v>
      </c>
      <c r="Q10">
        <f t="shared" si="6"/>
        <v>-8.9882719373995261</v>
      </c>
      <c r="R10">
        <f t="shared" si="7"/>
        <v>-21.549951618369693</v>
      </c>
      <c r="S10">
        <f t="shared" si="8"/>
        <v>0.85369064353683299</v>
      </c>
      <c r="U10">
        <f t="shared" si="9"/>
        <v>2.3834330860371224E-7</v>
      </c>
      <c r="V10" s="2">
        <f t="shared" si="10"/>
        <v>-2.4506660265030903E-7</v>
      </c>
      <c r="W10" s="2">
        <f t="shared" si="11"/>
        <v>-4.116736740091204E-6</v>
      </c>
    </row>
    <row r="11" spans="1:35" x14ac:dyDescent="0.3">
      <c r="A11" s="5">
        <v>8</v>
      </c>
      <c r="B11" s="7">
        <v>225</v>
      </c>
      <c r="C11" s="6">
        <v>908</v>
      </c>
      <c r="D11" s="11">
        <v>0.75127118186624997</v>
      </c>
      <c r="E11">
        <v>6.6994769544214849E-2</v>
      </c>
      <c r="F11">
        <f t="shared" si="0"/>
        <v>54480</v>
      </c>
      <c r="G11" s="11">
        <v>5.7114006753916717</v>
      </c>
      <c r="H11" s="2">
        <f t="shared" si="1"/>
        <v>3.9083906637161374E-2</v>
      </c>
      <c r="I11" s="2">
        <f t="shared" si="2"/>
        <v>3.9542361133153237E-2</v>
      </c>
      <c r="K11" s="2">
        <f t="shared" si="12"/>
        <v>5.0442946290591729E-10</v>
      </c>
      <c r="L11" s="2">
        <f t="shared" si="13"/>
        <v>5.1957618104673546E-10</v>
      </c>
      <c r="M11" s="2">
        <f t="shared" si="14"/>
        <v>8.2285235548624885E-9</v>
      </c>
      <c r="N11" s="2">
        <f t="shared" si="3"/>
        <v>5.0442946290591729E-10</v>
      </c>
      <c r="O11">
        <f t="shared" si="4"/>
        <v>20.080321285140563</v>
      </c>
      <c r="P11">
        <f t="shared" si="5"/>
        <v>-21.407593101755587</v>
      </c>
      <c r="Q11">
        <f t="shared" si="6"/>
        <v>-9.297199554922571</v>
      </c>
      <c r="R11">
        <f t="shared" si="7"/>
        <v>-21.934675889412336</v>
      </c>
      <c r="S11">
        <f t="shared" si="8"/>
        <v>0.52708278765674876</v>
      </c>
      <c r="U11">
        <f t="shared" si="9"/>
        <v>1.2667848674488983E-7</v>
      </c>
      <c r="V11" s="2">
        <f t="shared" si="10"/>
        <v>-1.3075354426832804E-7</v>
      </c>
      <c r="W11" s="2">
        <f t="shared" si="11"/>
        <v>-1.9363548191153302E-6</v>
      </c>
    </row>
    <row r="12" spans="1:35" x14ac:dyDescent="0.3">
      <c r="A12" s="5">
        <v>9</v>
      </c>
      <c r="B12" s="7">
        <v>215</v>
      </c>
      <c r="C12" s="6">
        <v>450</v>
      </c>
      <c r="D12" s="11">
        <v>0.141512821493641</v>
      </c>
      <c r="E12">
        <v>3.2510015207520296E-2</v>
      </c>
      <c r="F12">
        <f t="shared" si="0"/>
        <v>27000</v>
      </c>
      <c r="G12" s="11">
        <v>5.8728624970617931</v>
      </c>
      <c r="H12" s="2">
        <f t="shared" si="1"/>
        <v>4.0188812267545691E-2</v>
      </c>
      <c r="I12" s="2">
        <f t="shared" si="2"/>
        <v>4.0411282808724497E-2</v>
      </c>
      <c r="K12" s="2">
        <f t="shared" si="12"/>
        <v>1.6658943885165383E-10</v>
      </c>
      <c r="L12" s="2">
        <f t="shared" si="13"/>
        <v>1.71993888600437E-10</v>
      </c>
      <c r="M12" s="2">
        <f t="shared" si="14"/>
        <v>2.5266214146161248E-9</v>
      </c>
      <c r="N12" s="2">
        <f t="shared" si="3"/>
        <v>1.6658943885165383E-10</v>
      </c>
      <c r="O12">
        <f t="shared" si="4"/>
        <v>20.491803278688526</v>
      </c>
      <c r="P12">
        <f t="shared" si="5"/>
        <v>-22.515488780452156</v>
      </c>
      <c r="Q12">
        <f t="shared" si="6"/>
        <v>-9.7783525347049487</v>
      </c>
      <c r="R12">
        <f t="shared" si="7"/>
        <v>-22.72777551373385</v>
      </c>
      <c r="S12">
        <f t="shared" si="8"/>
        <v>0.21228673328169378</v>
      </c>
      <c r="U12">
        <f t="shared" si="9"/>
        <v>2.6122590369141646E-7</v>
      </c>
      <c r="V12" s="2">
        <f t="shared" si="10"/>
        <v>-2.6982058211367877E-7</v>
      </c>
      <c r="W12" s="2">
        <f t="shared" si="11"/>
        <v>-3.9106716908694955E-6</v>
      </c>
    </row>
    <row r="13" spans="1:35" x14ac:dyDescent="0.3">
      <c r="A13" s="5">
        <v>10</v>
      </c>
      <c r="B13" s="7">
        <v>205</v>
      </c>
      <c r="C13" s="6">
        <v>520</v>
      </c>
      <c r="D13" s="11">
        <v>7.6269133314252294E-2</v>
      </c>
      <c r="E13">
        <v>1.7161164539828491E-2</v>
      </c>
      <c r="F13">
        <f t="shared" si="0"/>
        <v>31200</v>
      </c>
      <c r="G13" s="11">
        <v>5.9575572993078474</v>
      </c>
      <c r="H13" s="2">
        <f t="shared" si="1"/>
        <v>4.0768390541208066E-2</v>
      </c>
      <c r="I13" s="2">
        <f t="shared" si="2"/>
        <v>4.0885826769338503E-2</v>
      </c>
      <c r="K13" s="2">
        <f t="shared" si="12"/>
        <v>8.1084777904629253E-11</v>
      </c>
      <c r="L13" s="2">
        <f t="shared" si="13"/>
        <v>8.3764815052869944E-11</v>
      </c>
      <c r="M13" s="2">
        <f t="shared" si="14"/>
        <v>1.2087614610790273E-9</v>
      </c>
      <c r="N13" s="2">
        <f t="shared" si="3"/>
        <v>8.1084777904629253E-11</v>
      </c>
      <c r="O13">
        <f t="shared" si="4"/>
        <v>20.92050209205021</v>
      </c>
      <c r="P13">
        <f t="shared" si="5"/>
        <v>-23.235525867804814</v>
      </c>
      <c r="Q13">
        <f t="shared" si="6"/>
        <v>-10.091060668507897</v>
      </c>
      <c r="R13">
        <f t="shared" si="7"/>
        <v>-23.554059222755004</v>
      </c>
      <c r="S13">
        <f t="shared" si="8"/>
        <v>0.31853335495019053</v>
      </c>
      <c r="U13">
        <f t="shared" si="9"/>
        <v>2.2871547901442085E-7</v>
      </c>
      <c r="V13" s="2">
        <f t="shared" si="10"/>
        <v>-2.3633216864257865E-7</v>
      </c>
      <c r="W13" s="2">
        <f t="shared" si="11"/>
        <v>-3.3859095458380996E-6</v>
      </c>
    </row>
    <row r="14" spans="1:35" x14ac:dyDescent="0.3">
      <c r="A14" s="5">
        <v>11</v>
      </c>
      <c r="B14" s="7">
        <v>195</v>
      </c>
      <c r="C14" s="6">
        <v>1106</v>
      </c>
      <c r="D14" s="11">
        <v>6.7045156410478396E-2</v>
      </c>
      <c r="E14">
        <v>7.3345908498363586E-3</v>
      </c>
      <c r="F14">
        <f t="shared" si="0"/>
        <v>66360</v>
      </c>
      <c r="G14" s="11">
        <v>6.0383537324714629</v>
      </c>
      <c r="H14" s="2">
        <f t="shared" si="1"/>
        <v>4.1321291734778387E-2</v>
      </c>
      <c r="I14" s="2">
        <f t="shared" si="2"/>
        <v>4.1371483356814627E-2</v>
      </c>
      <c r="K14" s="2">
        <f t="shared" si="12"/>
        <v>4.7076442962783789E-11</v>
      </c>
      <c r="L14" s="2">
        <f t="shared" si="13"/>
        <v>4.8652860522046736E-11</v>
      </c>
      <c r="M14" s="2">
        <f t="shared" si="14"/>
        <v>6.9338652656358792E-10</v>
      </c>
      <c r="N14" s="2">
        <f t="shared" si="3"/>
        <v>4.7076442962783789E-11</v>
      </c>
      <c r="O14">
        <f t="shared" si="4"/>
        <v>21.367521367521366</v>
      </c>
      <c r="P14">
        <f t="shared" si="5"/>
        <v>-23.779248389432723</v>
      </c>
      <c r="Q14">
        <f t="shared" si="6"/>
        <v>-10.327196359337419</v>
      </c>
      <c r="R14">
        <f t="shared" si="7"/>
        <v>-24.415654201392446</v>
      </c>
      <c r="S14">
        <f t="shared" si="8"/>
        <v>0.63640581195972246</v>
      </c>
      <c r="U14">
        <f t="shared" si="9"/>
        <v>1.0881081992321447E-7</v>
      </c>
      <c r="V14" s="2">
        <f t="shared" si="10"/>
        <v>-1.1247910204848009E-7</v>
      </c>
      <c r="W14" s="2">
        <f t="shared" si="11"/>
        <v>-1.5927350352701897E-6</v>
      </c>
    </row>
    <row r="15" spans="1:35" x14ac:dyDescent="0.3">
      <c r="A15" s="5">
        <v>12</v>
      </c>
      <c r="B15" s="7">
        <v>185</v>
      </c>
      <c r="C15" s="6">
        <v>740</v>
      </c>
      <c r="D15" s="11">
        <v>2.2678534031413601E-2</v>
      </c>
      <c r="E15">
        <v>4.6183250516809334E-3</v>
      </c>
      <c r="F15">
        <f t="shared" si="0"/>
        <v>44400</v>
      </c>
      <c r="G15" s="11">
        <v>6.0633601728868252</v>
      </c>
      <c r="H15" s="2">
        <f t="shared" si="1"/>
        <v>4.1492414273376105E-2</v>
      </c>
      <c r="I15" s="2">
        <f t="shared" si="2"/>
        <v>4.1524018111978728E-2</v>
      </c>
      <c r="K15" s="2">
        <f t="shared" si="12"/>
        <v>1.9695504215371397E-11</v>
      </c>
      <c r="L15" s="2">
        <f t="shared" si="13"/>
        <v>2.0360495904194339E-11</v>
      </c>
      <c r="M15" s="2">
        <f t="shared" si="14"/>
        <v>2.8789338068691543E-10</v>
      </c>
      <c r="N15" s="2">
        <f t="shared" si="3"/>
        <v>1.9695504215371397E-11</v>
      </c>
      <c r="O15">
        <f t="shared" si="4"/>
        <v>21.834061135371179</v>
      </c>
      <c r="P15">
        <f t="shared" si="5"/>
        <v>-24.650630718646717</v>
      </c>
      <c r="Q15">
        <f t="shared" si="6"/>
        <v>-10.70563289654306</v>
      </c>
      <c r="R15">
        <f t="shared" si="7"/>
        <v>-25.314873414904898</v>
      </c>
      <c r="S15">
        <f t="shared" si="8"/>
        <v>0.66424269625818155</v>
      </c>
      <c r="U15">
        <f t="shared" si="9"/>
        <v>1.6322766547562799E-7</v>
      </c>
      <c r="V15" s="2">
        <f t="shared" si="10"/>
        <v>-1.6875152853770844E-7</v>
      </c>
      <c r="W15" s="2">
        <f t="shared" si="11"/>
        <v>-2.3808720131912498E-6</v>
      </c>
    </row>
    <row r="16" spans="1:35" x14ac:dyDescent="0.3">
      <c r="A16" s="5">
        <v>13</v>
      </c>
      <c r="B16" s="7">
        <v>175</v>
      </c>
      <c r="C16" s="6">
        <v>920</v>
      </c>
      <c r="D16" s="11">
        <v>1.80179115952207E-2</v>
      </c>
      <c r="E16">
        <v>3.3584635186452907E-3</v>
      </c>
      <c r="F16">
        <f t="shared" si="0"/>
        <v>55200</v>
      </c>
      <c r="G16" s="11">
        <v>6.0856701125021608</v>
      </c>
      <c r="H16" s="2">
        <f t="shared" si="1"/>
        <v>4.1645084283162576E-2</v>
      </c>
      <c r="I16" s="2">
        <f t="shared" si="2"/>
        <v>4.1668066714630324E-2</v>
      </c>
      <c r="K16" s="2">
        <f t="shared" si="12"/>
        <v>1.5918169186058421E-11</v>
      </c>
      <c r="L16" s="2">
        <f t="shared" si="13"/>
        <v>1.6457678721259115E-11</v>
      </c>
      <c r="M16" s="2">
        <f t="shared" si="14"/>
        <v>2.3186232136543488E-10</v>
      </c>
      <c r="N16" s="2">
        <f t="shared" si="3"/>
        <v>1.5918169186058421E-11</v>
      </c>
      <c r="O16">
        <f t="shared" si="4"/>
        <v>22.321428571428573</v>
      </c>
      <c r="P16">
        <f t="shared" si="5"/>
        <v>-24.863559943001146</v>
      </c>
      <c r="Q16">
        <f t="shared" si="6"/>
        <v>-10.798106883716128</v>
      </c>
      <c r="R16">
        <f t="shared" si="7"/>
        <v>-26.254236343306292</v>
      </c>
      <c r="S16">
        <f t="shared" si="8"/>
        <v>1.3906764003051464</v>
      </c>
      <c r="U16">
        <f t="shared" si="9"/>
        <v>1.3174727483894125E-7</v>
      </c>
      <c r="V16" s="2">
        <f t="shared" si="10"/>
        <v>-1.3622184808484733E-7</v>
      </c>
      <c r="W16" s="2">
        <f t="shared" si="11"/>
        <v>-1.9153370825077231E-6</v>
      </c>
    </row>
    <row r="17" spans="1:31" x14ac:dyDescent="0.3">
      <c r="A17" s="5">
        <v>14</v>
      </c>
      <c r="B17" s="7">
        <v>200</v>
      </c>
      <c r="C17" s="6">
        <v>260</v>
      </c>
      <c r="D17" s="11">
        <v>2.24239448032976E-2</v>
      </c>
      <c r="E17">
        <v>1.3606769693483249E-2</v>
      </c>
      <c r="F17">
        <f t="shared" si="0"/>
        <v>15600</v>
      </c>
      <c r="G17" s="11">
        <v>6.1101517653644759</v>
      </c>
      <c r="H17" s="2">
        <f t="shared" si="1"/>
        <v>4.1812615627779451E-2</v>
      </c>
      <c r="I17" s="2">
        <f t="shared" si="2"/>
        <v>4.1905728639203221E-2</v>
      </c>
      <c r="K17" s="2">
        <f t="shared" si="12"/>
        <v>6.750308081988393E-11</v>
      </c>
      <c r="L17" s="2">
        <f t="shared" si="13"/>
        <v>6.9799838737055282E-11</v>
      </c>
      <c r="M17" s="2">
        <f t="shared" si="14"/>
        <v>9.7973197525392904E-10</v>
      </c>
      <c r="N17" s="2">
        <f t="shared" si="3"/>
        <v>6.750308081988393E-11</v>
      </c>
      <c r="O17">
        <f t="shared" si="4"/>
        <v>21.141649048625794</v>
      </c>
      <c r="P17">
        <f t="shared" si="5"/>
        <v>-23.41884787731556</v>
      </c>
      <c r="Q17">
        <f t="shared" si="6"/>
        <v>-10.17067640564983</v>
      </c>
      <c r="R17">
        <f t="shared" si="7"/>
        <v>-23.980302827408625</v>
      </c>
      <c r="S17">
        <f t="shared" si="8"/>
        <v>0.56145495009306501</v>
      </c>
      <c r="U17">
        <f t="shared" si="9"/>
        <v>4.6884162833421737E-7</v>
      </c>
      <c r="V17" s="2">
        <f t="shared" si="10"/>
        <v>-4.8485932385664883E-7</v>
      </c>
      <c r="W17" s="2">
        <f t="shared" si="11"/>
        <v>-6.7790277674406166E-6</v>
      </c>
    </row>
    <row r="18" spans="1:31" x14ac:dyDescent="0.3">
      <c r="A18" s="5">
        <v>15</v>
      </c>
      <c r="B18" s="7">
        <v>209.99</v>
      </c>
      <c r="C18" s="6">
        <v>520</v>
      </c>
      <c r="D18" s="11">
        <v>8.1207064838573401E-2</v>
      </c>
      <c r="E18">
        <v>1.689740953964939E-2</v>
      </c>
      <c r="F18">
        <f t="shared" si="0"/>
        <v>31200</v>
      </c>
      <c r="G18" s="11">
        <v>6.2030276702175868</v>
      </c>
      <c r="H18" s="2">
        <f t="shared" si="1"/>
        <v>4.2448178320791168E-2</v>
      </c>
      <c r="I18" s="2">
        <f t="shared" si="2"/>
        <v>4.2563809636888994E-2</v>
      </c>
      <c r="K18" s="2">
        <f t="shared" si="12"/>
        <v>1.2798451847770432E-10</v>
      </c>
      <c r="L18" s="2">
        <f t="shared" si="13"/>
        <v>1.3238648458392973E-10</v>
      </c>
      <c r="M18" s="2">
        <f t="shared" si="14"/>
        <v>1.8391614203444798E-9</v>
      </c>
      <c r="N18" s="2">
        <f t="shared" si="3"/>
        <v>1.2798451847770432E-10</v>
      </c>
      <c r="O18">
        <f t="shared" si="4"/>
        <v>20.704362409159611</v>
      </c>
      <c r="P18">
        <f t="shared" si="5"/>
        <v>-22.779111808716834</v>
      </c>
      <c r="Q18">
        <f t="shared" si="6"/>
        <v>-9.8928425611829223</v>
      </c>
      <c r="R18">
        <f t="shared" si="7"/>
        <v>-23.137466749720037</v>
      </c>
      <c r="S18">
        <f t="shared" si="8"/>
        <v>0.35835494100320275</v>
      </c>
      <c r="U18">
        <f t="shared" si="9"/>
        <v>2.3810212190891187E-7</v>
      </c>
      <c r="V18" s="2">
        <f t="shared" si="10"/>
        <v>-2.4636943134326349E-7</v>
      </c>
      <c r="W18" s="2">
        <f t="shared" si="11"/>
        <v>-3.3918436208878817E-6</v>
      </c>
    </row>
    <row r="19" spans="1:31" x14ac:dyDescent="0.3">
      <c r="A19" s="5">
        <v>16</v>
      </c>
      <c r="B19" s="7">
        <v>219.98</v>
      </c>
      <c r="C19" s="6">
        <v>1167</v>
      </c>
      <c r="D19" s="11">
        <v>0.576620115600047</v>
      </c>
      <c r="E19">
        <v>4.1885014562295146E-2</v>
      </c>
      <c r="F19">
        <f t="shared" si="0"/>
        <v>70020</v>
      </c>
      <c r="G19" s="11">
        <v>6.7985876520417872</v>
      </c>
      <c r="H19" s="2">
        <f t="shared" si="1"/>
        <v>4.6523677843480556E-2</v>
      </c>
      <c r="I19" s="2">
        <f t="shared" si="2"/>
        <v>4.6810302804972441E-2</v>
      </c>
      <c r="K19" s="2">
        <f t="shared" si="12"/>
        <v>4.3966582367024048E-10</v>
      </c>
      <c r="L19" s="2">
        <f t="shared" si="13"/>
        <v>4.5568214105160959E-10</v>
      </c>
      <c r="M19" s="2">
        <f t="shared" si="14"/>
        <v>5.997202221399039E-9</v>
      </c>
      <c r="N19" s="2">
        <f t="shared" si="3"/>
        <v>4.3966582367024048E-10</v>
      </c>
      <c r="O19">
        <f t="shared" si="4"/>
        <v>20.28479857195018</v>
      </c>
      <c r="P19">
        <f t="shared" si="5"/>
        <v>-21.545006169234689</v>
      </c>
      <c r="Q19">
        <f t="shared" si="6"/>
        <v>-9.3568772918701448</v>
      </c>
      <c r="R19">
        <f t="shared" si="7"/>
        <v>-22.328789998641486</v>
      </c>
      <c r="S19">
        <f t="shared" si="8"/>
        <v>0.78378382940679714</v>
      </c>
      <c r="U19">
        <f t="shared" si="9"/>
        <v>1.1668007823511941E-7</v>
      </c>
      <c r="V19" s="2">
        <f t="shared" si="10"/>
        <v>-1.2115288606288117E-7</v>
      </c>
      <c r="W19" s="2">
        <f t="shared" si="11"/>
        <v>-1.5180945064099014E-6</v>
      </c>
    </row>
    <row r="20" spans="1:31" x14ac:dyDescent="0.3">
      <c r="A20" s="5">
        <v>17</v>
      </c>
      <c r="B20" s="7">
        <v>229.99</v>
      </c>
      <c r="C20" s="6">
        <v>370</v>
      </c>
      <c r="D20" s="11">
        <v>0.35768644224377999</v>
      </c>
      <c r="E20">
        <v>8.3512557592208367E-2</v>
      </c>
      <c r="F20">
        <f t="shared" si="0"/>
        <v>22200</v>
      </c>
      <c r="G20" s="11">
        <v>7.1814697077418925</v>
      </c>
      <c r="H20" s="2">
        <f t="shared" si="1"/>
        <v>4.9143792832524132E-2</v>
      </c>
      <c r="I20" s="2">
        <f t="shared" si="2"/>
        <v>4.9715280842116565E-2</v>
      </c>
      <c r="K20" s="2">
        <f t="shared" si="12"/>
        <v>8.8016453092803399E-10</v>
      </c>
      <c r="L20" s="2">
        <f t="shared" si="13"/>
        <v>9.1479003111845989E-10</v>
      </c>
      <c r="M20" s="2">
        <f t="shared" si="14"/>
        <v>1.1186803972332825E-8</v>
      </c>
      <c r="N20" s="2">
        <f t="shared" si="3"/>
        <v>8.8016453092803399E-10</v>
      </c>
      <c r="O20">
        <f t="shared" si="4"/>
        <v>19.881110956480249</v>
      </c>
      <c r="P20">
        <f t="shared" si="5"/>
        <v>-20.850912258968766</v>
      </c>
      <c r="Q20">
        <f t="shared" si="6"/>
        <v>-9.0554361367190026</v>
      </c>
      <c r="R20">
        <f t="shared" si="7"/>
        <v>-21.550713433463354</v>
      </c>
      <c r="S20">
        <f t="shared" si="8"/>
        <v>0.69980117449458845</v>
      </c>
      <c r="U20">
        <f t="shared" si="9"/>
        <v>3.9085375641828525E-7</v>
      </c>
      <c r="V20" s="2">
        <f t="shared" si="10"/>
        <v>-4.0680890342571311E-7</v>
      </c>
      <c r="W20" s="2">
        <f t="shared" si="11"/>
        <v>-4.8027893000646105E-6</v>
      </c>
    </row>
    <row r="21" spans="1:31" x14ac:dyDescent="0.3">
      <c r="A21" s="5">
        <v>18</v>
      </c>
      <c r="B21" s="7">
        <v>240</v>
      </c>
      <c r="C21" s="6">
        <v>320</v>
      </c>
      <c r="D21" s="11">
        <v>0.67668226199703296</v>
      </c>
      <c r="E21">
        <v>0.16370415300486033</v>
      </c>
      <c r="F21">
        <f t="shared" si="0"/>
        <v>19200</v>
      </c>
      <c r="G21" s="11">
        <v>7.9194197655198151</v>
      </c>
      <c r="H21" s="2">
        <f t="shared" si="1"/>
        <v>5.4193687385597537E-2</v>
      </c>
      <c r="I21" s="2">
        <f t="shared" si="2"/>
        <v>5.5313937600177131E-2</v>
      </c>
      <c r="K21" s="2">
        <f t="shared" si="12"/>
        <v>2.1150599972561157E-9</v>
      </c>
      <c r="L21" s="2">
        <f t="shared" si="13"/>
        <v>2.2055352344088725E-9</v>
      </c>
      <c r="M21" s="2">
        <f t="shared" si="14"/>
        <v>2.4928385996955526E-8</v>
      </c>
      <c r="N21" s="2">
        <f t="shared" si="3"/>
        <v>2.2055352344088725E-9</v>
      </c>
      <c r="O21">
        <f t="shared" si="4"/>
        <v>19.49317738791423</v>
      </c>
      <c r="P21">
        <f t="shared" si="5"/>
        <v>-19.93229562081002</v>
      </c>
      <c r="Q21">
        <f t="shared" si="6"/>
        <v>-8.6564859997821433</v>
      </c>
      <c r="R21">
        <f t="shared" si="7"/>
        <v>-20.803001571667014</v>
      </c>
      <c r="S21">
        <f t="shared" si="8"/>
        <v>0.87070595085699409</v>
      </c>
      <c r="U21">
        <f t="shared" si="9"/>
        <v>5.0281788196134464E-7</v>
      </c>
      <c r="V21" s="2">
        <f t="shared" si="10"/>
        <v>-5.2577284660433469E-7</v>
      </c>
      <c r="W21" s="2">
        <f t="shared" si="11"/>
        <v>-5.5861361688411305E-6</v>
      </c>
      <c r="Y21" s="2"/>
      <c r="Z21" s="2"/>
    </row>
    <row r="22" spans="1:31" x14ac:dyDescent="0.3">
      <c r="A22" s="5">
        <v>19</v>
      </c>
      <c r="B22" s="7">
        <v>245</v>
      </c>
      <c r="C22" s="6">
        <v>250</v>
      </c>
      <c r="D22" s="11">
        <v>0.55490965024488204</v>
      </c>
      <c r="E22">
        <v>0.17093539216439185</v>
      </c>
      <c r="F22">
        <f t="shared" si="0"/>
        <v>15000</v>
      </c>
      <c r="G22" s="11">
        <v>8.5151292281677282</v>
      </c>
      <c r="H22" s="2">
        <f t="shared" si="1"/>
        <v>5.8270209826287264E-2</v>
      </c>
      <c r="I22" s="2">
        <f t="shared" si="2"/>
        <v>5.9439944412957899E-2</v>
      </c>
      <c r="K22" s="2">
        <f t="shared" si="12"/>
        <v>1.9535217847740747E-9</v>
      </c>
      <c r="L22" s="2">
        <f t="shared" si="13"/>
        <v>2.0452362984245972E-9</v>
      </c>
      <c r="M22" s="2">
        <f t="shared" si="14"/>
        <v>2.1171241814274291E-8</v>
      </c>
      <c r="N22" s="2">
        <f t="shared" si="3"/>
        <v>2.0452362984245972E-9</v>
      </c>
      <c r="O22">
        <f t="shared" si="4"/>
        <v>19.305019305019304</v>
      </c>
      <c r="P22">
        <f t="shared" si="5"/>
        <v>-20.007752504775077</v>
      </c>
      <c r="Q22">
        <f t="shared" si="6"/>
        <v>-8.6892565081097803</v>
      </c>
      <c r="R22">
        <f t="shared" si="7"/>
        <v>-20.440341462119289</v>
      </c>
      <c r="S22">
        <f t="shared" si="8"/>
        <v>0.43258895734421188</v>
      </c>
      <c r="U22">
        <f t="shared" si="9"/>
        <v>6.9161515813901548E-7</v>
      </c>
      <c r="V22" s="2">
        <f t="shared" si="10"/>
        <v>-7.256739552523531E-7</v>
      </c>
      <c r="W22" s="2">
        <f t="shared" si="11"/>
        <v>-7.181620712076635E-6</v>
      </c>
    </row>
    <row r="23" spans="1:31" x14ac:dyDescent="0.3">
      <c r="A23" s="5">
        <v>20</v>
      </c>
      <c r="B23" s="7">
        <v>249.99</v>
      </c>
      <c r="C23" s="6">
        <v>210</v>
      </c>
      <c r="D23" s="11">
        <v>0.69344251385634403</v>
      </c>
      <c r="E23">
        <v>0.24861073914416129</v>
      </c>
      <c r="F23">
        <f t="shared" si="0"/>
        <v>12600</v>
      </c>
      <c r="G23" s="11">
        <v>9.2547747615459457</v>
      </c>
      <c r="H23" s="2">
        <f t="shared" si="1"/>
        <v>6.333170675395032E-2</v>
      </c>
      <c r="I23" s="2">
        <f t="shared" si="2"/>
        <v>6.5032984508735014E-2</v>
      </c>
      <c r="K23" s="2">
        <f t="shared" si="12"/>
        <v>3.3091864305485467E-9</v>
      </c>
      <c r="L23" s="2">
        <f t="shared" si="13"/>
        <v>3.4778499721850505E-9</v>
      </c>
      <c r="M23" s="2">
        <f t="shared" si="14"/>
        <v>3.3341837808713825E-8</v>
      </c>
      <c r="N23" s="2">
        <f t="shared" si="3"/>
        <v>3.4778499721850505E-9</v>
      </c>
      <c r="O23">
        <f t="shared" si="4"/>
        <v>19.120824489952007</v>
      </c>
      <c r="P23">
        <f t="shared" si="5"/>
        <v>-19.47685155817673</v>
      </c>
      <c r="Q23">
        <f t="shared" si="6"/>
        <v>-8.4586891565649065</v>
      </c>
      <c r="R23">
        <f t="shared" si="7"/>
        <v>-20.085320243882638</v>
      </c>
      <c r="S23">
        <f t="shared" si="8"/>
        <v>0.60846868570590829</v>
      </c>
      <c r="U23">
        <f t="shared" si="9"/>
        <v>9.0082516037769286E-7</v>
      </c>
      <c r="V23" s="2">
        <f t="shared" si="10"/>
        <v>-9.4961341977940018E-7</v>
      </c>
      <c r="W23" s="2">
        <f t="shared" si="11"/>
        <v>-8.6006924820900762E-6</v>
      </c>
    </row>
    <row r="24" spans="1:31" x14ac:dyDescent="0.3">
      <c r="A24" s="5">
        <v>21</v>
      </c>
      <c r="B24" s="7">
        <v>244.909999999999</v>
      </c>
      <c r="C24" s="6">
        <v>270</v>
      </c>
      <c r="D24" s="11">
        <v>0.465872340425531</v>
      </c>
      <c r="E24">
        <v>0.13015995584759732</v>
      </c>
      <c r="F24">
        <f t="shared" si="0"/>
        <v>16200</v>
      </c>
      <c r="G24" s="11">
        <v>9.7499793316782419</v>
      </c>
      <c r="H24" s="2">
        <f t="shared" si="1"/>
        <v>6.6720460281388505E-2</v>
      </c>
      <c r="I24" s="2">
        <f t="shared" si="2"/>
        <v>6.7611162904330585E-2</v>
      </c>
      <c r="K24" s="2">
        <f t="shared" si="12"/>
        <v>1.1976554157206936E-9</v>
      </c>
      <c r="L24" s="2">
        <f t="shared" si="13"/>
        <v>1.2634171131975824E-9</v>
      </c>
      <c r="M24" s="2">
        <f t="shared" si="14"/>
        <v>1.1298445888863402E-8</v>
      </c>
      <c r="N24" s="2">
        <f t="shared" si="3"/>
        <v>1.2634171131975824E-9</v>
      </c>
      <c r="O24">
        <f t="shared" si="4"/>
        <v>19.308374041821978</v>
      </c>
      <c r="P24">
        <f t="shared" si="5"/>
        <v>-20.489445792203792</v>
      </c>
      <c r="Q24">
        <f t="shared" si="6"/>
        <v>-8.8984532448099092</v>
      </c>
      <c r="R24">
        <f t="shared" si="7"/>
        <v>-20.446807457082901</v>
      </c>
      <c r="S24">
        <f t="shared" si="8"/>
        <v>-4.2638335120891213E-2</v>
      </c>
      <c r="U24">
        <f t="shared" si="9"/>
        <v>7.2841815048322263E-7</v>
      </c>
      <c r="V24" s="2">
        <f t="shared" si="10"/>
        <v>-7.6953160874803999E-7</v>
      </c>
      <c r="W24" s="2">
        <f t="shared" si="11"/>
        <v>-6.7079246374057738E-6</v>
      </c>
    </row>
    <row r="25" spans="1:31" x14ac:dyDescent="0.3">
      <c r="A25" s="5">
        <v>22</v>
      </c>
      <c r="B25" s="7">
        <v>239.99</v>
      </c>
      <c r="C25" s="6">
        <v>320</v>
      </c>
      <c r="D25" s="11">
        <v>0.28572750818781401</v>
      </c>
      <c r="E25">
        <v>6.9133509342071728E-2</v>
      </c>
      <c r="F25">
        <f t="shared" si="0"/>
        <v>19200</v>
      </c>
      <c r="G25" s="11">
        <v>10.053632662874906</v>
      </c>
      <c r="H25" s="2">
        <f t="shared" si="1"/>
        <v>6.8798402124566851E-2</v>
      </c>
      <c r="I25" s="2">
        <f t="shared" si="2"/>
        <v>6.9271492313505406E-2</v>
      </c>
      <c r="K25" s="2">
        <f t="shared" si="12"/>
        <v>7.3608709250519295E-10</v>
      </c>
      <c r="L25" s="2">
        <f t="shared" si="13"/>
        <v>7.7802260844088832E-10</v>
      </c>
      <c r="M25" s="2">
        <f t="shared" si="14"/>
        <v>6.7238318278408502E-9</v>
      </c>
      <c r="N25" s="2">
        <f t="shared" si="3"/>
        <v>7.7802260844088832E-10</v>
      </c>
      <c r="O25">
        <f t="shared" si="4"/>
        <v>19.493557379286145</v>
      </c>
      <c r="P25">
        <f t="shared" si="5"/>
        <v>-20.974265532479723</v>
      </c>
      <c r="Q25">
        <f t="shared" si="6"/>
        <v>-9.1090077827295133</v>
      </c>
      <c r="R25">
        <f t="shared" si="7"/>
        <v>-20.803733975560835</v>
      </c>
      <c r="S25">
        <f t="shared" si="8"/>
        <v>-0.17053155691888833</v>
      </c>
      <c r="U25">
        <f t="shared" si="9"/>
        <v>6.2969563470865288E-7</v>
      </c>
      <c r="V25" s="2">
        <f t="shared" si="10"/>
        <v>-6.6616629996637619E-7</v>
      </c>
      <c r="W25" s="2">
        <f t="shared" si="11"/>
        <v>-5.6699079675652373E-6</v>
      </c>
      <c r="AB25" t="s">
        <v>153</v>
      </c>
      <c r="AC25" t="s">
        <v>397</v>
      </c>
    </row>
    <row r="26" spans="1:31" x14ac:dyDescent="0.3">
      <c r="A26" s="5">
        <v>23</v>
      </c>
      <c r="B26" s="7">
        <v>235</v>
      </c>
      <c r="C26" s="6">
        <v>370</v>
      </c>
      <c r="D26" s="11">
        <v>0.21993533317982999</v>
      </c>
      <c r="E26">
        <v>4.7779571417787325E-2</v>
      </c>
      <c r="F26">
        <f t="shared" si="0"/>
        <v>22200</v>
      </c>
      <c r="G26" s="11">
        <v>10.28791368707695</v>
      </c>
      <c r="H26" s="2">
        <f t="shared" si="1"/>
        <v>7.0401619653363903E-2</v>
      </c>
      <c r="I26" s="2">
        <f t="shared" si="2"/>
        <v>7.0728581884625732E-2</v>
      </c>
      <c r="K26" s="2">
        <f t="shared" si="12"/>
        <v>6.2048971671951769E-10</v>
      </c>
      <c r="L26" s="2">
        <f t="shared" si="13"/>
        <v>6.5674039491229626E-10</v>
      </c>
      <c r="M26" s="2">
        <f t="shared" si="14"/>
        <v>5.5451774381504662E-9</v>
      </c>
      <c r="N26" s="2">
        <f t="shared" si="3"/>
        <v>6.5674039491229626E-10</v>
      </c>
      <c r="O26">
        <f t="shared" si="4"/>
        <v>19.685039370078741</v>
      </c>
      <c r="P26">
        <f t="shared" si="5"/>
        <v>-21.143732312650972</v>
      </c>
      <c r="Q26">
        <f t="shared" si="6"/>
        <v>-9.1826062702237987</v>
      </c>
      <c r="R26">
        <f t="shared" si="7"/>
        <v>-21.172800659749146</v>
      </c>
      <c r="S26">
        <f t="shared" si="8"/>
        <v>2.906834709817474E-2</v>
      </c>
      <c r="U26">
        <f t="shared" si="9"/>
        <v>5.560570401590699E-7</v>
      </c>
      <c r="V26" s="2">
        <f t="shared" si="10"/>
        <v>-5.8898500307700738E-7</v>
      </c>
      <c r="W26" s="2">
        <f t="shared" si="11"/>
        <v>-4.9113931540502177E-6</v>
      </c>
      <c r="Z26" t="s">
        <v>148</v>
      </c>
      <c r="AA26">
        <f>-10000*1.987046*AH2</f>
        <v>38298.770318509087</v>
      </c>
      <c r="AB26">
        <f>2*AH3*10000*1.987046</f>
        <v>2913.8520378035651</v>
      </c>
      <c r="AC26">
        <f>AA26*8.314/(1000*1.987)</f>
        <v>160.24961068348492</v>
      </c>
      <c r="AD26">
        <f>AB26*8.314/(1000*1.987)</f>
        <v>12.192131777704498</v>
      </c>
    </row>
    <row r="27" spans="1:31" x14ac:dyDescent="0.3">
      <c r="A27" s="5">
        <v>24</v>
      </c>
      <c r="B27" s="7">
        <v>230</v>
      </c>
      <c r="C27" s="6">
        <v>420</v>
      </c>
      <c r="D27" s="11">
        <v>0.14002473498233201</v>
      </c>
      <c r="E27">
        <v>2.8018065944746637E-2</v>
      </c>
      <c r="F27">
        <f t="shared" si="0"/>
        <v>25200</v>
      </c>
      <c r="G27" s="11">
        <v>10.441446014382523</v>
      </c>
      <c r="H27" s="2">
        <f t="shared" si="1"/>
        <v>7.1452262654484747E-2</v>
      </c>
      <c r="I27" s="2">
        <f t="shared" si="2"/>
        <v>7.1643994164104871E-2</v>
      </c>
      <c r="K27" s="2">
        <f t="shared" si="12"/>
        <v>3.5631569543807803E-10</v>
      </c>
      <c r="L27" s="2">
        <f t="shared" si="13"/>
        <v>3.7753094095521953E-10</v>
      </c>
      <c r="M27" s="2">
        <f t="shared" si="14"/>
        <v>3.1323719583146349E-9</v>
      </c>
      <c r="N27" s="2">
        <f t="shared" si="3"/>
        <v>3.7753094095521953E-10</v>
      </c>
      <c r="O27">
        <f t="shared" si="4"/>
        <v>19.880715705765407</v>
      </c>
      <c r="P27">
        <f t="shared" si="5"/>
        <v>-21.697368587802952</v>
      </c>
      <c r="Q27">
        <f t="shared" si="6"/>
        <v>-9.4230474495037733</v>
      </c>
      <c r="R27">
        <f t="shared" si="7"/>
        <v>-21.549951618369693</v>
      </c>
      <c r="S27">
        <f t="shared" si="8"/>
        <v>-0.14741696943325877</v>
      </c>
      <c r="U27">
        <f t="shared" si="9"/>
        <v>4.9619983628699705E-7</v>
      </c>
      <c r="V27" s="2">
        <f t="shared" si="10"/>
        <v>-5.2598907641063289E-7</v>
      </c>
      <c r="W27" s="2">
        <f t="shared" si="11"/>
        <v>-4.3309698707110993E-6</v>
      </c>
      <c r="Z27" t="s">
        <v>156</v>
      </c>
      <c r="AA27">
        <f>EXP(AI2)</f>
        <v>19164799.164897949</v>
      </c>
      <c r="AB27">
        <f>EXP(AI2)*AI3*2</f>
        <v>54760957.405819841</v>
      </c>
    </row>
    <row r="28" spans="1:31" x14ac:dyDescent="0.3">
      <c r="A28" s="5">
        <v>25</v>
      </c>
      <c r="B28" s="7">
        <v>225</v>
      </c>
      <c r="C28" s="6">
        <v>652</v>
      </c>
      <c r="D28" s="11">
        <v>0.14936733471146901</v>
      </c>
      <c r="E28">
        <v>1.9222809007177592E-2</v>
      </c>
      <c r="F28">
        <f t="shared" si="0"/>
        <v>39120</v>
      </c>
      <c r="G28" s="11">
        <v>10.603175228891002</v>
      </c>
      <c r="H28" s="2">
        <f t="shared" si="1"/>
        <v>7.255899809113267E-2</v>
      </c>
      <c r="I28" s="2">
        <f t="shared" si="2"/>
        <v>7.2690542438174813E-2</v>
      </c>
      <c r="K28" s="2">
        <f t="shared" si="12"/>
        <v>2.9433760789559906E-10</v>
      </c>
      <c r="L28" s="2">
        <f t="shared" si="13"/>
        <v>3.1212883771513016E-10</v>
      </c>
      <c r="M28" s="2">
        <f t="shared" si="14"/>
        <v>2.5540178439973434E-9</v>
      </c>
      <c r="N28" s="2">
        <f t="shared" si="3"/>
        <v>3.1212883771513016E-10</v>
      </c>
      <c r="O28">
        <f t="shared" si="4"/>
        <v>20.080321285140563</v>
      </c>
      <c r="P28">
        <f t="shared" si="5"/>
        <v>-21.88760507196125</v>
      </c>
      <c r="Q28">
        <f t="shared" si="6"/>
        <v>-9.5056661048303983</v>
      </c>
      <c r="R28">
        <f t="shared" si="7"/>
        <v>-21.934675889412336</v>
      </c>
      <c r="S28">
        <f t="shared" si="8"/>
        <v>4.70708174510861E-2</v>
      </c>
      <c r="U28">
        <f t="shared" si="9"/>
        <v>3.2430708093221293E-7</v>
      </c>
      <c r="V28" s="2">
        <f t="shared" si="10"/>
        <v>-3.4408058311434589E-7</v>
      </c>
      <c r="W28" s="2">
        <f t="shared" si="11"/>
        <v>-2.7930371956068891E-6</v>
      </c>
      <c r="Z28" t="s">
        <v>396</v>
      </c>
      <c r="AA28">
        <f>AD32</f>
        <v>100.94985358924612</v>
      </c>
      <c r="AB28">
        <v>9.1999999999999993</v>
      </c>
    </row>
    <row r="29" spans="1:31" x14ac:dyDescent="0.3">
      <c r="A29" s="5">
        <v>26</v>
      </c>
      <c r="B29" s="7">
        <v>230</v>
      </c>
      <c r="C29" s="6">
        <v>500</v>
      </c>
      <c r="D29" s="11">
        <v>0.154978273856932</v>
      </c>
      <c r="E29">
        <v>2.5240473254976706E-2</v>
      </c>
      <c r="F29">
        <f t="shared" si="0"/>
        <v>30000</v>
      </c>
      <c r="G29" s="11">
        <v>10.768685594706378</v>
      </c>
      <c r="H29" s="2">
        <f t="shared" si="1"/>
        <v>7.3691608470383807E-2</v>
      </c>
      <c r="I29" s="2">
        <f t="shared" si="2"/>
        <v>7.3864332528148779E-2</v>
      </c>
      <c r="K29" s="2">
        <f t="shared" si="12"/>
        <v>4.2626234207119921E-10</v>
      </c>
      <c r="L29" s="2">
        <f t="shared" si="13"/>
        <v>4.5244393734264275E-10</v>
      </c>
      <c r="M29" s="2">
        <f t="shared" si="14"/>
        <v>3.6479725382591929E-9</v>
      </c>
      <c r="N29" s="2">
        <f t="shared" si="3"/>
        <v>4.5244393734264275E-10</v>
      </c>
      <c r="O29">
        <f t="shared" si="4"/>
        <v>19.880715705765407</v>
      </c>
      <c r="P29">
        <f t="shared" si="5"/>
        <v>-21.516357255839608</v>
      </c>
      <c r="Q29">
        <f t="shared" si="6"/>
        <v>-9.3444352268701358</v>
      </c>
      <c r="R29">
        <f t="shared" si="7"/>
        <v>-21.549951618369693</v>
      </c>
      <c r="S29">
        <f t="shared" si="8"/>
        <v>3.3594362530084965E-2</v>
      </c>
      <c r="U29">
        <f t="shared" si="9"/>
        <v>4.2972526746804776E-7</v>
      </c>
      <c r="V29" s="2">
        <f t="shared" si="10"/>
        <v>-4.563787237401297E-7</v>
      </c>
      <c r="W29" s="2">
        <f t="shared" si="11"/>
        <v>-3.646736549189838E-6</v>
      </c>
    </row>
    <row r="30" spans="1:31" x14ac:dyDescent="0.3">
      <c r="A30" s="5">
        <v>27</v>
      </c>
      <c r="B30" s="7">
        <v>234.89999999999901</v>
      </c>
      <c r="C30" s="6">
        <v>450</v>
      </c>
      <c r="D30" s="11">
        <v>0.19512871594315101</v>
      </c>
      <c r="E30">
        <v>3.3604148456962642E-2</v>
      </c>
      <c r="F30">
        <f t="shared" si="0"/>
        <v>27000</v>
      </c>
      <c r="G30" s="11">
        <v>10.990306586221301</v>
      </c>
      <c r="H30" s="2">
        <f t="shared" si="1"/>
        <v>7.5208191640345062E-2</v>
      </c>
      <c r="I30" s="2">
        <f t="shared" si="2"/>
        <v>7.5438149487037934E-2</v>
      </c>
      <c r="K30" s="2">
        <f t="shared" si="12"/>
        <v>6.4749281478470426E-10</v>
      </c>
      <c r="L30" s="2">
        <f t="shared" si="13"/>
        <v>6.8804536241218567E-10</v>
      </c>
      <c r="M30" s="2">
        <f t="shared" si="14"/>
        <v>5.4491768205990404E-9</v>
      </c>
      <c r="N30" s="2">
        <f t="shared" si="3"/>
        <v>6.8804536241218567E-10</v>
      </c>
      <c r="O30">
        <f t="shared" si="4"/>
        <v>19.68891514077578</v>
      </c>
      <c r="P30">
        <f t="shared" si="5"/>
        <v>-21.097166346430097</v>
      </c>
      <c r="Q30">
        <f t="shared" si="6"/>
        <v>-9.1623829280495794</v>
      </c>
      <c r="R30">
        <f t="shared" si="7"/>
        <v>-21.180270907128079</v>
      </c>
      <c r="S30">
        <f t="shared" si="8"/>
        <v>8.3104560697982777E-2</v>
      </c>
      <c r="U30">
        <f t="shared" si="9"/>
        <v>4.8764595931869748E-7</v>
      </c>
      <c r="V30" s="2">
        <f t="shared" si="10"/>
        <v>-5.1858210179480254E-7</v>
      </c>
      <c r="W30" s="2">
        <f t="shared" si="11"/>
        <v>-4.0588268152267706E-6</v>
      </c>
      <c r="Z30" t="s">
        <v>146</v>
      </c>
    </row>
    <row r="31" spans="1:31" ht="15" thickBot="1" x14ac:dyDescent="0.35">
      <c r="A31" s="5">
        <v>28</v>
      </c>
      <c r="B31" s="7">
        <v>240</v>
      </c>
      <c r="C31" s="6">
        <v>400</v>
      </c>
      <c r="D31" s="11">
        <v>0.24245710220568201</v>
      </c>
      <c r="E31">
        <v>4.4758886448129864E-2</v>
      </c>
      <c r="F31">
        <f t="shared" si="0"/>
        <v>24000</v>
      </c>
      <c r="G31" s="11">
        <v>11.253942980490033</v>
      </c>
      <c r="H31" s="2">
        <f t="shared" si="1"/>
        <v>7.7012292036269456E-2</v>
      </c>
      <c r="I31" s="2">
        <f t="shared" si="2"/>
        <v>7.731858330150311E-2</v>
      </c>
      <c r="K31" s="2">
        <f t="shared" si="12"/>
        <v>8.7258727391727036E-10</v>
      </c>
      <c r="L31" s="2">
        <f t="shared" si="13"/>
        <v>9.2856530025672303E-10</v>
      </c>
      <c r="M31" s="2">
        <f t="shared" si="14"/>
        <v>7.1939443686398627E-9</v>
      </c>
      <c r="N31" s="2">
        <f t="shared" si="3"/>
        <v>9.2856530025672303E-10</v>
      </c>
      <c r="O31">
        <f t="shared" si="4"/>
        <v>19.49317738791423</v>
      </c>
      <c r="P31">
        <f t="shared" si="5"/>
        <v>-20.797380408845441</v>
      </c>
      <c r="Q31">
        <f t="shared" si="6"/>
        <v>-9.0321875496043695</v>
      </c>
      <c r="R31">
        <f t="shared" si="7"/>
        <v>-20.803001571667014</v>
      </c>
      <c r="S31">
        <f t="shared" si="8"/>
        <v>5.6211628215727671E-3</v>
      </c>
      <c r="U31">
        <f t="shared" si="9"/>
        <v>5.6227660482864031E-7</v>
      </c>
      <c r="V31" s="2">
        <f t="shared" si="10"/>
        <v>-5.9890126670165174E-7</v>
      </c>
      <c r="W31" s="2">
        <f t="shared" si="11"/>
        <v>-4.575486087281772E-6</v>
      </c>
      <c r="Z31" t="s">
        <v>145</v>
      </c>
      <c r="AA31">
        <f>EXP(AI2)</f>
        <v>19164799.164897949</v>
      </c>
      <c r="AB31">
        <v>346</v>
      </c>
      <c r="AC31">
        <f>(AA32/1.987)/(LN((AA31*AB31^2*55*1.987)/(AA32*AA33)))</f>
        <v>375.12630586280869</v>
      </c>
      <c r="AD31" t="s">
        <v>386</v>
      </c>
      <c r="AE31" t="s">
        <v>153</v>
      </c>
    </row>
    <row r="32" spans="1:31" ht="15" thickBot="1" x14ac:dyDescent="0.35">
      <c r="A32" s="5">
        <v>29</v>
      </c>
      <c r="B32" s="7">
        <v>245</v>
      </c>
      <c r="C32" s="6">
        <v>350</v>
      </c>
      <c r="D32" s="11">
        <v>0.31499558349552398</v>
      </c>
      <c r="E32">
        <v>6.3737960416163419E-2</v>
      </c>
      <c r="F32">
        <f t="shared" si="0"/>
        <v>21000</v>
      </c>
      <c r="G32" s="11">
        <v>11.591042578381199</v>
      </c>
      <c r="H32" s="2">
        <f t="shared" si="1"/>
        <v>7.9319111319351793E-2</v>
      </c>
      <c r="I32" s="2">
        <f t="shared" si="2"/>
        <v>7.9755279018963871E-2</v>
      </c>
      <c r="K32" s="2">
        <f t="shared" si="12"/>
        <v>1.3021739347381424E-9</v>
      </c>
      <c r="L32" s="2">
        <f t="shared" si="13"/>
        <v>1.3881766245053495E-9</v>
      </c>
      <c r="M32" s="2">
        <f t="shared" si="14"/>
        <v>1.0472372022341385E-8</v>
      </c>
      <c r="N32" s="2">
        <f t="shared" si="3"/>
        <v>1.3881766245053495E-9</v>
      </c>
      <c r="O32">
        <f t="shared" si="4"/>
        <v>19.305019305019304</v>
      </c>
      <c r="P32">
        <f t="shared" si="5"/>
        <v>-20.395274731872984</v>
      </c>
      <c r="Q32">
        <f t="shared" si="6"/>
        <v>-8.8575552729532614</v>
      </c>
      <c r="R32">
        <f t="shared" si="7"/>
        <v>-20.440341462119289</v>
      </c>
      <c r="S32">
        <f t="shared" si="8"/>
        <v>4.5066730246304587E-2</v>
      </c>
      <c r="U32">
        <f t="shared" si="9"/>
        <v>6.6285343558460605E-7</v>
      </c>
      <c r="V32" s="2">
        <f t="shared" si="10"/>
        <v>-7.0749256190353059E-7</v>
      </c>
      <c r="W32" s="2">
        <f t="shared" si="11"/>
        <v>-5.2429730469295224E-6</v>
      </c>
      <c r="Z32" t="s">
        <v>144</v>
      </c>
      <c r="AA32">
        <f>AA26</f>
        <v>38298.770318509087</v>
      </c>
      <c r="AB32">
        <f>AC31</f>
        <v>375.12630586280869</v>
      </c>
      <c r="AC32">
        <f>(AA32/1.987)/(LN((AA31*AB32^2*55*1.987)/(AA32*AA33)))</f>
        <v>373.94985358924612</v>
      </c>
      <c r="AD32" s="19">
        <f>AC32-273</f>
        <v>100.94985358924612</v>
      </c>
      <c r="AE32">
        <f>AE34-AD32</f>
        <v>-100.94985358924612</v>
      </c>
    </row>
    <row r="33" spans="1:31" ht="15" thickBot="1" x14ac:dyDescent="0.35">
      <c r="A33" s="5">
        <v>30</v>
      </c>
      <c r="B33" s="7">
        <v>250</v>
      </c>
      <c r="C33" s="6">
        <v>300</v>
      </c>
      <c r="D33" s="11">
        <v>0.37161531847225299</v>
      </c>
      <c r="E33">
        <v>8.4753868131547158E-2</v>
      </c>
      <c r="F33">
        <f t="shared" si="0"/>
        <v>18000</v>
      </c>
      <c r="G33" s="11">
        <v>11.985009660162147</v>
      </c>
      <c r="H33" s="2">
        <f t="shared" si="1"/>
        <v>8.201508267866911E-2</v>
      </c>
      <c r="I33" s="2">
        <f t="shared" si="2"/>
        <v>8.2595065148374669E-2</v>
      </c>
      <c r="K33" s="2">
        <f t="shared" si="12"/>
        <v>1.7723297640908043E-9</v>
      </c>
      <c r="L33" s="2">
        <f t="shared" si="13"/>
        <v>1.8935148244960244E-9</v>
      </c>
      <c r="M33" s="2">
        <f t="shared" si="14"/>
        <v>1.3839771108084301E-8</v>
      </c>
      <c r="N33" s="2">
        <f t="shared" si="3"/>
        <v>1.8935148244960244E-9</v>
      </c>
      <c r="O33">
        <f t="shared" si="4"/>
        <v>19.120458891013385</v>
      </c>
      <c r="P33">
        <f t="shared" si="5"/>
        <v>-20.084831039467083</v>
      </c>
      <c r="Q33">
        <f t="shared" si="6"/>
        <v>-8.7227312903997074</v>
      </c>
      <c r="R33">
        <f t="shared" si="7"/>
        <v>-20.084615580287586</v>
      </c>
      <c r="S33">
        <f t="shared" si="8"/>
        <v>-2.1545917949694626E-4</v>
      </c>
      <c r="U33">
        <f t="shared" si="9"/>
        <v>8.0086435152130939E-7</v>
      </c>
      <c r="V33" s="2">
        <f t="shared" si="10"/>
        <v>-8.5686838292642204E-7</v>
      </c>
      <c r="W33" s="2">
        <f t="shared" si="11"/>
        <v>-6.1357361759852874E-6</v>
      </c>
      <c r="Z33" t="s">
        <v>143</v>
      </c>
      <c r="AA33">
        <f>AA35/(1000000*365*24*60*60)</f>
        <v>3.1709791983764587E-13</v>
      </c>
      <c r="AD33" t="s">
        <v>384</v>
      </c>
      <c r="AE33" t="s">
        <v>385</v>
      </c>
    </row>
    <row r="34" spans="1:31" ht="15" thickBot="1" x14ac:dyDescent="0.35">
      <c r="A34" s="5">
        <v>31</v>
      </c>
      <c r="B34" s="7">
        <v>249.97</v>
      </c>
      <c r="C34" s="6">
        <v>300</v>
      </c>
      <c r="D34" s="11">
        <v>0.36397906669414698</v>
      </c>
      <c r="E34">
        <v>8.3046028335276606E-2</v>
      </c>
      <c r="F34">
        <f t="shared" si="0"/>
        <v>18000</v>
      </c>
      <c r="G34" s="11">
        <v>12.371547997178904</v>
      </c>
      <c r="H34" s="2">
        <f t="shared" si="1"/>
        <v>8.4660218107660973E-2</v>
      </c>
      <c r="I34" s="2">
        <f t="shared" si="2"/>
        <v>8.5228513592869676E-2</v>
      </c>
      <c r="K34" s="2">
        <f t="shared" si="12"/>
        <v>1.67458399451183E-9</v>
      </c>
      <c r="L34" s="2">
        <f t="shared" si="13"/>
        <v>1.7932739884280199E-9</v>
      </c>
      <c r="M34" s="2">
        <f t="shared" si="14"/>
        <v>1.268551714841085E-8</v>
      </c>
      <c r="N34" s="2">
        <f t="shared" si="3"/>
        <v>1.7932739884280199E-9</v>
      </c>
      <c r="O34">
        <f t="shared" si="4"/>
        <v>19.121555729774173</v>
      </c>
      <c r="P34">
        <f t="shared" si="5"/>
        <v>-20.139222843943013</v>
      </c>
      <c r="Q34">
        <f t="shared" si="6"/>
        <v>-8.7463533509443661</v>
      </c>
      <c r="R34">
        <f t="shared" si="7"/>
        <v>-20.086729651918329</v>
      </c>
      <c r="S34">
        <f t="shared" si="8"/>
        <v>-5.2493192024684276E-2</v>
      </c>
      <c r="U34">
        <f t="shared" si="9"/>
        <v>8.2639898820906549E-7</v>
      </c>
      <c r="V34" s="2">
        <f t="shared" si="10"/>
        <v>-8.8618047250293945E-7</v>
      </c>
      <c r="W34" s="2">
        <f t="shared" si="11"/>
        <v>-6.1533997620596015E-6</v>
      </c>
      <c r="Z34" t="s">
        <v>142</v>
      </c>
      <c r="AB34">
        <f>0.97*AA32</f>
        <v>37149.807208953811</v>
      </c>
      <c r="AC34" t="s">
        <v>141</v>
      </c>
      <c r="AD34" s="19"/>
    </row>
    <row r="35" spans="1:31" x14ac:dyDescent="0.3">
      <c r="A35" s="5">
        <v>32</v>
      </c>
      <c r="B35" s="6">
        <v>249.98</v>
      </c>
      <c r="C35" s="6">
        <v>300</v>
      </c>
      <c r="D35" s="12">
        <v>0.34519114717899502</v>
      </c>
      <c r="E35">
        <v>7.87486757330257E-2</v>
      </c>
      <c r="F35">
        <f t="shared" si="0"/>
        <v>18000</v>
      </c>
      <c r="G35" s="11">
        <v>12.735821440305218</v>
      </c>
      <c r="H35" s="2">
        <f t="shared" si="1"/>
        <v>8.7152991781006842E-2</v>
      </c>
      <c r="I35" s="2">
        <f t="shared" si="2"/>
        <v>8.7691879886583252E-2</v>
      </c>
      <c r="K35" s="2">
        <f t="shared" si="12"/>
        <v>1.6083424660087637E-9</v>
      </c>
      <c r="L35" s="2">
        <f t="shared" si="13"/>
        <v>1.7261165725939009E-9</v>
      </c>
      <c r="M35" s="2">
        <f t="shared" si="14"/>
        <v>1.1854557694012765E-8</v>
      </c>
      <c r="N35" s="2">
        <f t="shared" si="3"/>
        <v>1.7261165725939009E-9</v>
      </c>
      <c r="O35">
        <f t="shared" si="4"/>
        <v>19.121190102872003</v>
      </c>
      <c r="P35">
        <f t="shared" si="5"/>
        <v>-20.177391707403675</v>
      </c>
      <c r="Q35">
        <f t="shared" si="6"/>
        <v>-8.7629298777258491</v>
      </c>
      <c r="R35">
        <f t="shared" si="7"/>
        <v>-20.086024934425705</v>
      </c>
      <c r="S35">
        <f t="shared" si="8"/>
        <v>-9.1366772977970356E-2</v>
      </c>
      <c r="U35">
        <f t="shared" si="9"/>
        <v>8.5028446182459398E-7</v>
      </c>
      <c r="V35" s="2">
        <f t="shared" si="10"/>
        <v>-9.1372020061644436E-7</v>
      </c>
      <c r="W35" s="2">
        <f t="shared" si="11"/>
        <v>-6.1700148477213599E-6</v>
      </c>
      <c r="Z35" t="s">
        <v>140</v>
      </c>
      <c r="AA35">
        <v>10</v>
      </c>
      <c r="AD35">
        <v>64439823.670807518</v>
      </c>
      <c r="AE35">
        <v>4828742.7687072773</v>
      </c>
    </row>
    <row r="36" spans="1:31" x14ac:dyDescent="0.3">
      <c r="A36" s="5">
        <v>33</v>
      </c>
      <c r="B36" s="6">
        <v>250</v>
      </c>
      <c r="C36" s="6">
        <v>10250</v>
      </c>
      <c r="D36" s="12">
        <v>8.4829081066253593</v>
      </c>
      <c r="E36">
        <v>4.6360959841869227E-2</v>
      </c>
      <c r="F36">
        <f t="shared" si="0"/>
        <v>615000</v>
      </c>
      <c r="G36" s="12">
        <v>21.335259758696179</v>
      </c>
      <c r="H36" s="2">
        <f t="shared" si="1"/>
        <v>0.14600014040011008</v>
      </c>
      <c r="I36" s="2">
        <f t="shared" si="2"/>
        <v>0.14631739487568485</v>
      </c>
      <c r="K36" s="2">
        <f t="shared" si="12"/>
        <v>1.9335091192911253E-9</v>
      </c>
      <c r="L36" s="2">
        <f t="shared" si="13"/>
        <v>2.136324524458816E-9</v>
      </c>
      <c r="M36" s="2">
        <f t="shared" si="14"/>
        <v>1.0881195699179718E-8</v>
      </c>
      <c r="N36" s="2">
        <f t="shared" si="3"/>
        <v>2.136324524458816E-9</v>
      </c>
      <c r="O36">
        <f t="shared" si="4"/>
        <v>19.120458891013385</v>
      </c>
      <c r="P36">
        <f t="shared" si="5"/>
        <v>-19.964178996462387</v>
      </c>
      <c r="Q36">
        <f t="shared" si="6"/>
        <v>-8.6703327738924134</v>
      </c>
      <c r="R36">
        <f t="shared" si="7"/>
        <v>-20.084615580287586</v>
      </c>
      <c r="S36">
        <f t="shared" si="8"/>
        <v>0.12043658382519951</v>
      </c>
      <c r="U36">
        <f t="shared" si="9"/>
        <v>4.1523907211729751E-8</v>
      </c>
      <c r="V36" s="2">
        <f t="shared" si="10"/>
        <v>-4.6999820252385828E-8</v>
      </c>
      <c r="W36" s="2">
        <f t="shared" si="11"/>
        <v>-1.9298728955285552E-7</v>
      </c>
    </row>
    <row r="37" spans="1:31" x14ac:dyDescent="0.3">
      <c r="A37" s="5">
        <v>34</v>
      </c>
      <c r="B37" s="6">
        <v>240</v>
      </c>
      <c r="C37" s="6">
        <v>785</v>
      </c>
      <c r="D37" s="12">
        <v>0.22612522923310299</v>
      </c>
      <c r="E37">
        <v>1.9504846533379586E-2</v>
      </c>
      <c r="F37">
        <f t="shared" si="0"/>
        <v>47100</v>
      </c>
      <c r="G37" s="12">
        <v>21.59098855850587</v>
      </c>
      <c r="H37" s="2">
        <f t="shared" si="1"/>
        <v>0.14775012803086054</v>
      </c>
      <c r="I37" s="2">
        <f t="shared" si="2"/>
        <v>0.14788360239979553</v>
      </c>
      <c r="K37" s="2">
        <f t="shared" si="12"/>
        <v>7.8061849943854958E-10</v>
      </c>
      <c r="L37" s="2">
        <f t="shared" si="13"/>
        <v>8.8414203278674156E-10</v>
      </c>
      <c r="M37" s="2">
        <f t="shared" si="14"/>
        <v>3.6133740318578326E-9</v>
      </c>
      <c r="N37" s="2">
        <f t="shared" si="3"/>
        <v>8.8414203278674156E-10</v>
      </c>
      <c r="O37">
        <f t="shared" si="4"/>
        <v>19.49317738791423</v>
      </c>
      <c r="P37">
        <f t="shared" si="5"/>
        <v>-20.846403395623803</v>
      </c>
      <c r="Q37">
        <f t="shared" si="6"/>
        <v>-9.0534779622486283</v>
      </c>
      <c r="R37">
        <f t="shared" si="7"/>
        <v>-20.803001571667014</v>
      </c>
      <c r="S37">
        <f t="shared" si="8"/>
        <v>-4.3401823956788377E-2</v>
      </c>
      <c r="U37">
        <f t="shared" si="9"/>
        <v>5.4799485596318886E-7</v>
      </c>
      <c r="V37" s="2">
        <f t="shared" si="10"/>
        <v>-6.2115097543407052E-7</v>
      </c>
      <c r="W37" s="2">
        <f t="shared" si="11"/>
        <v>-2.5245293538614149E-6</v>
      </c>
      <c r="AB37">
        <v>98.9</v>
      </c>
      <c r="AC37">
        <v>99.09</v>
      </c>
    </row>
    <row r="38" spans="1:31" x14ac:dyDescent="0.3">
      <c r="A38" t="s">
        <v>92</v>
      </c>
      <c r="D38" s="6" cm="1">
        <f t="array" ref="D38:E38">'Raw Data and Corrections'!AE138:AF138</f>
        <v>124.54078707011602</v>
      </c>
      <c r="E38" s="6">
        <v>1.0730577113002813</v>
      </c>
      <c r="F38">
        <f>3600*C38</f>
        <v>0</v>
      </c>
      <c r="G38" s="2">
        <f>'Raw Data and Corrections'!AE139</f>
        <v>146.13177562862188</v>
      </c>
      <c r="I38" s="2">
        <f>G38/$G$38</f>
        <v>1</v>
      </c>
      <c r="AB38">
        <v>18003069.985226665</v>
      </c>
      <c r="AC38">
        <v>17354426.675797403</v>
      </c>
    </row>
    <row r="39" spans="1:31" x14ac:dyDescent="0.3">
      <c r="D39" s="11">
        <f>SUM(D4:D38)</f>
        <v>145.09439385441266</v>
      </c>
      <c r="E39" s="6">
        <v>1.0726345452392398</v>
      </c>
      <c r="AB39">
        <v>38038.944164075619</v>
      </c>
      <c r="AC39">
        <v>38032.636907850479</v>
      </c>
    </row>
    <row r="43" spans="1:31" x14ac:dyDescent="0.3">
      <c r="A43" t="s">
        <v>387</v>
      </c>
      <c r="G43" s="7" t="s">
        <v>138</v>
      </c>
      <c r="H43" s="7" t="s">
        <v>408</v>
      </c>
      <c r="I43" s="7" t="s">
        <v>445</v>
      </c>
      <c r="K43" t="s">
        <v>84</v>
      </c>
      <c r="L43" t="s">
        <v>85</v>
      </c>
      <c r="M43" t="s">
        <v>86</v>
      </c>
      <c r="N43" t="s">
        <v>87</v>
      </c>
      <c r="O43" t="s">
        <v>89</v>
      </c>
      <c r="P43" t="s">
        <v>88</v>
      </c>
      <c r="Q43" t="s">
        <v>90</v>
      </c>
      <c r="R43" t="s">
        <v>149</v>
      </c>
      <c r="S43" t="s">
        <v>150</v>
      </c>
      <c r="U43" t="s">
        <v>135</v>
      </c>
    </row>
    <row r="44" spans="1:31" x14ac:dyDescent="0.3">
      <c r="G44" s="7"/>
      <c r="H44" s="7"/>
      <c r="I44" s="7"/>
      <c r="K44" t="s">
        <v>129</v>
      </c>
      <c r="L44" t="s">
        <v>130</v>
      </c>
      <c r="M44" t="s">
        <v>131</v>
      </c>
      <c r="U44" t="s">
        <v>132</v>
      </c>
      <c r="V44" t="s">
        <v>133</v>
      </c>
      <c r="W44" t="s">
        <v>134</v>
      </c>
    </row>
    <row r="45" spans="1:31" ht="30.6" x14ac:dyDescent="0.3">
      <c r="A45" t="s">
        <v>91</v>
      </c>
      <c r="B45" s="7" t="s">
        <v>94</v>
      </c>
      <c r="C45" s="7" t="s">
        <v>95</v>
      </c>
      <c r="D45" s="7" t="s">
        <v>420</v>
      </c>
      <c r="E45" s="4" t="s">
        <v>444</v>
      </c>
      <c r="F45" t="s">
        <v>96</v>
      </c>
      <c r="I45">
        <v>0</v>
      </c>
      <c r="U45">
        <v>0</v>
      </c>
      <c r="V45">
        <v>0</v>
      </c>
      <c r="W45">
        <v>0</v>
      </c>
    </row>
    <row r="46" spans="1:31" x14ac:dyDescent="0.3">
      <c r="A46" s="5">
        <v>1</v>
      </c>
      <c r="B46" s="7">
        <v>170</v>
      </c>
      <c r="C46" s="6">
        <v>300</v>
      </c>
      <c r="D46" s="11" cm="1">
        <f t="array" ref="D46:D79">DistilledBoundingMethod!M2:M35</f>
        <v>1.9201957516247901E-2</v>
      </c>
      <c r="E46">
        <v>0</v>
      </c>
      <c r="F46">
        <v>18000</v>
      </c>
      <c r="G46" s="2" cm="1">
        <f t="array" ref="G46:G79">DistilledBoundingMethod!N2:N35</f>
        <v>3.5498608430005754E-2</v>
      </c>
      <c r="H46" s="2">
        <f>(G46)/$G$38</f>
        <v>2.4292189893197243E-4</v>
      </c>
      <c r="I46" s="2">
        <f t="shared" ref="I46:I79" si="15">((E46+G46)/$G$38)</f>
        <v>2.4292189893197243E-4</v>
      </c>
      <c r="K46" s="2">
        <f t="shared" ref="K46" si="16">((H46^2-I45^2)*PI())/(36*F46)</f>
        <v>2.860936388247578E-13</v>
      </c>
      <c r="L46" s="2">
        <f t="shared" ref="L46" si="17">(1/(PI()*PI()*F46))*(-(H46-I45)*PI()*PI()/3-2*PI()*(SQRT(1-PI()/3*H46)-SQRT(1-PI()/3*I45)))</f>
        <v>2.8613003144494788E-13</v>
      </c>
      <c r="M46" s="2">
        <f t="shared" ref="M46" si="18">(1/(PI()^2*F46))*LN((1-I45)/(1-H46))</f>
        <v>1.3675624639624005E-9</v>
      </c>
      <c r="N46" s="2">
        <f t="shared" ref="N46:N79" si="19">(I46&lt;0.05)*K46+((I46&gt;=0.05)*(I46&lt;0.9))*L46+(I46&gt;=0.9)*M46</f>
        <v>2.860936388247578E-13</v>
      </c>
      <c r="O46">
        <f t="shared" ref="O46:O79" si="20">10000/(273+B46)</f>
        <v>22.573363431151243</v>
      </c>
      <c r="P46">
        <f t="shared" ref="P46:P79" si="21">LN(N46)</f>
        <v>-28.882457229199119</v>
      </c>
      <c r="Q46">
        <f t="shared" ref="Q46:Q79" si="22">LOG10(N46)</f>
        <v>-12.543491798447862</v>
      </c>
      <c r="R46">
        <f t="shared" ref="R46:R79" si="23">$AI$2+$AH$2*O46</f>
        <v>-26.739821243089406</v>
      </c>
      <c r="S46">
        <f t="shared" ref="S46:S79" si="24">P46-R46</f>
        <v>-2.1426359861097133</v>
      </c>
      <c r="U46" s="2">
        <f t="shared" ref="U46:U79" si="25" xml:space="preserve"> (I46 * PI()) / (18 * F46)</f>
        <v>2.3554372008665642E-9</v>
      </c>
      <c r="V46" s="2">
        <f t="shared" ref="V46:V79" si="26" xml:space="preserve"> (1 / (PI()^2 * F46)) * (PI()^2 / 3 - PI()^2 / (3 * SQRT(1 - (PI() / 3) * I46)))</f>
        <v>-2.3558866909902421E-9</v>
      </c>
      <c r="W46" s="2">
        <f t="shared" ref="W46:W79" si="27" xml:space="preserve"> (-1) / (PI()^2 * F46 * (1 - I46))</f>
        <v>-5.6303223753995739E-6</v>
      </c>
    </row>
    <row r="47" spans="1:31" x14ac:dyDescent="0.3">
      <c r="A47" s="5">
        <v>2</v>
      </c>
      <c r="B47" s="7">
        <v>180</v>
      </c>
      <c r="C47" s="6">
        <v>463</v>
      </c>
      <c r="D47" s="11">
        <v>3.0467213114754099E-2</v>
      </c>
      <c r="E47">
        <v>0</v>
      </c>
      <c r="F47">
        <v>27780</v>
      </c>
      <c r="G47" s="2">
        <v>8.1744338181746742E-2</v>
      </c>
      <c r="H47" s="2">
        <f t="shared" ref="H47:H79" si="28">(G47)/$G$38</f>
        <v>5.5938783902476585E-4</v>
      </c>
      <c r="I47" s="2">
        <f t="shared" si="15"/>
        <v>5.5938783902476585E-4</v>
      </c>
      <c r="K47" s="2">
        <f t="shared" ref="K47:K79" si="29">((H47^2-I46^2)*PI())/(36*F47)</f>
        <v>7.9759820796111582E-13</v>
      </c>
      <c r="L47" s="2">
        <f t="shared" ref="L47:L79" si="30">(1/(PI()*PI()*F47))*(-(H47-I46)*PI()*PI()/3-2*PI()*(SQRT(1-PI()/3*H47)-SQRT(1-PI()/3*I46)))</f>
        <v>7.9786264060221599E-13</v>
      </c>
      <c r="M47" s="2">
        <f t="shared" ref="M47:M79" si="31">(1/(PI()^2*F47))*LN((1-I46)/(1-H47))</f>
        <v>1.154700215071864E-9</v>
      </c>
      <c r="N47" s="2">
        <f t="shared" si="19"/>
        <v>7.9759820796111582E-13</v>
      </c>
      <c r="O47">
        <f t="shared" si="20"/>
        <v>22.075055187637968</v>
      </c>
      <c r="P47">
        <f t="shared" si="21"/>
        <v>-27.857171423054552</v>
      </c>
      <c r="Q47">
        <f t="shared" si="22"/>
        <v>-12.09821583046555</v>
      </c>
      <c r="R47">
        <f t="shared" si="23"/>
        <v>-25.779370756984168</v>
      </c>
      <c r="S47">
        <f t="shared" si="24"/>
        <v>-2.0778006660703845</v>
      </c>
      <c r="U47">
        <f t="shared" si="25"/>
        <v>3.5144562946717748E-9</v>
      </c>
      <c r="V47" s="2">
        <f t="shared" si="26"/>
        <v>-3.5160010976919314E-9</v>
      </c>
      <c r="W47" s="2">
        <f t="shared" si="27"/>
        <v>-3.6493122103290659E-6</v>
      </c>
    </row>
    <row r="48" spans="1:31" x14ac:dyDescent="0.3">
      <c r="A48" s="5">
        <v>3</v>
      </c>
      <c r="B48" s="7">
        <v>190</v>
      </c>
      <c r="C48" s="6">
        <v>550</v>
      </c>
      <c r="D48" s="11">
        <v>5.5770491803278699E-2</v>
      </c>
      <c r="E48" s="2">
        <f>DistilledBoundingMethod!O4</f>
        <v>1.6987915797927026E-2</v>
      </c>
      <c r="F48">
        <v>33000</v>
      </c>
      <c r="G48" s="2">
        <v>0.1475409902094329</v>
      </c>
      <c r="H48" s="2">
        <f t="shared" si="28"/>
        <v>1.0096434507467587E-3</v>
      </c>
      <c r="I48" s="2">
        <f t="shared" si="15"/>
        <v>1.1258941137175557E-3</v>
      </c>
      <c r="K48" s="2">
        <f t="shared" si="29"/>
        <v>1.8682034544222389E-12</v>
      </c>
      <c r="L48" s="2">
        <f t="shared" si="30"/>
        <v>1.8693870126404453E-12</v>
      </c>
      <c r="M48" s="2">
        <f t="shared" si="31"/>
        <v>1.3835227374511722E-9</v>
      </c>
      <c r="N48" s="2">
        <f t="shared" si="19"/>
        <v>1.8682034544222389E-12</v>
      </c>
      <c r="O48">
        <f t="shared" si="20"/>
        <v>21.598272138228943</v>
      </c>
      <c r="P48">
        <f t="shared" si="21"/>
        <v>-27.006043866409179</v>
      </c>
      <c r="Q48">
        <f t="shared" si="22"/>
        <v>-11.728575829218666</v>
      </c>
      <c r="R48">
        <f t="shared" si="23"/>
        <v>-24.860408412827336</v>
      </c>
      <c r="S48">
        <f t="shared" si="24"/>
        <v>-2.1456354535818427</v>
      </c>
      <c r="U48">
        <f t="shared" si="25"/>
        <v>5.9547149433923642E-9</v>
      </c>
      <c r="V48" s="2">
        <f t="shared" si="26"/>
        <v>-5.9599857289046665E-9</v>
      </c>
      <c r="W48" s="2">
        <f t="shared" si="27"/>
        <v>-3.0737996712092208E-6</v>
      </c>
    </row>
    <row r="49" spans="1:26" x14ac:dyDescent="0.3">
      <c r="A49" s="5">
        <v>4</v>
      </c>
      <c r="B49" s="7">
        <v>200</v>
      </c>
      <c r="C49" s="6">
        <v>500</v>
      </c>
      <c r="D49" s="11">
        <v>0.102413793103448</v>
      </c>
      <c r="E49" s="2">
        <f>'Raw Data and Corrections'!BE17</f>
        <v>2.9669813641736882E-2</v>
      </c>
      <c r="F49">
        <v>30000</v>
      </c>
      <c r="G49" s="2">
        <v>0.25955013207236705</v>
      </c>
      <c r="H49" s="2">
        <f t="shared" si="28"/>
        <v>1.776137537204678E-3</v>
      </c>
      <c r="I49" s="2">
        <f t="shared" si="15"/>
        <v>1.9791721853098204E-3</v>
      </c>
      <c r="K49" s="2">
        <f t="shared" si="29"/>
        <v>5.4891390250154895E-12</v>
      </c>
      <c r="L49" s="2">
        <f t="shared" si="30"/>
        <v>5.4955076046172972E-12</v>
      </c>
      <c r="M49" s="2">
        <f t="shared" si="31"/>
        <v>2.1993057491635358E-9</v>
      </c>
      <c r="N49" s="2">
        <f t="shared" si="19"/>
        <v>5.4891390250154895E-12</v>
      </c>
      <c r="O49">
        <f t="shared" si="20"/>
        <v>21.141649048625794</v>
      </c>
      <c r="P49">
        <f t="shared" si="21"/>
        <v>-25.928249698750136</v>
      </c>
      <c r="Q49">
        <f t="shared" si="22"/>
        <v>-11.260495769576837</v>
      </c>
      <c r="R49">
        <f t="shared" si="23"/>
        <v>-23.980302827408625</v>
      </c>
      <c r="S49">
        <f t="shared" si="24"/>
        <v>-1.9479468713415109</v>
      </c>
      <c r="U49">
        <f t="shared" si="25"/>
        <v>1.1514357032515905E-8</v>
      </c>
      <c r="V49" s="2">
        <f t="shared" si="26"/>
        <v>-1.1532286358304432E-8</v>
      </c>
      <c r="W49" s="2">
        <f t="shared" si="27"/>
        <v>-3.3840704461781311E-6</v>
      </c>
    </row>
    <row r="50" spans="1:26" x14ac:dyDescent="0.3">
      <c r="A50" s="5">
        <v>5</v>
      </c>
      <c r="B50" s="7">
        <v>210</v>
      </c>
      <c r="C50" s="6">
        <v>475</v>
      </c>
      <c r="D50" s="11">
        <v>0.145987300080372</v>
      </c>
      <c r="E50" s="2">
        <f>'Raw Data and Corrections'!BE21</f>
        <v>3.8308281275653229E-2</v>
      </c>
      <c r="F50">
        <v>28500</v>
      </c>
      <c r="G50" s="2">
        <v>0.42289759134912647</v>
      </c>
      <c r="H50" s="2">
        <f t="shared" si="28"/>
        <v>2.8939468471516762E-3</v>
      </c>
      <c r="I50" s="2">
        <f t="shared" si="15"/>
        <v>3.156095726892997E-3</v>
      </c>
      <c r="K50" s="2">
        <f t="shared" si="29"/>
        <v>1.3649717348580952E-11</v>
      </c>
      <c r="L50" s="2">
        <f t="shared" si="30"/>
        <v>1.3676202845108862E-11</v>
      </c>
      <c r="M50" s="2">
        <f t="shared" si="31"/>
        <v>3.2600857789533844E-9</v>
      </c>
      <c r="N50" s="2">
        <f t="shared" si="19"/>
        <v>1.3649717348580952E-11</v>
      </c>
      <c r="O50">
        <f t="shared" si="20"/>
        <v>20.703933747412009</v>
      </c>
      <c r="P50">
        <f t="shared" si="21"/>
        <v>-25.01730230157564</v>
      </c>
      <c r="Q50">
        <f t="shared" si="22"/>
        <v>-10.864876341679823</v>
      </c>
      <c r="R50">
        <f t="shared" si="23"/>
        <v>-23.13664053745239</v>
      </c>
      <c r="S50">
        <f t="shared" si="24"/>
        <v>-1.8806617641232499</v>
      </c>
      <c r="U50">
        <f t="shared" si="25"/>
        <v>1.9327811207861947E-8</v>
      </c>
      <c r="V50" s="2">
        <f t="shared" si="26"/>
        <v>-1.9375853163591725E-8</v>
      </c>
      <c r="W50" s="2">
        <f t="shared" si="27"/>
        <v>-3.5663851033936189E-6</v>
      </c>
    </row>
    <row r="51" spans="1:26" x14ac:dyDescent="0.3">
      <c r="A51" s="5">
        <v>6</v>
      </c>
      <c r="B51" s="7">
        <v>220</v>
      </c>
      <c r="C51" s="6">
        <v>450</v>
      </c>
      <c r="D51" s="11">
        <v>0.20905016447368399</v>
      </c>
      <c r="E51" s="2">
        <f>'Raw Data and Corrections'!BE25</f>
        <v>5.0257030981856542E-2</v>
      </c>
      <c r="F51">
        <v>27000</v>
      </c>
      <c r="G51" s="2">
        <v>0.65557350151594507</v>
      </c>
      <c r="H51" s="2">
        <f t="shared" si="28"/>
        <v>4.4861803580763587E-3</v>
      </c>
      <c r="I51" s="2">
        <f t="shared" si="15"/>
        <v>4.8300961886044115E-3</v>
      </c>
      <c r="K51" s="2">
        <f t="shared" si="29"/>
        <v>3.2853799775875831E-11</v>
      </c>
      <c r="L51" s="2">
        <f t="shared" si="30"/>
        <v>3.2953733312505213E-11</v>
      </c>
      <c r="M51" s="2">
        <f t="shared" si="31"/>
        <v>5.0104704844462666E-9</v>
      </c>
      <c r="N51" s="2">
        <f t="shared" si="19"/>
        <v>3.2853799775875831E-11</v>
      </c>
      <c r="O51">
        <f t="shared" si="20"/>
        <v>20.28397565922921</v>
      </c>
      <c r="P51">
        <f t="shared" si="21"/>
        <v>-24.13895370718874</v>
      </c>
      <c r="Q51">
        <f t="shared" si="22"/>
        <v>-10.483414393950115</v>
      </c>
      <c r="R51">
        <f t="shared" si="23"/>
        <v>-22.327203898204321</v>
      </c>
      <c r="S51">
        <f t="shared" si="24"/>
        <v>-1.8117498089844197</v>
      </c>
      <c r="U51">
        <f t="shared" si="25"/>
        <v>3.1222622844139257E-8</v>
      </c>
      <c r="V51" s="2">
        <f t="shared" si="26"/>
        <v>-3.1341568853506534E-8</v>
      </c>
      <c r="W51" s="2">
        <f t="shared" si="27"/>
        <v>-3.7708499994076331E-6</v>
      </c>
    </row>
    <row r="52" spans="1:26" x14ac:dyDescent="0.3">
      <c r="A52" s="5">
        <v>7</v>
      </c>
      <c r="B52" s="7">
        <v>230</v>
      </c>
      <c r="C52" s="6">
        <v>425</v>
      </c>
      <c r="D52" s="11">
        <v>0.32434102141680399</v>
      </c>
      <c r="E52" s="2">
        <f>'Raw Data and Corrections'!BE29</f>
        <v>7.2209604783353476E-2</v>
      </c>
      <c r="F52">
        <v>25500</v>
      </c>
      <c r="G52" s="2">
        <v>1.000444012224347</v>
      </c>
      <c r="H52" s="2">
        <f t="shared" si="28"/>
        <v>6.8461770749085223E-3</v>
      </c>
      <c r="I52" s="2">
        <f t="shared" si="15"/>
        <v>7.3403174114145689E-3</v>
      </c>
      <c r="K52" s="2">
        <f t="shared" si="29"/>
        <v>8.0559988235129757E-11</v>
      </c>
      <c r="L52" s="2">
        <f t="shared" si="30"/>
        <v>8.0934996520150221E-11</v>
      </c>
      <c r="M52" s="2">
        <f t="shared" si="31"/>
        <v>8.0576996662561913E-9</v>
      </c>
      <c r="N52" s="2">
        <f t="shared" si="19"/>
        <v>8.0559988235129757E-11</v>
      </c>
      <c r="O52">
        <f t="shared" si="20"/>
        <v>19.880715705765407</v>
      </c>
      <c r="P52">
        <f t="shared" si="21"/>
        <v>-23.24201901355686</v>
      </c>
      <c r="Q52">
        <f t="shared" si="22"/>
        <v>-10.093880605878205</v>
      </c>
      <c r="R52">
        <f t="shared" si="23"/>
        <v>-21.549951618369693</v>
      </c>
      <c r="S52">
        <f t="shared" si="24"/>
        <v>-1.6920673951871663</v>
      </c>
      <c r="U52">
        <f t="shared" si="25"/>
        <v>5.0240277243392718E-8</v>
      </c>
      <c r="V52" s="2">
        <f t="shared" si="26"/>
        <v>-5.0531783935890111E-8</v>
      </c>
      <c r="W52" s="2">
        <f t="shared" si="27"/>
        <v>-4.0027612890637635E-6</v>
      </c>
    </row>
    <row r="53" spans="1:26" x14ac:dyDescent="0.3">
      <c r="A53" s="5">
        <v>8</v>
      </c>
      <c r="B53" s="7">
        <v>225</v>
      </c>
      <c r="C53" s="6">
        <v>908</v>
      </c>
      <c r="D53" s="11">
        <v>0.34826732673267302</v>
      </c>
      <c r="E53" s="2">
        <f>'Raw Data and Corrections'!BE33</f>
        <v>3.4625205848866775E-2</v>
      </c>
      <c r="F53">
        <v>54480</v>
      </c>
      <c r="G53" s="2">
        <v>1.3643577781885887</v>
      </c>
      <c r="H53" s="2">
        <f t="shared" si="28"/>
        <v>9.3364894275695144E-3</v>
      </c>
      <c r="I53" s="2">
        <f t="shared" si="15"/>
        <v>9.5734345115522281E-3</v>
      </c>
      <c r="K53" s="2">
        <f t="shared" si="29"/>
        <v>5.3323805367199984E-11</v>
      </c>
      <c r="L53" s="2">
        <f t="shared" si="30"/>
        <v>5.3677286645343191E-11</v>
      </c>
      <c r="M53" s="2">
        <f t="shared" si="31"/>
        <v>3.7436718208960719E-9</v>
      </c>
      <c r="N53" s="2">
        <f t="shared" si="19"/>
        <v>5.3323805367199984E-11</v>
      </c>
      <c r="O53">
        <f t="shared" si="20"/>
        <v>20.080321285140563</v>
      </c>
      <c r="P53">
        <f t="shared" si="21"/>
        <v>-23.65463825468753</v>
      </c>
      <c r="Q53">
        <f t="shared" si="22"/>
        <v>-10.273078865428362</v>
      </c>
      <c r="R53">
        <f t="shared" si="23"/>
        <v>-21.934675889412336</v>
      </c>
      <c r="S53">
        <f t="shared" si="24"/>
        <v>-1.7199623652751939</v>
      </c>
      <c r="U53">
        <f t="shared" si="25"/>
        <v>3.0669594888150056E-8</v>
      </c>
      <c r="V53" s="2">
        <f t="shared" si="26"/>
        <v>-3.0902141886676097E-8</v>
      </c>
      <c r="W53" s="2">
        <f t="shared" si="27"/>
        <v>-1.8777634227316598E-6</v>
      </c>
    </row>
    <row r="54" spans="1:26" x14ac:dyDescent="0.3">
      <c r="A54" s="5">
        <v>9</v>
      </c>
      <c r="B54" s="7">
        <v>215</v>
      </c>
      <c r="C54" s="6">
        <v>450</v>
      </c>
      <c r="D54" s="11">
        <v>7.1590909090909094E-2</v>
      </c>
      <c r="E54" s="2">
        <f>'Raw Data and Corrections'!BE38</f>
        <v>1.8584746842407716E-2</v>
      </c>
      <c r="F54">
        <v>27000</v>
      </c>
      <c r="G54" s="2">
        <v>1.4527785385191672</v>
      </c>
      <c r="H54" s="2">
        <f t="shared" si="28"/>
        <v>9.9415649489625509E-3</v>
      </c>
      <c r="I54" s="2">
        <f t="shared" si="15"/>
        <v>1.0068742948151712E-2</v>
      </c>
      <c r="K54" s="2">
        <f t="shared" si="29"/>
        <v>2.3219554248969699E-11</v>
      </c>
      <c r="L54" s="2">
        <f t="shared" si="30"/>
        <v>2.3399048344807881E-11</v>
      </c>
      <c r="M54" s="2">
        <f t="shared" si="31"/>
        <v>1.3950721226292607E-9</v>
      </c>
      <c r="N54" s="2">
        <f t="shared" si="19"/>
        <v>2.3219554248969699E-11</v>
      </c>
      <c r="O54">
        <f t="shared" si="20"/>
        <v>20.491803278688526</v>
      </c>
      <c r="P54">
        <f t="shared" si="21"/>
        <v>-24.48602633670053</v>
      </c>
      <c r="Q54">
        <f t="shared" si="22"/>
        <v>-10.634146121766735</v>
      </c>
      <c r="R54">
        <f t="shared" si="23"/>
        <v>-22.72777551373385</v>
      </c>
      <c r="S54">
        <f t="shared" si="24"/>
        <v>-1.75825082296668</v>
      </c>
      <c r="U54">
        <f t="shared" si="25"/>
        <v>6.5086191104521506E-8</v>
      </c>
      <c r="V54" s="2">
        <f t="shared" si="26"/>
        <v>-6.5605455499300809E-8</v>
      </c>
      <c r="W54" s="2">
        <f t="shared" si="27"/>
        <v>-3.7908050730447321E-6</v>
      </c>
    </row>
    <row r="55" spans="1:26" x14ac:dyDescent="0.3">
      <c r="A55" s="5">
        <v>10</v>
      </c>
      <c r="B55" s="7">
        <v>205</v>
      </c>
      <c r="C55" s="6">
        <v>520</v>
      </c>
      <c r="D55" s="11">
        <v>3.8451904805222398E-2</v>
      </c>
      <c r="E55" s="2">
        <f>'Raw Data and Corrections'!BE43</f>
        <v>9.7567832307909347E-3</v>
      </c>
      <c r="F55">
        <v>31200</v>
      </c>
      <c r="G55" s="2">
        <v>1.5131325924103853</v>
      </c>
      <c r="H55" s="2">
        <f t="shared" si="28"/>
        <v>1.0354576107087402E-2</v>
      </c>
      <c r="I55" s="2">
        <f t="shared" si="15"/>
        <v>1.0421343127393696E-2</v>
      </c>
      <c r="K55" s="2">
        <f t="shared" si="29"/>
        <v>1.6327951771516265E-11</v>
      </c>
      <c r="L55" s="2">
        <f t="shared" si="30"/>
        <v>1.6460092297258949E-11</v>
      </c>
      <c r="M55" s="2">
        <f t="shared" si="31"/>
        <v>9.3781233141060591E-10</v>
      </c>
      <c r="N55" s="2">
        <f t="shared" si="19"/>
        <v>1.6327951771516265E-11</v>
      </c>
      <c r="O55">
        <f t="shared" si="20"/>
        <v>20.92050209205021</v>
      </c>
      <c r="P55">
        <f t="shared" si="21"/>
        <v>-24.838142644154161</v>
      </c>
      <c r="Q55">
        <f t="shared" si="22"/>
        <v>-10.787068291081995</v>
      </c>
      <c r="R55">
        <f t="shared" si="23"/>
        <v>-23.554059222755004</v>
      </c>
      <c r="S55">
        <f t="shared" si="24"/>
        <v>-1.2840834213991563</v>
      </c>
      <c r="U55">
        <f t="shared" si="25"/>
        <v>5.8297035273430398E-8</v>
      </c>
      <c r="V55" s="2">
        <f t="shared" si="26"/>
        <v>-5.8778572158875226E-8</v>
      </c>
      <c r="W55" s="2">
        <f t="shared" si="27"/>
        <v>-3.2816732779518488E-6</v>
      </c>
    </row>
    <row r="56" spans="1:26" x14ac:dyDescent="0.3">
      <c r="A56" s="5">
        <v>11</v>
      </c>
      <c r="B56" s="7">
        <v>195</v>
      </c>
      <c r="C56" s="6">
        <v>1106</v>
      </c>
      <c r="D56" s="11">
        <v>3.3582644628099102E-2</v>
      </c>
      <c r="E56" s="2">
        <f>'Raw Data and Corrections'!BE47</f>
        <v>4.0877758151822369E-3</v>
      </c>
      <c r="F56">
        <v>66360</v>
      </c>
      <c r="G56" s="2">
        <v>1.5941014420436159</v>
      </c>
      <c r="H56" s="2">
        <f t="shared" si="28"/>
        <v>1.0908657170462722E-2</v>
      </c>
      <c r="I56" s="2">
        <f t="shared" si="15"/>
        <v>1.0936630387085854E-2</v>
      </c>
      <c r="K56" s="2">
        <f t="shared" si="29"/>
        <v>1.3669127134599819E-11</v>
      </c>
      <c r="L56" s="2">
        <f t="shared" si="30"/>
        <v>1.3784720076433995E-11</v>
      </c>
      <c r="M56" s="2">
        <f t="shared" si="31"/>
        <v>7.5207203351504013E-10</v>
      </c>
      <c r="N56" s="2">
        <f t="shared" si="19"/>
        <v>1.3669127134599819E-11</v>
      </c>
      <c r="O56">
        <f t="shared" si="20"/>
        <v>21.367521367521366</v>
      </c>
      <c r="P56">
        <f t="shared" si="21"/>
        <v>-25.015881319857559</v>
      </c>
      <c r="Q56">
        <f t="shared" si="22"/>
        <v>-10.864259217160773</v>
      </c>
      <c r="R56">
        <f t="shared" si="23"/>
        <v>-24.415654201392446</v>
      </c>
      <c r="S56">
        <f t="shared" si="24"/>
        <v>-0.60022711846511356</v>
      </c>
      <c r="U56">
        <f t="shared" si="25"/>
        <v>2.876434739727397E-8</v>
      </c>
      <c r="V56" s="2">
        <f t="shared" si="26"/>
        <v>-2.9013803865329432E-8</v>
      </c>
      <c r="W56" s="2">
        <f t="shared" si="27"/>
        <v>-1.5437243670890847E-6</v>
      </c>
    </row>
    <row r="57" spans="1:26" x14ac:dyDescent="0.3">
      <c r="A57" s="5">
        <v>12</v>
      </c>
      <c r="B57" s="7">
        <v>185</v>
      </c>
      <c r="C57" s="6">
        <v>740</v>
      </c>
      <c r="D57" s="11">
        <v>7.9399336711820697E-3</v>
      </c>
      <c r="E57" s="2">
        <f>'Raw Data and Corrections'!BE51</f>
        <v>1.8134793264172192E-3</v>
      </c>
      <c r="F57">
        <v>44400</v>
      </c>
      <c r="G57" s="2">
        <v>1.6199227189983803</v>
      </c>
      <c r="H57" s="2">
        <f t="shared" si="28"/>
        <v>1.1085355748466636E-2</v>
      </c>
      <c r="I57" s="2">
        <f t="shared" si="15"/>
        <v>1.1097765638913914E-2</v>
      </c>
      <c r="K57" s="2">
        <f t="shared" si="29"/>
        <v>6.4373321702147364E-12</v>
      </c>
      <c r="L57" s="2">
        <f t="shared" si="30"/>
        <v>6.4935435613314271E-12</v>
      </c>
      <c r="M57" s="2">
        <f t="shared" si="31"/>
        <v>3.4317121626919315E-10</v>
      </c>
      <c r="N57" s="2">
        <f t="shared" si="19"/>
        <v>6.4373321702147364E-12</v>
      </c>
      <c r="O57">
        <f t="shared" si="20"/>
        <v>21.834061135371179</v>
      </c>
      <c r="P57">
        <f t="shared" si="21"/>
        <v>-25.768906920924792</v>
      </c>
      <c r="Q57">
        <f t="shared" si="22"/>
        <v>-11.191294080436153</v>
      </c>
      <c r="R57">
        <f t="shared" si="23"/>
        <v>-25.314873414904898</v>
      </c>
      <c r="S57">
        <f t="shared" si="24"/>
        <v>-0.45403350601989345</v>
      </c>
      <c r="U57">
        <f t="shared" si="25"/>
        <v>4.3624448201292779E-8</v>
      </c>
      <c r="V57" s="2">
        <f t="shared" si="26"/>
        <v>-4.4008406383499748E-8</v>
      </c>
      <c r="W57" s="2">
        <f t="shared" si="27"/>
        <v>-2.3076180448389446E-6</v>
      </c>
    </row>
    <row r="58" spans="1:26" x14ac:dyDescent="0.3">
      <c r="A58" s="5">
        <v>13</v>
      </c>
      <c r="B58" s="7">
        <v>175</v>
      </c>
      <c r="C58" s="6">
        <v>920</v>
      </c>
      <c r="D58" s="11">
        <v>1.5191836823502501E-2</v>
      </c>
      <c r="E58" s="2">
        <f>'Raw Data and Corrections'!BE55</f>
        <v>3.1650678213308433E-3</v>
      </c>
      <c r="F58">
        <v>55200</v>
      </c>
      <c r="G58" s="2">
        <v>1.6440058651952798</v>
      </c>
      <c r="H58" s="2">
        <f t="shared" si="28"/>
        <v>1.1250160056724029E-2</v>
      </c>
      <c r="I58" s="2">
        <f t="shared" si="15"/>
        <v>1.1271819054623121E-2</v>
      </c>
      <c r="K58" s="2">
        <f t="shared" si="29"/>
        <v>5.3841180321460747E-12</v>
      </c>
      <c r="L58" s="2">
        <f t="shared" si="30"/>
        <v>5.4318353791687041E-12</v>
      </c>
      <c r="M58" s="2">
        <f t="shared" si="31"/>
        <v>2.8288527607883872E-10</v>
      </c>
      <c r="N58" s="2">
        <f t="shared" si="19"/>
        <v>5.3841180321460747E-12</v>
      </c>
      <c r="O58">
        <f t="shared" si="20"/>
        <v>22.321428571428573</v>
      </c>
      <c r="P58">
        <f t="shared" si="21"/>
        <v>-25.947567601065263</v>
      </c>
      <c r="Q58">
        <f t="shared" si="22"/>
        <v>-11.268885427954242</v>
      </c>
      <c r="R58">
        <f t="shared" si="23"/>
        <v>-26.254236343306292</v>
      </c>
      <c r="S58">
        <f t="shared" si="24"/>
        <v>0.30666874224102969</v>
      </c>
      <c r="U58">
        <f t="shared" si="25"/>
        <v>3.5639557100037689E-8</v>
      </c>
      <c r="V58" s="2">
        <f t="shared" si="26"/>
        <v>-3.5958205263040734E-8</v>
      </c>
      <c r="W58" s="2">
        <f t="shared" si="27"/>
        <v>-1.8564543061953965E-6</v>
      </c>
    </row>
    <row r="59" spans="1:26" x14ac:dyDescent="0.3">
      <c r="A59" s="5">
        <v>14</v>
      </c>
      <c r="B59" s="7">
        <v>200</v>
      </c>
      <c r="C59" s="6">
        <v>260</v>
      </c>
      <c r="D59" s="11">
        <v>1.0662386255492901E-2</v>
      </c>
      <c r="E59" s="2">
        <f>'Raw Data and Corrections'!BE59</f>
        <v>7.6204226029924606E-3</v>
      </c>
      <c r="F59">
        <v>15600</v>
      </c>
      <c r="G59" s="2">
        <v>1.6548136201808463</v>
      </c>
      <c r="H59" s="2">
        <f t="shared" si="28"/>
        <v>1.1324119022452559E-2</v>
      </c>
      <c r="I59" s="2">
        <f t="shared" si="15"/>
        <v>1.1376266630802703E-2</v>
      </c>
      <c r="K59" s="2">
        <f t="shared" si="29"/>
        <v>6.6108084144290269E-12</v>
      </c>
      <c r="L59" s="2">
        <f t="shared" si="30"/>
        <v>6.6700533018998114E-12</v>
      </c>
      <c r="M59" s="2">
        <f t="shared" si="31"/>
        <v>3.4356716543944804E-10</v>
      </c>
      <c r="N59" s="2">
        <f t="shared" si="19"/>
        <v>6.6108084144290269E-12</v>
      </c>
      <c r="O59">
        <f t="shared" si="20"/>
        <v>21.141649048625794</v>
      </c>
      <c r="P59">
        <f t="shared" si="21"/>
        <v>-25.742315167814148</v>
      </c>
      <c r="Q59">
        <f t="shared" si="22"/>
        <v>-11.179745428796068</v>
      </c>
      <c r="R59">
        <f t="shared" si="23"/>
        <v>-23.980302827408625</v>
      </c>
      <c r="S59">
        <f t="shared" si="24"/>
        <v>-1.7620123404055228</v>
      </c>
      <c r="U59">
        <f t="shared" si="25"/>
        <v>1.2727776236683932E-7</v>
      </c>
      <c r="V59" s="2">
        <f t="shared" si="26"/>
        <v>-1.2842638514969249E-7</v>
      </c>
      <c r="W59" s="2">
        <f t="shared" si="27"/>
        <v>-6.5696861709419603E-6</v>
      </c>
    </row>
    <row r="60" spans="1:26" x14ac:dyDescent="0.3">
      <c r="A60" s="5">
        <v>15</v>
      </c>
      <c r="B60" s="7">
        <v>209.99</v>
      </c>
      <c r="C60" s="6">
        <v>520</v>
      </c>
      <c r="D60" s="11">
        <v>0.21658617347290901</v>
      </c>
      <c r="E60" s="2">
        <f>'Raw Data and Corrections'!BE61</f>
        <v>5.077086075528895E-2</v>
      </c>
      <c r="F60">
        <v>31200</v>
      </c>
      <c r="G60" s="2">
        <v>2.3578929916624825</v>
      </c>
      <c r="H60" s="2">
        <f t="shared" si="28"/>
        <v>1.6135388634808713E-2</v>
      </c>
      <c r="I60" s="2">
        <f t="shared" si="15"/>
        <v>1.6482820673712543E-2</v>
      </c>
      <c r="K60" s="2">
        <f t="shared" si="29"/>
        <v>3.6621517576429541E-10</v>
      </c>
      <c r="L60" s="2">
        <f t="shared" si="30"/>
        <v>3.7026071629799915E-10</v>
      </c>
      <c r="M60" s="2">
        <f t="shared" si="31"/>
        <v>1.567071786805847E-8</v>
      </c>
      <c r="N60" s="2">
        <f t="shared" si="19"/>
        <v>3.6621517576429541E-10</v>
      </c>
      <c r="O60">
        <f t="shared" si="20"/>
        <v>20.704362409159611</v>
      </c>
      <c r="P60">
        <f t="shared" si="21"/>
        <v>-21.727800043355387</v>
      </c>
      <c r="Q60">
        <f t="shared" si="22"/>
        <v>-9.4362636627264802</v>
      </c>
      <c r="R60">
        <f t="shared" si="23"/>
        <v>-23.137466749720037</v>
      </c>
      <c r="S60">
        <f t="shared" si="24"/>
        <v>1.40966670636465</v>
      </c>
      <c r="U60">
        <f t="shared" si="25"/>
        <v>9.22049649910493E-8</v>
      </c>
      <c r="V60" s="2">
        <f t="shared" si="26"/>
        <v>-9.3416044258780392E-8</v>
      </c>
      <c r="W60" s="2">
        <f t="shared" si="27"/>
        <v>-3.3018984344684695E-6</v>
      </c>
    </row>
    <row r="61" spans="1:26" x14ac:dyDescent="0.3">
      <c r="A61" s="5">
        <v>16</v>
      </c>
      <c r="B61" s="7">
        <v>219.98</v>
      </c>
      <c r="C61" s="6">
        <v>1167</v>
      </c>
      <c r="D61" s="11">
        <v>0.31868729096989901</v>
      </c>
      <c r="E61" s="2">
        <f>'Raw Data and Corrections'!BE65</f>
        <v>2.5747603489509538E-2</v>
      </c>
      <c r="F61">
        <v>70020</v>
      </c>
      <c r="G61" s="2">
        <v>2.9503223326902375</v>
      </c>
      <c r="H61" s="2">
        <f t="shared" si="28"/>
        <v>2.018946474850318E-2</v>
      </c>
      <c r="I61" s="2">
        <f t="shared" si="15"/>
        <v>2.0365659168770433E-2</v>
      </c>
      <c r="K61" s="2">
        <f t="shared" si="29"/>
        <v>1.6941198344243787E-10</v>
      </c>
      <c r="L61" s="2">
        <f t="shared" si="30"/>
        <v>1.7190014184747773E-10</v>
      </c>
      <c r="M61" s="2">
        <f t="shared" si="31"/>
        <v>5.4638245877300276E-9</v>
      </c>
      <c r="N61" s="2">
        <f t="shared" si="19"/>
        <v>1.6941198344243787E-10</v>
      </c>
      <c r="O61">
        <f t="shared" si="20"/>
        <v>20.28479857195018</v>
      </c>
      <c r="P61">
        <f t="shared" si="21"/>
        <v>-22.498687595702329</v>
      </c>
      <c r="Q61">
        <f t="shared" si="22"/>
        <v>-9.7710558728786605</v>
      </c>
      <c r="R61">
        <f t="shared" si="23"/>
        <v>-22.328789998641486</v>
      </c>
      <c r="S61">
        <f t="shared" si="24"/>
        <v>-0.16989759706084229</v>
      </c>
      <c r="U61">
        <f t="shared" si="25"/>
        <v>5.0763754189376693E-8</v>
      </c>
      <c r="V61" s="2">
        <f t="shared" si="26"/>
        <v>-5.1590433399880274E-8</v>
      </c>
      <c r="W61" s="2">
        <f t="shared" si="27"/>
        <v>-1.4771144523684904E-6</v>
      </c>
    </row>
    <row r="62" spans="1:26" x14ac:dyDescent="0.3">
      <c r="A62" s="5">
        <v>17</v>
      </c>
      <c r="B62" s="7">
        <v>229.99</v>
      </c>
      <c r="C62" s="6">
        <v>370</v>
      </c>
      <c r="D62" s="11">
        <v>0.21132607073022699</v>
      </c>
      <c r="E62" s="2">
        <f>'Raw Data and Corrections'!BE69</f>
        <v>5.5900246885354443E-2</v>
      </c>
      <c r="F62">
        <v>22200</v>
      </c>
      <c r="G62" s="2">
        <v>3.214413338430429</v>
      </c>
      <c r="H62" s="2">
        <f t="shared" si="28"/>
        <v>2.1996676113753062E-2</v>
      </c>
      <c r="I62" s="2">
        <f t="shared" si="15"/>
        <v>2.2379209253071228E-2</v>
      </c>
      <c r="K62" s="2">
        <f t="shared" si="29"/>
        <v>2.7160187495881509E-10</v>
      </c>
      <c r="L62" s="2">
        <f t="shared" si="30"/>
        <v>2.7620768004887606E-10</v>
      </c>
      <c r="M62" s="2">
        <f t="shared" si="31"/>
        <v>7.6050756270008612E-9</v>
      </c>
      <c r="N62" s="2">
        <f t="shared" si="19"/>
        <v>2.7160187495881509E-10</v>
      </c>
      <c r="O62">
        <f t="shared" si="20"/>
        <v>19.881110956480249</v>
      </c>
      <c r="P62">
        <f t="shared" si="21"/>
        <v>-22.026683816884862</v>
      </c>
      <c r="Q62">
        <f t="shared" si="22"/>
        <v>-9.5660672363007535</v>
      </c>
      <c r="R62">
        <f t="shared" si="23"/>
        <v>-21.550713433463354</v>
      </c>
      <c r="S62">
        <f t="shared" si="24"/>
        <v>-0.4759703834215081</v>
      </c>
      <c r="U62">
        <f t="shared" si="25"/>
        <v>1.7594184029679E-7</v>
      </c>
      <c r="V62" s="2">
        <f t="shared" si="26"/>
        <v>-1.7909595728865594E-7</v>
      </c>
      <c r="W62" s="2">
        <f t="shared" si="27"/>
        <v>-4.6684944964185484E-6</v>
      </c>
    </row>
    <row r="63" spans="1:26" x14ac:dyDescent="0.3">
      <c r="A63" s="5">
        <v>18</v>
      </c>
      <c r="B63" s="7">
        <v>240</v>
      </c>
      <c r="C63" s="6">
        <v>320</v>
      </c>
      <c r="D63" s="11">
        <v>0.42862847782896701</v>
      </c>
      <c r="E63" s="2">
        <f>'Raw Data and Corrections'!BE73</f>
        <v>0.11775479646228286</v>
      </c>
      <c r="F63">
        <v>19200</v>
      </c>
      <c r="G63" s="2">
        <v>3.8370569266360577</v>
      </c>
      <c r="H63" s="2">
        <f t="shared" si="28"/>
        <v>2.6257512509719468E-2</v>
      </c>
      <c r="I63" s="2">
        <f t="shared" si="15"/>
        <v>2.7063324907165072E-2</v>
      </c>
      <c r="K63" s="2">
        <f t="shared" si="29"/>
        <v>8.5733825535970253E-10</v>
      </c>
      <c r="L63" s="2">
        <f t="shared" si="30"/>
        <v>8.7410551579106629E-10</v>
      </c>
      <c r="M63" s="2">
        <f t="shared" si="31"/>
        <v>2.0976509851746152E-8</v>
      </c>
      <c r="N63" s="2">
        <f t="shared" si="19"/>
        <v>8.5733825535970253E-10</v>
      </c>
      <c r="O63">
        <f t="shared" si="20"/>
        <v>19.49317738791423</v>
      </c>
      <c r="P63">
        <f t="shared" si="21"/>
        <v>-20.877188578167328</v>
      </c>
      <c r="Q63">
        <f t="shared" si="22"/>
        <v>-9.0668477971516666</v>
      </c>
      <c r="R63">
        <f t="shared" si="23"/>
        <v>-20.803001571667014</v>
      </c>
      <c r="S63">
        <f t="shared" si="24"/>
        <v>-7.4187006500313402E-2</v>
      </c>
      <c r="U63">
        <f t="shared" si="25"/>
        <v>2.4601256571198917E-7</v>
      </c>
      <c r="V63" s="2">
        <f t="shared" si="26"/>
        <v>-2.5136832209149333E-7</v>
      </c>
      <c r="W63" s="2">
        <f t="shared" si="27"/>
        <v>-5.4239346881113606E-6</v>
      </c>
      <c r="Y63" s="2"/>
      <c r="Z63" s="2"/>
    </row>
    <row r="64" spans="1:26" x14ac:dyDescent="0.3">
      <c r="A64" s="5">
        <v>19</v>
      </c>
      <c r="B64" s="7">
        <v>245</v>
      </c>
      <c r="C64" s="6">
        <v>250</v>
      </c>
      <c r="D64" s="11">
        <v>0.39881989764248399</v>
      </c>
      <c r="E64" s="2">
        <f>'Raw Data and Corrections'!BE77</f>
        <v>0.1402214195171109</v>
      </c>
      <c r="F64">
        <v>15000</v>
      </c>
      <c r="G64" s="2">
        <v>4.2823756563482975</v>
      </c>
      <c r="H64" s="2">
        <f t="shared" si="28"/>
        <v>2.9304890315104994E-2</v>
      </c>
      <c r="I64" s="2">
        <f t="shared" si="15"/>
        <v>3.0264444928835746E-2</v>
      </c>
      <c r="K64" s="2">
        <f t="shared" si="29"/>
        <v>7.350921971527468E-10</v>
      </c>
      <c r="L64" s="2">
        <f t="shared" si="30"/>
        <v>7.5178408326355026E-10</v>
      </c>
      <c r="M64" s="2">
        <f t="shared" si="31"/>
        <v>1.5580328387809101E-8</v>
      </c>
      <c r="N64" s="2">
        <f t="shared" si="19"/>
        <v>7.350921971527468E-10</v>
      </c>
      <c r="O64">
        <f t="shared" si="20"/>
        <v>19.305019305019304</v>
      </c>
      <c r="P64">
        <f t="shared" si="21"/>
        <v>-21.031025186279379</v>
      </c>
      <c r="Q64">
        <f t="shared" si="22"/>
        <v>-9.1336581871694431</v>
      </c>
      <c r="R64">
        <f t="shared" si="23"/>
        <v>-20.440341462119289</v>
      </c>
      <c r="S64">
        <f t="shared" si="24"/>
        <v>-0.59068372416009041</v>
      </c>
      <c r="U64">
        <f t="shared" si="25"/>
        <v>3.5214280686445646E-7</v>
      </c>
      <c r="V64" s="2">
        <f t="shared" si="26"/>
        <v>-3.6074049071817956E-7</v>
      </c>
      <c r="W64" s="2">
        <f t="shared" si="27"/>
        <v>-6.9655542078790274E-6</v>
      </c>
    </row>
    <row r="65" spans="1:23" x14ac:dyDescent="0.3">
      <c r="A65" s="5">
        <v>20</v>
      </c>
      <c r="B65" s="7">
        <v>249.99</v>
      </c>
      <c r="C65" s="6">
        <v>210</v>
      </c>
      <c r="D65" s="11">
        <v>0.443959731543624</v>
      </c>
      <c r="E65" s="2">
        <f>'Raw Data and Corrections'!BE81</f>
        <v>0.18328170319118076</v>
      </c>
      <c r="F65">
        <v>12600</v>
      </c>
      <c r="G65" s="2">
        <v>4.772238578295827</v>
      </c>
      <c r="H65" s="2">
        <f t="shared" si="28"/>
        <v>3.2657090203460991E-2</v>
      </c>
      <c r="I65" s="2">
        <f t="shared" si="15"/>
        <v>3.3911312308152114E-2</v>
      </c>
      <c r="K65" s="2">
        <f t="shared" si="29"/>
        <v>1.0426881863009846E-9</v>
      </c>
      <c r="L65" s="2">
        <f t="shared" si="30"/>
        <v>1.0691940681204776E-9</v>
      </c>
      <c r="M65" s="2">
        <f t="shared" si="31"/>
        <v>1.9865112525050732E-8</v>
      </c>
      <c r="N65" s="2">
        <f t="shared" si="19"/>
        <v>1.0426881863009846E-9</v>
      </c>
      <c r="O65">
        <f t="shared" si="20"/>
        <v>19.120824489952007</v>
      </c>
      <c r="P65">
        <f t="shared" si="21"/>
        <v>-20.681463664108968</v>
      </c>
      <c r="Q65">
        <f t="shared" si="22"/>
        <v>-8.9818455470051326</v>
      </c>
      <c r="R65">
        <f t="shared" si="23"/>
        <v>-20.085320243882638</v>
      </c>
      <c r="S65">
        <f t="shared" si="24"/>
        <v>-0.59614342022632982</v>
      </c>
      <c r="U65">
        <f t="shared" si="25"/>
        <v>4.6973337575343832E-7</v>
      </c>
      <c r="V65" s="2">
        <f t="shared" si="26"/>
        <v>-4.8262631891345591E-7</v>
      </c>
      <c r="W65" s="2">
        <f t="shared" si="27"/>
        <v>-8.323628962419715E-6</v>
      </c>
    </row>
    <row r="66" spans="1:23" x14ac:dyDescent="0.3">
      <c r="A66" s="5">
        <v>21</v>
      </c>
      <c r="B66" s="7">
        <v>244.909999999999</v>
      </c>
      <c r="C66" s="6">
        <v>270</v>
      </c>
      <c r="D66" s="11">
        <v>0.312337571455232</v>
      </c>
      <c r="E66" s="2">
        <f>'Raw Data and Corrections'!BE85</f>
        <v>9.9572914304118187E-2</v>
      </c>
      <c r="F66">
        <v>16200</v>
      </c>
      <c r="G66" s="2">
        <v>5.1104463241871612</v>
      </c>
      <c r="H66" s="2">
        <f t="shared" si="28"/>
        <v>3.4971492696939561E-2</v>
      </c>
      <c r="I66" s="2">
        <f t="shared" si="15"/>
        <v>3.5652883954082511E-2</v>
      </c>
      <c r="K66" s="2">
        <f t="shared" si="29"/>
        <v>3.9338966641843828E-10</v>
      </c>
      <c r="L66" s="2">
        <f t="shared" si="30"/>
        <v>4.0436212650406503E-10</v>
      </c>
      <c r="M66" s="2">
        <f t="shared" si="31"/>
        <v>6.8673062422445006E-9</v>
      </c>
      <c r="N66" s="2">
        <f t="shared" si="19"/>
        <v>3.9338966641843828E-10</v>
      </c>
      <c r="O66">
        <f t="shared" si="20"/>
        <v>19.308374041821978</v>
      </c>
      <c r="P66">
        <f t="shared" si="21"/>
        <v>-21.656220477684016</v>
      </c>
      <c r="Q66">
        <f t="shared" si="22"/>
        <v>-9.405177052338372</v>
      </c>
      <c r="R66">
        <f t="shared" si="23"/>
        <v>-20.446807457082901</v>
      </c>
      <c r="S66">
        <f t="shared" si="24"/>
        <v>-1.2094130206011151</v>
      </c>
      <c r="U66">
        <f t="shared" si="25"/>
        <v>3.8411124248777448E-7</v>
      </c>
      <c r="V66" s="2">
        <f t="shared" si="26"/>
        <v>-3.9521297113727173E-7</v>
      </c>
      <c r="W66" s="2">
        <f t="shared" si="27"/>
        <v>-6.4856252981196827E-6</v>
      </c>
    </row>
    <row r="67" spans="1:23" x14ac:dyDescent="0.3">
      <c r="A67" s="5">
        <v>22</v>
      </c>
      <c r="B67" s="7">
        <v>239.99</v>
      </c>
      <c r="C67" s="6">
        <v>320</v>
      </c>
      <c r="D67" s="11">
        <v>0.19266524672441601</v>
      </c>
      <c r="E67" s="2">
        <f>'Raw Data and Corrections'!BE89</f>
        <v>5.293752545351068E-2</v>
      </c>
      <c r="F67">
        <v>19200</v>
      </c>
      <c r="G67" s="2">
        <v>5.3197430414998124</v>
      </c>
      <c r="H67" s="2">
        <f t="shared" si="28"/>
        <v>3.6403739149925646E-2</v>
      </c>
      <c r="I67" s="2">
        <f t="shared" si="15"/>
        <v>3.6765997975740816E-2</v>
      </c>
      <c r="K67" s="2">
        <f t="shared" si="29"/>
        <v>2.4591002779217136E-10</v>
      </c>
      <c r="L67" s="2">
        <f t="shared" si="30"/>
        <v>2.5309496857373136E-10</v>
      </c>
      <c r="M67" s="2">
        <f t="shared" si="31"/>
        <v>4.1104650440466275E-9</v>
      </c>
      <c r="N67" s="2">
        <f t="shared" si="19"/>
        <v>2.4591002779217136E-10</v>
      </c>
      <c r="O67">
        <f t="shared" si="20"/>
        <v>19.493557379286145</v>
      </c>
      <c r="P67">
        <f t="shared" si="21"/>
        <v>-22.12605538757785</v>
      </c>
      <c r="Q67">
        <f t="shared" si="22"/>
        <v>-9.6092237611107763</v>
      </c>
      <c r="R67">
        <f t="shared" si="23"/>
        <v>-20.803733975560835</v>
      </c>
      <c r="S67">
        <f t="shared" si="24"/>
        <v>-1.3223214120170148</v>
      </c>
      <c r="U67">
        <f t="shared" si="25"/>
        <v>3.3421235284283726E-7</v>
      </c>
      <c r="V67" s="2">
        <f t="shared" si="26"/>
        <v>-3.4418349376668273E-7</v>
      </c>
      <c r="W67" s="2">
        <f t="shared" si="27"/>
        <v>-5.478570077760662E-6</v>
      </c>
    </row>
    <row r="68" spans="1:23" x14ac:dyDescent="0.3">
      <c r="A68" s="5">
        <v>23</v>
      </c>
      <c r="B68" s="7">
        <v>235</v>
      </c>
      <c r="C68" s="6">
        <v>370</v>
      </c>
      <c r="D68" s="11">
        <v>0.151676470588235</v>
      </c>
      <c r="E68" s="2">
        <f>'Raw Data and Corrections'!BE93</f>
        <v>3.7292521960038655E-2</v>
      </c>
      <c r="F68">
        <v>22200</v>
      </c>
      <c r="G68" s="2">
        <v>5.484390100323342</v>
      </c>
      <c r="H68" s="2">
        <f t="shared" si="28"/>
        <v>3.7530441799744685E-2</v>
      </c>
      <c r="I68" s="2">
        <f t="shared" si="15"/>
        <v>3.7785639697666719E-2</v>
      </c>
      <c r="K68" s="2">
        <f t="shared" si="29"/>
        <v>2.2325848688005263E-10</v>
      </c>
      <c r="L68" s="2">
        <f t="shared" si="30"/>
        <v>2.2999117583338231E-10</v>
      </c>
      <c r="M68" s="2">
        <f t="shared" si="31"/>
        <v>3.6235431855456821E-9</v>
      </c>
      <c r="N68" s="2">
        <f t="shared" si="19"/>
        <v>2.2325848688005263E-10</v>
      </c>
      <c r="O68">
        <f t="shared" si="20"/>
        <v>19.685039370078741</v>
      </c>
      <c r="P68">
        <f t="shared" si="21"/>
        <v>-22.222690881754282</v>
      </c>
      <c r="Q68">
        <f t="shared" si="22"/>
        <v>-9.6511920229875958</v>
      </c>
      <c r="R68">
        <f t="shared" si="23"/>
        <v>-21.172800659749146</v>
      </c>
      <c r="S68">
        <f t="shared" si="24"/>
        <v>-1.0498902220051356</v>
      </c>
      <c r="U68">
        <f t="shared" si="25"/>
        <v>2.9706478499845002E-7</v>
      </c>
      <c r="V68" s="2">
        <f t="shared" si="26"/>
        <v>-3.0618184359077443E-7</v>
      </c>
      <c r="W68" s="2">
        <f t="shared" si="27"/>
        <v>-4.743243781720682E-6</v>
      </c>
    </row>
    <row r="69" spans="1:23" x14ac:dyDescent="0.3">
      <c r="A69" s="5">
        <v>24</v>
      </c>
      <c r="B69" s="7">
        <v>230</v>
      </c>
      <c r="C69" s="6">
        <v>420</v>
      </c>
      <c r="D69" s="11">
        <v>9.9129484321787698E-2</v>
      </c>
      <c r="E69" s="2">
        <f>'Raw Data and Corrections'!BE97</f>
        <v>2.2391756517430875E-2</v>
      </c>
      <c r="F69">
        <v>25200</v>
      </c>
      <c r="G69" s="2">
        <v>5.5973108474220847</v>
      </c>
      <c r="H69" s="2">
        <f t="shared" si="28"/>
        <v>3.8303174127214096E-2</v>
      </c>
      <c r="I69" s="2">
        <f t="shared" si="15"/>
        <v>3.8456404021404503E-2</v>
      </c>
      <c r="K69" s="2">
        <f t="shared" si="29"/>
        <v>1.3636624816098338E-10</v>
      </c>
      <c r="L69" s="2">
        <f t="shared" si="30"/>
        <v>1.4058111105791944E-10</v>
      </c>
      <c r="M69" s="2">
        <f t="shared" si="31"/>
        <v>2.1631366081454648E-9</v>
      </c>
      <c r="N69" s="2">
        <f t="shared" si="19"/>
        <v>1.3636624816098338E-10</v>
      </c>
      <c r="O69">
        <f t="shared" si="20"/>
        <v>19.880715705765407</v>
      </c>
      <c r="P69">
        <f t="shared" si="21"/>
        <v>-22.715676848639493</v>
      </c>
      <c r="Q69">
        <f t="shared" si="22"/>
        <v>-9.8652931080615804</v>
      </c>
      <c r="R69">
        <f t="shared" si="23"/>
        <v>-21.549951618369693</v>
      </c>
      <c r="S69">
        <f t="shared" si="24"/>
        <v>-1.1657252302697998</v>
      </c>
      <c r="U69">
        <f t="shared" si="25"/>
        <v>2.6634558279789542E-7</v>
      </c>
      <c r="V69" s="2">
        <f t="shared" si="26"/>
        <v>-2.7467001938458215E-7</v>
      </c>
      <c r="W69" s="2">
        <f t="shared" si="27"/>
        <v>-4.1814868378141241E-6</v>
      </c>
    </row>
    <row r="70" spans="1:23" x14ac:dyDescent="0.3">
      <c r="A70" s="5">
        <v>25</v>
      </c>
      <c r="B70" s="7">
        <v>225</v>
      </c>
      <c r="C70" s="6">
        <v>652</v>
      </c>
      <c r="D70" s="11">
        <v>9.9545904641576893E-2</v>
      </c>
      <c r="E70" s="2">
        <f>'Raw Data and Corrections'!BE101</f>
        <v>1.4342816287205771E-2</v>
      </c>
      <c r="F70">
        <v>39120</v>
      </c>
      <c r="G70" s="2">
        <v>5.7200357598482583</v>
      </c>
      <c r="H70" s="2">
        <f t="shared" si="28"/>
        <v>3.9142997717246053E-2</v>
      </c>
      <c r="I70" s="2">
        <f t="shared" si="15"/>
        <v>3.9241147597554468E-2</v>
      </c>
      <c r="K70" s="2">
        <f t="shared" si="29"/>
        <v>1.1885205913012098E-10</v>
      </c>
      <c r="L70" s="2">
        <f t="shared" si="30"/>
        <v>1.2260112469441406E-10</v>
      </c>
      <c r="M70" s="2">
        <f t="shared" si="31"/>
        <v>1.8500665082426783E-9</v>
      </c>
      <c r="N70" s="2">
        <f t="shared" si="19"/>
        <v>1.1885205913012098E-10</v>
      </c>
      <c r="O70">
        <f t="shared" si="20"/>
        <v>20.080321285140563</v>
      </c>
      <c r="P70">
        <f t="shared" si="21"/>
        <v>-22.85314159681916</v>
      </c>
      <c r="Q70">
        <f t="shared" si="22"/>
        <v>-9.9249932896522299</v>
      </c>
      <c r="R70">
        <f t="shared" si="23"/>
        <v>-21.934675889412336</v>
      </c>
      <c r="S70">
        <f t="shared" si="24"/>
        <v>-0.91846570740682409</v>
      </c>
      <c r="U70">
        <f t="shared" si="25"/>
        <v>1.7507342224907673E-7</v>
      </c>
      <c r="V70" s="2">
        <f t="shared" si="26"/>
        <v>-1.806608452218153E-7</v>
      </c>
      <c r="W70" s="2">
        <f t="shared" si="27"/>
        <v>-2.6957959329042066E-6</v>
      </c>
    </row>
    <row r="71" spans="1:23" x14ac:dyDescent="0.3">
      <c r="A71" s="5">
        <v>26</v>
      </c>
      <c r="B71" s="7">
        <v>230</v>
      </c>
      <c r="C71" s="6">
        <v>500</v>
      </c>
      <c r="D71" s="11">
        <v>0.105088682432432</v>
      </c>
      <c r="E71" s="2">
        <f>'Raw Data and Corrections'!BE105</f>
        <v>1.9244273084753682E-2</v>
      </c>
      <c r="F71">
        <v>30000</v>
      </c>
      <c r="G71" s="2">
        <v>5.8393197940464843</v>
      </c>
      <c r="H71" s="2">
        <f t="shared" si="28"/>
        <v>3.9959274900528717E-2</v>
      </c>
      <c r="I71" s="2">
        <f t="shared" si="15"/>
        <v>4.0090966129229452E-2</v>
      </c>
      <c r="K71" s="2">
        <f t="shared" si="29"/>
        <v>1.6544553626322807E-10</v>
      </c>
      <c r="L71" s="2">
        <f t="shared" si="30"/>
        <v>1.7077589453605225E-10</v>
      </c>
      <c r="M71" s="2">
        <f t="shared" si="31"/>
        <v>2.5253896896418814E-9</v>
      </c>
      <c r="N71" s="2">
        <f t="shared" si="19"/>
        <v>1.6544553626322807E-10</v>
      </c>
      <c r="O71">
        <f t="shared" si="20"/>
        <v>19.880715705765407</v>
      </c>
      <c r="P71">
        <f t="shared" si="21"/>
        <v>-22.52237906129491</v>
      </c>
      <c r="Q71">
        <f t="shared" si="22"/>
        <v>-9.7813449456537196</v>
      </c>
      <c r="R71">
        <f t="shared" si="23"/>
        <v>-21.549951618369693</v>
      </c>
      <c r="S71">
        <f t="shared" si="24"/>
        <v>-0.97242744292521621</v>
      </c>
      <c r="U71">
        <f t="shared" si="25"/>
        <v>2.3323978642019346E-7</v>
      </c>
      <c r="V71" s="2">
        <f t="shared" si="26"/>
        <v>-2.4085064457467871E-7</v>
      </c>
      <c r="W71" s="2">
        <f t="shared" si="27"/>
        <v>-3.5184300479587014E-6</v>
      </c>
    </row>
    <row r="72" spans="1:23" x14ac:dyDescent="0.3">
      <c r="A72" s="5">
        <v>27</v>
      </c>
      <c r="B72" s="7">
        <v>234.89999999999901</v>
      </c>
      <c r="C72" s="6">
        <v>450</v>
      </c>
      <c r="D72" s="11">
        <v>0.13692172231060101</v>
      </c>
      <c r="E72" s="2">
        <f>'Raw Data and Corrections'!BE109</f>
        <v>2.6557235514478934E-2</v>
      </c>
      <c r="F72">
        <v>27000</v>
      </c>
      <c r="G72" s="2">
        <v>6.0025980750855723</v>
      </c>
      <c r="H72" s="2">
        <f t="shared" si="28"/>
        <v>4.107661081420462E-2</v>
      </c>
      <c r="I72" s="2">
        <f t="shared" si="15"/>
        <v>4.1258345658664257E-2</v>
      </c>
      <c r="K72" s="2">
        <f t="shared" si="29"/>
        <v>2.5857502389677171E-10</v>
      </c>
      <c r="L72" s="2">
        <f t="shared" si="30"/>
        <v>2.6712059104465182E-10</v>
      </c>
      <c r="M72" s="2">
        <f t="shared" si="31"/>
        <v>3.8552261614131028E-9</v>
      </c>
      <c r="N72" s="2">
        <f t="shared" si="19"/>
        <v>2.5857502389677171E-10</v>
      </c>
      <c r="O72">
        <f t="shared" si="20"/>
        <v>19.68891514077578</v>
      </c>
      <c r="P72">
        <f t="shared" si="21"/>
        <v>-22.075835236247507</v>
      </c>
      <c r="Q72">
        <f t="shared" si="22"/>
        <v>-9.5874134265076627</v>
      </c>
      <c r="R72">
        <f t="shared" si="23"/>
        <v>-21.180270907128079</v>
      </c>
      <c r="S72">
        <f t="shared" si="24"/>
        <v>-0.89556432911942707</v>
      </c>
      <c r="U72">
        <f t="shared" si="25"/>
        <v>2.6670147247022215E-7</v>
      </c>
      <c r="V72" s="2">
        <f t="shared" si="26"/>
        <v>-2.7566712958989491E-7</v>
      </c>
      <c r="W72" s="2">
        <f t="shared" si="27"/>
        <v>-3.9141268288544223E-6</v>
      </c>
    </row>
    <row r="73" spans="1:23" x14ac:dyDescent="0.3">
      <c r="A73" s="5">
        <v>28</v>
      </c>
      <c r="B73" s="7">
        <v>240</v>
      </c>
      <c r="C73" s="6">
        <v>400</v>
      </c>
      <c r="D73" s="11">
        <v>0.178097651218387</v>
      </c>
      <c r="E73" s="2">
        <f>'Raw Data and Corrections'!BE113</f>
        <v>3.7103593747011075E-2</v>
      </c>
      <c r="F73">
        <v>24000</v>
      </c>
      <c r="G73" s="2">
        <v>6.2079236152155115</v>
      </c>
      <c r="H73" s="2">
        <f t="shared" si="28"/>
        <v>4.2481681951174528E-2</v>
      </c>
      <c r="I73" s="2">
        <f t="shared" si="15"/>
        <v>4.2735586987142235E-2</v>
      </c>
      <c r="K73" s="2">
        <f t="shared" si="29"/>
        <v>3.7249040483985873E-10</v>
      </c>
      <c r="L73" s="2">
        <f t="shared" si="30"/>
        <v>3.852060340628868E-10</v>
      </c>
      <c r="M73" s="2">
        <f t="shared" si="31"/>
        <v>5.3902697517704368E-9</v>
      </c>
      <c r="N73" s="2">
        <f t="shared" si="19"/>
        <v>3.7249040483985873E-10</v>
      </c>
      <c r="O73">
        <f t="shared" si="20"/>
        <v>19.49317738791423</v>
      </c>
      <c r="P73">
        <f t="shared" si="21"/>
        <v>-21.71080983725987</v>
      </c>
      <c r="Q73">
        <f t="shared" si="22"/>
        <v>-9.4288849099727976</v>
      </c>
      <c r="R73">
        <f t="shared" si="23"/>
        <v>-20.803001571667014</v>
      </c>
      <c r="S73">
        <f t="shared" si="24"/>
        <v>-0.90780826559285543</v>
      </c>
      <c r="U73">
        <f t="shared" si="25"/>
        <v>3.1078195862419816E-7</v>
      </c>
      <c r="V73" s="2">
        <f t="shared" si="26"/>
        <v>-3.2161807832472671E-7</v>
      </c>
      <c r="W73" s="2">
        <f t="shared" si="27"/>
        <v>-4.4101879561260805E-6</v>
      </c>
    </row>
    <row r="74" spans="1:23" x14ac:dyDescent="0.3">
      <c r="A74" s="5">
        <v>29</v>
      </c>
      <c r="B74" s="7">
        <v>245</v>
      </c>
      <c r="C74" s="6">
        <v>350</v>
      </c>
      <c r="D74" s="11">
        <v>0.230539629005059</v>
      </c>
      <c r="E74" s="2">
        <f>'Raw Data and Corrections'!BE117</f>
        <v>5.2780988622472796E-2</v>
      </c>
      <c r="F74">
        <v>21000</v>
      </c>
      <c r="G74" s="2">
        <v>6.4597159427995257</v>
      </c>
      <c r="H74" s="2">
        <f t="shared" si="28"/>
        <v>4.4204731756741229E-2</v>
      </c>
      <c r="I74" s="2">
        <f t="shared" si="15"/>
        <v>4.4565919379319703E-2</v>
      </c>
      <c r="K74" s="2">
        <f t="shared" si="29"/>
        <v>5.3077920371447052E-10</v>
      </c>
      <c r="L74" s="2">
        <f t="shared" si="30"/>
        <v>5.4961866853941243E-10</v>
      </c>
      <c r="M74" s="2">
        <f t="shared" si="31"/>
        <v>7.4104932393049318E-9</v>
      </c>
      <c r="N74" s="2">
        <f t="shared" si="19"/>
        <v>5.3077920371447052E-10</v>
      </c>
      <c r="O74">
        <f t="shared" si="20"/>
        <v>19.305019305019304</v>
      </c>
      <c r="P74">
        <f t="shared" si="21"/>
        <v>-21.356674993374284</v>
      </c>
      <c r="Q74">
        <f t="shared" si="22"/>
        <v>-9.2750861014236179</v>
      </c>
      <c r="R74">
        <f t="shared" si="23"/>
        <v>-20.440341462119289</v>
      </c>
      <c r="S74">
        <f t="shared" si="24"/>
        <v>-0.91633353125499539</v>
      </c>
      <c r="U74">
        <f t="shared" si="25"/>
        <v>3.7039144159403644E-7</v>
      </c>
      <c r="V74" s="2">
        <f t="shared" si="26"/>
        <v>-3.8388157372330426E-7</v>
      </c>
      <c r="W74" s="2">
        <f t="shared" si="27"/>
        <v>-5.0498703851430513E-6</v>
      </c>
    </row>
    <row r="75" spans="1:23" x14ac:dyDescent="0.3">
      <c r="A75" s="5">
        <v>30</v>
      </c>
      <c r="B75" s="7">
        <v>250</v>
      </c>
      <c r="C75" s="6">
        <v>300</v>
      </c>
      <c r="D75" s="11">
        <v>0.27770578063308499</v>
      </c>
      <c r="E75" s="2">
        <f>'Raw Data and Corrections'!BE121</f>
        <v>7.1912050283329212E-2</v>
      </c>
      <c r="F75">
        <v>18000</v>
      </c>
      <c r="G75" s="2">
        <v>6.7576612046697635</v>
      </c>
      <c r="H75" s="2">
        <f t="shared" si="28"/>
        <v>4.6243612490165245E-2</v>
      </c>
      <c r="I75" s="2">
        <f t="shared" si="15"/>
        <v>4.6735716619975352E-2</v>
      </c>
      <c r="K75" s="2">
        <f t="shared" si="29"/>
        <v>7.386161933705462E-10</v>
      </c>
      <c r="L75" s="2">
        <f t="shared" si="30"/>
        <v>7.6604826057322568E-10</v>
      </c>
      <c r="M75" s="2">
        <f t="shared" si="31"/>
        <v>9.8928430878042435E-9</v>
      </c>
      <c r="N75" s="2">
        <f t="shared" si="19"/>
        <v>7.386161933705462E-10</v>
      </c>
      <c r="O75">
        <f t="shared" si="20"/>
        <v>19.120458891013385</v>
      </c>
      <c r="P75">
        <f t="shared" si="21"/>
        <v>-21.026242689338634</v>
      </c>
      <c r="Q75">
        <f t="shared" si="22"/>
        <v>-9.1315811751383578</v>
      </c>
      <c r="R75">
        <f t="shared" si="23"/>
        <v>-20.084615580287586</v>
      </c>
      <c r="S75">
        <f t="shared" si="24"/>
        <v>-0.94162710905104774</v>
      </c>
      <c r="U75">
        <f t="shared" si="25"/>
        <v>4.5316229627644739E-7</v>
      </c>
      <c r="V75" s="2">
        <f t="shared" si="26"/>
        <v>-4.7050493405862939E-7</v>
      </c>
      <c r="W75" s="2">
        <f t="shared" si="27"/>
        <v>-5.9049255751382495E-6</v>
      </c>
    </row>
    <row r="76" spans="1:23" x14ac:dyDescent="0.3">
      <c r="A76" s="5">
        <v>31</v>
      </c>
      <c r="B76" s="7">
        <v>249.97</v>
      </c>
      <c r="C76" s="6">
        <v>300</v>
      </c>
      <c r="D76" s="11">
        <v>0.26541780987726199</v>
      </c>
      <c r="E76" s="2">
        <f>'Raw Data and Corrections'!BE126</f>
        <v>6.8758449030283414E-2</v>
      </c>
      <c r="F76">
        <v>18000</v>
      </c>
      <c r="G76" s="2">
        <v>7.0412129431184551</v>
      </c>
      <c r="H76" s="2">
        <f t="shared" si="28"/>
        <v>4.8183996347330622E-2</v>
      </c>
      <c r="I76" s="2">
        <f t="shared" si="15"/>
        <v>4.8654519946558117E-2</v>
      </c>
      <c r="K76" s="2">
        <f t="shared" si="29"/>
        <v>6.6647480255185587E-10</v>
      </c>
      <c r="L76" s="2">
        <f t="shared" si="30"/>
        <v>6.9239550624179749E-10</v>
      </c>
      <c r="M76" s="2">
        <f t="shared" si="31"/>
        <v>8.5584870382060971E-9</v>
      </c>
      <c r="N76" s="2">
        <f t="shared" si="19"/>
        <v>6.6647480255185587E-10</v>
      </c>
      <c r="O76">
        <f t="shared" si="20"/>
        <v>19.121555729774173</v>
      </c>
      <c r="P76">
        <f t="shared" si="21"/>
        <v>-21.129018782648057</v>
      </c>
      <c r="Q76">
        <f t="shared" si="22"/>
        <v>-9.1762162653342152</v>
      </c>
      <c r="R76">
        <f t="shared" si="23"/>
        <v>-20.086729651918329</v>
      </c>
      <c r="S76">
        <f t="shared" si="24"/>
        <v>-1.0422891307297277</v>
      </c>
      <c r="U76">
        <f t="shared" si="25"/>
        <v>4.7176753835816366E-7</v>
      </c>
      <c r="V76" s="2">
        <f t="shared" si="26"/>
        <v>-4.90596479191235E-7</v>
      </c>
      <c r="W76" s="2">
        <f t="shared" si="27"/>
        <v>-5.9168354344631325E-6</v>
      </c>
    </row>
    <row r="77" spans="1:23" x14ac:dyDescent="0.3">
      <c r="A77" s="5">
        <v>32</v>
      </c>
      <c r="B77" s="6">
        <v>249.98</v>
      </c>
      <c r="C77" s="6">
        <v>300</v>
      </c>
      <c r="D77" s="12">
        <v>0.248897802473871</v>
      </c>
      <c r="E77" s="2">
        <f>'Raw Data and Corrections'!BE130</f>
        <v>6.4469947402812741E-2</v>
      </c>
      <c r="F77">
        <v>18000</v>
      </c>
      <c r="G77" s="2">
        <v>7.3113384902341023</v>
      </c>
      <c r="H77" s="2">
        <f t="shared" si="28"/>
        <v>5.0032502915827691E-2</v>
      </c>
      <c r="I77" s="2">
        <f t="shared" si="15"/>
        <v>5.04736797038704E-2</v>
      </c>
      <c r="K77" s="2">
        <f t="shared" si="29"/>
        <v>6.5929345517807771E-10</v>
      </c>
      <c r="L77" s="2">
        <f t="shared" si="30"/>
        <v>6.8599819378077583E-10</v>
      </c>
      <c r="M77" s="2">
        <f t="shared" si="31"/>
        <v>8.1592090197082077E-9</v>
      </c>
      <c r="N77" s="2">
        <f t="shared" si="19"/>
        <v>6.8599819378077583E-10</v>
      </c>
      <c r="O77">
        <f t="shared" si="20"/>
        <v>19.121190102872003</v>
      </c>
      <c r="P77">
        <f t="shared" si="21"/>
        <v>-21.10014612117876</v>
      </c>
      <c r="Q77">
        <f t="shared" si="22"/>
        <v>-9.1636770277802384</v>
      </c>
      <c r="R77">
        <f t="shared" si="23"/>
        <v>-20.086024934425705</v>
      </c>
      <c r="S77">
        <f t="shared" si="24"/>
        <v>-1.0141211867530551</v>
      </c>
      <c r="U77">
        <f t="shared" si="25"/>
        <v>4.8940660912754164E-7</v>
      </c>
      <c r="V77" s="2">
        <f t="shared" si="26"/>
        <v>-5.0970368122096112E-7</v>
      </c>
      <c r="W77" s="2">
        <f t="shared" si="27"/>
        <v>-5.9281712644269167E-6</v>
      </c>
    </row>
    <row r="78" spans="1:23" x14ac:dyDescent="0.3">
      <c r="A78" s="5">
        <v>33</v>
      </c>
      <c r="B78" s="6">
        <v>250</v>
      </c>
      <c r="C78" s="6">
        <v>10250</v>
      </c>
      <c r="D78" s="12">
        <v>6.8042168674698704</v>
      </c>
      <c r="E78" s="2">
        <f>'Raw Data and Corrections'!BE133</f>
        <v>4.1210325239937298E-2</v>
      </c>
      <c r="F78">
        <v>615000</v>
      </c>
      <c r="G78" s="2">
        <v>14.159048330055668</v>
      </c>
      <c r="H78" s="2">
        <f t="shared" si="28"/>
        <v>9.6892330700472429E-2</v>
      </c>
      <c r="I78" s="2">
        <f t="shared" si="15"/>
        <v>9.7174338669394053E-2</v>
      </c>
      <c r="K78" s="2">
        <f t="shared" si="29"/>
        <v>9.7064874484475003E-10</v>
      </c>
      <c r="L78" s="2">
        <f t="shared" si="30"/>
        <v>1.0329660990079673E-9</v>
      </c>
      <c r="M78" s="2">
        <f t="shared" si="31"/>
        <v>8.2575065469173966E-9</v>
      </c>
      <c r="N78" s="2">
        <f t="shared" si="19"/>
        <v>1.0329660990079673E-9</v>
      </c>
      <c r="O78">
        <f t="shared" si="20"/>
        <v>19.120458891013385</v>
      </c>
      <c r="P78">
        <f t="shared" si="21"/>
        <v>-20.690831465345529</v>
      </c>
      <c r="Q78">
        <f t="shared" si="22"/>
        <v>-8.9859139313897369</v>
      </c>
      <c r="R78">
        <f t="shared" si="23"/>
        <v>-20.084615580287586</v>
      </c>
      <c r="S78">
        <f t="shared" si="24"/>
        <v>-0.60621588505794222</v>
      </c>
      <c r="U78">
        <f t="shared" si="25"/>
        <v>2.7577433467137752E-8</v>
      </c>
      <c r="V78" s="2">
        <f t="shared" si="26"/>
        <v>-2.9878137794794836E-8</v>
      </c>
      <c r="W78" s="2">
        <f t="shared" si="27"/>
        <v>-1.8248250925715817E-7</v>
      </c>
    </row>
    <row r="79" spans="1:23" x14ac:dyDescent="0.3">
      <c r="A79" s="5">
        <v>34</v>
      </c>
      <c r="B79" s="6">
        <v>240</v>
      </c>
      <c r="C79" s="6">
        <v>785</v>
      </c>
      <c r="D79" s="12">
        <v>0.185283164139734</v>
      </c>
      <c r="E79" s="2">
        <f>'Raw Data and Corrections'!BE135</f>
        <v>1.7845681234329783E-2</v>
      </c>
      <c r="F79">
        <v>47100</v>
      </c>
      <c r="G79" s="2">
        <v>14.379338963630095</v>
      </c>
      <c r="H79" s="2">
        <f t="shared" si="28"/>
        <v>9.839981004660911E-2</v>
      </c>
      <c r="I79" s="2">
        <f t="shared" si="15"/>
        <v>9.8521930517379841E-2</v>
      </c>
      <c r="K79" s="2">
        <f t="shared" si="29"/>
        <v>4.4405941804239024E-10</v>
      </c>
      <c r="L79" s="2">
        <f t="shared" si="30"/>
        <v>4.8136218125231502E-10</v>
      </c>
      <c r="M79" s="2">
        <f t="shared" si="31"/>
        <v>2.9219551233753269E-9</v>
      </c>
      <c r="N79" s="2">
        <f t="shared" si="19"/>
        <v>4.8136218125231502E-10</v>
      </c>
      <c r="O79">
        <f t="shared" si="20"/>
        <v>19.49317738791423</v>
      </c>
      <c r="P79">
        <f t="shared" si="21"/>
        <v>-21.454401153590133</v>
      </c>
      <c r="Q79">
        <f t="shared" si="22"/>
        <v>-9.3175280335429544</v>
      </c>
      <c r="R79">
        <f t="shared" si="23"/>
        <v>-20.803001571667014</v>
      </c>
      <c r="S79">
        <f t="shared" si="24"/>
        <v>-0.65139958192311909</v>
      </c>
      <c r="U79">
        <f t="shared" si="25"/>
        <v>3.6508111952215687E-7</v>
      </c>
      <c r="V79" s="2">
        <f t="shared" si="26"/>
        <v>-3.9600126516666298E-7</v>
      </c>
      <c r="W79" s="2">
        <f t="shared" si="27"/>
        <v>-2.3862952760270493E-6</v>
      </c>
    </row>
    <row r="80" spans="1:23" x14ac:dyDescent="0.3">
      <c r="A80" t="s">
        <v>92</v>
      </c>
      <c r="D80" s="6">
        <f>'Raw Data and Corrections'!AG138</f>
        <v>133.18435333935949</v>
      </c>
      <c r="E80" s="6">
        <v>0</v>
      </c>
      <c r="F80">
        <f>3600*C80</f>
        <v>0</v>
      </c>
      <c r="G80" s="2">
        <f>'Raw Data and Corrections'!AG139</f>
        <v>147.56369230298958</v>
      </c>
      <c r="I80" s="2"/>
    </row>
    <row r="81" spans="5:5" x14ac:dyDescent="0.3">
      <c r="E81" s="7">
        <v>1.1024229619583501</v>
      </c>
    </row>
  </sheetData>
  <mergeCells count="1">
    <mergeCell ref="U1:W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C0698-C1EF-4786-8BC1-28C1FD7EAECC}">
  <dimension ref="A1:AI81"/>
  <sheetViews>
    <sheetView topLeftCell="N46" zoomScale="70" zoomScaleNormal="70" workbookViewId="0">
      <selection activeCell="K46" sqref="K46:M79"/>
    </sheetView>
  </sheetViews>
  <sheetFormatPr defaultRowHeight="14.4" x14ac:dyDescent="0.3"/>
  <cols>
    <col min="1" max="1" width="9" bestFit="1" customWidth="1"/>
    <col min="2" max="4" width="9" style="7" bestFit="1" customWidth="1"/>
    <col min="5" max="5" width="9" style="7" customWidth="1"/>
    <col min="6" max="6" width="9" bestFit="1" customWidth="1"/>
    <col min="7" max="9" width="9" customWidth="1"/>
    <col min="10" max="10" width="3.33203125" style="47" customWidth="1"/>
    <col min="11" max="11" width="12" bestFit="1" customWidth="1"/>
    <col min="12" max="12" width="12.21875" bestFit="1" customWidth="1"/>
    <col min="13" max="14" width="12.109375" bestFit="1" customWidth="1"/>
    <col min="15" max="16" width="9.109375" bestFit="1" customWidth="1"/>
    <col min="17" max="17" width="9.21875" bestFit="1" customWidth="1"/>
    <col min="18" max="18" width="10.6640625" customWidth="1"/>
    <col min="19" max="19" width="10.21875" customWidth="1"/>
    <col min="21" max="21" width="12.77734375" bestFit="1" customWidth="1"/>
    <col min="22" max="23" width="9.109375" bestFit="1" customWidth="1"/>
    <col min="26" max="26" width="9" bestFit="1" customWidth="1"/>
    <col min="27" max="27" width="12.77734375" bestFit="1" customWidth="1"/>
    <col min="28" max="30" width="9" bestFit="1" customWidth="1"/>
    <col min="31" max="31" width="11.33203125" bestFit="1" customWidth="1"/>
    <col min="34" max="35" width="9" bestFit="1" customWidth="1"/>
  </cols>
  <sheetData>
    <row r="1" spans="1:35" s="4" customFormat="1" ht="41.4" customHeight="1" thickBot="1" x14ac:dyDescent="0.35">
      <c r="A1" s="4" t="s">
        <v>137</v>
      </c>
      <c r="B1" s="60"/>
      <c r="C1" s="60"/>
      <c r="D1" s="60"/>
      <c r="E1" s="60"/>
      <c r="G1" s="60" t="s">
        <v>461</v>
      </c>
      <c r="H1" s="60" t="s">
        <v>408</v>
      </c>
      <c r="I1" s="60" t="s">
        <v>445</v>
      </c>
      <c r="J1" s="46"/>
      <c r="K1" s="4" t="s">
        <v>84</v>
      </c>
      <c r="L1" s="4" t="s">
        <v>85</v>
      </c>
      <c r="M1" s="4" t="s">
        <v>86</v>
      </c>
      <c r="N1" s="4" t="s">
        <v>87</v>
      </c>
      <c r="O1" s="4" t="s">
        <v>89</v>
      </c>
      <c r="P1" s="4" t="s">
        <v>88</v>
      </c>
      <c r="Q1" s="4" t="s">
        <v>90</v>
      </c>
      <c r="R1" s="4" t="s">
        <v>388</v>
      </c>
      <c r="S1" s="4" t="s">
        <v>150</v>
      </c>
      <c r="U1" s="93" t="s">
        <v>135</v>
      </c>
      <c r="V1" s="93"/>
      <c r="W1" s="93"/>
      <c r="AH1" s="4" t="s">
        <v>147</v>
      </c>
    </row>
    <row r="2" spans="1:35" x14ac:dyDescent="0.3">
      <c r="G2" s="7"/>
      <c r="H2" s="7"/>
      <c r="I2" s="7"/>
      <c r="K2" t="s">
        <v>129</v>
      </c>
      <c r="L2" t="s">
        <v>130</v>
      </c>
      <c r="M2" t="s">
        <v>131</v>
      </c>
      <c r="U2" t="s">
        <v>132</v>
      </c>
      <c r="V2" t="s">
        <v>133</v>
      </c>
      <c r="W2" t="s">
        <v>134</v>
      </c>
      <c r="AH2" s="13" cm="1">
        <f t="array" ref="AH2:AI6">LINEST(P27:P37,O27:O37,TRUE,TRUE)</f>
        <v>-1.8940493493709527</v>
      </c>
      <c r="AI2" s="14">
        <v>16.439763472830872</v>
      </c>
    </row>
    <row r="3" spans="1:35" ht="30.6" x14ac:dyDescent="0.3">
      <c r="A3" t="s">
        <v>91</v>
      </c>
      <c r="B3" s="7" t="s">
        <v>94</v>
      </c>
      <c r="C3" s="7" t="s">
        <v>95</v>
      </c>
      <c r="D3" s="7" t="s">
        <v>410</v>
      </c>
      <c r="E3" s="4" t="s">
        <v>414</v>
      </c>
      <c r="F3" t="s">
        <v>96</v>
      </c>
      <c r="H3">
        <v>0</v>
      </c>
      <c r="I3">
        <v>0</v>
      </c>
      <c r="U3">
        <v>0</v>
      </c>
      <c r="V3">
        <v>0</v>
      </c>
      <c r="W3">
        <v>0</v>
      </c>
      <c r="AH3" s="15">
        <v>7.2412455279514787E-2</v>
      </c>
      <c r="AI3" s="16">
        <v>1.4109787053842715</v>
      </c>
    </row>
    <row r="4" spans="1:35" x14ac:dyDescent="0.3">
      <c r="A4" s="5">
        <v>1</v>
      </c>
      <c r="B4" s="7">
        <v>170</v>
      </c>
      <c r="C4" s="6">
        <v>300</v>
      </c>
      <c r="D4" s="11" cm="1">
        <f t="array" ref="D4:D37">DistilledBoundingMethod!D2:D35</f>
        <v>0.96295641608282601</v>
      </c>
      <c r="E4"/>
      <c r="F4">
        <f t="shared" ref="F4:F37" si="0">60*C4</f>
        <v>18000</v>
      </c>
      <c r="G4" s="2" cm="1">
        <f t="array" ref="G4:G37">DistilledBoundingMethod!E2:E35</f>
        <v>1.079934644179728</v>
      </c>
      <c r="H4" s="2">
        <f t="shared" ref="H4:H37" si="1">(G4)/$G$38</f>
        <v>7.3901424897776184E-3</v>
      </c>
      <c r="I4" s="2">
        <f t="shared" ref="I4:I37" si="2">((E4+G4)/$G$38)</f>
        <v>7.3901424897776184E-3</v>
      </c>
      <c r="K4" s="2">
        <f>((I4^2-H3^2)*PI())/(36*F4)</f>
        <v>2.6477714261050945E-10</v>
      </c>
      <c r="L4" s="2">
        <f>(1/(PI()*PI()*F4))*(-(I4-H3)*PI()*PI()/3-2*PI()*(SQRT(1-PI()/3*I4)-SQRT(1-PI()/3*H3)))</f>
        <v>2.6580667227312933E-10</v>
      </c>
      <c r="M4" s="2">
        <f>(1/(PI()^2*F4))*LN((1-H3)/(1-I4))</f>
        <v>4.1753248869779749E-8</v>
      </c>
      <c r="N4" s="2">
        <f t="shared" ref="N4:N37" si="3">(I4&lt;0.05)*K4+((I4&gt;=0.05)*(I4&lt;0.9))*L4+(I4&gt;=0.9)*M4</f>
        <v>2.6477714261050945E-10</v>
      </c>
      <c r="O4">
        <f t="shared" ref="O4:O37" si="4">10000/(273+B4)</f>
        <v>22.573363431151243</v>
      </c>
      <c r="P4">
        <f t="shared" ref="P4:P37" si="5">LN(N4)</f>
        <v>-22.05213261503815</v>
      </c>
      <c r="Q4">
        <f t="shared" ref="Q4:Q37" si="6">LOG10(N4)</f>
        <v>-9.5771195089097958</v>
      </c>
      <c r="R4">
        <f t="shared" ref="R4:R37" si="7">$AI$2+$AH$2*O4</f>
        <v>-26.315300847055195</v>
      </c>
      <c r="S4">
        <f t="shared" ref="S4:S37" si="8">P4-R4</f>
        <v>4.2631682320170441</v>
      </c>
      <c r="U4" s="2">
        <f t="shared" ref="U4:U37" si="9" xml:space="preserve"> (I4 * PI()) / (18 * F4)</f>
        <v>7.1656843687861577E-8</v>
      </c>
      <c r="V4" s="2">
        <f t="shared" ref="V4:V37" si="10" xml:space="preserve"> (1 / (PI()^2 * F4)) * (PI()^2 / 3 - PI()^2 / (3 * SQRT(1 - (PI() / 3) * I4)))</f>
        <v>-7.207545519942476E-8</v>
      </c>
      <c r="W4" s="2">
        <f t="shared" ref="W4:W37" si="11" xml:space="preserve"> (-1) / (PI()^2 * F4 * (1 - I4))</f>
        <v>-5.6708631333923391E-6</v>
      </c>
      <c r="AH4" s="15">
        <v>0.98701593622046691</v>
      </c>
      <c r="AI4" s="16">
        <v>8.1664083518049546E-2</v>
      </c>
    </row>
    <row r="5" spans="1:35" x14ac:dyDescent="0.3">
      <c r="A5" s="5">
        <v>2</v>
      </c>
      <c r="B5" s="7">
        <v>180</v>
      </c>
      <c r="C5" s="6">
        <v>463</v>
      </c>
      <c r="D5" s="11">
        <v>0.544184151846411</v>
      </c>
      <c r="E5"/>
      <c r="F5">
        <f t="shared" si="0"/>
        <v>27780</v>
      </c>
      <c r="G5" s="11">
        <v>1.682029378378312</v>
      </c>
      <c r="H5" s="2">
        <f t="shared" si="1"/>
        <v>1.151036022892795E-2</v>
      </c>
      <c r="I5" s="2">
        <f t="shared" si="2"/>
        <v>1.151036022892795E-2</v>
      </c>
      <c r="K5" s="2">
        <f t="shared" ref="K5:K37" si="12">((I5^2-H4^2)*PI())/(36*F5)</f>
        <v>2.4462940211331559E-10</v>
      </c>
      <c r="L5" s="2">
        <f t="shared" ref="L5:L37" si="13">(1/(PI()*PI()*F5))*(-(I5-H4)*PI()*PI()/3-2*PI()*(SQRT(1-PI()/3*I5)-SQRT(1-PI()/3*H4)))</f>
        <v>2.4648968340675174E-10</v>
      </c>
      <c r="M5" s="2">
        <f t="shared" ref="M5:M37" si="14">(1/(PI()^2*F5))*LN((1-H4)/(1-I5))</f>
        <v>1.5170940842185419E-8</v>
      </c>
      <c r="N5" s="2">
        <f t="shared" si="3"/>
        <v>2.4462940211331559E-10</v>
      </c>
      <c r="O5">
        <f t="shared" si="4"/>
        <v>22.075055187637968</v>
      </c>
      <c r="P5">
        <f t="shared" si="5"/>
        <v>-22.131276695020862</v>
      </c>
      <c r="Q5">
        <f t="shared" si="6"/>
        <v>-9.6114913461215963</v>
      </c>
      <c r="R5">
        <f t="shared" si="7"/>
        <v>-25.371480442642696</v>
      </c>
      <c r="S5">
        <f t="shared" si="8"/>
        <v>3.2402037476218339</v>
      </c>
      <c r="U5">
        <f t="shared" si="9"/>
        <v>7.2315940995464729E-8</v>
      </c>
      <c r="V5" s="2">
        <f t="shared" si="10"/>
        <v>-7.2976329454655304E-8</v>
      </c>
      <c r="W5" s="2">
        <f t="shared" si="11"/>
        <v>-3.6897410784219128E-6</v>
      </c>
      <c r="AH5" s="15">
        <v>684.15740840605292</v>
      </c>
      <c r="AI5" s="16">
        <v>9</v>
      </c>
    </row>
    <row r="6" spans="1:35" ht="15" thickBot="1" x14ac:dyDescent="0.35">
      <c r="A6" s="5">
        <v>3</v>
      </c>
      <c r="B6" s="7">
        <v>190</v>
      </c>
      <c r="C6" s="6">
        <v>550</v>
      </c>
      <c r="D6" s="11">
        <v>0.52920163854343805</v>
      </c>
      <c r="E6" s="2" cm="1">
        <f t="array" ref="E6:E37">DistilledBoundingMethod!F4:F35</f>
        <v>0.1426419055679381</v>
      </c>
      <c r="F6">
        <f t="shared" si="0"/>
        <v>33000</v>
      </c>
      <c r="G6" s="11">
        <v>2.2456606027787114</v>
      </c>
      <c r="H6" s="2">
        <f t="shared" si="1"/>
        <v>1.5367366838036753E-2</v>
      </c>
      <c r="I6" s="2">
        <f t="shared" si="2"/>
        <v>1.6343485173383934E-2</v>
      </c>
      <c r="K6" s="2">
        <f t="shared" si="12"/>
        <v>3.5599722722449547E-10</v>
      </c>
      <c r="L6" s="2">
        <f t="shared" si="13"/>
        <v>3.5997966847850679E-10</v>
      </c>
      <c r="M6" s="2">
        <f t="shared" si="14"/>
        <v>1.5048946743039556E-8</v>
      </c>
      <c r="N6" s="2">
        <f t="shared" si="3"/>
        <v>3.5599722722449547E-10</v>
      </c>
      <c r="O6">
        <f t="shared" si="4"/>
        <v>21.598272138228943</v>
      </c>
      <c r="P6">
        <f t="shared" si="5"/>
        <v>-21.756098173802087</v>
      </c>
      <c r="Q6">
        <f t="shared" si="6"/>
        <v>-9.4485533846276599</v>
      </c>
      <c r="R6">
        <f t="shared" si="7"/>
        <v>-24.468429818118434</v>
      </c>
      <c r="S6">
        <f t="shared" si="8"/>
        <v>2.7123316443163468</v>
      </c>
      <c r="U6">
        <f t="shared" si="9"/>
        <v>8.6438675008007872E-8</v>
      </c>
      <c r="V6" s="2">
        <f t="shared" si="10"/>
        <v>-8.7564279584086811E-8</v>
      </c>
      <c r="W6" s="2">
        <f t="shared" si="11"/>
        <v>-3.1213526794908203E-6</v>
      </c>
      <c r="AH6" s="17">
        <v>4.5626611754080475</v>
      </c>
      <c r="AI6" s="18">
        <v>6.002120283158674E-2</v>
      </c>
    </row>
    <row r="7" spans="1:35" x14ac:dyDescent="0.3">
      <c r="A7" s="5">
        <v>4</v>
      </c>
      <c r="B7" s="7">
        <v>200</v>
      </c>
      <c r="C7" s="6">
        <v>500</v>
      </c>
      <c r="D7" s="11">
        <v>0.51895322426698798</v>
      </c>
      <c r="E7">
        <v>0.13299380100956529</v>
      </c>
      <c r="F7">
        <f t="shared" si="0"/>
        <v>30000</v>
      </c>
      <c r="G7" s="11">
        <v>2.8028239799204773</v>
      </c>
      <c r="H7" s="2">
        <f t="shared" si="1"/>
        <v>1.9180113071667258E-2</v>
      </c>
      <c r="I7" s="2">
        <f t="shared" si="2"/>
        <v>2.0090208089930464E-2</v>
      </c>
      <c r="K7" s="2">
        <f t="shared" si="12"/>
        <v>4.8712284158056111E-10</v>
      </c>
      <c r="L7" s="2">
        <f t="shared" si="13"/>
        <v>4.940543246256196E-10</v>
      </c>
      <c r="M7" s="2">
        <f t="shared" si="14"/>
        <v>1.6238719054218861E-8</v>
      </c>
      <c r="N7" s="2">
        <f t="shared" si="3"/>
        <v>4.8712284158056111E-10</v>
      </c>
      <c r="O7">
        <f t="shared" si="4"/>
        <v>21.141649048625794</v>
      </c>
      <c r="P7">
        <f t="shared" si="5"/>
        <v>-21.442504783214957</v>
      </c>
      <c r="Q7">
        <f t="shared" si="6"/>
        <v>-9.3123615055343389</v>
      </c>
      <c r="R7">
        <f t="shared" si="7"/>
        <v>-23.603563152347835</v>
      </c>
      <c r="S7">
        <f t="shared" si="8"/>
        <v>2.1610583691328777</v>
      </c>
      <c r="U7">
        <f t="shared" si="9"/>
        <v>1.1688009286002923E-7</v>
      </c>
      <c r="V7" s="2">
        <f t="shared" si="10"/>
        <v>-1.1875726168260555E-7</v>
      </c>
      <c r="W7" s="2">
        <f t="shared" si="11"/>
        <v>-3.4466160211488954E-6</v>
      </c>
    </row>
    <row r="8" spans="1:35" x14ac:dyDescent="0.3">
      <c r="A8" s="5">
        <v>5</v>
      </c>
      <c r="B8" s="7">
        <v>210</v>
      </c>
      <c r="C8" s="6">
        <v>475</v>
      </c>
      <c r="D8" s="11">
        <v>0.57702821305164198</v>
      </c>
      <c r="E8">
        <v>0.13406375804081494</v>
      </c>
      <c r="F8">
        <f t="shared" si="0"/>
        <v>28500</v>
      </c>
      <c r="G8" s="11">
        <v>3.4217967693947355</v>
      </c>
      <c r="H8" s="2">
        <f t="shared" si="1"/>
        <v>2.3415829683003798E-2</v>
      </c>
      <c r="I8" s="2">
        <f t="shared" si="2"/>
        <v>2.4333246565568227E-2</v>
      </c>
      <c r="K8" s="2">
        <f t="shared" si="12"/>
        <v>6.8658849417964706E-10</v>
      </c>
      <c r="L8" s="2">
        <f t="shared" si="13"/>
        <v>6.9860606726672694E-10</v>
      </c>
      <c r="M8" s="2">
        <f t="shared" si="14"/>
        <v>1.872754722925291E-8</v>
      </c>
      <c r="N8" s="2">
        <f t="shared" si="3"/>
        <v>6.8658849417964706E-10</v>
      </c>
      <c r="O8">
        <f t="shared" si="4"/>
        <v>20.703933747412009</v>
      </c>
      <c r="P8">
        <f t="shared" si="5"/>
        <v>-21.099285992721384</v>
      </c>
      <c r="Q8">
        <f t="shared" si="6"/>
        <v>-9.1633034787374719</v>
      </c>
      <c r="R8">
        <f t="shared" si="7"/>
        <v>-22.774508770874153</v>
      </c>
      <c r="S8">
        <f t="shared" si="8"/>
        <v>1.6752227781527687</v>
      </c>
      <c r="U8">
        <f t="shared" si="9"/>
        <v>1.4901588430483082E-7</v>
      </c>
      <c r="V8" s="2">
        <f t="shared" si="10"/>
        <v>-1.5192562385857638E-7</v>
      </c>
      <c r="W8" s="2">
        <f t="shared" si="11"/>
        <v>-3.643794603120358E-6</v>
      </c>
    </row>
    <row r="9" spans="1:35" x14ac:dyDescent="0.3">
      <c r="A9" s="5">
        <v>6</v>
      </c>
      <c r="B9" s="7">
        <v>220</v>
      </c>
      <c r="C9" s="6">
        <v>450</v>
      </c>
      <c r="D9" s="11">
        <v>0.63333256423751405</v>
      </c>
      <c r="E9">
        <v>0.13488029339869259</v>
      </c>
      <c r="F9">
        <f t="shared" si="0"/>
        <v>27000</v>
      </c>
      <c r="G9" s="11">
        <v>4.0986662873104702</v>
      </c>
      <c r="H9" s="2">
        <f t="shared" si="1"/>
        <v>2.8047741633734663E-2</v>
      </c>
      <c r="I9" s="2">
        <f t="shared" si="2"/>
        <v>2.8970746180955635E-2</v>
      </c>
      <c r="K9" s="2">
        <f t="shared" si="12"/>
        <v>9.4054841389763345E-10</v>
      </c>
      <c r="L9" s="2">
        <f t="shared" si="13"/>
        <v>9.6042843334928821E-10</v>
      </c>
      <c r="M9" s="2">
        <f t="shared" si="14"/>
        <v>2.1406341001398269E-8</v>
      </c>
      <c r="N9" s="2">
        <f t="shared" si="3"/>
        <v>9.4054841389763345E-10</v>
      </c>
      <c r="O9">
        <f t="shared" si="4"/>
        <v>20.28397565922921</v>
      </c>
      <c r="P9">
        <f t="shared" si="5"/>
        <v>-20.784557991747185</v>
      </c>
      <c r="Q9">
        <f t="shared" si="6"/>
        <v>-9.026618844613937</v>
      </c>
      <c r="R9">
        <f t="shared" si="7"/>
        <v>-21.979087427188457</v>
      </c>
      <c r="S9">
        <f t="shared" si="8"/>
        <v>1.1945294354412717</v>
      </c>
      <c r="U9" s="2">
        <f t="shared" si="9"/>
        <v>1.8727218800638843E-7</v>
      </c>
      <c r="V9" s="2">
        <f t="shared" si="10"/>
        <v>-1.916439673819233E-7</v>
      </c>
      <c r="W9" s="2">
        <f t="shared" si="11"/>
        <v>-3.864596680726795E-6</v>
      </c>
    </row>
    <row r="10" spans="1:35" x14ac:dyDescent="0.3">
      <c r="A10" s="5">
        <v>7</v>
      </c>
      <c r="B10" s="7">
        <v>230</v>
      </c>
      <c r="C10" s="6">
        <v>425</v>
      </c>
      <c r="D10" s="11">
        <v>0.78987804878048695</v>
      </c>
      <c r="E10">
        <v>0.15582339135746193</v>
      </c>
      <c r="F10">
        <f t="shared" si="0"/>
        <v>25500</v>
      </c>
      <c r="G10" s="11">
        <v>4.9329186716051234</v>
      </c>
      <c r="H10" s="2">
        <f t="shared" si="1"/>
        <v>3.3756646358295152E-2</v>
      </c>
      <c r="I10" s="2">
        <f t="shared" si="2"/>
        <v>3.4822967428350927E-2</v>
      </c>
      <c r="K10" s="2">
        <f t="shared" si="12"/>
        <v>1.4577374903654484E-9</v>
      </c>
      <c r="L10" s="2">
        <f t="shared" si="13"/>
        <v>1.4948960638433288E-9</v>
      </c>
      <c r="M10" s="2">
        <f t="shared" si="14"/>
        <v>2.7794380971570113E-8</v>
      </c>
      <c r="N10" s="2">
        <f t="shared" si="3"/>
        <v>1.4577374903654484E-9</v>
      </c>
      <c r="O10">
        <f t="shared" si="4"/>
        <v>19.880715705765407</v>
      </c>
      <c r="P10">
        <f t="shared" si="5"/>
        <v>-20.346380267330812</v>
      </c>
      <c r="Q10">
        <f t="shared" si="6"/>
        <v>-8.8363206768069809</v>
      </c>
      <c r="R10">
        <f t="shared" si="7"/>
        <v>-21.215293174702982</v>
      </c>
      <c r="S10">
        <f t="shared" si="8"/>
        <v>0.8689129073721702</v>
      </c>
      <c r="U10">
        <f t="shared" si="9"/>
        <v>2.3834330860371224E-7</v>
      </c>
      <c r="V10" s="2">
        <f t="shared" si="10"/>
        <v>-2.4506660265030903E-7</v>
      </c>
      <c r="W10" s="2">
        <f t="shared" si="11"/>
        <v>-4.116736740091204E-6</v>
      </c>
    </row>
    <row r="11" spans="1:35" x14ac:dyDescent="0.3">
      <c r="A11" s="5">
        <v>8</v>
      </c>
      <c r="B11" s="7">
        <v>225</v>
      </c>
      <c r="C11" s="6">
        <v>908</v>
      </c>
      <c r="D11" s="11">
        <v>0.75127118186624997</v>
      </c>
      <c r="E11">
        <v>6.6994769544214849E-2</v>
      </c>
      <c r="F11">
        <f t="shared" si="0"/>
        <v>54480</v>
      </c>
      <c r="G11" s="11">
        <v>5.7114006753916717</v>
      </c>
      <c r="H11" s="2">
        <f t="shared" si="1"/>
        <v>3.9083906637161374E-2</v>
      </c>
      <c r="I11" s="2">
        <f t="shared" si="2"/>
        <v>3.9542361133153237E-2</v>
      </c>
      <c r="K11" s="2">
        <f t="shared" si="12"/>
        <v>6.7930590068095704E-10</v>
      </c>
      <c r="L11" s="2">
        <f t="shared" si="13"/>
        <v>6.9955125794624191E-10</v>
      </c>
      <c r="M11" s="2">
        <f t="shared" si="14"/>
        <v>1.1169588039264395E-8</v>
      </c>
      <c r="N11" s="2">
        <f t="shared" si="3"/>
        <v>6.7930590068095704E-10</v>
      </c>
      <c r="O11">
        <f t="shared" si="4"/>
        <v>20.080321285140563</v>
      </c>
      <c r="P11">
        <f t="shared" si="5"/>
        <v>-21.109949573355127</v>
      </c>
      <c r="Q11">
        <f t="shared" si="6"/>
        <v>-9.1679346129640358</v>
      </c>
      <c r="R11">
        <f t="shared" si="7"/>
        <v>-21.593355992449307</v>
      </c>
      <c r="S11">
        <f t="shared" si="8"/>
        <v>0.48340641909418025</v>
      </c>
      <c r="U11">
        <f t="shared" si="9"/>
        <v>1.2667848674488983E-7</v>
      </c>
      <c r="V11" s="2">
        <f t="shared" si="10"/>
        <v>-1.3075354426832804E-7</v>
      </c>
      <c r="W11" s="2">
        <f t="shared" si="11"/>
        <v>-1.9363548191153302E-6</v>
      </c>
    </row>
    <row r="12" spans="1:35" x14ac:dyDescent="0.3">
      <c r="A12" s="5">
        <v>9</v>
      </c>
      <c r="B12" s="7">
        <v>215</v>
      </c>
      <c r="C12" s="6">
        <v>450</v>
      </c>
      <c r="D12" s="11">
        <v>0.141512821493641</v>
      </c>
      <c r="E12">
        <v>3.2510015207520296E-2</v>
      </c>
      <c r="F12">
        <f t="shared" si="0"/>
        <v>27000</v>
      </c>
      <c r="G12" s="11">
        <v>5.8728624970617931</v>
      </c>
      <c r="H12" s="2">
        <f t="shared" si="1"/>
        <v>4.0188812267545691E-2</v>
      </c>
      <c r="I12" s="2">
        <f t="shared" si="2"/>
        <v>4.0411282808724497E-2</v>
      </c>
      <c r="K12" s="2">
        <f t="shared" si="12"/>
        <v>3.4105032957151439E-10</v>
      </c>
      <c r="L12" s="2">
        <f t="shared" si="13"/>
        <v>3.5208150509468418E-10</v>
      </c>
      <c r="M12" s="2">
        <f t="shared" si="14"/>
        <v>5.1873454782394611E-9</v>
      </c>
      <c r="N12" s="2">
        <f t="shared" si="3"/>
        <v>3.4105032957151439E-10</v>
      </c>
      <c r="O12">
        <f t="shared" si="4"/>
        <v>20.491803278688526</v>
      </c>
      <c r="P12">
        <f t="shared" si="5"/>
        <v>-21.798991055484599</v>
      </c>
      <c r="Q12">
        <f t="shared" si="6"/>
        <v>-9.4671815264553043</v>
      </c>
      <c r="R12">
        <f t="shared" si="7"/>
        <v>-22.372723194606682</v>
      </c>
      <c r="S12">
        <f t="shared" si="8"/>
        <v>0.57373213912208243</v>
      </c>
      <c r="U12">
        <f t="shared" si="9"/>
        <v>2.6122590369141646E-7</v>
      </c>
      <c r="V12" s="2">
        <f t="shared" si="10"/>
        <v>-2.6982058211367877E-7</v>
      </c>
      <c r="W12" s="2">
        <f t="shared" si="11"/>
        <v>-3.9106716908694955E-6</v>
      </c>
    </row>
    <row r="13" spans="1:35" x14ac:dyDescent="0.3">
      <c r="A13" s="5">
        <v>10</v>
      </c>
      <c r="B13" s="7">
        <v>205</v>
      </c>
      <c r="C13" s="6">
        <v>520</v>
      </c>
      <c r="D13" s="11">
        <v>7.6269133314252294E-2</v>
      </c>
      <c r="E13">
        <v>1.7161164539828491E-2</v>
      </c>
      <c r="F13">
        <f t="shared" si="0"/>
        <v>31200</v>
      </c>
      <c r="G13" s="11">
        <v>5.9575572993078474</v>
      </c>
      <c r="H13" s="2">
        <f t="shared" si="1"/>
        <v>4.0768390541208066E-2</v>
      </c>
      <c r="I13" s="2">
        <f t="shared" si="2"/>
        <v>4.0885826769338503E-2</v>
      </c>
      <c r="K13" s="2">
        <f t="shared" si="12"/>
        <v>1.5805914036643278E-10</v>
      </c>
      <c r="L13" s="2">
        <f t="shared" si="13"/>
        <v>1.6327644987928163E-10</v>
      </c>
      <c r="M13" s="2">
        <f t="shared" si="14"/>
        <v>2.3591709219833969E-9</v>
      </c>
      <c r="N13" s="2">
        <f t="shared" si="3"/>
        <v>1.5805914036643278E-10</v>
      </c>
      <c r="O13">
        <f t="shared" si="4"/>
        <v>20.92050209205021</v>
      </c>
      <c r="P13">
        <f t="shared" si="5"/>
        <v>-22.568051846819976</v>
      </c>
      <c r="Q13">
        <f t="shared" si="6"/>
        <v>-9.8011803843804071</v>
      </c>
      <c r="R13">
        <f t="shared" si="7"/>
        <v>-23.184699903130483</v>
      </c>
      <c r="S13">
        <f t="shared" si="8"/>
        <v>0.61664805631050612</v>
      </c>
      <c r="U13">
        <f t="shared" si="9"/>
        <v>2.2871547901442085E-7</v>
      </c>
      <c r="V13" s="2">
        <f t="shared" si="10"/>
        <v>-2.3633216864257865E-7</v>
      </c>
      <c r="W13" s="2">
        <f t="shared" si="11"/>
        <v>-3.3859095458380996E-6</v>
      </c>
    </row>
    <row r="14" spans="1:35" x14ac:dyDescent="0.3">
      <c r="A14" s="5">
        <v>11</v>
      </c>
      <c r="B14" s="7">
        <v>195</v>
      </c>
      <c r="C14" s="6">
        <v>1106</v>
      </c>
      <c r="D14" s="11">
        <v>6.7045156410478396E-2</v>
      </c>
      <c r="E14">
        <v>7.3345908498363586E-3</v>
      </c>
      <c r="F14">
        <f t="shared" si="0"/>
        <v>66360</v>
      </c>
      <c r="G14" s="11">
        <v>6.0383537324714629</v>
      </c>
      <c r="H14" s="2">
        <f t="shared" si="1"/>
        <v>4.1321291734778387E-2</v>
      </c>
      <c r="I14" s="2">
        <f t="shared" si="2"/>
        <v>4.1371483356814627E-2</v>
      </c>
      <c r="K14" s="2">
        <f t="shared" si="12"/>
        <v>6.514471392808784E-11</v>
      </c>
      <c r="L14" s="2">
        <f t="shared" si="13"/>
        <v>6.7324340881467162E-11</v>
      </c>
      <c r="M14" s="2">
        <f t="shared" si="14"/>
        <v>9.6026502740951891E-10</v>
      </c>
      <c r="N14" s="2">
        <f t="shared" si="3"/>
        <v>6.514471392808784E-11</v>
      </c>
      <c r="O14">
        <f t="shared" si="4"/>
        <v>21.367521367521366</v>
      </c>
      <c r="P14">
        <f t="shared" si="5"/>
        <v>-23.454409952593636</v>
      </c>
      <c r="Q14">
        <f t="shared" si="6"/>
        <v>-10.186120818708126</v>
      </c>
      <c r="R14">
        <f t="shared" si="7"/>
        <v>-24.0313764709929</v>
      </c>
      <c r="S14">
        <f t="shared" si="8"/>
        <v>0.57696651839926361</v>
      </c>
      <c r="U14">
        <f t="shared" si="9"/>
        <v>1.0881081992321447E-7</v>
      </c>
      <c r="V14" s="2">
        <f t="shared" si="10"/>
        <v>-1.1247910204848009E-7</v>
      </c>
      <c r="W14" s="2">
        <f t="shared" si="11"/>
        <v>-1.5927350352701897E-6</v>
      </c>
    </row>
    <row r="15" spans="1:35" x14ac:dyDescent="0.3">
      <c r="A15" s="5">
        <v>12</v>
      </c>
      <c r="B15" s="7">
        <v>185</v>
      </c>
      <c r="C15" s="6">
        <v>740</v>
      </c>
      <c r="D15" s="11">
        <v>2.2678534031413601E-2</v>
      </c>
      <c r="E15">
        <v>4.6183250516809334E-3</v>
      </c>
      <c r="F15">
        <f t="shared" si="0"/>
        <v>44400</v>
      </c>
      <c r="G15" s="11">
        <v>6.0633601728868252</v>
      </c>
      <c r="H15" s="2">
        <f t="shared" si="1"/>
        <v>4.1492414273376105E-2</v>
      </c>
      <c r="I15" s="2">
        <f t="shared" si="2"/>
        <v>4.1524018111978728E-2</v>
      </c>
      <c r="K15" s="2">
        <f t="shared" si="12"/>
        <v>3.3009776801356245E-11</v>
      </c>
      <c r="L15" s="2">
        <f t="shared" si="13"/>
        <v>3.4124048764687981E-11</v>
      </c>
      <c r="M15" s="2">
        <f t="shared" si="14"/>
        <v>4.8261452093324422E-10</v>
      </c>
      <c r="N15" s="2">
        <f t="shared" si="3"/>
        <v>3.3009776801356245E-11</v>
      </c>
      <c r="O15">
        <f t="shared" si="4"/>
        <v>21.834061135371179</v>
      </c>
      <c r="P15">
        <f t="shared" si="5"/>
        <v>-24.134217331632616</v>
      </c>
      <c r="Q15">
        <f t="shared" si="6"/>
        <v>-10.481357412181868</v>
      </c>
      <c r="R15">
        <f t="shared" si="7"/>
        <v>-24.915025814744514</v>
      </c>
      <c r="S15">
        <f t="shared" si="8"/>
        <v>0.78080848311189754</v>
      </c>
      <c r="U15">
        <f t="shared" si="9"/>
        <v>1.6322766547562799E-7</v>
      </c>
      <c r="V15" s="2">
        <f t="shared" si="10"/>
        <v>-1.6875152853770844E-7</v>
      </c>
      <c r="W15" s="2">
        <f t="shared" si="11"/>
        <v>-2.3808720131912498E-6</v>
      </c>
    </row>
    <row r="16" spans="1:35" x14ac:dyDescent="0.3">
      <c r="A16" s="5">
        <v>13</v>
      </c>
      <c r="B16" s="7">
        <v>175</v>
      </c>
      <c r="C16" s="6">
        <v>920</v>
      </c>
      <c r="D16" s="11">
        <v>1.80179115952207E-2</v>
      </c>
      <c r="E16">
        <v>3.3584635186452907E-3</v>
      </c>
      <c r="F16">
        <f t="shared" si="0"/>
        <v>55200</v>
      </c>
      <c r="G16" s="11">
        <v>6.0856701125021608</v>
      </c>
      <c r="H16" s="2">
        <f t="shared" si="1"/>
        <v>4.1645084283162576E-2</v>
      </c>
      <c r="I16" s="2">
        <f t="shared" si="2"/>
        <v>4.1668066714630324E-2</v>
      </c>
      <c r="K16" s="2">
        <f t="shared" si="12"/>
        <v>2.3092953275630926E-11</v>
      </c>
      <c r="L16" s="2">
        <f t="shared" si="13"/>
        <v>2.3875551983516152E-11</v>
      </c>
      <c r="M16" s="2">
        <f t="shared" si="14"/>
        <v>3.3640280571190295E-10</v>
      </c>
      <c r="N16" s="2">
        <f t="shared" si="3"/>
        <v>2.3092953275630926E-11</v>
      </c>
      <c r="O16">
        <f t="shared" si="4"/>
        <v>22.321428571428573</v>
      </c>
      <c r="P16">
        <f t="shared" si="5"/>
        <v>-24.491493597941922</v>
      </c>
      <c r="Q16">
        <f t="shared" si="6"/>
        <v>-10.636520523154996</v>
      </c>
      <c r="R16">
        <f t="shared" si="7"/>
        <v>-25.838123789913613</v>
      </c>
      <c r="S16">
        <f t="shared" si="8"/>
        <v>1.3466301919716912</v>
      </c>
      <c r="U16">
        <f t="shared" si="9"/>
        <v>1.3174727483894125E-7</v>
      </c>
      <c r="V16" s="2">
        <f t="shared" si="10"/>
        <v>-1.3622184808484733E-7</v>
      </c>
      <c r="W16" s="2">
        <f t="shared" si="11"/>
        <v>-1.9153370825077231E-6</v>
      </c>
    </row>
    <row r="17" spans="1:31" x14ac:dyDescent="0.3">
      <c r="A17" s="5">
        <v>14</v>
      </c>
      <c r="B17" s="7">
        <v>200</v>
      </c>
      <c r="C17" s="6">
        <v>260</v>
      </c>
      <c r="D17" s="11">
        <v>2.24239448032976E-2</v>
      </c>
      <c r="E17">
        <v>1.3606769693483249E-2</v>
      </c>
      <c r="F17">
        <f t="shared" si="0"/>
        <v>15600</v>
      </c>
      <c r="G17" s="11">
        <v>6.1101517653644759</v>
      </c>
      <c r="H17" s="2">
        <f t="shared" si="1"/>
        <v>4.1812615627779451E-2</v>
      </c>
      <c r="I17" s="2">
        <f t="shared" si="2"/>
        <v>4.1905728639203221E-2</v>
      </c>
      <c r="K17" s="2">
        <f t="shared" si="12"/>
        <v>1.2182089295260999E-10</v>
      </c>
      <c r="L17" s="2">
        <f t="shared" si="13"/>
        <v>1.2596941107262127E-10</v>
      </c>
      <c r="M17" s="2">
        <f t="shared" si="14"/>
        <v>1.7666750307353945E-9</v>
      </c>
      <c r="N17" s="2">
        <f t="shared" si="3"/>
        <v>1.2182089295260999E-10</v>
      </c>
      <c r="O17">
        <f t="shared" si="4"/>
        <v>21.141649048625794</v>
      </c>
      <c r="P17">
        <f t="shared" si="5"/>
        <v>-22.828469240448488</v>
      </c>
      <c r="Q17">
        <f t="shared" si="6"/>
        <v>-9.9142782214248957</v>
      </c>
      <c r="R17">
        <f t="shared" si="7"/>
        <v>-23.603563152347835</v>
      </c>
      <c r="S17">
        <f t="shared" si="8"/>
        <v>0.77509391189934718</v>
      </c>
      <c r="U17">
        <f t="shared" si="9"/>
        <v>4.6884162833421737E-7</v>
      </c>
      <c r="V17" s="2">
        <f t="shared" si="10"/>
        <v>-4.8485932385664883E-7</v>
      </c>
      <c r="W17" s="2">
        <f t="shared" si="11"/>
        <v>-6.7790277674406166E-6</v>
      </c>
    </row>
    <row r="18" spans="1:31" x14ac:dyDescent="0.3">
      <c r="A18" s="5">
        <v>15</v>
      </c>
      <c r="B18" s="7">
        <v>209.99</v>
      </c>
      <c r="C18" s="6">
        <v>520</v>
      </c>
      <c r="D18" s="11">
        <v>8.1207064838573401E-2</v>
      </c>
      <c r="E18">
        <v>1.689740953964939E-2</v>
      </c>
      <c r="F18">
        <f t="shared" si="0"/>
        <v>31200</v>
      </c>
      <c r="G18" s="11">
        <v>6.2030276702175868</v>
      </c>
      <c r="H18" s="2">
        <f t="shared" si="1"/>
        <v>4.2448178320791168E-2</v>
      </c>
      <c r="I18" s="2">
        <f t="shared" si="2"/>
        <v>4.2563809636888994E-2</v>
      </c>
      <c r="K18" s="2">
        <f t="shared" si="12"/>
        <v>1.7728256044926383E-10</v>
      </c>
      <c r="L18" s="2">
        <f t="shared" si="13"/>
        <v>1.8338188236185091E-10</v>
      </c>
      <c r="M18" s="2">
        <f t="shared" si="14"/>
        <v>2.5469335902694397E-9</v>
      </c>
      <c r="N18" s="2">
        <f t="shared" si="3"/>
        <v>1.7728256044926383E-10</v>
      </c>
      <c r="O18">
        <f t="shared" si="4"/>
        <v>20.704362409159611</v>
      </c>
      <c r="P18">
        <f t="shared" si="5"/>
        <v>-22.45327626950651</v>
      </c>
      <c r="Q18">
        <f t="shared" si="6"/>
        <v>-9.7513339844959095</v>
      </c>
      <c r="R18">
        <f t="shared" si="7"/>
        <v>-22.7753206773783</v>
      </c>
      <c r="S18">
        <f t="shared" si="8"/>
        <v>0.32204440787178967</v>
      </c>
      <c r="U18">
        <f t="shared" si="9"/>
        <v>2.3810212190891187E-7</v>
      </c>
      <c r="V18" s="2">
        <f t="shared" si="10"/>
        <v>-2.4636943134326349E-7</v>
      </c>
      <c r="W18" s="2">
        <f t="shared" si="11"/>
        <v>-3.3918436208878817E-6</v>
      </c>
    </row>
    <row r="19" spans="1:31" x14ac:dyDescent="0.3">
      <c r="A19" s="5">
        <v>16</v>
      </c>
      <c r="B19" s="7">
        <v>219.98</v>
      </c>
      <c r="C19" s="6">
        <v>1167</v>
      </c>
      <c r="D19" s="11">
        <v>0.576620115600047</v>
      </c>
      <c r="E19">
        <v>4.1885014562295146E-2</v>
      </c>
      <c r="F19">
        <f t="shared" si="0"/>
        <v>70020</v>
      </c>
      <c r="G19" s="11">
        <v>6.7985876520417872</v>
      </c>
      <c r="H19" s="2">
        <f t="shared" si="1"/>
        <v>4.6523677843480556E-2</v>
      </c>
      <c r="I19" s="2">
        <f t="shared" si="2"/>
        <v>4.6810302804972441E-2</v>
      </c>
      <c r="K19" s="2">
        <f t="shared" si="12"/>
        <v>4.8525812182482334E-10</v>
      </c>
      <c r="L19" s="2">
        <f t="shared" si="13"/>
        <v>5.029732419518641E-10</v>
      </c>
      <c r="M19" s="2">
        <f t="shared" si="14"/>
        <v>6.6070107414221198E-9</v>
      </c>
      <c r="N19" s="2">
        <f t="shared" si="3"/>
        <v>4.8525812182482334E-10</v>
      </c>
      <c r="O19">
        <f t="shared" si="4"/>
        <v>20.28479857195018</v>
      </c>
      <c r="P19">
        <f t="shared" si="5"/>
        <v>-21.446340156616461</v>
      </c>
      <c r="Q19">
        <f t="shared" si="6"/>
        <v>-9.3140271870386506</v>
      </c>
      <c r="R19">
        <f t="shared" si="7"/>
        <v>-21.980646064492195</v>
      </c>
      <c r="S19">
        <f t="shared" si="8"/>
        <v>0.53430590787573351</v>
      </c>
      <c r="U19">
        <f t="shared" si="9"/>
        <v>1.1668007823511941E-7</v>
      </c>
      <c r="V19" s="2">
        <f t="shared" si="10"/>
        <v>-1.2115288606288117E-7</v>
      </c>
      <c r="W19" s="2">
        <f t="shared" si="11"/>
        <v>-1.5180945064099014E-6</v>
      </c>
    </row>
    <row r="20" spans="1:31" x14ac:dyDescent="0.3">
      <c r="A20" s="5">
        <v>17</v>
      </c>
      <c r="B20" s="7">
        <v>229.99</v>
      </c>
      <c r="C20" s="6">
        <v>370</v>
      </c>
      <c r="D20" s="11">
        <v>0.35768644224377999</v>
      </c>
      <c r="E20">
        <v>8.3512557592208367E-2</v>
      </c>
      <c r="F20">
        <f t="shared" si="0"/>
        <v>22200</v>
      </c>
      <c r="G20" s="11">
        <v>7.1814697077418925</v>
      </c>
      <c r="H20" s="2">
        <f t="shared" si="1"/>
        <v>4.9143792832524132E-2</v>
      </c>
      <c r="I20" s="2">
        <f t="shared" si="2"/>
        <v>4.9715280842116565E-2</v>
      </c>
      <c r="K20" s="2">
        <f t="shared" si="12"/>
        <v>1.2074083561536401E-9</v>
      </c>
      <c r="L20" s="2">
        <f t="shared" si="13"/>
        <v>1.2550635887080924E-9</v>
      </c>
      <c r="M20" s="2">
        <f t="shared" si="14"/>
        <v>1.5302913097885689E-8</v>
      </c>
      <c r="N20" s="2">
        <f t="shared" si="3"/>
        <v>1.2074083561536401E-9</v>
      </c>
      <c r="O20">
        <f t="shared" si="4"/>
        <v>19.881110956480249</v>
      </c>
      <c r="P20">
        <f t="shared" si="5"/>
        <v>-20.534789628806966</v>
      </c>
      <c r="Q20">
        <f t="shared" si="6"/>
        <v>-8.9181458228349904</v>
      </c>
      <c r="R20">
        <f t="shared" si="7"/>
        <v>-21.216041799062264</v>
      </c>
      <c r="S20">
        <f t="shared" si="8"/>
        <v>0.68125217025529849</v>
      </c>
      <c r="U20">
        <f t="shared" si="9"/>
        <v>3.9085375641828525E-7</v>
      </c>
      <c r="V20" s="2">
        <f t="shared" si="10"/>
        <v>-4.0680890342571311E-7</v>
      </c>
      <c r="W20" s="2">
        <f t="shared" si="11"/>
        <v>-4.8027893000646105E-6</v>
      </c>
    </row>
    <row r="21" spans="1:31" x14ac:dyDescent="0.3">
      <c r="A21" s="5">
        <v>18</v>
      </c>
      <c r="B21" s="7">
        <v>240</v>
      </c>
      <c r="C21" s="6">
        <v>320</v>
      </c>
      <c r="D21" s="11">
        <v>0.67668226199703296</v>
      </c>
      <c r="E21">
        <v>0.16370415300486033</v>
      </c>
      <c r="F21">
        <f t="shared" si="0"/>
        <v>19200</v>
      </c>
      <c r="G21" s="11">
        <v>7.9194197655198151</v>
      </c>
      <c r="H21" s="2">
        <f t="shared" si="1"/>
        <v>5.4193687385597537E-2</v>
      </c>
      <c r="I21" s="2">
        <f t="shared" si="2"/>
        <v>5.5313937600177131E-2</v>
      </c>
      <c r="K21" s="2">
        <f t="shared" si="12"/>
        <v>2.9294229705721081E-9</v>
      </c>
      <c r="L21" s="2">
        <f t="shared" si="13"/>
        <v>3.055502759249501E-9</v>
      </c>
      <c r="M21" s="2">
        <f t="shared" si="14"/>
        <v>3.435519641866741E-8</v>
      </c>
      <c r="N21" s="2">
        <f t="shared" si="3"/>
        <v>3.055502759249501E-9</v>
      </c>
      <c r="O21">
        <f t="shared" si="4"/>
        <v>19.49317738791423</v>
      </c>
      <c r="P21">
        <f t="shared" si="5"/>
        <v>-19.606321688550459</v>
      </c>
      <c r="Q21">
        <f t="shared" si="6"/>
        <v>-8.5149173197575099</v>
      </c>
      <c r="R21">
        <f t="shared" si="7"/>
        <v>-20.481276475920641</v>
      </c>
      <c r="S21">
        <f t="shared" si="8"/>
        <v>0.87495478737018217</v>
      </c>
      <c r="U21">
        <f t="shared" si="9"/>
        <v>5.0281788196134464E-7</v>
      </c>
      <c r="V21" s="2">
        <f t="shared" si="10"/>
        <v>-5.2577284660433469E-7</v>
      </c>
      <c r="W21" s="2">
        <f t="shared" si="11"/>
        <v>-5.5861361688411305E-6</v>
      </c>
      <c r="Y21" s="2"/>
      <c r="Z21" s="2"/>
    </row>
    <row r="22" spans="1:31" x14ac:dyDescent="0.3">
      <c r="A22" s="5">
        <v>19</v>
      </c>
      <c r="B22" s="7">
        <v>245</v>
      </c>
      <c r="C22" s="6">
        <v>250</v>
      </c>
      <c r="D22" s="11">
        <v>0.55490965024488204</v>
      </c>
      <c r="E22">
        <v>0.17093539216439185</v>
      </c>
      <c r="F22">
        <f t="shared" si="0"/>
        <v>15000</v>
      </c>
      <c r="G22" s="11">
        <v>8.5151292281677282</v>
      </c>
      <c r="H22" s="2">
        <f t="shared" si="1"/>
        <v>5.8270209826287264E-2</v>
      </c>
      <c r="I22" s="2">
        <f t="shared" si="2"/>
        <v>5.9439944412957899E-2</v>
      </c>
      <c r="K22" s="2">
        <f t="shared" si="12"/>
        <v>3.4682673222701171E-9</v>
      </c>
      <c r="L22" s="2">
        <f t="shared" si="13"/>
        <v>3.6312586631176859E-9</v>
      </c>
      <c r="M22" s="2">
        <f t="shared" si="14"/>
        <v>3.757194086013539E-8</v>
      </c>
      <c r="N22" s="2">
        <f t="shared" si="3"/>
        <v>3.6312586631176859E-9</v>
      </c>
      <c r="O22">
        <f t="shared" si="4"/>
        <v>19.305019305019304</v>
      </c>
      <c r="P22">
        <f t="shared" si="5"/>
        <v>-19.433686509618902</v>
      </c>
      <c r="Q22">
        <f t="shared" si="6"/>
        <v>-8.4399428141651551</v>
      </c>
      <c r="R22">
        <f t="shared" si="7"/>
        <v>-20.124895781434621</v>
      </c>
      <c r="S22">
        <f t="shared" si="8"/>
        <v>0.69120927181571901</v>
      </c>
      <c r="U22">
        <f t="shared" si="9"/>
        <v>6.9161515813901548E-7</v>
      </c>
      <c r="V22" s="2">
        <f t="shared" si="10"/>
        <v>-7.256739552523531E-7</v>
      </c>
      <c r="W22" s="2">
        <f t="shared" si="11"/>
        <v>-7.181620712076635E-6</v>
      </c>
    </row>
    <row r="23" spans="1:31" x14ac:dyDescent="0.3">
      <c r="A23" s="5">
        <v>20</v>
      </c>
      <c r="B23" s="7">
        <v>249.99</v>
      </c>
      <c r="C23" s="6">
        <v>210</v>
      </c>
      <c r="D23" s="11">
        <v>0.69344251385634403</v>
      </c>
      <c r="E23">
        <v>0.24861073914416129</v>
      </c>
      <c r="F23">
        <f t="shared" si="0"/>
        <v>12600</v>
      </c>
      <c r="G23" s="11">
        <v>9.2547747615459457</v>
      </c>
      <c r="H23" s="2">
        <f t="shared" si="1"/>
        <v>6.333170675395032E-2</v>
      </c>
      <c r="I23" s="2">
        <f t="shared" si="2"/>
        <v>6.5032984508735014E-2</v>
      </c>
      <c r="K23" s="2">
        <f t="shared" si="12"/>
        <v>5.77532026556249E-9</v>
      </c>
      <c r="L23" s="2">
        <f t="shared" si="13"/>
        <v>6.0712464328397579E-9</v>
      </c>
      <c r="M23" s="2">
        <f t="shared" si="14"/>
        <v>5.7955197262430797E-8</v>
      </c>
      <c r="N23" s="2">
        <f t="shared" si="3"/>
        <v>6.0712464328397579E-9</v>
      </c>
      <c r="O23">
        <f t="shared" si="4"/>
        <v>19.120824489952007</v>
      </c>
      <c r="P23">
        <f t="shared" si="5"/>
        <v>-18.919701909818322</v>
      </c>
      <c r="Q23">
        <f t="shared" si="6"/>
        <v>-8.2167221386885121</v>
      </c>
      <c r="R23">
        <f t="shared" si="7"/>
        <v>-19.776021711798908</v>
      </c>
      <c r="S23">
        <f t="shared" si="8"/>
        <v>0.85631980198058599</v>
      </c>
      <c r="U23">
        <f t="shared" si="9"/>
        <v>9.0082516037769286E-7</v>
      </c>
      <c r="V23" s="2">
        <f t="shared" si="10"/>
        <v>-9.4961341977940018E-7</v>
      </c>
      <c r="W23" s="2">
        <f t="shared" si="11"/>
        <v>-8.6006924820900762E-6</v>
      </c>
    </row>
    <row r="24" spans="1:31" x14ac:dyDescent="0.3">
      <c r="A24" s="5">
        <v>21</v>
      </c>
      <c r="B24" s="7">
        <v>244.909999999999</v>
      </c>
      <c r="C24" s="6">
        <v>270</v>
      </c>
      <c r="D24" s="11">
        <v>0.465872340425531</v>
      </c>
      <c r="E24">
        <v>0.13015995584759732</v>
      </c>
      <c r="F24">
        <f t="shared" si="0"/>
        <v>16200</v>
      </c>
      <c r="G24" s="11">
        <v>9.7499793316782419</v>
      </c>
      <c r="H24" s="2">
        <f t="shared" si="1"/>
        <v>6.6720460281388505E-2</v>
      </c>
      <c r="I24" s="2">
        <f t="shared" si="2"/>
        <v>6.7611162904330585E-2</v>
      </c>
      <c r="K24" s="2">
        <f t="shared" si="12"/>
        <v>3.0185807107925951E-9</v>
      </c>
      <c r="L24" s="2">
        <f t="shared" si="13"/>
        <v>3.1833010144107195E-9</v>
      </c>
      <c r="M24" s="2">
        <f t="shared" si="14"/>
        <v>2.8640592553555215E-8</v>
      </c>
      <c r="N24" s="2">
        <f t="shared" si="3"/>
        <v>3.1833010144107195E-9</v>
      </c>
      <c r="O24">
        <f t="shared" si="4"/>
        <v>19.308374041821978</v>
      </c>
      <c r="P24">
        <f t="shared" si="5"/>
        <v>-19.565347123714556</v>
      </c>
      <c r="Q24">
        <f t="shared" si="6"/>
        <v>-8.4971222923508911</v>
      </c>
      <c r="R24">
        <f t="shared" si="7"/>
        <v>-20.131249818493036</v>
      </c>
      <c r="S24">
        <f t="shared" si="8"/>
        <v>0.56590269477847954</v>
      </c>
      <c r="U24">
        <f t="shared" si="9"/>
        <v>7.2841815048322263E-7</v>
      </c>
      <c r="V24" s="2">
        <f t="shared" si="10"/>
        <v>-7.6953160874803999E-7</v>
      </c>
      <c r="W24" s="2">
        <f t="shared" si="11"/>
        <v>-6.7079246374057738E-6</v>
      </c>
    </row>
    <row r="25" spans="1:31" x14ac:dyDescent="0.3">
      <c r="A25" s="5">
        <v>22</v>
      </c>
      <c r="B25" s="7">
        <v>239.99</v>
      </c>
      <c r="C25" s="6">
        <v>320</v>
      </c>
      <c r="D25" s="11">
        <v>0.28572750818781401</v>
      </c>
      <c r="E25">
        <v>6.9133509342071728E-2</v>
      </c>
      <c r="F25">
        <f t="shared" si="0"/>
        <v>19200</v>
      </c>
      <c r="G25" s="11">
        <v>10.053632662874906</v>
      </c>
      <c r="H25" s="2">
        <f t="shared" si="1"/>
        <v>6.8798402124566851E-2</v>
      </c>
      <c r="I25" s="2">
        <f t="shared" si="2"/>
        <v>6.9271492313505406E-2</v>
      </c>
      <c r="K25" s="2">
        <f t="shared" si="12"/>
        <v>1.5767951106081855E-9</v>
      </c>
      <c r="L25" s="2">
        <f t="shared" si="13"/>
        <v>1.6663433322251704E-9</v>
      </c>
      <c r="M25" s="2">
        <f t="shared" si="14"/>
        <v>1.4444330655335865E-8</v>
      </c>
      <c r="N25" s="2">
        <f t="shared" si="3"/>
        <v>1.6663433322251704E-9</v>
      </c>
      <c r="O25">
        <f t="shared" si="4"/>
        <v>19.493557379286145</v>
      </c>
      <c r="P25">
        <f t="shared" si="5"/>
        <v>-20.212634232665881</v>
      </c>
      <c r="Q25">
        <f t="shared" si="6"/>
        <v>-8.7782355119755611</v>
      </c>
      <c r="R25">
        <f t="shared" si="7"/>
        <v>-20.481996198331384</v>
      </c>
      <c r="S25">
        <f t="shared" si="8"/>
        <v>0.26936196566550308</v>
      </c>
      <c r="U25">
        <f t="shared" si="9"/>
        <v>6.2969563470865288E-7</v>
      </c>
      <c r="V25" s="2">
        <f t="shared" si="10"/>
        <v>-6.6616629996637619E-7</v>
      </c>
      <c r="W25" s="2">
        <f t="shared" si="11"/>
        <v>-5.6699079675652373E-6</v>
      </c>
      <c r="AB25" t="s">
        <v>153</v>
      </c>
      <c r="AC25" t="s">
        <v>397</v>
      </c>
    </row>
    <row r="26" spans="1:31" x14ac:dyDescent="0.3">
      <c r="A26" s="5">
        <v>23</v>
      </c>
      <c r="B26" s="7">
        <v>235</v>
      </c>
      <c r="C26" s="6">
        <v>370</v>
      </c>
      <c r="D26" s="11">
        <v>0.21993533317982999</v>
      </c>
      <c r="E26">
        <v>4.7779571417787325E-2</v>
      </c>
      <c r="F26">
        <f t="shared" si="0"/>
        <v>22200</v>
      </c>
      <c r="G26" s="11">
        <v>10.28791368707695</v>
      </c>
      <c r="H26" s="2">
        <f t="shared" si="1"/>
        <v>7.0401619653363903E-2</v>
      </c>
      <c r="I26" s="2">
        <f t="shared" si="2"/>
        <v>7.0728581884625732E-2</v>
      </c>
      <c r="K26" s="2">
        <f t="shared" si="12"/>
        <v>1.0586450262779698E-9</v>
      </c>
      <c r="L26" s="2">
        <f t="shared" si="13"/>
        <v>1.1204279286698023E-9</v>
      </c>
      <c r="M26" s="2">
        <f t="shared" si="14"/>
        <v>9.4700400012379611E-9</v>
      </c>
      <c r="N26" s="2">
        <f t="shared" si="3"/>
        <v>1.1204279286698023E-9</v>
      </c>
      <c r="O26">
        <f t="shared" si="4"/>
        <v>19.685039370078741</v>
      </c>
      <c r="P26">
        <f t="shared" si="5"/>
        <v>-20.609555145443601</v>
      </c>
      <c r="Q26">
        <f t="shared" si="6"/>
        <v>-8.9506160741469269</v>
      </c>
      <c r="R26">
        <f t="shared" si="7"/>
        <v>-20.844672538408357</v>
      </c>
      <c r="S26">
        <f t="shared" si="8"/>
        <v>0.23511739296475653</v>
      </c>
      <c r="U26">
        <f t="shared" si="9"/>
        <v>5.560570401590699E-7</v>
      </c>
      <c r="V26" s="2">
        <f t="shared" si="10"/>
        <v>-5.8898500307700738E-7</v>
      </c>
      <c r="W26" s="2">
        <f t="shared" si="11"/>
        <v>-4.9113931540502177E-6</v>
      </c>
      <c r="Z26" t="s">
        <v>148</v>
      </c>
      <c r="AA26">
        <f>-10000*1.987046*AH2</f>
        <v>37635.63183470154</v>
      </c>
      <c r="AB26">
        <f>2*AH3*10000*1.987046</f>
        <v>2877.7375922667752</v>
      </c>
      <c r="AC26">
        <f>AA26*8.314/(1000*1.987)</f>
        <v>157.47490844172555</v>
      </c>
      <c r="AD26">
        <f>AB26*8.314/(1000*1.987)</f>
        <v>12.041021812836421</v>
      </c>
    </row>
    <row r="27" spans="1:31" x14ac:dyDescent="0.3">
      <c r="A27" s="5">
        <v>24</v>
      </c>
      <c r="B27" s="7">
        <v>230</v>
      </c>
      <c r="C27" s="6">
        <v>420</v>
      </c>
      <c r="D27" s="11">
        <v>0.14002473498233201</v>
      </c>
      <c r="E27">
        <v>2.8018065944746637E-2</v>
      </c>
      <c r="F27">
        <f t="shared" si="0"/>
        <v>25200</v>
      </c>
      <c r="G27" s="11">
        <v>10.441446014382523</v>
      </c>
      <c r="H27" s="2">
        <f t="shared" si="1"/>
        <v>7.1452262654484747E-2</v>
      </c>
      <c r="I27" s="2">
        <f t="shared" si="2"/>
        <v>7.1643994164104871E-2</v>
      </c>
      <c r="K27" s="2">
        <f t="shared" si="12"/>
        <v>6.111209773087602E-10</v>
      </c>
      <c r="L27" s="2">
        <f t="shared" si="13"/>
        <v>6.4747126595716955E-10</v>
      </c>
      <c r="M27" s="2">
        <f t="shared" si="14"/>
        <v>5.3770894251136868E-9</v>
      </c>
      <c r="N27" s="2">
        <f t="shared" si="3"/>
        <v>6.4747126595716955E-10</v>
      </c>
      <c r="O27">
        <f t="shared" si="4"/>
        <v>19.880715705765407</v>
      </c>
      <c r="P27">
        <f t="shared" si="5"/>
        <v>-21.157946700239663</v>
      </c>
      <c r="Q27">
        <f t="shared" si="6"/>
        <v>-9.1887795003172013</v>
      </c>
      <c r="R27">
        <f t="shared" si="7"/>
        <v>-21.215293174702982</v>
      </c>
      <c r="S27">
        <f t="shared" si="8"/>
        <v>5.7346474463319197E-2</v>
      </c>
      <c r="U27">
        <f t="shared" si="9"/>
        <v>4.9619983628699705E-7</v>
      </c>
      <c r="V27" s="2">
        <f t="shared" si="10"/>
        <v>-5.2598907641063289E-7</v>
      </c>
      <c r="W27" s="2">
        <f t="shared" si="11"/>
        <v>-4.3309698707110993E-6</v>
      </c>
      <c r="Z27" t="s">
        <v>156</v>
      </c>
      <c r="AA27">
        <f>EXP(AI2)</f>
        <v>13794264.845376827</v>
      </c>
      <c r="AB27">
        <f>EXP(AI2)*AI3*2</f>
        <v>38926827.906515129</v>
      </c>
    </row>
    <row r="28" spans="1:31" x14ac:dyDescent="0.3">
      <c r="A28" s="5">
        <v>25</v>
      </c>
      <c r="B28" s="7">
        <v>225</v>
      </c>
      <c r="C28" s="6">
        <v>652</v>
      </c>
      <c r="D28" s="11">
        <v>0.14936733471146901</v>
      </c>
      <c r="E28">
        <v>1.9222809007177592E-2</v>
      </c>
      <c r="F28">
        <f t="shared" si="0"/>
        <v>39120</v>
      </c>
      <c r="G28" s="11">
        <v>10.603175228891002</v>
      </c>
      <c r="H28" s="2">
        <f t="shared" si="1"/>
        <v>7.255899809113267E-2</v>
      </c>
      <c r="I28" s="2">
        <f t="shared" si="2"/>
        <v>7.2690542438174813E-2</v>
      </c>
      <c r="K28" s="2">
        <f t="shared" si="12"/>
        <v>3.981624296207207E-10</v>
      </c>
      <c r="L28" s="2">
        <f t="shared" si="13"/>
        <v>4.2221893104083837E-10</v>
      </c>
      <c r="M28" s="2">
        <f t="shared" si="14"/>
        <v>3.4562543584336056E-9</v>
      </c>
      <c r="N28" s="2">
        <f t="shared" si="3"/>
        <v>4.2221893104083837E-10</v>
      </c>
      <c r="O28">
        <f t="shared" si="4"/>
        <v>20.080321285140563</v>
      </c>
      <c r="P28">
        <f t="shared" si="5"/>
        <v>-21.585497142483948</v>
      </c>
      <c r="Q28">
        <f t="shared" si="6"/>
        <v>-9.3744622981191892</v>
      </c>
      <c r="R28">
        <f t="shared" si="7"/>
        <v>-21.593355992449307</v>
      </c>
      <c r="S28">
        <f t="shared" si="8"/>
        <v>7.8588499653591271E-3</v>
      </c>
      <c r="U28">
        <f t="shared" si="9"/>
        <v>3.2430708093221293E-7</v>
      </c>
      <c r="V28" s="2">
        <f t="shared" si="10"/>
        <v>-3.4408058311434589E-7</v>
      </c>
      <c r="W28" s="2">
        <f t="shared" si="11"/>
        <v>-2.7930371956068891E-6</v>
      </c>
      <c r="Z28" t="s">
        <v>396</v>
      </c>
      <c r="AA28">
        <f>AD32</f>
        <v>96.87267317821545</v>
      </c>
      <c r="AB28">
        <v>9.1999999999999993</v>
      </c>
    </row>
    <row r="29" spans="1:31" x14ac:dyDescent="0.3">
      <c r="A29" s="5">
        <v>26</v>
      </c>
      <c r="B29" s="7">
        <v>230</v>
      </c>
      <c r="C29" s="6">
        <v>500</v>
      </c>
      <c r="D29" s="11">
        <v>0.154978273856932</v>
      </c>
      <c r="E29">
        <v>2.5240473254976706E-2</v>
      </c>
      <c r="F29">
        <f t="shared" si="0"/>
        <v>30000</v>
      </c>
      <c r="G29" s="11">
        <v>10.768685594706378</v>
      </c>
      <c r="H29" s="2">
        <f t="shared" si="1"/>
        <v>7.3691608470383807E-2</v>
      </c>
      <c r="I29" s="2">
        <f t="shared" si="2"/>
        <v>7.3864332528148779E-2</v>
      </c>
      <c r="K29" s="2">
        <f t="shared" si="12"/>
        <v>5.5597875173424391E-10</v>
      </c>
      <c r="L29" s="2">
        <f t="shared" si="13"/>
        <v>5.9013839238190768E-10</v>
      </c>
      <c r="M29" s="2">
        <f t="shared" si="14"/>
        <v>4.7568593288152575E-9</v>
      </c>
      <c r="N29" s="2">
        <f t="shared" si="3"/>
        <v>5.9013839238190768E-10</v>
      </c>
      <c r="O29">
        <f t="shared" si="4"/>
        <v>19.880715705765407</v>
      </c>
      <c r="P29">
        <f t="shared" si="5"/>
        <v>-21.250664043175302</v>
      </c>
      <c r="Q29">
        <f t="shared" si="6"/>
        <v>-9.2290461307308806</v>
      </c>
      <c r="R29">
        <f t="shared" si="7"/>
        <v>-21.215293174702982</v>
      </c>
      <c r="S29">
        <f t="shared" si="8"/>
        <v>-3.5370868472320183E-2</v>
      </c>
      <c r="U29">
        <f t="shared" si="9"/>
        <v>4.2972526746804776E-7</v>
      </c>
      <c r="V29" s="2">
        <f t="shared" si="10"/>
        <v>-4.563787237401297E-7</v>
      </c>
      <c r="W29" s="2">
        <f t="shared" si="11"/>
        <v>-3.646736549189838E-6</v>
      </c>
    </row>
    <row r="30" spans="1:31" x14ac:dyDescent="0.3">
      <c r="A30" s="5">
        <v>27</v>
      </c>
      <c r="B30" s="7">
        <v>234.89999999999901</v>
      </c>
      <c r="C30" s="6">
        <v>450</v>
      </c>
      <c r="D30" s="11">
        <v>0.19512871594315101</v>
      </c>
      <c r="E30">
        <v>3.3604148456962642E-2</v>
      </c>
      <c r="F30">
        <f t="shared" si="0"/>
        <v>27000</v>
      </c>
      <c r="G30" s="11">
        <v>10.990306586221301</v>
      </c>
      <c r="H30" s="2">
        <f t="shared" si="1"/>
        <v>7.5208191640345062E-2</v>
      </c>
      <c r="I30" s="2">
        <f t="shared" si="2"/>
        <v>7.5438149487037934E-2</v>
      </c>
      <c r="K30" s="2">
        <f t="shared" si="12"/>
        <v>8.4183448068633758E-10</v>
      </c>
      <c r="L30" s="2">
        <f t="shared" si="13"/>
        <v>8.9458145583763214E-10</v>
      </c>
      <c r="M30" s="2">
        <f t="shared" si="14"/>
        <v>7.0822202920116663E-9</v>
      </c>
      <c r="N30" s="2">
        <f t="shared" si="3"/>
        <v>8.9458145583763214E-10</v>
      </c>
      <c r="O30">
        <f t="shared" si="4"/>
        <v>19.68891514077578</v>
      </c>
      <c r="P30">
        <f t="shared" si="5"/>
        <v>-20.834665154143494</v>
      </c>
      <c r="Q30">
        <f t="shared" si="6"/>
        <v>-9.0483801087464837</v>
      </c>
      <c r="R30">
        <f t="shared" si="7"/>
        <v>-20.852013439375394</v>
      </c>
      <c r="S30">
        <f t="shared" si="8"/>
        <v>1.7348285231900462E-2</v>
      </c>
      <c r="U30">
        <f t="shared" si="9"/>
        <v>4.8764595931869748E-7</v>
      </c>
      <c r="V30" s="2">
        <f t="shared" si="10"/>
        <v>-5.1858210179480254E-7</v>
      </c>
      <c r="W30" s="2">
        <f t="shared" si="11"/>
        <v>-4.0588268152267706E-6</v>
      </c>
      <c r="Z30" t="s">
        <v>146</v>
      </c>
    </row>
    <row r="31" spans="1:31" ht="15" thickBot="1" x14ac:dyDescent="0.35">
      <c r="A31" s="5">
        <v>28</v>
      </c>
      <c r="B31" s="7">
        <v>240</v>
      </c>
      <c r="C31" s="6">
        <v>400</v>
      </c>
      <c r="D31" s="11">
        <v>0.24245710220568201</v>
      </c>
      <c r="E31">
        <v>4.4758886448129864E-2</v>
      </c>
      <c r="F31">
        <f t="shared" si="0"/>
        <v>24000</v>
      </c>
      <c r="G31" s="11">
        <v>11.253942980490033</v>
      </c>
      <c r="H31" s="2">
        <f t="shared" si="1"/>
        <v>7.7012292036269456E-2</v>
      </c>
      <c r="I31" s="2">
        <f t="shared" si="2"/>
        <v>7.731858330150311E-2</v>
      </c>
      <c r="K31" s="2">
        <f t="shared" si="12"/>
        <v>1.170429555327273E-9</v>
      </c>
      <c r="L31" s="2">
        <f t="shared" si="13"/>
        <v>1.2455574310674248E-9</v>
      </c>
      <c r="M31" s="2">
        <f t="shared" si="14"/>
        <v>9.6450416332373608E-9</v>
      </c>
      <c r="N31" s="2">
        <f t="shared" si="3"/>
        <v>1.2455574310674248E-9</v>
      </c>
      <c r="O31">
        <f t="shared" si="4"/>
        <v>19.49317738791423</v>
      </c>
      <c r="P31">
        <f t="shared" si="5"/>
        <v>-20.503682671436376</v>
      </c>
      <c r="Q31">
        <f t="shared" si="6"/>
        <v>-8.9046362429001427</v>
      </c>
      <c r="R31">
        <f t="shared" si="7"/>
        <v>-20.481276475920641</v>
      </c>
      <c r="S31">
        <f t="shared" si="8"/>
        <v>-2.2406195515735305E-2</v>
      </c>
      <c r="U31">
        <f t="shared" si="9"/>
        <v>5.6227660482864031E-7</v>
      </c>
      <c r="V31" s="2">
        <f t="shared" si="10"/>
        <v>-5.9890126670165174E-7</v>
      </c>
      <c r="W31" s="2">
        <f t="shared" si="11"/>
        <v>-4.575486087281772E-6</v>
      </c>
      <c r="Z31" t="s">
        <v>145</v>
      </c>
      <c r="AA31">
        <f>EXP(AI2)</f>
        <v>13794264.845376827</v>
      </c>
      <c r="AB31">
        <v>346</v>
      </c>
      <c r="AC31">
        <f>(AA32/1.987)/(LN((AA31*AB31^2*55*1.987)/(AA32*AA33)))</f>
        <v>370.87843333064262</v>
      </c>
      <c r="AD31" t="s">
        <v>386</v>
      </c>
      <c r="AE31" t="s">
        <v>153</v>
      </c>
    </row>
    <row r="32" spans="1:31" ht="15" thickBot="1" x14ac:dyDescent="0.35">
      <c r="A32" s="5">
        <v>29</v>
      </c>
      <c r="B32" s="7">
        <v>245</v>
      </c>
      <c r="C32" s="6">
        <v>350</v>
      </c>
      <c r="D32" s="11">
        <v>0.31499558349552398</v>
      </c>
      <c r="E32">
        <v>6.3737960416163419E-2</v>
      </c>
      <c r="F32">
        <f t="shared" si="0"/>
        <v>21000</v>
      </c>
      <c r="G32" s="11">
        <v>11.591042578381199</v>
      </c>
      <c r="H32" s="2">
        <f t="shared" si="1"/>
        <v>7.9319111319351793E-2</v>
      </c>
      <c r="I32" s="2">
        <f t="shared" si="2"/>
        <v>7.9755279018963871E-2</v>
      </c>
      <c r="K32" s="2">
        <f t="shared" si="12"/>
        <v>1.7869321114944071E-9</v>
      </c>
      <c r="L32" s="2">
        <f t="shared" si="13"/>
        <v>1.9050624765082054E-9</v>
      </c>
      <c r="M32" s="2">
        <f t="shared" si="14"/>
        <v>1.4360015879187245E-8</v>
      </c>
      <c r="N32" s="2">
        <f t="shared" si="3"/>
        <v>1.9050624765082054E-9</v>
      </c>
      <c r="O32">
        <f t="shared" si="4"/>
        <v>19.305019305019304</v>
      </c>
      <c r="P32">
        <f t="shared" si="5"/>
        <v>-20.078751032838227</v>
      </c>
      <c r="Q32">
        <f t="shared" si="6"/>
        <v>-8.72009077707086</v>
      </c>
      <c r="R32">
        <f t="shared" si="7"/>
        <v>-20.124895781434621</v>
      </c>
      <c r="S32">
        <f t="shared" si="8"/>
        <v>4.6144748596393725E-2</v>
      </c>
      <c r="U32">
        <f t="shared" si="9"/>
        <v>6.6285343558460605E-7</v>
      </c>
      <c r="V32" s="2">
        <f t="shared" si="10"/>
        <v>-7.0749256190353059E-7</v>
      </c>
      <c r="W32" s="2">
        <f t="shared" si="11"/>
        <v>-5.2429730469295224E-6</v>
      </c>
      <c r="Z32" t="s">
        <v>144</v>
      </c>
      <c r="AA32">
        <f>AA26</f>
        <v>37635.63183470154</v>
      </c>
      <c r="AB32">
        <f>AC31</f>
        <v>370.87843333064262</v>
      </c>
      <c r="AC32">
        <f>(AA32/1.987)/(LN((AA31*AB32^2*55*1.987)/(AA32*AA33)))</f>
        <v>369.87267317821545</v>
      </c>
      <c r="AD32" s="19">
        <f>AC32-273</f>
        <v>96.87267317821545</v>
      </c>
      <c r="AE32">
        <f>AE34-AD32</f>
        <v>-96.87267317821545</v>
      </c>
    </row>
    <row r="33" spans="1:31" ht="15" thickBot="1" x14ac:dyDescent="0.35">
      <c r="A33" s="5">
        <v>30</v>
      </c>
      <c r="B33" s="7">
        <v>250</v>
      </c>
      <c r="C33" s="6">
        <v>300</v>
      </c>
      <c r="D33" s="11">
        <v>0.37161531847225299</v>
      </c>
      <c r="E33">
        <v>8.4753868131547158E-2</v>
      </c>
      <c r="F33">
        <f t="shared" si="0"/>
        <v>18000</v>
      </c>
      <c r="G33" s="11">
        <v>11.985009660162147</v>
      </c>
      <c r="H33" s="2">
        <f t="shared" si="1"/>
        <v>8.201508267866911E-2</v>
      </c>
      <c r="I33" s="2">
        <f t="shared" si="2"/>
        <v>8.2595065148374669E-2</v>
      </c>
      <c r="K33" s="2">
        <f t="shared" si="12"/>
        <v>2.571565047975804E-9</v>
      </c>
      <c r="L33" s="2">
        <f t="shared" si="13"/>
        <v>2.7475815947784392E-9</v>
      </c>
      <c r="M33" s="2">
        <f t="shared" si="14"/>
        <v>2.0064585469729279E-8</v>
      </c>
      <c r="N33" s="2">
        <f t="shared" si="3"/>
        <v>2.7475815947784392E-9</v>
      </c>
      <c r="O33">
        <f t="shared" si="4"/>
        <v>19.120458891013385</v>
      </c>
      <c r="P33">
        <f t="shared" si="5"/>
        <v>-19.712544732265197</v>
      </c>
      <c r="Q33">
        <f t="shared" si="6"/>
        <v>-8.5610494014937899</v>
      </c>
      <c r="R33">
        <f t="shared" si="7"/>
        <v>-19.775329249367079</v>
      </c>
      <c r="S33">
        <f t="shared" si="8"/>
        <v>6.2784517101881931E-2</v>
      </c>
      <c r="U33">
        <f t="shared" si="9"/>
        <v>8.0086435152130939E-7</v>
      </c>
      <c r="V33" s="2">
        <f t="shared" si="10"/>
        <v>-8.5686838292642204E-7</v>
      </c>
      <c r="W33" s="2">
        <f t="shared" si="11"/>
        <v>-6.1357361759852874E-6</v>
      </c>
      <c r="Z33" t="s">
        <v>143</v>
      </c>
      <c r="AA33">
        <f>AA35/(1000000*365*24*60*60)</f>
        <v>3.1709791983764587E-13</v>
      </c>
      <c r="AD33" t="s">
        <v>384</v>
      </c>
      <c r="AE33" t="s">
        <v>385</v>
      </c>
    </row>
    <row r="34" spans="1:31" ht="15" thickBot="1" x14ac:dyDescent="0.35">
      <c r="A34" s="5">
        <v>31</v>
      </c>
      <c r="B34" s="7">
        <v>249.97</v>
      </c>
      <c r="C34" s="6">
        <v>300</v>
      </c>
      <c r="D34" s="11">
        <v>0.36397906669414698</v>
      </c>
      <c r="E34">
        <v>8.3046028335276606E-2</v>
      </c>
      <c r="F34">
        <f t="shared" si="0"/>
        <v>18000</v>
      </c>
      <c r="G34" s="11">
        <v>12.371547997178904</v>
      </c>
      <c r="H34" s="2">
        <f t="shared" si="1"/>
        <v>8.4660218107660973E-2</v>
      </c>
      <c r="I34" s="2">
        <f t="shared" si="2"/>
        <v>8.5228513592869676E-2</v>
      </c>
      <c r="K34" s="2">
        <f t="shared" si="12"/>
        <v>2.6055135252556264E-9</v>
      </c>
      <c r="L34" s="2">
        <f t="shared" si="13"/>
        <v>2.7901869085745469E-9</v>
      </c>
      <c r="M34" s="2">
        <f t="shared" si="14"/>
        <v>1.9738875690591324E-8</v>
      </c>
      <c r="N34" s="2">
        <f t="shared" si="3"/>
        <v>2.7901869085745469E-9</v>
      </c>
      <c r="O34">
        <f t="shared" si="4"/>
        <v>19.121555729774173</v>
      </c>
      <c r="P34">
        <f t="shared" si="5"/>
        <v>-19.697157251036398</v>
      </c>
      <c r="Q34">
        <f t="shared" si="6"/>
        <v>-8.5543667033057318</v>
      </c>
      <c r="R34">
        <f t="shared" si="7"/>
        <v>-19.777406716108313</v>
      </c>
      <c r="S34">
        <f t="shared" si="8"/>
        <v>8.0249465071915438E-2</v>
      </c>
      <c r="U34">
        <f t="shared" si="9"/>
        <v>8.2639898820906549E-7</v>
      </c>
      <c r="V34" s="2">
        <f t="shared" si="10"/>
        <v>-8.8618047250293945E-7</v>
      </c>
      <c r="W34" s="2">
        <f t="shared" si="11"/>
        <v>-6.1533997620596015E-6</v>
      </c>
      <c r="Z34" t="s">
        <v>142</v>
      </c>
      <c r="AB34">
        <f>0.97*AA32</f>
        <v>36506.562879660494</v>
      </c>
      <c r="AC34" t="s">
        <v>141</v>
      </c>
      <c r="AD34" s="19"/>
    </row>
    <row r="35" spans="1:31" x14ac:dyDescent="0.3">
      <c r="A35" s="5">
        <v>32</v>
      </c>
      <c r="B35" s="6">
        <v>249.98</v>
      </c>
      <c r="C35" s="6">
        <v>300</v>
      </c>
      <c r="D35" s="12">
        <v>0.34519114717899502</v>
      </c>
      <c r="E35">
        <v>7.87486757330257E-2</v>
      </c>
      <c r="F35">
        <f t="shared" si="0"/>
        <v>18000</v>
      </c>
      <c r="G35" s="11">
        <v>12.735821440305218</v>
      </c>
      <c r="H35" s="2">
        <f t="shared" si="1"/>
        <v>8.7152991781006842E-2</v>
      </c>
      <c r="I35" s="2">
        <f t="shared" si="2"/>
        <v>8.7691879886583252E-2</v>
      </c>
      <c r="K35" s="2">
        <f t="shared" si="12"/>
        <v>2.5332158089066742E-9</v>
      </c>
      <c r="L35" s="2">
        <f t="shared" si="13"/>
        <v>2.7186947590468418E-9</v>
      </c>
      <c r="M35" s="2">
        <f t="shared" si="14"/>
        <v>1.867438721764192E-8</v>
      </c>
      <c r="N35" s="2">
        <f t="shared" si="3"/>
        <v>2.7186947590468418E-9</v>
      </c>
      <c r="O35">
        <f t="shared" si="4"/>
        <v>19.121190102872003</v>
      </c>
      <c r="P35">
        <f t="shared" si="5"/>
        <v>-19.723113939809483</v>
      </c>
      <c r="Q35">
        <f t="shared" si="6"/>
        <v>-8.5656395500083633</v>
      </c>
      <c r="R35">
        <f t="shared" si="7"/>
        <v>-19.776714200712146</v>
      </c>
      <c r="S35">
        <f t="shared" si="8"/>
        <v>5.3600260902662455E-2</v>
      </c>
      <c r="U35">
        <f t="shared" si="9"/>
        <v>8.5028446182459398E-7</v>
      </c>
      <c r="V35" s="2">
        <f t="shared" si="10"/>
        <v>-9.1372020061644436E-7</v>
      </c>
      <c r="W35" s="2">
        <f t="shared" si="11"/>
        <v>-6.1700148477213599E-6</v>
      </c>
      <c r="Z35" t="s">
        <v>140</v>
      </c>
      <c r="AA35">
        <v>10</v>
      </c>
      <c r="AD35">
        <v>64439823.670807518</v>
      </c>
      <c r="AE35">
        <v>4828742.7687072773</v>
      </c>
    </row>
    <row r="36" spans="1:31" x14ac:dyDescent="0.3">
      <c r="A36" s="5">
        <v>33</v>
      </c>
      <c r="B36" s="6">
        <v>250</v>
      </c>
      <c r="C36" s="6">
        <v>10250</v>
      </c>
      <c r="D36" s="12">
        <v>8.4829081066253593</v>
      </c>
      <c r="E36">
        <v>4.6360959841869227E-2</v>
      </c>
      <c r="F36">
        <f t="shared" si="0"/>
        <v>615000</v>
      </c>
      <c r="G36" s="12">
        <v>21.335259758696179</v>
      </c>
      <c r="H36" s="2">
        <f t="shared" si="1"/>
        <v>0.14600014040011008</v>
      </c>
      <c r="I36" s="2">
        <f t="shared" si="2"/>
        <v>0.14631739487568485</v>
      </c>
      <c r="K36" s="2">
        <f t="shared" si="12"/>
        <v>1.9600382470903075E-9</v>
      </c>
      <c r="L36" s="2">
        <f t="shared" si="13"/>
        <v>2.1655810059593911E-9</v>
      </c>
      <c r="M36" s="2">
        <f t="shared" si="14"/>
        <v>1.1039697216305701E-8</v>
      </c>
      <c r="N36" s="2">
        <f t="shared" si="3"/>
        <v>2.1655810059593911E-9</v>
      </c>
      <c r="O36">
        <f t="shared" si="4"/>
        <v>19.120458891013385</v>
      </c>
      <c r="P36">
        <f t="shared" si="5"/>
        <v>-19.950577148465133</v>
      </c>
      <c r="Q36">
        <f t="shared" si="6"/>
        <v>-8.6644255663635192</v>
      </c>
      <c r="R36">
        <f t="shared" si="7"/>
        <v>-19.775329249367079</v>
      </c>
      <c r="S36">
        <f t="shared" si="8"/>
        <v>-0.17524789909805349</v>
      </c>
      <c r="U36">
        <f t="shared" si="9"/>
        <v>4.1523907211729751E-8</v>
      </c>
      <c r="V36" s="2">
        <f t="shared" si="10"/>
        <v>-4.6999820252385828E-8</v>
      </c>
      <c r="W36" s="2">
        <f t="shared" si="11"/>
        <v>-1.9298728955285552E-7</v>
      </c>
    </row>
    <row r="37" spans="1:31" x14ac:dyDescent="0.3">
      <c r="A37" s="5">
        <v>34</v>
      </c>
      <c r="B37" s="6">
        <v>240</v>
      </c>
      <c r="C37" s="6">
        <v>785</v>
      </c>
      <c r="D37" s="12">
        <v>0.22612522923310299</v>
      </c>
      <c r="E37">
        <v>1.9504846533379586E-2</v>
      </c>
      <c r="F37">
        <f t="shared" si="0"/>
        <v>47100</v>
      </c>
      <c r="G37" s="12">
        <v>21.59098855850587</v>
      </c>
      <c r="H37" s="2">
        <f t="shared" si="1"/>
        <v>0.14775012803086054</v>
      </c>
      <c r="I37" s="2">
        <f t="shared" si="2"/>
        <v>0.14788360239979553</v>
      </c>
      <c r="K37" s="2">
        <f t="shared" si="12"/>
        <v>1.025554842022721E-9</v>
      </c>
      <c r="L37" s="2">
        <f t="shared" si="13"/>
        <v>1.1614645161945462E-9</v>
      </c>
      <c r="M37" s="2">
        <f t="shared" si="14"/>
        <v>4.7496079262964136E-9</v>
      </c>
      <c r="N37" s="2">
        <f t="shared" si="3"/>
        <v>1.1614645161945462E-9</v>
      </c>
      <c r="O37">
        <f t="shared" si="4"/>
        <v>19.49317738791423</v>
      </c>
      <c r="P37">
        <f t="shared" si="5"/>
        <v>-20.573584114167915</v>
      </c>
      <c r="Q37">
        <f t="shared" si="6"/>
        <v>-8.9349940537555277</v>
      </c>
      <c r="R37">
        <f t="shared" si="7"/>
        <v>-20.481276475920641</v>
      </c>
      <c r="S37">
        <f t="shared" si="8"/>
        <v>-9.2307638247273616E-2</v>
      </c>
      <c r="U37">
        <f t="shared" si="9"/>
        <v>5.4799485596318886E-7</v>
      </c>
      <c r="V37" s="2">
        <f t="shared" si="10"/>
        <v>-6.2115097543407052E-7</v>
      </c>
      <c r="W37" s="2">
        <f t="shared" si="11"/>
        <v>-2.5245293538614149E-6</v>
      </c>
      <c r="AB37">
        <v>98.9</v>
      </c>
      <c r="AC37">
        <v>99.09</v>
      </c>
    </row>
    <row r="38" spans="1:31" x14ac:dyDescent="0.3">
      <c r="A38" t="s">
        <v>92</v>
      </c>
      <c r="D38" s="6" cm="1">
        <f t="array" ref="D38:E38">'Raw Data and Corrections'!AE138:AF138</f>
        <v>124.54078707011602</v>
      </c>
      <c r="E38" s="6">
        <v>1.0730577113002813</v>
      </c>
      <c r="F38">
        <f>3600*C38</f>
        <v>0</v>
      </c>
      <c r="G38" s="2">
        <f>'Raw Data and Corrections'!AE139</f>
        <v>146.13177562862188</v>
      </c>
      <c r="I38" s="2">
        <f>G38/$G$38</f>
        <v>1</v>
      </c>
      <c r="AB38">
        <v>18003069.985226665</v>
      </c>
      <c r="AC38">
        <v>17354426.675797403</v>
      </c>
    </row>
    <row r="39" spans="1:31" x14ac:dyDescent="0.3">
      <c r="D39" s="11">
        <f>SUM(D4:D38)</f>
        <v>145.09439385441266</v>
      </c>
      <c r="E39" s="6">
        <v>1.0726345452392398</v>
      </c>
      <c r="AB39">
        <v>38038.944164075619</v>
      </c>
      <c r="AC39">
        <v>38032.636907850479</v>
      </c>
    </row>
    <row r="43" spans="1:31" x14ac:dyDescent="0.3">
      <c r="A43" t="s">
        <v>387</v>
      </c>
      <c r="G43" s="7" t="s">
        <v>138</v>
      </c>
      <c r="H43" s="7" t="s">
        <v>408</v>
      </c>
      <c r="I43" s="7" t="s">
        <v>445</v>
      </c>
      <c r="K43" t="s">
        <v>84</v>
      </c>
      <c r="L43" t="s">
        <v>85</v>
      </c>
      <c r="M43" t="s">
        <v>86</v>
      </c>
      <c r="N43" t="s">
        <v>87</v>
      </c>
      <c r="O43" t="s">
        <v>89</v>
      </c>
      <c r="P43" t="s">
        <v>88</v>
      </c>
      <c r="Q43" t="s">
        <v>90</v>
      </c>
      <c r="R43" t="s">
        <v>149</v>
      </c>
      <c r="S43" t="s">
        <v>150</v>
      </c>
      <c r="U43" t="s">
        <v>135</v>
      </c>
    </row>
    <row r="44" spans="1:31" x14ac:dyDescent="0.3">
      <c r="G44" s="7"/>
      <c r="H44" s="7"/>
      <c r="I44" s="7"/>
      <c r="K44" t="s">
        <v>129</v>
      </c>
      <c r="L44" t="s">
        <v>130</v>
      </c>
      <c r="M44" t="s">
        <v>131</v>
      </c>
      <c r="U44" t="s">
        <v>132</v>
      </c>
      <c r="V44" t="s">
        <v>133</v>
      </c>
      <c r="W44" t="s">
        <v>134</v>
      </c>
    </row>
    <row r="45" spans="1:31" ht="30.6" x14ac:dyDescent="0.3">
      <c r="A45" t="s">
        <v>91</v>
      </c>
      <c r="B45" s="7" t="s">
        <v>94</v>
      </c>
      <c r="C45" s="7" t="s">
        <v>95</v>
      </c>
      <c r="D45" s="7" t="s">
        <v>420</v>
      </c>
      <c r="E45" s="4" t="s">
        <v>444</v>
      </c>
      <c r="F45" t="s">
        <v>96</v>
      </c>
      <c r="I45">
        <v>0</v>
      </c>
      <c r="U45">
        <v>0</v>
      </c>
      <c r="V45">
        <v>0</v>
      </c>
      <c r="W45">
        <v>0</v>
      </c>
    </row>
    <row r="46" spans="1:31" x14ac:dyDescent="0.3">
      <c r="A46" s="5">
        <v>1</v>
      </c>
      <c r="B46" s="7">
        <v>170</v>
      </c>
      <c r="C46" s="6">
        <v>300</v>
      </c>
      <c r="D46" s="11" cm="1">
        <f t="array" ref="D46:D79">DistilledBoundingMethod!M2:M35</f>
        <v>1.9201957516247901E-2</v>
      </c>
      <c r="E46">
        <v>0</v>
      </c>
      <c r="F46">
        <v>18000</v>
      </c>
      <c r="G46" s="2" cm="1">
        <f t="array" ref="G46:G79">DistilledBoundingMethod!N2:N35</f>
        <v>3.5498608430005754E-2</v>
      </c>
      <c r="H46" s="2">
        <f>(G46)/$G$38</f>
        <v>2.4292189893197243E-4</v>
      </c>
      <c r="I46" s="2">
        <f t="shared" ref="I46:I79" si="15">((E46+G46)/$G$38)</f>
        <v>2.4292189893197243E-4</v>
      </c>
      <c r="K46" s="2">
        <f t="shared" ref="K46" si="16">((I46^2-H45^2)*PI())/(36*F46)</f>
        <v>2.860936388247578E-13</v>
      </c>
      <c r="L46" s="2">
        <f t="shared" ref="L46" si="17">(1/(PI()*PI()*F46))*(-(I46-H45)*PI()*PI()/3-2*PI()*(SQRT(1-PI()/3*I46)-SQRT(1-PI()/3*H45)))</f>
        <v>2.8613003144494788E-13</v>
      </c>
      <c r="M46" s="2">
        <f t="shared" ref="M46" si="18">(1/(PI()^2*F46))*LN((1-H45)/(1-I46))</f>
        <v>1.3675624639624005E-9</v>
      </c>
      <c r="N46" s="2">
        <f t="shared" ref="N46:N79" si="19">(I46&lt;0.05)*K46+((I46&gt;=0.05)*(I46&lt;0.9))*L46+(I46&gt;=0.9)*M46</f>
        <v>2.860936388247578E-13</v>
      </c>
      <c r="O46">
        <f t="shared" ref="O46:O79" si="20">10000/(273+B46)</f>
        <v>22.573363431151243</v>
      </c>
      <c r="P46">
        <f t="shared" ref="P46:P79" si="21">LN(N46)</f>
        <v>-28.882457229199119</v>
      </c>
      <c r="Q46">
        <f t="shared" ref="Q46:Q79" si="22">LOG10(N46)</f>
        <v>-12.543491798447862</v>
      </c>
      <c r="R46">
        <f t="shared" ref="R46:R79" si="23">$AI$2+$AH$2*O46</f>
        <v>-26.315300847055195</v>
      </c>
      <c r="S46">
        <f t="shared" ref="S46:S79" si="24">P46-R46</f>
        <v>-2.5671563821439243</v>
      </c>
      <c r="U46" s="2">
        <f t="shared" ref="U46:U79" si="25" xml:space="preserve"> (I46 * PI()) / (18 * F46)</f>
        <v>2.3554372008665642E-9</v>
      </c>
      <c r="V46" s="2">
        <f t="shared" ref="V46:V79" si="26" xml:space="preserve"> (1 / (PI()^2 * F46)) * (PI()^2 / 3 - PI()^2 / (3 * SQRT(1 - (PI() / 3) * I46)))</f>
        <v>-2.3558866909902421E-9</v>
      </c>
      <c r="W46" s="2">
        <f t="shared" ref="W46:W79" si="27" xml:space="preserve"> (-1) / (PI()^2 * F46 * (1 - I46))</f>
        <v>-5.6303223753995739E-6</v>
      </c>
    </row>
    <row r="47" spans="1:31" x14ac:dyDescent="0.3">
      <c r="A47" s="5">
        <v>2</v>
      </c>
      <c r="B47" s="7">
        <v>180</v>
      </c>
      <c r="C47" s="6">
        <v>463</v>
      </c>
      <c r="D47" s="11">
        <v>3.0467213114754099E-2</v>
      </c>
      <c r="E47">
        <v>0</v>
      </c>
      <c r="F47">
        <v>27780</v>
      </c>
      <c r="G47" s="2">
        <v>8.1744338181746742E-2</v>
      </c>
      <c r="H47" s="2">
        <f t="shared" ref="H47:H79" si="28">(G47)/$G$38</f>
        <v>5.5938783902476585E-4</v>
      </c>
      <c r="I47" s="2">
        <f t="shared" si="15"/>
        <v>5.5938783902476585E-4</v>
      </c>
      <c r="K47" s="2">
        <f t="shared" ref="K47:K79" si="29">((I47^2-H46^2)*PI())/(36*F47)</f>
        <v>7.9759820796111582E-13</v>
      </c>
      <c r="L47" s="2">
        <f t="shared" ref="L47:L79" si="30">(1/(PI()*PI()*F47))*(-(I47-H46)*PI()*PI()/3-2*PI()*(SQRT(1-PI()/3*I47)-SQRT(1-PI()/3*H46)))</f>
        <v>7.9786264060221599E-13</v>
      </c>
      <c r="M47" s="2">
        <f t="shared" ref="M47:M79" si="31">(1/(PI()^2*F47))*LN((1-H46)/(1-I47))</f>
        <v>1.154700215071864E-9</v>
      </c>
      <c r="N47" s="2">
        <f t="shared" si="19"/>
        <v>7.9759820796111582E-13</v>
      </c>
      <c r="O47">
        <f t="shared" si="20"/>
        <v>22.075055187637968</v>
      </c>
      <c r="P47">
        <f t="shared" si="21"/>
        <v>-27.857171423054552</v>
      </c>
      <c r="Q47">
        <f t="shared" si="22"/>
        <v>-12.09821583046555</v>
      </c>
      <c r="R47">
        <f t="shared" si="23"/>
        <v>-25.371480442642696</v>
      </c>
      <c r="S47">
        <f t="shared" si="24"/>
        <v>-2.4856909804118565</v>
      </c>
      <c r="U47">
        <f t="shared" si="25"/>
        <v>3.5144562946717748E-9</v>
      </c>
      <c r="V47" s="2">
        <f t="shared" si="26"/>
        <v>-3.5160010976919314E-9</v>
      </c>
      <c r="W47" s="2">
        <f t="shared" si="27"/>
        <v>-3.6493122103290659E-6</v>
      </c>
    </row>
    <row r="48" spans="1:31" x14ac:dyDescent="0.3">
      <c r="A48" s="5">
        <v>3</v>
      </c>
      <c r="B48" s="7">
        <v>190</v>
      </c>
      <c r="C48" s="6">
        <v>550</v>
      </c>
      <c r="D48" s="11">
        <v>5.5770491803278699E-2</v>
      </c>
      <c r="E48" s="2">
        <f>DistilledBoundingMethod!O4</f>
        <v>1.6987915797927026E-2</v>
      </c>
      <c r="F48">
        <v>33000</v>
      </c>
      <c r="G48" s="2">
        <v>0.1475409902094329</v>
      </c>
      <c r="H48" s="2">
        <f t="shared" si="28"/>
        <v>1.0096434507467587E-3</v>
      </c>
      <c r="I48" s="2">
        <f t="shared" si="15"/>
        <v>1.1258941137175557E-3</v>
      </c>
      <c r="K48" s="2">
        <f t="shared" si="29"/>
        <v>2.524705502845853E-12</v>
      </c>
      <c r="L48" s="2">
        <f t="shared" si="30"/>
        <v>2.5264406773410801E-12</v>
      </c>
      <c r="M48" s="2">
        <f t="shared" si="31"/>
        <v>1.7408331952730074E-9</v>
      </c>
      <c r="N48" s="2">
        <f t="shared" si="19"/>
        <v>2.524705502845853E-12</v>
      </c>
      <c r="O48">
        <f t="shared" si="20"/>
        <v>21.598272138228943</v>
      </c>
      <c r="P48">
        <f t="shared" si="21"/>
        <v>-26.704896692539624</v>
      </c>
      <c r="Q48">
        <f t="shared" si="22"/>
        <v>-11.597789273366359</v>
      </c>
      <c r="R48">
        <f t="shared" si="23"/>
        <v>-24.468429818118434</v>
      </c>
      <c r="S48">
        <f t="shared" si="24"/>
        <v>-2.2364668744211897</v>
      </c>
      <c r="U48">
        <f t="shared" si="25"/>
        <v>5.9547149433923642E-9</v>
      </c>
      <c r="V48" s="2">
        <f t="shared" si="26"/>
        <v>-5.9599857289046665E-9</v>
      </c>
      <c r="W48" s="2">
        <f t="shared" si="27"/>
        <v>-3.0737996712092208E-6</v>
      </c>
    </row>
    <row r="49" spans="1:26" x14ac:dyDescent="0.3">
      <c r="A49" s="5">
        <v>4</v>
      </c>
      <c r="B49" s="7">
        <v>200</v>
      </c>
      <c r="C49" s="6">
        <v>500</v>
      </c>
      <c r="D49" s="11">
        <v>0.102413793103448</v>
      </c>
      <c r="E49" s="2">
        <f>'Raw Data and Corrections'!BE17</f>
        <v>2.9669813641736882E-2</v>
      </c>
      <c r="F49">
        <v>30000</v>
      </c>
      <c r="G49" s="2">
        <v>0.25955013207236705</v>
      </c>
      <c r="H49" s="2">
        <f t="shared" si="28"/>
        <v>1.776137537204678E-3</v>
      </c>
      <c r="I49" s="2">
        <f t="shared" si="15"/>
        <v>1.9791721853098204E-3</v>
      </c>
      <c r="K49" s="2">
        <f t="shared" si="29"/>
        <v>8.4291916615096904E-12</v>
      </c>
      <c r="L49" s="2">
        <f t="shared" si="30"/>
        <v>8.4394463419005955E-12</v>
      </c>
      <c r="M49" s="2">
        <f t="shared" si="31"/>
        <v>3.2793609252419847E-9</v>
      </c>
      <c r="N49" s="2">
        <f t="shared" si="19"/>
        <v>8.4291916615096904E-12</v>
      </c>
      <c r="O49">
        <f t="shared" si="20"/>
        <v>21.141649048625794</v>
      </c>
      <c r="P49">
        <f t="shared" si="21"/>
        <v>-25.499320236826751</v>
      </c>
      <c r="Q49">
        <f t="shared" si="22"/>
        <v>-11.07421407113778</v>
      </c>
      <c r="R49">
        <f t="shared" si="23"/>
        <v>-23.603563152347835</v>
      </c>
      <c r="S49">
        <f t="shared" si="24"/>
        <v>-1.895757084478916</v>
      </c>
      <c r="U49">
        <f t="shared" si="25"/>
        <v>1.1514357032515905E-8</v>
      </c>
      <c r="V49" s="2">
        <f t="shared" si="26"/>
        <v>-1.1532286358304432E-8</v>
      </c>
      <c r="W49" s="2">
        <f t="shared" si="27"/>
        <v>-3.3840704461781311E-6</v>
      </c>
    </row>
    <row r="50" spans="1:26" x14ac:dyDescent="0.3">
      <c r="A50" s="5">
        <v>5</v>
      </c>
      <c r="B50" s="7">
        <v>210</v>
      </c>
      <c r="C50" s="6">
        <v>475</v>
      </c>
      <c r="D50" s="11">
        <v>0.145987300080372</v>
      </c>
      <c r="E50" s="2">
        <f>'Raw Data and Corrections'!BE21</f>
        <v>3.8308281275653229E-2</v>
      </c>
      <c r="F50">
        <v>28500</v>
      </c>
      <c r="G50" s="2">
        <v>0.42289759134912647</v>
      </c>
      <c r="H50" s="2">
        <f t="shared" si="28"/>
        <v>2.8939468471516762E-3</v>
      </c>
      <c r="I50" s="2">
        <f t="shared" si="15"/>
        <v>3.156095726892997E-3</v>
      </c>
      <c r="K50" s="2">
        <f t="shared" si="29"/>
        <v>2.0840687811124063E-11</v>
      </c>
      <c r="L50" s="2">
        <f t="shared" si="30"/>
        <v>2.0882200960601976E-11</v>
      </c>
      <c r="M50" s="2">
        <f t="shared" si="31"/>
        <v>4.9180590142884867E-9</v>
      </c>
      <c r="N50" s="2">
        <f t="shared" si="19"/>
        <v>2.0840687811124063E-11</v>
      </c>
      <c r="O50">
        <f t="shared" si="20"/>
        <v>20.703933747412009</v>
      </c>
      <c r="P50">
        <f t="shared" si="21"/>
        <v>-24.594113895215457</v>
      </c>
      <c r="Q50">
        <f t="shared" si="22"/>
        <v>-10.681087951992165</v>
      </c>
      <c r="R50">
        <f t="shared" si="23"/>
        <v>-22.774508770874153</v>
      </c>
      <c r="S50">
        <f t="shared" si="24"/>
        <v>-1.8196051243413045</v>
      </c>
      <c r="U50">
        <f t="shared" si="25"/>
        <v>1.9327811207861947E-8</v>
      </c>
      <c r="V50" s="2">
        <f t="shared" si="26"/>
        <v>-1.9375853163591725E-8</v>
      </c>
      <c r="W50" s="2">
        <f t="shared" si="27"/>
        <v>-3.5663851033936189E-6</v>
      </c>
    </row>
    <row r="51" spans="1:26" x14ac:dyDescent="0.3">
      <c r="A51" s="5">
        <v>6</v>
      </c>
      <c r="B51" s="7">
        <v>220</v>
      </c>
      <c r="C51" s="6">
        <v>450</v>
      </c>
      <c r="D51" s="11">
        <v>0.20905016447368399</v>
      </c>
      <c r="E51" s="2">
        <f>'Raw Data and Corrections'!BE25</f>
        <v>5.0257030981856542E-2</v>
      </c>
      <c r="F51">
        <v>27000</v>
      </c>
      <c r="G51" s="2">
        <v>0.65557350151594507</v>
      </c>
      <c r="H51" s="2">
        <f t="shared" si="28"/>
        <v>4.4861803580763587E-3</v>
      </c>
      <c r="I51" s="2">
        <f t="shared" si="15"/>
        <v>4.8300961886044115E-3</v>
      </c>
      <c r="K51" s="2">
        <f t="shared" si="29"/>
        <v>4.8335603502862907E-11</v>
      </c>
      <c r="L51" s="2">
        <f t="shared" si="30"/>
        <v>4.8485814101726787E-11</v>
      </c>
      <c r="M51" s="2">
        <f t="shared" si="31"/>
        <v>7.2938357931079878E-9</v>
      </c>
      <c r="N51" s="2">
        <f t="shared" si="19"/>
        <v>4.8335603502862907E-11</v>
      </c>
      <c r="O51">
        <f t="shared" si="20"/>
        <v>20.28397565922921</v>
      </c>
      <c r="P51">
        <f t="shared" si="21"/>
        <v>-23.752852694254344</v>
      </c>
      <c r="Q51">
        <f t="shared" si="22"/>
        <v>-10.315732854575449</v>
      </c>
      <c r="R51">
        <f t="shared" si="23"/>
        <v>-21.979087427188457</v>
      </c>
      <c r="S51">
        <f t="shared" si="24"/>
        <v>-1.7737652670658868</v>
      </c>
      <c r="U51">
        <f t="shared" si="25"/>
        <v>3.1222622844139257E-8</v>
      </c>
      <c r="V51" s="2">
        <f t="shared" si="26"/>
        <v>-3.1341568853506534E-8</v>
      </c>
      <c r="W51" s="2">
        <f t="shared" si="27"/>
        <v>-3.7708499994076331E-6</v>
      </c>
    </row>
    <row r="52" spans="1:26" x14ac:dyDescent="0.3">
      <c r="A52" s="5">
        <v>7</v>
      </c>
      <c r="B52" s="7">
        <v>230</v>
      </c>
      <c r="C52" s="6">
        <v>425</v>
      </c>
      <c r="D52" s="11">
        <v>0.32434102141680399</v>
      </c>
      <c r="E52" s="2">
        <f>'Raw Data and Corrections'!BE29</f>
        <v>7.2209604783353476E-2</v>
      </c>
      <c r="F52">
        <v>25500</v>
      </c>
      <c r="G52" s="2">
        <v>1.000444012224347</v>
      </c>
      <c r="H52" s="2">
        <f t="shared" si="28"/>
        <v>6.8461770749085223E-3</v>
      </c>
      <c r="I52" s="2">
        <f t="shared" si="15"/>
        <v>7.3403174114145689E-3</v>
      </c>
      <c r="K52" s="2">
        <f t="shared" si="29"/>
        <v>1.1551494334802194E-10</v>
      </c>
      <c r="L52" s="2">
        <f t="shared" si="30"/>
        <v>1.1606478593209539E-10</v>
      </c>
      <c r="M52" s="2">
        <f t="shared" si="31"/>
        <v>1.1408036724155487E-8</v>
      </c>
      <c r="N52" s="2">
        <f t="shared" si="19"/>
        <v>1.1551494334802194E-10</v>
      </c>
      <c r="O52">
        <f t="shared" si="20"/>
        <v>19.880715705765407</v>
      </c>
      <c r="P52">
        <f t="shared" si="21"/>
        <v>-22.881621214698971</v>
      </c>
      <c r="Q52">
        <f t="shared" si="22"/>
        <v>-9.9373618305441447</v>
      </c>
      <c r="R52">
        <f t="shared" si="23"/>
        <v>-21.215293174702982</v>
      </c>
      <c r="S52">
        <f t="shared" si="24"/>
        <v>-1.6663280399959888</v>
      </c>
      <c r="U52">
        <f t="shared" si="25"/>
        <v>5.0240277243392718E-8</v>
      </c>
      <c r="V52" s="2">
        <f t="shared" si="26"/>
        <v>-5.0531783935890111E-8</v>
      </c>
      <c r="W52" s="2">
        <f t="shared" si="27"/>
        <v>-4.0027612890637635E-6</v>
      </c>
    </row>
    <row r="53" spans="1:26" x14ac:dyDescent="0.3">
      <c r="A53" s="5">
        <v>8</v>
      </c>
      <c r="B53" s="7">
        <v>225</v>
      </c>
      <c r="C53" s="6">
        <v>908</v>
      </c>
      <c r="D53" s="11">
        <v>0.34826732673267302</v>
      </c>
      <c r="E53" s="2">
        <f>'Raw Data and Corrections'!BE33</f>
        <v>3.4625205848866775E-2</v>
      </c>
      <c r="F53">
        <v>54480</v>
      </c>
      <c r="G53" s="2">
        <v>1.3643577781885887</v>
      </c>
      <c r="H53" s="2">
        <f t="shared" si="28"/>
        <v>9.3364894275695144E-3</v>
      </c>
      <c r="I53" s="2">
        <f t="shared" si="15"/>
        <v>9.5734345115522281E-3</v>
      </c>
      <c r="K53" s="2">
        <f t="shared" si="29"/>
        <v>7.1729745037564917E-11</v>
      </c>
      <c r="L53" s="2">
        <f t="shared" si="30"/>
        <v>7.2199940888384324E-11</v>
      </c>
      <c r="M53" s="2">
        <f t="shared" si="31"/>
        <v>5.1141063356433262E-9</v>
      </c>
      <c r="N53" s="2">
        <f t="shared" si="19"/>
        <v>7.1729745037564917E-11</v>
      </c>
      <c r="O53">
        <f t="shared" si="20"/>
        <v>20.080321285140563</v>
      </c>
      <c r="P53">
        <f t="shared" si="21"/>
        <v>-23.358115600270732</v>
      </c>
      <c r="Q53">
        <f t="shared" si="22"/>
        <v>-10.144300712855841</v>
      </c>
      <c r="R53">
        <f t="shared" si="23"/>
        <v>-21.593355992449307</v>
      </c>
      <c r="S53">
        <f t="shared" si="24"/>
        <v>-1.7647596078214249</v>
      </c>
      <c r="U53">
        <f t="shared" si="25"/>
        <v>3.0669594888150056E-8</v>
      </c>
      <c r="V53" s="2">
        <f t="shared" si="26"/>
        <v>-3.0902141886676097E-8</v>
      </c>
      <c r="W53" s="2">
        <f t="shared" si="27"/>
        <v>-1.8777634227316598E-6</v>
      </c>
    </row>
    <row r="54" spans="1:26" x14ac:dyDescent="0.3">
      <c r="A54" s="5">
        <v>9</v>
      </c>
      <c r="B54" s="7">
        <v>215</v>
      </c>
      <c r="C54" s="6">
        <v>450</v>
      </c>
      <c r="D54" s="11">
        <v>7.1590909090909094E-2</v>
      </c>
      <c r="E54" s="2">
        <f>'Raw Data and Corrections'!BE38</f>
        <v>1.8584746842407716E-2</v>
      </c>
      <c r="F54">
        <v>27000</v>
      </c>
      <c r="G54" s="2">
        <v>1.4527785385191672</v>
      </c>
      <c r="H54" s="2">
        <f t="shared" si="28"/>
        <v>9.9415649489625509E-3</v>
      </c>
      <c r="I54" s="2">
        <f t="shared" si="15"/>
        <v>1.0068742948151712E-2</v>
      </c>
      <c r="K54" s="2">
        <f t="shared" si="29"/>
        <v>4.592656072671644E-11</v>
      </c>
      <c r="L54" s="2">
        <f t="shared" si="30"/>
        <v>4.6279700588793644E-11</v>
      </c>
      <c r="M54" s="2">
        <f t="shared" si="31"/>
        <v>2.7748042237912485E-9</v>
      </c>
      <c r="N54" s="2">
        <f t="shared" si="19"/>
        <v>4.592656072671644E-11</v>
      </c>
      <c r="O54">
        <f t="shared" si="20"/>
        <v>20.491803278688526</v>
      </c>
      <c r="P54">
        <f t="shared" si="21"/>
        <v>-23.803977501154044</v>
      </c>
      <c r="Q54">
        <f t="shared" si="22"/>
        <v>-10.337936076100359</v>
      </c>
      <c r="R54">
        <f t="shared" si="23"/>
        <v>-22.372723194606682</v>
      </c>
      <c r="S54">
        <f t="shared" si="24"/>
        <v>-1.4312543065473626</v>
      </c>
      <c r="U54">
        <f t="shared" si="25"/>
        <v>6.5086191104521506E-8</v>
      </c>
      <c r="V54" s="2">
        <f t="shared" si="26"/>
        <v>-6.5605455499300809E-8</v>
      </c>
      <c r="W54" s="2">
        <f t="shared" si="27"/>
        <v>-3.7908050730447321E-6</v>
      </c>
    </row>
    <row r="55" spans="1:26" x14ac:dyDescent="0.3">
      <c r="A55" s="5">
        <v>10</v>
      </c>
      <c r="B55" s="7">
        <v>205</v>
      </c>
      <c r="C55" s="6">
        <v>520</v>
      </c>
      <c r="D55" s="11">
        <v>3.8451904805222398E-2</v>
      </c>
      <c r="E55" s="2">
        <f>'Raw Data and Corrections'!BE43</f>
        <v>9.7567832307909347E-3</v>
      </c>
      <c r="F55">
        <v>31200</v>
      </c>
      <c r="G55" s="2">
        <v>1.5131325924103853</v>
      </c>
      <c r="H55" s="2">
        <f t="shared" si="28"/>
        <v>1.0354576107087402E-2</v>
      </c>
      <c r="I55" s="2">
        <f t="shared" si="15"/>
        <v>1.0421343127393696E-2</v>
      </c>
      <c r="K55" s="2">
        <f t="shared" si="29"/>
        <v>2.7325811609480088E-11</v>
      </c>
      <c r="L55" s="2">
        <f t="shared" si="30"/>
        <v>2.7546323621696623E-11</v>
      </c>
      <c r="M55" s="2">
        <f t="shared" si="31"/>
        <v>1.5740936738072653E-9</v>
      </c>
      <c r="N55" s="2">
        <f t="shared" si="19"/>
        <v>2.7325811609480088E-11</v>
      </c>
      <c r="O55">
        <f t="shared" si="20"/>
        <v>20.92050209205021</v>
      </c>
      <c r="P55">
        <f t="shared" si="21"/>
        <v>-24.32318938022177</v>
      </c>
      <c r="Q55">
        <f t="shared" si="22"/>
        <v>-10.563426930118091</v>
      </c>
      <c r="R55">
        <f t="shared" si="23"/>
        <v>-23.184699903130483</v>
      </c>
      <c r="S55">
        <f t="shared" si="24"/>
        <v>-1.1384894770912872</v>
      </c>
      <c r="U55">
        <f t="shared" si="25"/>
        <v>5.8297035273430398E-8</v>
      </c>
      <c r="V55" s="2">
        <f t="shared" si="26"/>
        <v>-5.8778572158875226E-8</v>
      </c>
      <c r="W55" s="2">
        <f t="shared" si="27"/>
        <v>-3.2816732779518488E-6</v>
      </c>
    </row>
    <row r="56" spans="1:26" x14ac:dyDescent="0.3">
      <c r="A56" s="5">
        <v>11</v>
      </c>
      <c r="B56" s="7">
        <v>195</v>
      </c>
      <c r="C56" s="6">
        <v>1106</v>
      </c>
      <c r="D56" s="11">
        <v>3.3582644628099102E-2</v>
      </c>
      <c r="E56" s="2">
        <f>'Raw Data and Corrections'!BE47</f>
        <v>4.0877758151822369E-3</v>
      </c>
      <c r="F56">
        <v>66360</v>
      </c>
      <c r="G56" s="2">
        <v>1.5941014420436159</v>
      </c>
      <c r="H56" s="2">
        <f t="shared" si="28"/>
        <v>1.0908657170462722E-2</v>
      </c>
      <c r="I56" s="2">
        <f t="shared" si="15"/>
        <v>1.0936630387085854E-2</v>
      </c>
      <c r="K56" s="2">
        <f t="shared" si="29"/>
        <v>1.6296890730382618E-11</v>
      </c>
      <c r="L56" s="2">
        <f t="shared" si="30"/>
        <v>1.6434462874418664E-11</v>
      </c>
      <c r="M56" s="2">
        <f t="shared" si="31"/>
        <v>8.9826709014692145E-10</v>
      </c>
      <c r="N56" s="2">
        <f t="shared" si="19"/>
        <v>1.6296890730382618E-11</v>
      </c>
      <c r="O56">
        <f t="shared" si="20"/>
        <v>21.367521367521366</v>
      </c>
      <c r="P56">
        <f t="shared" si="21"/>
        <v>-24.840046779048713</v>
      </c>
      <c r="Q56">
        <f t="shared" si="22"/>
        <v>-10.787895246359499</v>
      </c>
      <c r="R56">
        <f t="shared" si="23"/>
        <v>-24.0313764709929</v>
      </c>
      <c r="S56">
        <f t="shared" si="24"/>
        <v>-0.80867030805581308</v>
      </c>
      <c r="U56">
        <f t="shared" si="25"/>
        <v>2.876434739727397E-8</v>
      </c>
      <c r="V56" s="2">
        <f t="shared" si="26"/>
        <v>-2.9013803865329432E-8</v>
      </c>
      <c r="W56" s="2">
        <f t="shared" si="27"/>
        <v>-1.5437243670890847E-6</v>
      </c>
    </row>
    <row r="57" spans="1:26" x14ac:dyDescent="0.3">
      <c r="A57" s="5">
        <v>12</v>
      </c>
      <c r="B57" s="7">
        <v>185</v>
      </c>
      <c r="C57" s="6">
        <v>740</v>
      </c>
      <c r="D57" s="11">
        <v>7.9399336711820697E-3</v>
      </c>
      <c r="E57" s="2">
        <f>'Raw Data and Corrections'!BE51</f>
        <v>1.8134793264172192E-3</v>
      </c>
      <c r="F57">
        <v>44400</v>
      </c>
      <c r="G57" s="2">
        <v>1.6199227189983803</v>
      </c>
      <c r="H57" s="2">
        <f t="shared" si="28"/>
        <v>1.1085355748466636E-2</v>
      </c>
      <c r="I57" s="2">
        <f t="shared" si="15"/>
        <v>1.1097765638913914E-2</v>
      </c>
      <c r="K57" s="2">
        <f t="shared" si="29"/>
        <v>8.1794637495282083E-12</v>
      </c>
      <c r="L57" s="2">
        <f t="shared" si="30"/>
        <v>8.2508373153497896E-12</v>
      </c>
      <c r="M57" s="2">
        <f t="shared" si="31"/>
        <v>4.36348393954406E-10</v>
      </c>
      <c r="N57" s="2">
        <f t="shared" si="19"/>
        <v>8.1794637495282083E-12</v>
      </c>
      <c r="O57">
        <f t="shared" si="20"/>
        <v>21.834061135371179</v>
      </c>
      <c r="P57">
        <f t="shared" si="21"/>
        <v>-25.529394523755194</v>
      </c>
      <c r="Q57">
        <f t="shared" si="22"/>
        <v>-11.087275167997976</v>
      </c>
      <c r="R57">
        <f t="shared" si="23"/>
        <v>-24.915025814744514</v>
      </c>
      <c r="S57">
        <f t="shared" si="24"/>
        <v>-0.61436870901068019</v>
      </c>
      <c r="U57">
        <f t="shared" si="25"/>
        <v>4.3624448201292779E-8</v>
      </c>
      <c r="V57" s="2">
        <f t="shared" si="26"/>
        <v>-4.4008406383499748E-8</v>
      </c>
      <c r="W57" s="2">
        <f t="shared" si="27"/>
        <v>-2.3076180448389446E-6</v>
      </c>
    </row>
    <row r="58" spans="1:26" x14ac:dyDescent="0.3">
      <c r="A58" s="5">
        <v>13</v>
      </c>
      <c r="B58" s="7">
        <v>175</v>
      </c>
      <c r="C58" s="6">
        <v>920</v>
      </c>
      <c r="D58" s="11">
        <v>1.5191836823502501E-2</v>
      </c>
      <c r="E58" s="2">
        <f>'Raw Data and Corrections'!BE55</f>
        <v>3.1650678213308433E-3</v>
      </c>
      <c r="F58">
        <v>55200</v>
      </c>
      <c r="G58" s="2">
        <v>1.6440058651952798</v>
      </c>
      <c r="H58" s="2">
        <f t="shared" si="28"/>
        <v>1.1250160056724029E-2</v>
      </c>
      <c r="I58" s="2">
        <f t="shared" si="15"/>
        <v>1.1271819054623121E-2</v>
      </c>
      <c r="K58" s="2">
        <f t="shared" si="29"/>
        <v>6.5905035302077537E-12</v>
      </c>
      <c r="L58" s="2">
        <f t="shared" si="30"/>
        <v>6.6489374716981897E-12</v>
      </c>
      <c r="M58" s="2">
        <f t="shared" si="31"/>
        <v>3.4612797071542285E-10</v>
      </c>
      <c r="N58" s="2">
        <f t="shared" si="19"/>
        <v>6.5905035302077537E-12</v>
      </c>
      <c r="O58">
        <f t="shared" si="20"/>
        <v>22.321428571428573</v>
      </c>
      <c r="P58">
        <f t="shared" si="21"/>
        <v>-25.745391362107334</v>
      </c>
      <c r="Q58">
        <f t="shared" si="22"/>
        <v>-11.181081403002858</v>
      </c>
      <c r="R58">
        <f t="shared" si="23"/>
        <v>-25.838123789913613</v>
      </c>
      <c r="S58">
        <f t="shared" si="24"/>
        <v>9.2732427806279105E-2</v>
      </c>
      <c r="U58">
        <f t="shared" si="25"/>
        <v>3.5639557100037689E-8</v>
      </c>
      <c r="V58" s="2">
        <f t="shared" si="26"/>
        <v>-3.5958205263040734E-8</v>
      </c>
      <c r="W58" s="2">
        <f t="shared" si="27"/>
        <v>-1.8564543061953965E-6</v>
      </c>
    </row>
    <row r="59" spans="1:26" x14ac:dyDescent="0.3">
      <c r="A59" s="5">
        <v>14</v>
      </c>
      <c r="B59" s="7">
        <v>200</v>
      </c>
      <c r="C59" s="6">
        <v>260</v>
      </c>
      <c r="D59" s="11">
        <v>1.0662386255492901E-2</v>
      </c>
      <c r="E59" s="2">
        <f>'Raw Data and Corrections'!BE59</f>
        <v>7.6204226029924606E-3</v>
      </c>
      <c r="F59">
        <v>15600</v>
      </c>
      <c r="G59" s="2">
        <v>1.6548136201808463</v>
      </c>
      <c r="H59" s="2">
        <f t="shared" si="28"/>
        <v>1.1324119022452559E-2</v>
      </c>
      <c r="I59" s="2">
        <f t="shared" si="15"/>
        <v>1.1376266630802703E-2</v>
      </c>
      <c r="K59" s="2">
        <f t="shared" si="29"/>
        <v>1.5961601860929975E-11</v>
      </c>
      <c r="L59" s="2">
        <f t="shared" si="30"/>
        <v>1.6104843077952227E-11</v>
      </c>
      <c r="M59" s="2">
        <f t="shared" si="31"/>
        <v>8.284277807398674E-10</v>
      </c>
      <c r="N59" s="2">
        <f t="shared" si="19"/>
        <v>1.5961601860929975E-11</v>
      </c>
      <c r="O59">
        <f t="shared" si="20"/>
        <v>21.141649048625794</v>
      </c>
      <c r="P59">
        <f t="shared" si="21"/>
        <v>-24.860835161717148</v>
      </c>
      <c r="Q59">
        <f t="shared" si="22"/>
        <v>-10.796923526240095</v>
      </c>
      <c r="R59">
        <f t="shared" si="23"/>
        <v>-23.603563152347835</v>
      </c>
      <c r="S59">
        <f t="shared" si="24"/>
        <v>-1.2572720093693128</v>
      </c>
      <c r="U59">
        <f t="shared" si="25"/>
        <v>1.2727776236683932E-7</v>
      </c>
      <c r="V59" s="2">
        <f t="shared" si="26"/>
        <v>-1.2842638514969249E-7</v>
      </c>
      <c r="W59" s="2">
        <f t="shared" si="27"/>
        <v>-6.5696861709419603E-6</v>
      </c>
    </row>
    <row r="60" spans="1:26" x14ac:dyDescent="0.3">
      <c r="A60" s="5">
        <v>15</v>
      </c>
      <c r="B60" s="7">
        <v>209.99</v>
      </c>
      <c r="C60" s="6">
        <v>520</v>
      </c>
      <c r="D60" s="11">
        <v>0.21658617347290901</v>
      </c>
      <c r="E60" s="2">
        <f>'Raw Data and Corrections'!BE61</f>
        <v>5.077086075528895E-2</v>
      </c>
      <c r="F60">
        <v>31200</v>
      </c>
      <c r="G60" s="2">
        <v>2.3578929916624825</v>
      </c>
      <c r="H60" s="2">
        <f t="shared" si="28"/>
        <v>1.6135388634808713E-2</v>
      </c>
      <c r="I60" s="2">
        <f t="shared" si="15"/>
        <v>1.6482820673712543E-2</v>
      </c>
      <c r="K60" s="2">
        <f t="shared" si="29"/>
        <v>4.0122352073232549E-10</v>
      </c>
      <c r="L60" s="2">
        <f t="shared" si="30"/>
        <v>4.0571077041118161E-10</v>
      </c>
      <c r="M60" s="2">
        <f t="shared" si="31"/>
        <v>1.6988992789940083E-8</v>
      </c>
      <c r="N60" s="2">
        <f t="shared" si="19"/>
        <v>4.0122352073232549E-10</v>
      </c>
      <c r="O60">
        <f t="shared" si="20"/>
        <v>20.704362409159611</v>
      </c>
      <c r="P60">
        <f t="shared" si="21"/>
        <v>-21.636502435606246</v>
      </c>
      <c r="Q60">
        <f t="shared" si="22"/>
        <v>-9.396613615470061</v>
      </c>
      <c r="R60">
        <f t="shared" si="23"/>
        <v>-22.7753206773783</v>
      </c>
      <c r="S60">
        <f t="shared" si="24"/>
        <v>1.1388182417720536</v>
      </c>
      <c r="U60">
        <f t="shared" si="25"/>
        <v>9.22049649910493E-8</v>
      </c>
      <c r="V60" s="2">
        <f t="shared" si="26"/>
        <v>-9.3416044258780392E-8</v>
      </c>
      <c r="W60" s="2">
        <f t="shared" si="27"/>
        <v>-3.3018984344684695E-6</v>
      </c>
    </row>
    <row r="61" spans="1:26" x14ac:dyDescent="0.3">
      <c r="A61" s="5">
        <v>16</v>
      </c>
      <c r="B61" s="7">
        <v>219.98</v>
      </c>
      <c r="C61" s="6">
        <v>1167</v>
      </c>
      <c r="D61" s="11">
        <v>0.31868729096989901</v>
      </c>
      <c r="E61" s="2">
        <f>'Raw Data and Corrections'!BE65</f>
        <v>2.5747603489509538E-2</v>
      </c>
      <c r="F61">
        <v>70020</v>
      </c>
      <c r="G61" s="2">
        <v>2.9503223326902375</v>
      </c>
      <c r="H61" s="2">
        <f t="shared" si="28"/>
        <v>2.018946474850318E-2</v>
      </c>
      <c r="I61" s="2">
        <f t="shared" si="15"/>
        <v>2.0365659168770433E-2</v>
      </c>
      <c r="K61" s="2">
        <f t="shared" si="29"/>
        <v>1.9244150261084094E-10</v>
      </c>
      <c r="L61" s="2">
        <f t="shared" si="30"/>
        <v>1.9525758583013915E-10</v>
      </c>
      <c r="M61" s="2">
        <f t="shared" si="31"/>
        <v>6.2351410750238807E-9</v>
      </c>
      <c r="N61" s="2">
        <f t="shared" si="19"/>
        <v>1.9244150261084094E-10</v>
      </c>
      <c r="O61">
        <f t="shared" si="20"/>
        <v>20.28479857195018</v>
      </c>
      <c r="P61">
        <f t="shared" si="21"/>
        <v>-22.371228890923451</v>
      </c>
      <c r="Q61">
        <f t="shared" si="22"/>
        <v>-9.7157012607226587</v>
      </c>
      <c r="R61">
        <f t="shared" si="23"/>
        <v>-21.980646064492195</v>
      </c>
      <c r="S61">
        <f t="shared" si="24"/>
        <v>-0.39058282643125608</v>
      </c>
      <c r="U61">
        <f t="shared" si="25"/>
        <v>5.0763754189376693E-8</v>
      </c>
      <c r="V61" s="2">
        <f t="shared" si="26"/>
        <v>-5.1590433399880274E-8</v>
      </c>
      <c r="W61" s="2">
        <f t="shared" si="27"/>
        <v>-1.4771144523684904E-6</v>
      </c>
    </row>
    <row r="62" spans="1:26" x14ac:dyDescent="0.3">
      <c r="A62" s="5">
        <v>17</v>
      </c>
      <c r="B62" s="7">
        <v>229.99</v>
      </c>
      <c r="C62" s="6">
        <v>370</v>
      </c>
      <c r="D62" s="11">
        <v>0.21132607073022699</v>
      </c>
      <c r="E62" s="2">
        <f>'Raw Data and Corrections'!BE69</f>
        <v>5.5900246885354443E-2</v>
      </c>
      <c r="F62">
        <v>22200</v>
      </c>
      <c r="G62" s="2">
        <v>3.214413338430429</v>
      </c>
      <c r="H62" s="2">
        <f t="shared" si="28"/>
        <v>2.1996676113753062E-2</v>
      </c>
      <c r="I62" s="2">
        <f t="shared" si="15"/>
        <v>2.2379209253071228E-2</v>
      </c>
      <c r="K62" s="2">
        <f t="shared" si="29"/>
        <v>3.6641898288233744E-10</v>
      </c>
      <c r="L62" s="2">
        <f t="shared" si="30"/>
        <v>3.7266604373568729E-10</v>
      </c>
      <c r="M62" s="2">
        <f t="shared" si="31"/>
        <v>1.0211378347233778E-8</v>
      </c>
      <c r="N62" s="2">
        <f t="shared" si="19"/>
        <v>3.6641898288233744E-10</v>
      </c>
      <c r="O62">
        <f t="shared" si="20"/>
        <v>19.881110956480249</v>
      </c>
      <c r="P62">
        <f t="shared" si="21"/>
        <v>-21.727243675293938</v>
      </c>
      <c r="Q62">
        <f t="shared" si="22"/>
        <v>-9.4360220351474862</v>
      </c>
      <c r="R62">
        <f t="shared" si="23"/>
        <v>-21.216041799062264</v>
      </c>
      <c r="S62">
        <f t="shared" si="24"/>
        <v>-0.51120187623167368</v>
      </c>
      <c r="U62">
        <f t="shared" si="25"/>
        <v>1.7594184029679E-7</v>
      </c>
      <c r="V62" s="2">
        <f t="shared" si="26"/>
        <v>-1.7909595728865594E-7</v>
      </c>
      <c r="W62" s="2">
        <f t="shared" si="27"/>
        <v>-4.6684944964185484E-6</v>
      </c>
    </row>
    <row r="63" spans="1:26" x14ac:dyDescent="0.3">
      <c r="A63" s="5">
        <v>18</v>
      </c>
      <c r="B63" s="7">
        <v>240</v>
      </c>
      <c r="C63" s="6">
        <v>320</v>
      </c>
      <c r="D63" s="11">
        <v>0.42862847782896701</v>
      </c>
      <c r="E63" s="2">
        <f>'Raw Data and Corrections'!BE73</f>
        <v>0.11775479646228286</v>
      </c>
      <c r="F63">
        <v>19200</v>
      </c>
      <c r="G63" s="2">
        <v>3.8370569266360577</v>
      </c>
      <c r="H63" s="2">
        <f t="shared" si="28"/>
        <v>2.6257512509719468E-2</v>
      </c>
      <c r="I63" s="2">
        <f t="shared" si="15"/>
        <v>2.7063324907165072E-2</v>
      </c>
      <c r="K63" s="2">
        <f t="shared" si="29"/>
        <v>1.1297815998342089E-9</v>
      </c>
      <c r="L63" s="2">
        <f t="shared" si="30"/>
        <v>1.1521070085241971E-9</v>
      </c>
      <c r="M63" s="2">
        <f t="shared" si="31"/>
        <v>2.7409864350046971E-8</v>
      </c>
      <c r="N63" s="2">
        <f t="shared" si="19"/>
        <v>1.1297815998342089E-9</v>
      </c>
      <c r="O63">
        <f t="shared" si="20"/>
        <v>19.49317738791423</v>
      </c>
      <c r="P63">
        <f t="shared" si="21"/>
        <v>-20.601241497385082</v>
      </c>
      <c r="Q63">
        <f t="shared" si="22"/>
        <v>-8.9470055026706259</v>
      </c>
      <c r="R63">
        <f t="shared" si="23"/>
        <v>-20.481276475920641</v>
      </c>
      <c r="S63">
        <f t="shared" si="24"/>
        <v>-0.11996502146444143</v>
      </c>
      <c r="U63">
        <f t="shared" si="25"/>
        <v>2.4601256571198917E-7</v>
      </c>
      <c r="V63" s="2">
        <f t="shared" si="26"/>
        <v>-2.5136832209149333E-7</v>
      </c>
      <c r="W63" s="2">
        <f t="shared" si="27"/>
        <v>-5.4239346881113606E-6</v>
      </c>
      <c r="Y63" s="2"/>
      <c r="Z63" s="2"/>
    </row>
    <row r="64" spans="1:26" x14ac:dyDescent="0.3">
      <c r="A64" s="5">
        <v>19</v>
      </c>
      <c r="B64" s="7">
        <v>245</v>
      </c>
      <c r="C64" s="6">
        <v>250</v>
      </c>
      <c r="D64" s="11">
        <v>0.39881989764248399</v>
      </c>
      <c r="E64" s="2">
        <f>'Raw Data and Corrections'!BE77</f>
        <v>0.1402214195171109</v>
      </c>
      <c r="F64">
        <v>15000</v>
      </c>
      <c r="G64" s="2">
        <v>4.2823756563482975</v>
      </c>
      <c r="H64" s="2">
        <f t="shared" si="28"/>
        <v>2.9304890315104994E-2</v>
      </c>
      <c r="I64" s="2">
        <f t="shared" si="15"/>
        <v>3.0264444928835746E-2</v>
      </c>
      <c r="K64" s="2">
        <f t="shared" si="29"/>
        <v>1.3176052731815691E-9</v>
      </c>
      <c r="L64" s="2">
        <f t="shared" si="30"/>
        <v>1.3476442704169779E-9</v>
      </c>
      <c r="M64" s="2">
        <f t="shared" si="31"/>
        <v>2.785300043455249E-8</v>
      </c>
      <c r="N64" s="2">
        <f t="shared" si="19"/>
        <v>1.3176052731815691E-9</v>
      </c>
      <c r="O64">
        <f t="shared" si="20"/>
        <v>19.305019305019304</v>
      </c>
      <c r="P64">
        <f t="shared" si="21"/>
        <v>-20.447449934962037</v>
      </c>
      <c r="Q64">
        <f t="shared" si="22"/>
        <v>-8.8802146757470179</v>
      </c>
      <c r="R64">
        <f t="shared" si="23"/>
        <v>-20.124895781434621</v>
      </c>
      <c r="S64">
        <f t="shared" si="24"/>
        <v>-0.32255415352741679</v>
      </c>
      <c r="U64">
        <f t="shared" si="25"/>
        <v>3.5214280686445646E-7</v>
      </c>
      <c r="V64" s="2">
        <f t="shared" si="26"/>
        <v>-3.6074049071817956E-7</v>
      </c>
      <c r="W64" s="2">
        <f t="shared" si="27"/>
        <v>-6.9655542078790274E-6</v>
      </c>
    </row>
    <row r="65" spans="1:23" x14ac:dyDescent="0.3">
      <c r="A65" s="5">
        <v>20</v>
      </c>
      <c r="B65" s="7">
        <v>249.99</v>
      </c>
      <c r="C65" s="6">
        <v>210</v>
      </c>
      <c r="D65" s="11">
        <v>0.443959731543624</v>
      </c>
      <c r="E65" s="2">
        <f>'Raw Data and Corrections'!BE81</f>
        <v>0.18328170319118076</v>
      </c>
      <c r="F65">
        <v>12600</v>
      </c>
      <c r="G65" s="2">
        <v>4.772238578295827</v>
      </c>
      <c r="H65" s="2">
        <f t="shared" si="28"/>
        <v>3.2657090203460991E-2</v>
      </c>
      <c r="I65" s="2">
        <f t="shared" si="15"/>
        <v>3.3911312308152114E-2</v>
      </c>
      <c r="K65" s="2">
        <f t="shared" si="29"/>
        <v>2.016828418484876E-9</v>
      </c>
      <c r="L65" s="2">
        <f t="shared" si="30"/>
        <v>2.0684147238590269E-9</v>
      </c>
      <c r="M65" s="2">
        <f t="shared" si="31"/>
        <v>3.8251027162927464E-8</v>
      </c>
      <c r="N65" s="2">
        <f t="shared" si="19"/>
        <v>2.016828418484876E-9</v>
      </c>
      <c r="O65">
        <f t="shared" si="20"/>
        <v>19.120824489952007</v>
      </c>
      <c r="P65">
        <f t="shared" si="21"/>
        <v>-20.021739649275059</v>
      </c>
      <c r="Q65">
        <f t="shared" si="22"/>
        <v>-8.6953310477837071</v>
      </c>
      <c r="R65">
        <f t="shared" si="23"/>
        <v>-19.776021711798908</v>
      </c>
      <c r="S65">
        <f t="shared" si="24"/>
        <v>-0.24571793747615089</v>
      </c>
      <c r="U65">
        <f t="shared" si="25"/>
        <v>4.6973337575343832E-7</v>
      </c>
      <c r="V65" s="2">
        <f t="shared" si="26"/>
        <v>-4.8262631891345591E-7</v>
      </c>
      <c r="W65" s="2">
        <f t="shared" si="27"/>
        <v>-8.323628962419715E-6</v>
      </c>
    </row>
    <row r="66" spans="1:23" x14ac:dyDescent="0.3">
      <c r="A66" s="5">
        <v>21</v>
      </c>
      <c r="B66" s="7">
        <v>244.909999999999</v>
      </c>
      <c r="C66" s="6">
        <v>270</v>
      </c>
      <c r="D66" s="11">
        <v>0.312337571455232</v>
      </c>
      <c r="E66" s="2">
        <f>'Raw Data and Corrections'!BE85</f>
        <v>9.9572914304118187E-2</v>
      </c>
      <c r="F66">
        <v>16200</v>
      </c>
      <c r="G66" s="2">
        <v>5.1104463241871612</v>
      </c>
      <c r="H66" s="2">
        <f t="shared" si="28"/>
        <v>3.4971492696939561E-2</v>
      </c>
      <c r="I66" s="2">
        <f t="shared" si="15"/>
        <v>3.5652883954082511E-2</v>
      </c>
      <c r="K66" s="2">
        <f t="shared" si="29"/>
        <v>1.1023725461872389E-9</v>
      </c>
      <c r="L66" s="2">
        <f t="shared" si="30"/>
        <v>1.1328746511310229E-9</v>
      </c>
      <c r="M66" s="2">
        <f t="shared" si="31"/>
        <v>1.9399478576946034E-8</v>
      </c>
      <c r="N66" s="2">
        <f t="shared" si="19"/>
        <v>1.1023725461872389E-9</v>
      </c>
      <c r="O66">
        <f t="shared" si="20"/>
        <v>19.308374041821978</v>
      </c>
      <c r="P66">
        <f t="shared" si="21"/>
        <v>-20.625801119655563</v>
      </c>
      <c r="Q66">
        <f t="shared" si="22"/>
        <v>-8.9576716111003236</v>
      </c>
      <c r="R66">
        <f t="shared" si="23"/>
        <v>-20.131249818493036</v>
      </c>
      <c r="S66">
        <f t="shared" si="24"/>
        <v>-0.49455130116252732</v>
      </c>
      <c r="U66">
        <f t="shared" si="25"/>
        <v>3.8411124248777448E-7</v>
      </c>
      <c r="V66" s="2">
        <f t="shared" si="26"/>
        <v>-3.9521297113727173E-7</v>
      </c>
      <c r="W66" s="2">
        <f t="shared" si="27"/>
        <v>-6.4856252981196827E-6</v>
      </c>
    </row>
    <row r="67" spans="1:23" x14ac:dyDescent="0.3">
      <c r="A67" s="5">
        <v>22</v>
      </c>
      <c r="B67" s="7">
        <v>239.99</v>
      </c>
      <c r="C67" s="6">
        <v>320</v>
      </c>
      <c r="D67" s="11">
        <v>0.19266524672441601</v>
      </c>
      <c r="E67" s="2">
        <f>'Raw Data and Corrections'!BE89</f>
        <v>5.293752545351068E-2</v>
      </c>
      <c r="F67">
        <v>19200</v>
      </c>
      <c r="G67" s="2">
        <v>5.3197430414998124</v>
      </c>
      <c r="H67" s="2">
        <f t="shared" si="28"/>
        <v>3.6403739149925646E-2</v>
      </c>
      <c r="I67" s="2">
        <f t="shared" si="15"/>
        <v>3.6765997975740816E-2</v>
      </c>
      <c r="K67" s="2">
        <f t="shared" si="29"/>
        <v>5.8510938579239385E-10</v>
      </c>
      <c r="L67" s="2">
        <f t="shared" si="30"/>
        <v>6.0212993010858324E-10</v>
      </c>
      <c r="M67" s="2">
        <f t="shared" si="31"/>
        <v>9.822176404039181E-9</v>
      </c>
      <c r="N67" s="2">
        <f t="shared" si="19"/>
        <v>5.8510938579239385E-10</v>
      </c>
      <c r="O67">
        <f t="shared" si="20"/>
        <v>19.493557379286145</v>
      </c>
      <c r="P67">
        <f t="shared" si="21"/>
        <v>-21.259222301915567</v>
      </c>
      <c r="Q67">
        <f t="shared" si="22"/>
        <v>-9.2327629352764777</v>
      </c>
      <c r="R67">
        <f t="shared" si="23"/>
        <v>-20.481996198331384</v>
      </c>
      <c r="S67">
        <f t="shared" si="24"/>
        <v>-0.77722610358418365</v>
      </c>
      <c r="U67">
        <f t="shared" si="25"/>
        <v>3.3421235284283726E-7</v>
      </c>
      <c r="V67" s="2">
        <f t="shared" si="26"/>
        <v>-3.4418349376668273E-7</v>
      </c>
      <c r="W67" s="2">
        <f t="shared" si="27"/>
        <v>-5.478570077760662E-6</v>
      </c>
    </row>
    <row r="68" spans="1:23" x14ac:dyDescent="0.3">
      <c r="A68" s="5">
        <v>23</v>
      </c>
      <c r="B68" s="7">
        <v>235</v>
      </c>
      <c r="C68" s="6">
        <v>370</v>
      </c>
      <c r="D68" s="11">
        <v>0.151676470588235</v>
      </c>
      <c r="E68" s="2">
        <f>'Raw Data and Corrections'!BE93</f>
        <v>3.7292521960038655E-2</v>
      </c>
      <c r="F68">
        <v>22200</v>
      </c>
      <c r="G68" s="2">
        <v>5.484390100323342</v>
      </c>
      <c r="H68" s="2">
        <f t="shared" si="28"/>
        <v>3.7530441799744685E-2</v>
      </c>
      <c r="I68" s="2">
        <f t="shared" si="15"/>
        <v>3.7785639697666719E-2</v>
      </c>
      <c r="K68" s="2">
        <f t="shared" si="29"/>
        <v>4.0300730784967322E-10</v>
      </c>
      <c r="L68" s="2">
        <f t="shared" si="30"/>
        <v>4.1514352865127941E-10</v>
      </c>
      <c r="M68" s="2">
        <f t="shared" si="31"/>
        <v>6.5499888659874471E-9</v>
      </c>
      <c r="N68" s="2">
        <f t="shared" si="19"/>
        <v>4.0300730784967322E-10</v>
      </c>
      <c r="O68">
        <f t="shared" si="20"/>
        <v>19.685039370078741</v>
      </c>
      <c r="P68">
        <f t="shared" si="21"/>
        <v>-21.632066420524261</v>
      </c>
      <c r="Q68">
        <f t="shared" si="22"/>
        <v>-9.3946870785983148</v>
      </c>
      <c r="R68">
        <f t="shared" si="23"/>
        <v>-20.844672538408357</v>
      </c>
      <c r="S68">
        <f t="shared" si="24"/>
        <v>-0.78739388211590366</v>
      </c>
      <c r="U68">
        <f t="shared" si="25"/>
        <v>2.9706478499845002E-7</v>
      </c>
      <c r="V68" s="2">
        <f t="shared" si="26"/>
        <v>-3.0618184359077443E-7</v>
      </c>
      <c r="W68" s="2">
        <f t="shared" si="27"/>
        <v>-4.743243781720682E-6</v>
      </c>
    </row>
    <row r="69" spans="1:23" x14ac:dyDescent="0.3">
      <c r="A69" s="5">
        <v>24</v>
      </c>
      <c r="B69" s="7">
        <v>230</v>
      </c>
      <c r="C69" s="6">
        <v>420</v>
      </c>
      <c r="D69" s="11">
        <v>9.9129484321787698E-2</v>
      </c>
      <c r="E69" s="2">
        <f>'Raw Data and Corrections'!BE97</f>
        <v>2.2391756517430875E-2</v>
      </c>
      <c r="F69">
        <v>25200</v>
      </c>
      <c r="G69" s="2">
        <v>5.5973108474220847</v>
      </c>
      <c r="H69" s="2">
        <f t="shared" si="28"/>
        <v>3.8303174127214096E-2</v>
      </c>
      <c r="I69" s="2">
        <f t="shared" si="15"/>
        <v>3.8456404021404503E-2</v>
      </c>
      <c r="K69" s="2">
        <f t="shared" si="29"/>
        <v>2.4365678917331728E-10</v>
      </c>
      <c r="L69" s="2">
        <f t="shared" si="30"/>
        <v>2.5117766573046893E-10</v>
      </c>
      <c r="M69" s="2">
        <f t="shared" si="31"/>
        <v>3.8700357274892242E-9</v>
      </c>
      <c r="N69" s="2">
        <f t="shared" si="19"/>
        <v>2.4365678917331728E-10</v>
      </c>
      <c r="O69">
        <f t="shared" si="20"/>
        <v>19.880715705765407</v>
      </c>
      <c r="P69">
        <f t="shared" si="21"/>
        <v>-22.135260482576932</v>
      </c>
      <c r="Q69">
        <f t="shared" si="22"/>
        <v>-9.6132214830742733</v>
      </c>
      <c r="R69">
        <f t="shared" si="23"/>
        <v>-21.215293174702982</v>
      </c>
      <c r="S69">
        <f t="shared" si="24"/>
        <v>-0.91996730787395009</v>
      </c>
      <c r="U69">
        <f t="shared" si="25"/>
        <v>2.6634558279789542E-7</v>
      </c>
      <c r="V69" s="2">
        <f t="shared" si="26"/>
        <v>-2.7467001938458215E-7</v>
      </c>
      <c r="W69" s="2">
        <f t="shared" si="27"/>
        <v>-4.1814868378141241E-6</v>
      </c>
    </row>
    <row r="70" spans="1:23" x14ac:dyDescent="0.3">
      <c r="A70" s="5">
        <v>25</v>
      </c>
      <c r="B70" s="7">
        <v>225</v>
      </c>
      <c r="C70" s="6">
        <v>652</v>
      </c>
      <c r="D70" s="11">
        <v>9.9545904641576893E-2</v>
      </c>
      <c r="E70" s="2">
        <f>'Raw Data and Corrections'!BE101</f>
        <v>1.4342816287205771E-2</v>
      </c>
      <c r="F70">
        <v>39120</v>
      </c>
      <c r="G70" s="2">
        <v>5.7200357598482583</v>
      </c>
      <c r="H70" s="2">
        <f t="shared" si="28"/>
        <v>3.9142997717246053E-2</v>
      </c>
      <c r="I70" s="2">
        <f t="shared" si="15"/>
        <v>3.9241147597554468E-2</v>
      </c>
      <c r="K70" s="2">
        <f t="shared" si="29"/>
        <v>1.6225163518694422E-10</v>
      </c>
      <c r="L70" s="2">
        <f t="shared" si="30"/>
        <v>1.673660593850361E-10</v>
      </c>
      <c r="M70" s="2">
        <f t="shared" si="31"/>
        <v>2.5273515607466276E-9</v>
      </c>
      <c r="N70" s="2">
        <f t="shared" si="19"/>
        <v>1.6225163518694422E-10</v>
      </c>
      <c r="O70">
        <f t="shared" si="20"/>
        <v>20.080321285140563</v>
      </c>
      <c r="P70">
        <f t="shared" si="21"/>
        <v>-22.541872682201333</v>
      </c>
      <c r="Q70">
        <f t="shared" si="22"/>
        <v>-9.7898109176456938</v>
      </c>
      <c r="R70">
        <f t="shared" si="23"/>
        <v>-21.593355992449307</v>
      </c>
      <c r="S70">
        <f t="shared" si="24"/>
        <v>-0.94851668975202585</v>
      </c>
      <c r="U70">
        <f t="shared" si="25"/>
        <v>1.7507342224907673E-7</v>
      </c>
      <c r="V70" s="2">
        <f t="shared" si="26"/>
        <v>-1.806608452218153E-7</v>
      </c>
      <c r="W70" s="2">
        <f t="shared" si="27"/>
        <v>-2.6957959329042066E-6</v>
      </c>
    </row>
    <row r="71" spans="1:23" x14ac:dyDescent="0.3">
      <c r="A71" s="5">
        <v>26</v>
      </c>
      <c r="B71" s="7">
        <v>230</v>
      </c>
      <c r="C71" s="6">
        <v>500</v>
      </c>
      <c r="D71" s="11">
        <v>0.105088682432432</v>
      </c>
      <c r="E71" s="2">
        <f>'Raw Data and Corrections'!BE105</f>
        <v>1.9244273084753682E-2</v>
      </c>
      <c r="F71">
        <v>30000</v>
      </c>
      <c r="G71" s="2">
        <v>5.8393197940464843</v>
      </c>
      <c r="H71" s="2">
        <f t="shared" si="28"/>
        <v>3.9959274900528717E-2</v>
      </c>
      <c r="I71" s="2">
        <f t="shared" si="15"/>
        <v>4.0090966129229452E-2</v>
      </c>
      <c r="K71" s="2">
        <f t="shared" si="29"/>
        <v>2.1848990018989477E-10</v>
      </c>
      <c r="L71" s="2">
        <f t="shared" si="30"/>
        <v>2.2553249448349803E-10</v>
      </c>
      <c r="M71" s="2">
        <f t="shared" si="31"/>
        <v>3.3337146932814917E-9</v>
      </c>
      <c r="N71" s="2">
        <f t="shared" si="19"/>
        <v>2.1848990018989477E-10</v>
      </c>
      <c r="O71">
        <f t="shared" si="20"/>
        <v>19.880715705765407</v>
      </c>
      <c r="P71">
        <f t="shared" si="21"/>
        <v>-22.244281325848448</v>
      </c>
      <c r="Q71">
        <f t="shared" si="22"/>
        <v>-9.6605686337195298</v>
      </c>
      <c r="R71">
        <f t="shared" si="23"/>
        <v>-21.215293174702982</v>
      </c>
      <c r="S71">
        <f t="shared" si="24"/>
        <v>-1.0289881511454659</v>
      </c>
      <c r="U71">
        <f t="shared" si="25"/>
        <v>2.3323978642019346E-7</v>
      </c>
      <c r="V71" s="2">
        <f t="shared" si="26"/>
        <v>-2.4085064457467871E-7</v>
      </c>
      <c r="W71" s="2">
        <f t="shared" si="27"/>
        <v>-3.5184300479587014E-6</v>
      </c>
    </row>
    <row r="72" spans="1:23" x14ac:dyDescent="0.3">
      <c r="A72" s="5">
        <v>27</v>
      </c>
      <c r="B72" s="7">
        <v>234.89999999999901</v>
      </c>
      <c r="C72" s="6">
        <v>450</v>
      </c>
      <c r="D72" s="11">
        <v>0.13692172231060101</v>
      </c>
      <c r="E72" s="2">
        <f>'Raw Data and Corrections'!BE109</f>
        <v>2.6557235514478934E-2</v>
      </c>
      <c r="F72">
        <v>27000</v>
      </c>
      <c r="G72" s="2">
        <v>6.0025980750855723</v>
      </c>
      <c r="H72" s="2">
        <f t="shared" si="28"/>
        <v>4.107661081420462E-2</v>
      </c>
      <c r="I72" s="2">
        <f t="shared" si="15"/>
        <v>4.1258345658664257E-2</v>
      </c>
      <c r="K72" s="2">
        <f t="shared" si="29"/>
        <v>3.4100965593197076E-10</v>
      </c>
      <c r="L72" s="2">
        <f t="shared" si="30"/>
        <v>3.5228722281072519E-10</v>
      </c>
      <c r="M72" s="2">
        <f t="shared" si="31"/>
        <v>5.0812859767268858E-9</v>
      </c>
      <c r="N72" s="2">
        <f t="shared" si="19"/>
        <v>3.4100965593197076E-10</v>
      </c>
      <c r="O72">
        <f t="shared" si="20"/>
        <v>19.68891514077578</v>
      </c>
      <c r="P72">
        <f t="shared" si="21"/>
        <v>-21.799110322529891</v>
      </c>
      <c r="Q72">
        <f t="shared" si="22"/>
        <v>-9.4672333234749484</v>
      </c>
      <c r="R72">
        <f t="shared" si="23"/>
        <v>-20.852013439375394</v>
      </c>
      <c r="S72">
        <f t="shared" si="24"/>
        <v>-0.94709688315449725</v>
      </c>
      <c r="U72">
        <f t="shared" si="25"/>
        <v>2.6670147247022215E-7</v>
      </c>
      <c r="V72" s="2">
        <f t="shared" si="26"/>
        <v>-2.7566712958989491E-7</v>
      </c>
      <c r="W72" s="2">
        <f t="shared" si="27"/>
        <v>-3.9141268288544223E-6</v>
      </c>
    </row>
    <row r="73" spans="1:23" x14ac:dyDescent="0.3">
      <c r="A73" s="5">
        <v>28</v>
      </c>
      <c r="B73" s="7">
        <v>240</v>
      </c>
      <c r="C73" s="6">
        <v>400</v>
      </c>
      <c r="D73" s="11">
        <v>0.178097651218387</v>
      </c>
      <c r="E73" s="2">
        <f>'Raw Data and Corrections'!BE113</f>
        <v>3.7103593747011075E-2</v>
      </c>
      <c r="F73">
        <v>24000</v>
      </c>
      <c r="G73" s="2">
        <v>6.2079236152155115</v>
      </c>
      <c r="H73" s="2">
        <f t="shared" si="28"/>
        <v>4.2481681951174528E-2</v>
      </c>
      <c r="I73" s="2">
        <f t="shared" si="15"/>
        <v>4.2735586987142235E-2</v>
      </c>
      <c r="K73" s="2">
        <f t="shared" si="29"/>
        <v>5.0557257567513234E-10</v>
      </c>
      <c r="L73" s="2">
        <f t="shared" si="30"/>
        <v>5.2284775179625673E-10</v>
      </c>
      <c r="M73" s="2">
        <f t="shared" si="31"/>
        <v>7.3100642536666538E-9</v>
      </c>
      <c r="N73" s="2">
        <f t="shared" si="19"/>
        <v>5.0557257567513234E-10</v>
      </c>
      <c r="O73">
        <f t="shared" si="20"/>
        <v>19.49317738791423</v>
      </c>
      <c r="P73">
        <f t="shared" si="21"/>
        <v>-21.405329515715874</v>
      </c>
      <c r="Q73">
        <f t="shared" si="22"/>
        <v>-9.2962164919962085</v>
      </c>
      <c r="R73">
        <f t="shared" si="23"/>
        <v>-20.481276475920641</v>
      </c>
      <c r="S73">
        <f t="shared" si="24"/>
        <v>-0.92405303979523268</v>
      </c>
      <c r="U73">
        <f t="shared" si="25"/>
        <v>3.1078195862419816E-7</v>
      </c>
      <c r="V73" s="2">
        <f t="shared" si="26"/>
        <v>-3.2161807832472671E-7</v>
      </c>
      <c r="W73" s="2">
        <f t="shared" si="27"/>
        <v>-4.4101879561260805E-6</v>
      </c>
    </row>
    <row r="74" spans="1:23" x14ac:dyDescent="0.3">
      <c r="A74" s="5">
        <v>29</v>
      </c>
      <c r="B74" s="7">
        <v>245</v>
      </c>
      <c r="C74" s="6">
        <v>350</v>
      </c>
      <c r="D74" s="11">
        <v>0.230539629005059</v>
      </c>
      <c r="E74" s="2">
        <f>'Raw Data and Corrections'!BE117</f>
        <v>5.2780988622472796E-2</v>
      </c>
      <c r="F74">
        <v>21000</v>
      </c>
      <c r="G74" s="2">
        <v>6.4597159427995257</v>
      </c>
      <c r="H74" s="2">
        <f t="shared" si="28"/>
        <v>4.4204731756741229E-2</v>
      </c>
      <c r="I74" s="2">
        <f t="shared" si="15"/>
        <v>4.4565919379319703E-2</v>
      </c>
      <c r="K74" s="2">
        <f t="shared" si="29"/>
        <v>7.5393182478504798E-10</v>
      </c>
      <c r="L74" s="2">
        <f t="shared" si="30"/>
        <v>7.8072897188171276E-10</v>
      </c>
      <c r="M74" s="2">
        <f t="shared" si="31"/>
        <v>1.0513665479348569E-8</v>
      </c>
      <c r="N74" s="2">
        <f t="shared" si="19"/>
        <v>7.5393182478504798E-10</v>
      </c>
      <c r="O74">
        <f t="shared" si="20"/>
        <v>19.305019305019304</v>
      </c>
      <c r="P74">
        <f t="shared" si="21"/>
        <v>-21.005719170065518</v>
      </c>
      <c r="Q74">
        <f t="shared" si="22"/>
        <v>-9.1226679239688089</v>
      </c>
      <c r="R74">
        <f t="shared" si="23"/>
        <v>-20.124895781434621</v>
      </c>
      <c r="S74">
        <f t="shared" si="24"/>
        <v>-0.8808233886308976</v>
      </c>
      <c r="U74">
        <f t="shared" si="25"/>
        <v>3.7039144159403644E-7</v>
      </c>
      <c r="V74" s="2">
        <f t="shared" si="26"/>
        <v>-3.8388157372330426E-7</v>
      </c>
      <c r="W74" s="2">
        <f t="shared" si="27"/>
        <v>-5.0498703851430513E-6</v>
      </c>
    </row>
    <row r="75" spans="1:23" x14ac:dyDescent="0.3">
      <c r="A75" s="5">
        <v>30</v>
      </c>
      <c r="B75" s="7">
        <v>250</v>
      </c>
      <c r="C75" s="6">
        <v>300</v>
      </c>
      <c r="D75" s="11">
        <v>0.27770578063308499</v>
      </c>
      <c r="E75" s="2">
        <f>'Raw Data and Corrections'!BE121</f>
        <v>7.1912050283329212E-2</v>
      </c>
      <c r="F75">
        <v>18000</v>
      </c>
      <c r="G75" s="2">
        <v>6.7576612046697635</v>
      </c>
      <c r="H75" s="2">
        <f t="shared" si="28"/>
        <v>4.6243612490165245E-2</v>
      </c>
      <c r="I75" s="2">
        <f t="shared" si="15"/>
        <v>4.6735716619975352E-2</v>
      </c>
      <c r="K75" s="2">
        <f t="shared" si="29"/>
        <v>1.1158903086038892E-9</v>
      </c>
      <c r="L75" s="2">
        <f t="shared" si="30"/>
        <v>1.1574029955653729E-9</v>
      </c>
      <c r="M75" s="2">
        <f t="shared" si="31"/>
        <v>1.4925471907755413E-8</v>
      </c>
      <c r="N75" s="2">
        <f t="shared" si="19"/>
        <v>1.1158903086038892E-9</v>
      </c>
      <c r="O75">
        <f t="shared" si="20"/>
        <v>19.120458891013385</v>
      </c>
      <c r="P75">
        <f t="shared" si="21"/>
        <v>-20.613613267599511</v>
      </c>
      <c r="Q75">
        <f t="shared" si="22"/>
        <v>-8.952378494206128</v>
      </c>
      <c r="R75">
        <f t="shared" si="23"/>
        <v>-19.775329249367079</v>
      </c>
      <c r="S75">
        <f t="shared" si="24"/>
        <v>-0.83828401823243226</v>
      </c>
      <c r="U75">
        <f t="shared" si="25"/>
        <v>4.5316229627644739E-7</v>
      </c>
      <c r="V75" s="2">
        <f t="shared" si="26"/>
        <v>-4.7050493405862939E-7</v>
      </c>
      <c r="W75" s="2">
        <f t="shared" si="27"/>
        <v>-5.9049255751382495E-6</v>
      </c>
    </row>
    <row r="76" spans="1:23" x14ac:dyDescent="0.3">
      <c r="A76" s="5">
        <v>31</v>
      </c>
      <c r="B76" s="7">
        <v>249.97</v>
      </c>
      <c r="C76" s="6">
        <v>300</v>
      </c>
      <c r="D76" s="11">
        <v>0.26541780987726199</v>
      </c>
      <c r="E76" s="2">
        <f>'Raw Data and Corrections'!BE126</f>
        <v>6.8758449030283414E-2</v>
      </c>
      <c r="F76">
        <v>18000</v>
      </c>
      <c r="G76" s="2">
        <v>7.0412129431184551</v>
      </c>
      <c r="H76" s="2">
        <f t="shared" si="28"/>
        <v>4.8183996347330622E-2</v>
      </c>
      <c r="I76" s="2">
        <f t="shared" si="15"/>
        <v>4.8654519946558117E-2</v>
      </c>
      <c r="K76" s="2">
        <f t="shared" si="29"/>
        <v>1.1092082030483345E-9</v>
      </c>
      <c r="L76" s="2">
        <f t="shared" si="30"/>
        <v>1.1523440285216441E-9</v>
      </c>
      <c r="M76" s="2">
        <f t="shared" si="31"/>
        <v>1.4246897979874119E-8</v>
      </c>
      <c r="N76" s="2">
        <f t="shared" si="19"/>
        <v>1.1092082030483345E-9</v>
      </c>
      <c r="O76">
        <f t="shared" si="20"/>
        <v>19.121555729774173</v>
      </c>
      <c r="P76">
        <f t="shared" si="21"/>
        <v>-20.619619406750573</v>
      </c>
      <c r="Q76">
        <f t="shared" si="22"/>
        <v>-8.9549869272969769</v>
      </c>
      <c r="R76">
        <f t="shared" si="23"/>
        <v>-19.777406716108313</v>
      </c>
      <c r="S76">
        <f t="shared" si="24"/>
        <v>-0.84221269064225979</v>
      </c>
      <c r="U76">
        <f t="shared" si="25"/>
        <v>4.7176753835816366E-7</v>
      </c>
      <c r="V76" s="2">
        <f t="shared" si="26"/>
        <v>-4.90596479191235E-7</v>
      </c>
      <c r="W76" s="2">
        <f t="shared" si="27"/>
        <v>-5.9168354344631325E-6</v>
      </c>
    </row>
    <row r="77" spans="1:23" x14ac:dyDescent="0.3">
      <c r="A77" s="5">
        <v>32</v>
      </c>
      <c r="B77" s="6">
        <v>249.98</v>
      </c>
      <c r="C77" s="6">
        <v>300</v>
      </c>
      <c r="D77" s="12">
        <v>0.248897802473871</v>
      </c>
      <c r="E77" s="2">
        <f>'Raw Data and Corrections'!BE130</f>
        <v>6.4469947402812741E-2</v>
      </c>
      <c r="F77">
        <v>18000</v>
      </c>
      <c r="G77" s="2">
        <v>7.3113384902341023</v>
      </c>
      <c r="H77" s="2">
        <f t="shared" si="28"/>
        <v>5.0032502915827691E-2</v>
      </c>
      <c r="I77" s="2">
        <f t="shared" si="15"/>
        <v>5.04736797038704E-2</v>
      </c>
      <c r="K77" s="2">
        <f t="shared" si="29"/>
        <v>1.0951690836618815E-9</v>
      </c>
      <c r="L77" s="2">
        <f t="shared" si="30"/>
        <v>1.139520764409725E-9</v>
      </c>
      <c r="M77" s="2">
        <f t="shared" si="31"/>
        <v>1.3557295640556565E-8</v>
      </c>
      <c r="N77" s="2">
        <f t="shared" si="19"/>
        <v>1.139520764409725E-9</v>
      </c>
      <c r="O77">
        <f t="shared" si="20"/>
        <v>19.121190102872003</v>
      </c>
      <c r="P77">
        <f t="shared" si="21"/>
        <v>-20.592658045022066</v>
      </c>
      <c r="Q77">
        <f t="shared" si="22"/>
        <v>-8.9432777566736874</v>
      </c>
      <c r="R77">
        <f t="shared" si="23"/>
        <v>-19.776714200712146</v>
      </c>
      <c r="S77">
        <f t="shared" si="24"/>
        <v>-0.81594384430992051</v>
      </c>
      <c r="U77">
        <f t="shared" si="25"/>
        <v>4.8940660912754164E-7</v>
      </c>
      <c r="V77" s="2">
        <f t="shared" si="26"/>
        <v>-5.0970368122096112E-7</v>
      </c>
      <c r="W77" s="2">
        <f t="shared" si="27"/>
        <v>-5.9281712644269167E-6</v>
      </c>
    </row>
    <row r="78" spans="1:23" x14ac:dyDescent="0.3">
      <c r="A78" s="5">
        <v>33</v>
      </c>
      <c r="B78" s="6">
        <v>250</v>
      </c>
      <c r="C78" s="6">
        <v>10250</v>
      </c>
      <c r="D78" s="12">
        <v>6.8042168674698704</v>
      </c>
      <c r="E78" s="2">
        <f>'Raw Data and Corrections'!BE133</f>
        <v>4.1210325239937298E-2</v>
      </c>
      <c r="F78">
        <v>615000</v>
      </c>
      <c r="G78" s="2">
        <v>14.159048330055668</v>
      </c>
      <c r="H78" s="2">
        <f t="shared" si="28"/>
        <v>9.6892330700472429E-2</v>
      </c>
      <c r="I78" s="2">
        <f t="shared" si="15"/>
        <v>9.7174338669394053E-2</v>
      </c>
      <c r="K78" s="2">
        <f t="shared" si="29"/>
        <v>9.8470635628598627E-10</v>
      </c>
      <c r="L78" s="2">
        <f t="shared" si="30"/>
        <v>1.0479303078086485E-9</v>
      </c>
      <c r="M78" s="2">
        <f t="shared" si="31"/>
        <v>8.3854897157567659E-9</v>
      </c>
      <c r="N78" s="2">
        <f t="shared" si="19"/>
        <v>1.0479303078086485E-9</v>
      </c>
      <c r="O78">
        <f t="shared" si="20"/>
        <v>19.120458891013385</v>
      </c>
      <c r="P78">
        <f t="shared" si="21"/>
        <v>-20.676448753441385</v>
      </c>
      <c r="Q78">
        <f t="shared" si="22"/>
        <v>-8.979667598974963</v>
      </c>
      <c r="R78">
        <f t="shared" si="23"/>
        <v>-19.775329249367079</v>
      </c>
      <c r="S78">
        <f t="shared" si="24"/>
        <v>-0.90111950407430541</v>
      </c>
      <c r="U78">
        <f t="shared" si="25"/>
        <v>2.7577433467137752E-8</v>
      </c>
      <c r="V78" s="2">
        <f t="shared" si="26"/>
        <v>-2.9878137794794836E-8</v>
      </c>
      <c r="W78" s="2">
        <f t="shared" si="27"/>
        <v>-1.8248250925715817E-7</v>
      </c>
    </row>
    <row r="79" spans="1:23" x14ac:dyDescent="0.3">
      <c r="A79" s="5">
        <v>34</v>
      </c>
      <c r="B79" s="6">
        <v>240</v>
      </c>
      <c r="C79" s="6">
        <v>785</v>
      </c>
      <c r="D79" s="12">
        <v>0.185283164139734</v>
      </c>
      <c r="E79" s="2">
        <f>'Raw Data and Corrections'!BE135</f>
        <v>1.7845681234329783E-2</v>
      </c>
      <c r="F79">
        <v>47100</v>
      </c>
      <c r="G79" s="2">
        <v>14.379338963630095</v>
      </c>
      <c r="H79" s="2">
        <f t="shared" si="28"/>
        <v>9.839981004660911E-2</v>
      </c>
      <c r="I79" s="2">
        <f t="shared" si="15"/>
        <v>9.8521930517379841E-2</v>
      </c>
      <c r="K79" s="2">
        <f t="shared" si="29"/>
        <v>5.9001586160393574E-10</v>
      </c>
      <c r="L79" s="2">
        <f t="shared" si="30"/>
        <v>6.3953581332902518E-10</v>
      </c>
      <c r="M79" s="2">
        <f t="shared" si="31"/>
        <v>3.8851957722433781E-9</v>
      </c>
      <c r="N79" s="2">
        <f t="shared" si="19"/>
        <v>6.3953581332902518E-10</v>
      </c>
      <c r="O79">
        <f t="shared" si="20"/>
        <v>19.49317738791423</v>
      </c>
      <c r="P79">
        <f t="shared" si="21"/>
        <v>-21.170278494399483</v>
      </c>
      <c r="Q79">
        <f t="shared" si="22"/>
        <v>-9.1941351304727785</v>
      </c>
      <c r="R79">
        <f t="shared" si="23"/>
        <v>-20.481276475920641</v>
      </c>
      <c r="S79">
        <f t="shared" si="24"/>
        <v>-0.6890020184788419</v>
      </c>
      <c r="U79">
        <f t="shared" si="25"/>
        <v>3.6508111952215687E-7</v>
      </c>
      <c r="V79" s="2">
        <f t="shared" si="26"/>
        <v>-3.9600126516666298E-7</v>
      </c>
      <c r="W79" s="2">
        <f t="shared" si="27"/>
        <v>-2.3862952760270493E-6</v>
      </c>
    </row>
    <row r="80" spans="1:23" x14ac:dyDescent="0.3">
      <c r="A80" t="s">
        <v>92</v>
      </c>
      <c r="D80" s="6">
        <f>'Raw Data and Corrections'!AG138</f>
        <v>133.18435333935949</v>
      </c>
      <c r="E80" s="6">
        <v>0</v>
      </c>
      <c r="F80">
        <f>3600*C80</f>
        <v>0</v>
      </c>
      <c r="G80" s="2">
        <f>'Raw Data and Corrections'!AG139</f>
        <v>147.56369230298958</v>
      </c>
      <c r="I80" s="2"/>
    </row>
    <row r="81" spans="5:5" x14ac:dyDescent="0.3">
      <c r="E81" s="7">
        <v>1.1024229619583501</v>
      </c>
    </row>
  </sheetData>
  <mergeCells count="1">
    <mergeCell ref="U1:W1"/>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BB8077-600D-4F60-B553-20B89B4E56E3}">
  <dimension ref="A1:AO39"/>
  <sheetViews>
    <sheetView topLeftCell="AC7" zoomScale="85" workbookViewId="0">
      <selection activeCell="G42" sqref="G42"/>
    </sheetView>
  </sheetViews>
  <sheetFormatPr defaultRowHeight="14.4" x14ac:dyDescent="0.3"/>
  <cols>
    <col min="1" max="1" width="9" bestFit="1" customWidth="1"/>
    <col min="2" max="4" width="9" style="7" bestFit="1" customWidth="1"/>
    <col min="5" max="5" width="9" style="7" customWidth="1"/>
    <col min="6" max="6" width="9" bestFit="1" customWidth="1"/>
    <col min="7" max="10" width="9" customWidth="1"/>
    <col min="11" max="11" width="3.33203125" style="47" customWidth="1"/>
    <col min="12" max="12" width="12" bestFit="1" customWidth="1"/>
    <col min="13" max="13" width="12" customWidth="1"/>
    <col min="14" max="14" width="12.21875" bestFit="1" customWidth="1"/>
    <col min="15" max="15" width="12.109375" customWidth="1"/>
    <col min="16" max="16" width="12.109375" bestFit="1" customWidth="1"/>
    <col min="17" max="17" width="12" customWidth="1"/>
    <col min="18" max="18" width="12.109375" bestFit="1" customWidth="1"/>
    <col min="19" max="19" width="12" customWidth="1"/>
    <col min="20" max="21" width="9.109375" bestFit="1" customWidth="1"/>
    <col min="22" max="22" width="9" customWidth="1"/>
    <col min="23" max="23" width="9.21875" bestFit="1" customWidth="1"/>
    <col min="24" max="24" width="10.6640625" customWidth="1"/>
    <col min="25" max="25" width="10.21875" customWidth="1"/>
    <col min="27" max="27" width="12.77734375" bestFit="1" customWidth="1"/>
    <col min="28" max="29" width="9.109375" bestFit="1" customWidth="1"/>
    <col min="32" max="32" width="9" bestFit="1" customWidth="1"/>
    <col min="33" max="33" width="12.77734375" bestFit="1" customWidth="1"/>
    <col min="34" max="36" width="9" bestFit="1" customWidth="1"/>
    <col min="37" max="37" width="11.33203125" bestFit="1" customWidth="1"/>
    <col min="40" max="41" width="9" bestFit="1" customWidth="1"/>
  </cols>
  <sheetData>
    <row r="1" spans="1:41" s="4" customFormat="1" ht="41.4" customHeight="1" thickBot="1" x14ac:dyDescent="0.35">
      <c r="A1" s="4" t="s">
        <v>137</v>
      </c>
      <c r="B1" s="60"/>
      <c r="C1" s="60"/>
      <c r="D1" s="60"/>
      <c r="E1" s="60"/>
      <c r="G1" s="60" t="s">
        <v>127</v>
      </c>
      <c r="H1" s="60" t="s">
        <v>117</v>
      </c>
      <c r="I1" s="60" t="s">
        <v>128</v>
      </c>
      <c r="J1" s="60" t="s">
        <v>117</v>
      </c>
      <c r="K1" s="46"/>
      <c r="L1" s="4" t="s">
        <v>84</v>
      </c>
      <c r="M1" s="4" t="s">
        <v>117</v>
      </c>
      <c r="N1" s="4" t="s">
        <v>85</v>
      </c>
      <c r="O1" s="4" t="s">
        <v>117</v>
      </c>
      <c r="P1" s="4" t="s">
        <v>86</v>
      </c>
      <c r="Q1" s="4" t="s">
        <v>117</v>
      </c>
      <c r="R1" s="4" t="s">
        <v>87</v>
      </c>
      <c r="S1" s="4" t="s">
        <v>117</v>
      </c>
      <c r="T1" s="4" t="s">
        <v>89</v>
      </c>
      <c r="U1" s="4" t="s">
        <v>88</v>
      </c>
      <c r="V1" s="4" t="s">
        <v>117</v>
      </c>
      <c r="W1" s="4" t="s">
        <v>90</v>
      </c>
      <c r="X1" s="4" t="s">
        <v>388</v>
      </c>
      <c r="Y1" s="4" t="s">
        <v>150</v>
      </c>
      <c r="AA1" s="93" t="s">
        <v>135</v>
      </c>
      <c r="AB1" s="93"/>
      <c r="AC1" s="93"/>
      <c r="AN1" s="4" t="s">
        <v>147</v>
      </c>
    </row>
    <row r="2" spans="1:41" x14ac:dyDescent="0.3">
      <c r="G2" s="7"/>
      <c r="H2" s="7"/>
      <c r="I2" s="7"/>
      <c r="J2" s="7"/>
      <c r="L2" t="s">
        <v>129</v>
      </c>
      <c r="N2" t="s">
        <v>130</v>
      </c>
      <c r="P2" t="s">
        <v>131</v>
      </c>
      <c r="AA2" t="s">
        <v>132</v>
      </c>
      <c r="AB2" t="s">
        <v>133</v>
      </c>
      <c r="AC2" t="s">
        <v>134</v>
      </c>
      <c r="AN2" s="13" cm="1">
        <f t="array" ref="AN2:AO6">LINEST(U27:U37,T27:T37,TRUE,TRUE)</f>
        <v>-1.9137050044540751</v>
      </c>
      <c r="AO2" s="14">
        <v>16.677933536595976</v>
      </c>
    </row>
    <row r="3" spans="1:41" x14ac:dyDescent="0.3">
      <c r="A3" t="s">
        <v>91</v>
      </c>
      <c r="B3" s="7" t="s">
        <v>94</v>
      </c>
      <c r="C3" s="7" t="s">
        <v>95</v>
      </c>
      <c r="D3" s="7" t="s">
        <v>93</v>
      </c>
      <c r="F3" t="s">
        <v>96</v>
      </c>
      <c r="G3">
        <v>0</v>
      </c>
      <c r="H3">
        <v>0</v>
      </c>
      <c r="I3">
        <v>0</v>
      </c>
      <c r="J3" s="7">
        <v>0</v>
      </c>
      <c r="AA3">
        <v>0</v>
      </c>
      <c r="AB3">
        <v>0</v>
      </c>
      <c r="AC3">
        <v>0</v>
      </c>
      <c r="AN3" s="15">
        <v>3.3399869266438863E-2</v>
      </c>
      <c r="AO3" s="16">
        <v>0.6508066066211089</v>
      </c>
    </row>
    <row r="4" spans="1:41" x14ac:dyDescent="0.3">
      <c r="A4" s="5">
        <v>1</v>
      </c>
      <c r="B4" s="7">
        <v>170</v>
      </c>
      <c r="C4" s="6">
        <v>300</v>
      </c>
      <c r="D4" s="11" cm="1">
        <f t="array" ref="D4:E4">'Raw Data and Corrections'!AV5:AW5</f>
        <v>1.1597312084282727</v>
      </c>
      <c r="E4" s="7">
        <v>2.6265117316231528E-2</v>
      </c>
      <c r="F4">
        <f t="shared" ref="F4:F37" si="0">60*C4</f>
        <v>18000</v>
      </c>
      <c r="G4" s="2" cm="1">
        <f t="array" ref="G4:H4">'Raw Data and Corrections'!AE5:AF5</f>
        <v>1.1597312084282727</v>
      </c>
      <c r="H4">
        <v>2.6265117316231528E-2</v>
      </c>
      <c r="I4" s="2">
        <f>G4/$G$38</f>
        <v>7.9353018444338775E-3</v>
      </c>
      <c r="J4" s="2">
        <f>2*(((H4/(2*$G$38))^2+($H$38*G4/(2*($G$38^2)))^2)^0.5)</f>
        <v>1.7971546541911888E-4</v>
      </c>
      <c r="L4" s="2">
        <f t="shared" ref="L4:L37" si="1">((I4^2-I3^2)*PI())/(36*F4)</f>
        <v>3.0528240133627807E-10</v>
      </c>
      <c r="M4" s="2">
        <f t="shared" ref="M4:M37" si="2">2*((((J4/2)*AA4)^2+((J3/2)*AA3)^2)^0.5)</f>
        <v>1.382782152865404E-11</v>
      </c>
      <c r="N4" s="2">
        <f>(1/(PI()*PI()*F4))*(-(I4-I3)*PI()*PI()/3-2*PI()*(SQRT(1-PI()/3*I4)-SQRT(1-PI()/3*I3)))</f>
        <v>3.0655744985171613E-10</v>
      </c>
      <c r="O4" s="2">
        <f t="shared" ref="O4:O37" si="3">2*((((J4/2)*AB4)^2+((J3/2)*AB3)^2)^0.5)</f>
        <v>1.3914602806398329E-11</v>
      </c>
      <c r="P4" s="2">
        <f t="shared" ref="P4:P37" si="4">(1/(PI()^2*F4))*LN((1-I3)/(1-I4))</f>
        <v>4.4845622227471898E-8</v>
      </c>
      <c r="Q4" s="2">
        <f t="shared" ref="Q4:Q37" si="5">2*((((J4/2)*AC4)^2+((J3/2)*AC3)^2)^0.5)</f>
        <v>1.0197018461123809E-9</v>
      </c>
      <c r="R4" s="2">
        <f>(I4&lt;0.05)*L4+((I4&gt;=0.05)*(I4&lt;0.9))*N4+(I4&gt;=0.9)*P4</f>
        <v>3.0528240133627807E-10</v>
      </c>
      <c r="S4" s="2">
        <f t="shared" ref="S4:S37" si="6">(I4&lt;0.05)*M4+((I4&gt;=0.05)*(I4&lt;0.9))*O4+(I4&gt;=0.9)*Q4</f>
        <v>1.382782152865404E-11</v>
      </c>
      <c r="T4">
        <f t="shared" ref="T4:T37" si="7">10000/(273+B4)</f>
        <v>22.573363431151243</v>
      </c>
      <c r="U4">
        <f t="shared" ref="U4:U37" si="8">LN(R4)</f>
        <v>-21.909783861687121</v>
      </c>
      <c r="V4" s="2">
        <f>S4/R4</f>
        <v>4.5295180685578612E-2</v>
      </c>
      <c r="W4">
        <f t="shared" ref="W4:W37" si="9">LOG10(R4)</f>
        <v>-9.5152982308236371</v>
      </c>
      <c r="X4">
        <f>$AO$2+$AN$2*T4</f>
        <v>-26.520825028958772</v>
      </c>
      <c r="Y4">
        <f>U4-X4</f>
        <v>4.6110411672716509</v>
      </c>
      <c r="AA4" s="2">
        <f t="shared" ref="AA4:AA37" si="10" xml:space="preserve"> (I4 * PI()) / (18 * F4)</f>
        <v>7.6942857958305575E-8</v>
      </c>
      <c r="AB4" s="2">
        <f t="shared" ref="AB4:AB37" si="11" xml:space="preserve"> (1 / (PI()^2 * F4)) * (PI()^2 / 3 - PI()^2 / (3 * SQRT(1 - (PI() / 3) * I4)))</f>
        <v>-7.7425739481840026E-8</v>
      </c>
      <c r="AC4" s="2">
        <f t="shared" ref="AC4:AC37" si="12" xml:space="preserve"> (-1) / (PI()^2 * F4 * (1 - I4))</f>
        <v>-5.6739793858826171E-6</v>
      </c>
      <c r="AN4" s="15">
        <v>0.99726603414829984</v>
      </c>
      <c r="AO4" s="16">
        <v>3.7667134786935175E-2</v>
      </c>
    </row>
    <row r="5" spans="1:41" x14ac:dyDescent="0.3">
      <c r="A5" s="5">
        <v>2</v>
      </c>
      <c r="B5" s="7">
        <v>180</v>
      </c>
      <c r="C5" s="6">
        <v>463</v>
      </c>
      <c r="D5" s="11" cm="1">
        <f t="array" ref="D5:E5">'Raw Data and Corrections'!AV9:AW9</f>
        <v>0.54972141210044234</v>
      </c>
      <c r="E5" s="7">
        <v>1.6048764198592941E-2</v>
      </c>
      <c r="F5">
        <f t="shared" si="0"/>
        <v>27780</v>
      </c>
      <c r="G5" s="2" cm="1">
        <f t="array" ref="G5:H5">'Raw Data and Corrections'!AE9:AF9</f>
        <v>1.709452620528715</v>
      </c>
      <c r="H5">
        <v>3.0780175761964776E-2</v>
      </c>
      <c r="I5" s="2">
        <f>G5/$G$38</f>
        <v>1.1696695263584267E-2</v>
      </c>
      <c r="J5" s="2">
        <f t="shared" ref="J5:J36" si="13">2*(((H5/(2*$G$38))^2+($H$38*G5/(2*($G$38^2)))^2)^0.5)</f>
        <v>2.1060913401385319E-4</v>
      </c>
      <c r="L5" s="2">
        <f t="shared" si="1"/>
        <v>2.3196815716753718E-10</v>
      </c>
      <c r="M5" s="2">
        <f t="shared" si="2"/>
        <v>2.0754391503114162E-11</v>
      </c>
      <c r="N5" s="2">
        <f t="shared" ref="N5:N37" si="14">(1/(PI()*PI()*F5))*(-(I5-I4)*PI()*PI()/3-2*PI()*(SQRT(1-PI()/3*I5)-SQRT(1-PI()/3*I4)))</f>
        <v>2.3379442160983029E-10</v>
      </c>
      <c r="O5" s="2">
        <f t="shared" si="3"/>
        <v>2.0919353738596502E-11</v>
      </c>
      <c r="P5" s="2">
        <f t="shared" si="4"/>
        <v>1.3854836043242244E-8</v>
      </c>
      <c r="Q5" s="2">
        <f t="shared" si="5"/>
        <v>1.2821440580123896E-9</v>
      </c>
      <c r="R5" s="2">
        <f t="shared" ref="R5:R37" si="15">(I5&lt;0.05)*L5+((I5&gt;=0.05)*(I5&lt;0.9))*N5+(I5&gt;=0.9)*P5</f>
        <v>2.3196815716753718E-10</v>
      </c>
      <c r="S5" s="2">
        <f t="shared" si="6"/>
        <v>2.0754391503114162E-11</v>
      </c>
      <c r="T5">
        <f t="shared" si="7"/>
        <v>22.075055187637968</v>
      </c>
      <c r="U5">
        <f t="shared" si="8"/>
        <v>-22.184421007270576</v>
      </c>
      <c r="V5" s="2">
        <f t="shared" ref="V5:V37" si="16">S5/R5</f>
        <v>8.9470864262306771E-2</v>
      </c>
      <c r="W5">
        <f t="shared" si="9"/>
        <v>-9.6345716276761912</v>
      </c>
      <c r="X5">
        <f t="shared" ref="X5:X37" si="17">$AO$2+$AN$2*T5</f>
        <v>-25.567210049586695</v>
      </c>
      <c r="Y5">
        <f t="shared" ref="Y5:Y37" si="18">U5-X5</f>
        <v>3.3827890423161193</v>
      </c>
      <c r="AA5">
        <f t="shared" si="10"/>
        <v>7.3486624892718305E-8</v>
      </c>
      <c r="AB5" s="2">
        <f t="shared" si="11"/>
        <v>-7.4168679913201527E-8</v>
      </c>
      <c r="AC5" s="2">
        <f t="shared" si="12"/>
        <v>-3.6904367434353007E-6</v>
      </c>
      <c r="AN5" s="15">
        <v>3282.9211461266232</v>
      </c>
      <c r="AO5" s="16">
        <v>9</v>
      </c>
    </row>
    <row r="6" spans="1:41" ht="15" thickBot="1" x14ac:dyDescent="0.35">
      <c r="A6" s="5">
        <v>3</v>
      </c>
      <c r="B6" s="7">
        <v>190</v>
      </c>
      <c r="C6" s="6">
        <v>550</v>
      </c>
      <c r="D6" s="11" cm="1">
        <f t="array" ref="D6:E6">'Raw Data and Corrections'!AV13:AW13</f>
        <v>0.57769844141977533</v>
      </c>
      <c r="E6" s="7">
        <v>1.2950250979173785E-2</v>
      </c>
      <c r="F6">
        <f t="shared" si="0"/>
        <v>33000</v>
      </c>
      <c r="G6" s="2" cm="1">
        <f t="array" ref="G6:H6">'Raw Data and Corrections'!AE13:AF13</f>
        <v>2.2871510619484905</v>
      </c>
      <c r="H6">
        <v>3.3393535607375201E-2</v>
      </c>
      <c r="I6" s="2">
        <f t="shared" ref="I6:I37" si="19">G6/$G$38</f>
        <v>1.564951767140554E-2</v>
      </c>
      <c r="J6" s="2">
        <f t="shared" si="13"/>
        <v>2.2849069057691206E-4</v>
      </c>
      <c r="L6" s="2">
        <f t="shared" si="1"/>
        <v>2.8584982195341879E-10</v>
      </c>
      <c r="M6" s="2">
        <f t="shared" si="2"/>
        <v>2.4437519196853474E-11</v>
      </c>
      <c r="N6" s="2">
        <f t="shared" si="14"/>
        <v>2.8897877221273008E-10</v>
      </c>
      <c r="O6" s="2">
        <f t="shared" si="3"/>
        <v>2.4710903486718125E-11</v>
      </c>
      <c r="P6" s="2">
        <f t="shared" si="4"/>
        <v>1.2304765002301155E-8</v>
      </c>
      <c r="Q6" s="2">
        <f t="shared" si="5"/>
        <v>1.0545325325160731E-9</v>
      </c>
      <c r="R6" s="2">
        <f t="shared" si="15"/>
        <v>2.8584982195341879E-10</v>
      </c>
      <c r="S6" s="2">
        <f t="shared" si="6"/>
        <v>2.4437519196853474E-11</v>
      </c>
      <c r="T6">
        <f t="shared" si="7"/>
        <v>21.598272138228943</v>
      </c>
      <c r="U6">
        <f t="shared" si="8"/>
        <v>-21.975554541085934</v>
      </c>
      <c r="V6" s="2">
        <f t="shared" si="16"/>
        <v>8.5490762351553035E-2</v>
      </c>
      <c r="W6">
        <f t="shared" si="9"/>
        <v>-9.5438620739575679</v>
      </c>
      <c r="X6">
        <f t="shared" si="17"/>
        <v>-24.654787941893769</v>
      </c>
      <c r="Y6">
        <f t="shared" si="18"/>
        <v>2.6792334008078349</v>
      </c>
      <c r="AA6">
        <f t="shared" si="10"/>
        <v>8.276836658032204E-8</v>
      </c>
      <c r="AB6" s="2">
        <f t="shared" si="11"/>
        <v>-8.3799776499971246E-8</v>
      </c>
      <c r="AC6" s="2">
        <f t="shared" si="12"/>
        <v>-3.1191521245455372E-6</v>
      </c>
      <c r="AN6" s="17">
        <v>4.6578513414525551</v>
      </c>
      <c r="AO6" s="18">
        <v>1.276931738751428E-2</v>
      </c>
    </row>
    <row r="7" spans="1:41" x14ac:dyDescent="0.3">
      <c r="A7" s="5">
        <v>4</v>
      </c>
      <c r="B7" s="7">
        <v>200</v>
      </c>
      <c r="C7" s="6">
        <v>500</v>
      </c>
      <c r="D7" s="11" cm="1">
        <f t="array" ref="D7:E7">'Raw Data and Corrections'!AV17:AW17</f>
        <v>0.53936148347300295</v>
      </c>
      <c r="E7" s="7">
        <v>1.1455177618815154E-2</v>
      </c>
      <c r="F7">
        <f t="shared" si="0"/>
        <v>30000</v>
      </c>
      <c r="G7" s="2" cm="1">
        <f t="array" ref="G7:H7">'Raw Data and Corrections'!AE17:AF17</f>
        <v>2.8265125454214934</v>
      </c>
      <c r="H7">
        <v>3.5303672820821898E-2</v>
      </c>
      <c r="I7" s="2">
        <f t="shared" si="19"/>
        <v>1.9340024698823025E-2</v>
      </c>
      <c r="J7" s="2">
        <f>2*(((H7/(2*$G$38))^2+($H$38*G7/(2*($G$38^2)))^2)^0.5)</f>
        <v>2.4156054266231692E-4</v>
      </c>
      <c r="L7" s="2">
        <f t="shared" si="1"/>
        <v>3.7562147712807334E-10</v>
      </c>
      <c r="M7" s="2">
        <f t="shared" si="2"/>
        <v>3.3111531560390781E-11</v>
      </c>
      <c r="N7" s="2">
        <f t="shared" si="14"/>
        <v>3.8088277689068945E-10</v>
      </c>
      <c r="O7" s="2">
        <f t="shared" si="3"/>
        <v>3.3590868816937849E-11</v>
      </c>
      <c r="P7" s="2">
        <f t="shared" si="4"/>
        <v>1.2686174381672782E-8</v>
      </c>
      <c r="Q7" s="2">
        <f t="shared" si="5"/>
        <v>1.0954652405961965E-9</v>
      </c>
      <c r="R7" s="2">
        <f t="shared" si="15"/>
        <v>3.7562147712807334E-10</v>
      </c>
      <c r="S7" s="2">
        <f t="shared" si="6"/>
        <v>3.3111531560390781E-11</v>
      </c>
      <c r="T7">
        <f t="shared" si="7"/>
        <v>21.141649048625794</v>
      </c>
      <c r="U7">
        <f t="shared" si="8"/>
        <v>-21.702439189377039</v>
      </c>
      <c r="V7" s="2">
        <f t="shared" si="16"/>
        <v>8.8151326738702282E-2</v>
      </c>
      <c r="W7">
        <f t="shared" si="9"/>
        <v>-9.4252495837873287</v>
      </c>
      <c r="X7">
        <f t="shared" si="17"/>
        <v>-23.780946050170943</v>
      </c>
      <c r="Y7">
        <f t="shared" si="18"/>
        <v>2.0785068607939046</v>
      </c>
      <c r="AA7">
        <f t="shared" si="10"/>
        <v>1.1251570280382882E-7</v>
      </c>
      <c r="AB7" s="2">
        <f t="shared" si="11"/>
        <v>-1.1425413880937856E-7</v>
      </c>
      <c r="AC7" s="2">
        <f t="shared" si="12"/>
        <v>-3.4439794354212109E-6</v>
      </c>
    </row>
    <row r="8" spans="1:41" x14ac:dyDescent="0.3">
      <c r="A8" s="5">
        <v>5</v>
      </c>
      <c r="B8" s="7">
        <v>210</v>
      </c>
      <c r="C8" s="6">
        <v>475</v>
      </c>
      <c r="D8" s="11" cm="1">
        <f t="array" ref="D8:E8">'Raw Data and Corrections'!AV21:AW21</f>
        <v>0.61818170759940005</v>
      </c>
      <c r="E8" s="7">
        <v>1.1701238428196261E-2</v>
      </c>
      <c r="F8">
        <f t="shared" si="0"/>
        <v>28500</v>
      </c>
      <c r="G8" s="2" cm="1">
        <f t="array" ref="G8:H8">'Raw Data and Corrections'!AE21:AF21</f>
        <v>3.4446942530208933</v>
      </c>
      <c r="H8">
        <v>3.7192315004488975E-2</v>
      </c>
      <c r="I8" s="2">
        <f t="shared" si="19"/>
        <v>2.3569848306964888E-2</v>
      </c>
      <c r="J8" s="2">
        <f t="shared" si="13"/>
        <v>2.5448331795249822E-4</v>
      </c>
      <c r="L8" s="2">
        <f t="shared" si="1"/>
        <v>5.5575323319242167E-10</v>
      </c>
      <c r="M8" s="2">
        <f t="shared" si="2"/>
        <v>4.5694443968914591E-11</v>
      </c>
      <c r="N8" s="2">
        <f t="shared" si="14"/>
        <v>5.6532900706908763E-10</v>
      </c>
      <c r="O8" s="2">
        <f t="shared" si="3"/>
        <v>4.6502391751132669E-11</v>
      </c>
      <c r="P8" s="2">
        <f t="shared" si="4"/>
        <v>1.5367297439261082E-8</v>
      </c>
      <c r="Q8" s="2">
        <f t="shared" si="5"/>
        <v>1.2452389854959594E-9</v>
      </c>
      <c r="R8" s="2">
        <f t="shared" si="15"/>
        <v>5.5575323319242167E-10</v>
      </c>
      <c r="S8" s="2">
        <f t="shared" si="6"/>
        <v>4.5694443968914591E-11</v>
      </c>
      <c r="T8">
        <f t="shared" si="7"/>
        <v>20.703933747412009</v>
      </c>
      <c r="U8">
        <f>LN(R8)</f>
        <v>-21.310696745391006</v>
      </c>
      <c r="V8" s="2">
        <f t="shared" si="16"/>
        <v>8.2220743379991343E-2</v>
      </c>
      <c r="W8">
        <f t="shared" si="9"/>
        <v>-9.2551180020369017</v>
      </c>
      <c r="X8">
        <f t="shared" si="17"/>
        <v>-22.943288087711995</v>
      </c>
      <c r="Y8">
        <f t="shared" si="18"/>
        <v>1.632591342320989</v>
      </c>
      <c r="AA8">
        <f t="shared" si="10"/>
        <v>1.4434086215864857E-7</v>
      </c>
      <c r="AB8" s="2">
        <f t="shared" si="11"/>
        <v>-1.4706903223977027E-7</v>
      </c>
      <c r="AC8" s="2">
        <f t="shared" si="12"/>
        <v>-3.6409457905863455E-6</v>
      </c>
    </row>
    <row r="9" spans="1:41" x14ac:dyDescent="0.3">
      <c r="A9" s="5">
        <v>6</v>
      </c>
      <c r="B9" s="7">
        <v>220</v>
      </c>
      <c r="C9" s="6">
        <v>450</v>
      </c>
      <c r="D9" s="11" cm="1">
        <f t="array" ref="D9:E9">'Raw Data and Corrections'!AV25:AW25</f>
        <v>0.66921799917922808</v>
      </c>
      <c r="E9" s="7">
        <v>1.2436422611370885E-2</v>
      </c>
      <c r="F9">
        <f t="shared" si="0"/>
        <v>27000</v>
      </c>
      <c r="G9" s="2" cm="1">
        <f t="array" ref="G9:H9">'Raw Data and Corrections'!AE25:AF25</f>
        <v>4.1139122522001212</v>
      </c>
      <c r="H9">
        <v>3.9216487639279388E-2</v>
      </c>
      <c r="I9" s="2">
        <f t="shared" si="19"/>
        <v>2.8148880745362634E-2</v>
      </c>
      <c r="J9" s="2">
        <f t="shared" si="13"/>
        <v>2.6833344177909903E-4</v>
      </c>
      <c r="L9" s="2">
        <f t="shared" si="1"/>
        <v>7.6542945712095723E-10</v>
      </c>
      <c r="M9" s="2">
        <f t="shared" si="2"/>
        <v>6.1100126859613598E-11</v>
      </c>
      <c r="N9" s="2">
        <f t="shared" si="14"/>
        <v>7.8137809235259546E-10</v>
      </c>
      <c r="O9" s="2">
        <f t="shared" si="3"/>
        <v>6.2401957894580527E-11</v>
      </c>
      <c r="P9" s="2">
        <f t="shared" si="4"/>
        <v>1.7639625082949954E-8</v>
      </c>
      <c r="Q9" s="2">
        <f t="shared" si="5"/>
        <v>1.3899875602276845E-9</v>
      </c>
      <c r="R9" s="2">
        <f t="shared" si="15"/>
        <v>7.6542945712095723E-10</v>
      </c>
      <c r="S9" s="2">
        <f t="shared" si="6"/>
        <v>6.1100126859613598E-11</v>
      </c>
      <c r="T9">
        <f t="shared" si="7"/>
        <v>20.28397565922921</v>
      </c>
      <c r="U9">
        <f t="shared" si="8"/>
        <v>-20.990584057760397</v>
      </c>
      <c r="V9" s="2">
        <f t="shared" si="16"/>
        <v>7.9824634773571601E-2</v>
      </c>
      <c r="W9">
        <f>LOG10(R9)</f>
        <v>-9.1160948282117094</v>
      </c>
      <c r="X9">
        <f t="shared" si="17"/>
        <v>-22.139612192695612</v>
      </c>
      <c r="Y9">
        <f t="shared" si="18"/>
        <v>1.1490281349352145</v>
      </c>
      <c r="AA9" s="2">
        <f t="shared" si="10"/>
        <v>1.8195949991030131E-7</v>
      </c>
      <c r="AB9" s="2">
        <f t="shared" si="11"/>
        <v>-1.8608371081594943E-7</v>
      </c>
      <c r="AC9" s="2">
        <f t="shared" si="12"/>
        <v>-3.8613285068558493E-6</v>
      </c>
    </row>
    <row r="10" spans="1:41" x14ac:dyDescent="0.3">
      <c r="A10" s="5">
        <v>7</v>
      </c>
      <c r="B10" s="7">
        <v>230</v>
      </c>
      <c r="C10" s="6">
        <v>425</v>
      </c>
      <c r="D10" s="11" cm="1">
        <f t="array" ref="D10:E10">'Raw Data and Corrections'!AV29:AW29</f>
        <v>0.84786085132689337</v>
      </c>
      <c r="E10" s="7">
        <v>1.2467122897981167E-2</v>
      </c>
      <c r="F10">
        <f t="shared" si="0"/>
        <v>25500</v>
      </c>
      <c r="G10" s="2" cm="1">
        <f t="array" ref="G10:H10">'Raw Data and Corrections'!AE29:AF29</f>
        <v>4.9617731035270145</v>
      </c>
      <c r="H10">
        <v>4.1150480630426652E-2</v>
      </c>
      <c r="I10" s="2">
        <f t="shared" si="19"/>
        <v>3.3950252415334115E-2</v>
      </c>
      <c r="J10" s="2">
        <f t="shared" si="13"/>
        <v>2.8156652375381958E-4</v>
      </c>
      <c r="L10" s="2">
        <f t="shared" si="1"/>
        <v>1.2328874144091654E-9</v>
      </c>
      <c r="M10" s="2">
        <f t="shared" si="2"/>
        <v>8.1637833405754448E-11</v>
      </c>
      <c r="N10" s="2">
        <f t="shared" si="14"/>
        <v>1.2638864719227475E-9</v>
      </c>
      <c r="O10" s="2">
        <f t="shared" si="3"/>
        <v>8.3740854815666053E-11</v>
      </c>
      <c r="P10" s="2">
        <f t="shared" si="4"/>
        <v>2.3789784064361256E-8</v>
      </c>
      <c r="Q10" s="2">
        <f t="shared" si="5"/>
        <v>1.5539369720566482E-9</v>
      </c>
      <c r="R10" s="2">
        <f t="shared" si="15"/>
        <v>1.2328874144091654E-9</v>
      </c>
      <c r="S10" s="2">
        <f t="shared" si="6"/>
        <v>8.1637833405754448E-11</v>
      </c>
      <c r="T10">
        <f t="shared" si="7"/>
        <v>19.880715705765407</v>
      </c>
      <c r="U10">
        <f t="shared" si="8"/>
        <v>-20.513906927225889</v>
      </c>
      <c r="V10" s="2">
        <f t="shared" si="16"/>
        <v>6.6216778962641623E-2</v>
      </c>
      <c r="W10">
        <f t="shared" si="9"/>
        <v>-8.9090765807710959</v>
      </c>
      <c r="X10">
        <f t="shared" si="17"/>
        <v>-21.367891601656016</v>
      </c>
      <c r="Y10">
        <f t="shared" si="18"/>
        <v>0.85398467443012649</v>
      </c>
      <c r="AA10">
        <f t="shared" si="10"/>
        <v>2.3237007314930889E-7</v>
      </c>
      <c r="AB10" s="2">
        <f t="shared" si="11"/>
        <v>-2.3875556728292231E-7</v>
      </c>
      <c r="AC10" s="2">
        <f t="shared" si="12"/>
        <v>-4.1130177411817819E-6</v>
      </c>
    </row>
    <row r="11" spans="1:41" x14ac:dyDescent="0.3">
      <c r="A11" s="5">
        <v>8</v>
      </c>
      <c r="B11" s="7">
        <v>225</v>
      </c>
      <c r="C11" s="6">
        <v>908</v>
      </c>
      <c r="D11" s="11" cm="1">
        <f t="array" ref="D11:E11">'Raw Data and Corrections'!AV33:AW33</f>
        <v>0.77380778922117921</v>
      </c>
      <c r="E11" s="7">
        <v>1.4174904928116006E-2</v>
      </c>
      <c r="F11">
        <f t="shared" si="0"/>
        <v>54480</v>
      </c>
      <c r="G11" s="2" cm="1">
        <f t="array" ref="G11:H11">'Raw Data and Corrections'!AE33:AF33</f>
        <v>5.7355808927481942</v>
      </c>
      <c r="H11">
        <v>4.3523441796763346E-2</v>
      </c>
      <c r="I11" s="2">
        <f t="shared" si="19"/>
        <v>3.9244926157334999E-2</v>
      </c>
      <c r="J11" s="2">
        <f>2*(((H11/(2*$G$38))^2+($H$38*G11/(2*($G$38^2)))^2)^0.5)</f>
        <v>2.9780318530362913E-4</v>
      </c>
      <c r="L11" s="2">
        <f t="shared" si="1"/>
        <v>6.2077175975690123E-10</v>
      </c>
      <c r="M11" s="2">
        <f t="shared" si="2"/>
        <v>7.5383290120663578E-11</v>
      </c>
      <c r="N11" s="2">
        <f t="shared" si="14"/>
        <v>6.3923900138713593E-10</v>
      </c>
      <c r="O11" s="2">
        <f t="shared" si="3"/>
        <v>7.7537478231674836E-11</v>
      </c>
      <c r="P11" s="2">
        <f t="shared" si="4"/>
        <v>1.0221054973790498E-8</v>
      </c>
      <c r="Q11" s="2">
        <f t="shared" si="5"/>
        <v>1.293634594681391E-9</v>
      </c>
      <c r="R11" s="2">
        <f t="shared" si="15"/>
        <v>6.2077175975690123E-10</v>
      </c>
      <c r="S11" s="2">
        <f t="shared" si="6"/>
        <v>7.5383290120663578E-11</v>
      </c>
      <c r="T11">
        <f t="shared" si="7"/>
        <v>20.080321285140563</v>
      </c>
      <c r="U11">
        <f t="shared" si="8"/>
        <v>-21.200057638176556</v>
      </c>
      <c r="V11" s="2">
        <f t="shared" si="16"/>
        <v>0.12143479295866201</v>
      </c>
      <c r="W11">
        <f t="shared" si="9"/>
        <v>-9.2070680482909637</v>
      </c>
      <c r="X11">
        <f t="shared" si="17"/>
        <v>-21.749877797823206</v>
      </c>
      <c r="Y11">
        <f t="shared" si="18"/>
        <v>0.5498201596466501</v>
      </c>
      <c r="AA11">
        <f t="shared" si="10"/>
        <v>1.2572561970402752E-7</v>
      </c>
      <c r="AB11" s="2">
        <f t="shared" si="11"/>
        <v>-1.2973852044434073E-7</v>
      </c>
      <c r="AC11" s="2">
        <f t="shared" si="12"/>
        <v>-1.935755353482018E-6</v>
      </c>
    </row>
    <row r="12" spans="1:41" x14ac:dyDescent="0.3">
      <c r="A12" s="5">
        <v>9</v>
      </c>
      <c r="B12" s="7">
        <v>215</v>
      </c>
      <c r="C12" s="6">
        <v>450</v>
      </c>
      <c r="D12" s="11" cm="1">
        <f t="array" ref="D12:E12">'Raw Data and Corrections'!AV38:AW38</f>
        <v>0.15625071646896596</v>
      </c>
      <c r="E12" s="7">
        <v>6.4784413975517447E-3</v>
      </c>
      <c r="F12">
        <f t="shared" si="0"/>
        <v>27000</v>
      </c>
      <c r="G12" s="2" cm="1">
        <f t="array" ref="G12:H12">'Raw Data and Corrections'!AE38:AF38</f>
        <v>5.8918316092171601</v>
      </c>
      <c r="H12">
        <v>4.400295659132189E-2</v>
      </c>
      <c r="I12" s="2">
        <f t="shared" si="19"/>
        <v>4.031405026952533E-2</v>
      </c>
      <c r="J12" s="2">
        <f>2*(((H12/(2*$G$38))^2+($H$38*G12/(2*($G$38^2)))^2)^0.5)</f>
        <v>3.0108419956455484E-4</v>
      </c>
      <c r="L12" s="2">
        <f t="shared" si="1"/>
        <v>2.7491657152357238E-10</v>
      </c>
      <c r="M12" s="2">
        <f t="shared" si="2"/>
        <v>8.6937401059850748E-11</v>
      </c>
      <c r="N12" s="2">
        <f t="shared" si="14"/>
        <v>2.8381574934884259E-10</v>
      </c>
      <c r="O12" s="2">
        <f t="shared" si="3"/>
        <v>8.9776093701848247E-11</v>
      </c>
      <c r="P12" s="2">
        <f t="shared" si="4"/>
        <v>4.1782428703657789E-9</v>
      </c>
      <c r="Q12" s="2">
        <f t="shared" si="5"/>
        <v>1.3108813334439442E-9</v>
      </c>
      <c r="R12" s="2">
        <f t="shared" si="15"/>
        <v>2.7491657152357238E-10</v>
      </c>
      <c r="S12" s="2">
        <f t="shared" si="6"/>
        <v>8.6937401059850748E-11</v>
      </c>
      <c r="T12">
        <f t="shared" si="7"/>
        <v>20.491803278688526</v>
      </c>
      <c r="U12">
        <f t="shared" si="8"/>
        <v>-22.014553440567788</v>
      </c>
      <c r="V12" s="2">
        <f t="shared" si="16"/>
        <v>0.3162319411232597</v>
      </c>
      <c r="W12">
        <f t="shared" si="9"/>
        <v>-9.5607990808028376</v>
      </c>
      <c r="X12">
        <f t="shared" si="17"/>
        <v>-22.537332948118678</v>
      </c>
      <c r="Y12">
        <f t="shared" si="18"/>
        <v>0.52277950755089009</v>
      </c>
      <c r="AA12">
        <f t="shared" si="10"/>
        <v>2.6059737482137938E-7</v>
      </c>
      <c r="AB12" s="2">
        <f t="shared" si="11"/>
        <v>-2.6914998910699732E-7</v>
      </c>
      <c r="AC12" s="2">
        <f t="shared" si="12"/>
        <v>-3.9102754731916344E-6</v>
      </c>
    </row>
    <row r="13" spans="1:41" x14ac:dyDescent="0.3">
      <c r="A13" s="5">
        <v>10</v>
      </c>
      <c r="B13" s="7">
        <v>205</v>
      </c>
      <c r="C13" s="6">
        <v>520</v>
      </c>
      <c r="D13" s="11" cm="1">
        <f t="array" ref="D13:E13">'Raw Data and Corrections'!AV43:AW43</f>
        <v>8.1617858083723835E-2</v>
      </c>
      <c r="E13" s="7">
        <v>8.0957866822480781E-3</v>
      </c>
      <c r="F13">
        <f t="shared" si="0"/>
        <v>31200</v>
      </c>
      <c r="G13" s="2" cm="1">
        <f t="array" ref="G13:H13">'Raw Data and Corrections'!AE43:AF43</f>
        <v>5.9734494673008838</v>
      </c>
      <c r="H13">
        <v>4.4741501436387048E-2</v>
      </c>
      <c r="I13" s="2">
        <f>G13/$G$38</f>
        <v>4.0872509277167506E-2</v>
      </c>
      <c r="J13" s="2">
        <f t="shared" si="13"/>
        <v>3.0613759144420015E-4</v>
      </c>
      <c r="L13" s="2">
        <f t="shared" si="1"/>
        <v>1.2681429621184077E-10</v>
      </c>
      <c r="M13" s="2">
        <f t="shared" si="2"/>
        <v>1.0514575804802153E-10</v>
      </c>
      <c r="N13" s="2">
        <f t="shared" si="14"/>
        <v>1.3100620908022142E-10</v>
      </c>
      <c r="O13" s="2">
        <f t="shared" si="3"/>
        <v>1.0861853807769889E-10</v>
      </c>
      <c r="P13" s="2">
        <f t="shared" si="4"/>
        <v>1.8903151583554608E-9</v>
      </c>
      <c r="Q13" s="2">
        <f t="shared" si="5"/>
        <v>1.5685988106995336E-9</v>
      </c>
      <c r="R13" s="2">
        <f t="shared" si="15"/>
        <v>1.2681429621184077E-10</v>
      </c>
      <c r="S13" s="2">
        <f t="shared" si="6"/>
        <v>1.0514575804802153E-10</v>
      </c>
      <c r="T13">
        <f t="shared" si="7"/>
        <v>20.92050209205021</v>
      </c>
      <c r="U13">
        <f t="shared" si="8"/>
        <v>-22.788297334130629</v>
      </c>
      <c r="V13" s="2">
        <f t="shared" si="16"/>
        <v>0.82913173978726828</v>
      </c>
      <c r="W13">
        <f t="shared" si="9"/>
        <v>-9.8968317841835152</v>
      </c>
      <c r="X13">
        <f t="shared" si="17"/>
        <v>-23.357736012652456</v>
      </c>
      <c r="Y13">
        <f t="shared" si="18"/>
        <v>0.56943867852182706</v>
      </c>
      <c r="AA13">
        <f t="shared" si="10"/>
        <v>2.286409809097758E-7</v>
      </c>
      <c r="AB13" s="2">
        <f t="shared" si="11"/>
        <v>-2.3625261739083519E-7</v>
      </c>
      <c r="AC13" s="2">
        <f t="shared" si="12"/>
        <v>-3.3858625324594773E-6</v>
      </c>
    </row>
    <row r="14" spans="1:41" x14ac:dyDescent="0.3">
      <c r="A14" s="5">
        <v>11</v>
      </c>
      <c r="B14" s="7">
        <v>195</v>
      </c>
      <c r="C14" s="6">
        <v>1106</v>
      </c>
      <c r="D14" s="11" cm="1">
        <f t="array" ref="D14:E14">'Raw Data and Corrections'!AV47:AW47</f>
        <v>9.5647148256692044E-2</v>
      </c>
      <c r="E14" s="7">
        <v>3.2294417173976387E-3</v>
      </c>
      <c r="F14">
        <f t="shared" si="0"/>
        <v>66360</v>
      </c>
      <c r="G14" s="2" cm="1">
        <f t="array" ref="G14:H14">'Raw Data and Corrections'!AE47:AF47</f>
        <v>6.0690966155575756</v>
      </c>
      <c r="H14">
        <v>4.4857900581595347E-2</v>
      </c>
      <c r="I14" s="2">
        <f t="shared" si="19"/>
        <v>4.1526961780006325E-2</v>
      </c>
      <c r="J14" s="2">
        <f t="shared" si="13"/>
        <v>3.0693403664197469E-4</v>
      </c>
      <c r="L14" s="2">
        <f t="shared" si="1"/>
        <v>7.0915888966220875E-11</v>
      </c>
      <c r="M14" s="2">
        <f t="shared" si="2"/>
        <v>7.7609230320043816E-11</v>
      </c>
      <c r="N14" s="2">
        <f t="shared" si="14"/>
        <v>7.3296396615688982E-11</v>
      </c>
      <c r="O14" s="2">
        <f t="shared" si="3"/>
        <v>8.0200913982721053E-11</v>
      </c>
      <c r="P14" s="2">
        <f t="shared" si="4"/>
        <v>1.0421827532620668E-9</v>
      </c>
      <c r="Q14" s="2">
        <f t="shared" si="5"/>
        <v>1.1460719394941244E-9</v>
      </c>
      <c r="R14" s="2">
        <f t="shared" si="15"/>
        <v>7.0915888966220875E-11</v>
      </c>
      <c r="S14" s="2">
        <f t="shared" si="6"/>
        <v>7.7609230320043816E-11</v>
      </c>
      <c r="T14">
        <f t="shared" si="7"/>
        <v>21.367521367521366</v>
      </c>
      <c r="U14">
        <f t="shared" si="8"/>
        <v>-23.369526603602072</v>
      </c>
      <c r="V14" s="2">
        <f t="shared" si="16"/>
        <v>1.0943842268833597</v>
      </c>
      <c r="W14">
        <f t="shared" si="9"/>
        <v>-10.149256448635622</v>
      </c>
      <c r="X14">
        <f t="shared" si="17"/>
        <v>-24.213199037209048</v>
      </c>
      <c r="Y14">
        <f t="shared" si="18"/>
        <v>0.84367243360697586</v>
      </c>
      <c r="AA14">
        <f t="shared" si="10"/>
        <v>1.0921974252726876E-7</v>
      </c>
      <c r="AB14" s="2">
        <f t="shared" si="11"/>
        <v>-1.1291617035672909E-7</v>
      </c>
      <c r="AC14" s="2">
        <f t="shared" si="12"/>
        <v>-1.5929934003174798E-6</v>
      </c>
    </row>
    <row r="15" spans="1:41" x14ac:dyDescent="0.3">
      <c r="A15" s="5">
        <v>12</v>
      </c>
      <c r="B15" s="7">
        <v>185</v>
      </c>
      <c r="C15" s="6">
        <v>740</v>
      </c>
      <c r="D15" s="11" cm="1">
        <f t="array" ref="D15:E15">'Raw Data and Corrections'!AV51:AW51</f>
        <v>1.9150163564983974E-2</v>
      </c>
      <c r="E15" s="7">
        <v>1.996667060471457E-3</v>
      </c>
      <c r="F15">
        <f t="shared" si="0"/>
        <v>44400</v>
      </c>
      <c r="G15" s="2" cm="1">
        <f t="array" ref="G15:H15">'Raw Data and Corrections'!AE51:AF51</f>
        <v>6.0882467791225592</v>
      </c>
      <c r="H15">
        <v>4.4902315351646002E-2</v>
      </c>
      <c r="I15" s="2">
        <f t="shared" si="19"/>
        <v>4.1657994149536477E-2</v>
      </c>
      <c r="J15" s="2">
        <f t="shared" si="13"/>
        <v>3.0723793861869283E-4</v>
      </c>
      <c r="L15" s="2">
        <f t="shared" si="1"/>
        <v>2.1423369943509105E-11</v>
      </c>
      <c r="M15" s="2">
        <f t="shared" si="2"/>
        <v>6.0457088840478552E-11</v>
      </c>
      <c r="N15" s="2">
        <f t="shared" si="14"/>
        <v>2.214960926267382E-11</v>
      </c>
      <c r="O15" s="2">
        <f t="shared" si="3"/>
        <v>6.2507836240859488E-11</v>
      </c>
      <c r="P15" s="2">
        <f t="shared" si="4"/>
        <v>3.1199358629383344E-10</v>
      </c>
      <c r="Q15" s="2">
        <f t="shared" si="5"/>
        <v>8.7994291309740531E-10</v>
      </c>
      <c r="R15" s="2">
        <f t="shared" si="15"/>
        <v>2.1423369943509105E-11</v>
      </c>
      <c r="S15" s="2">
        <f t="shared" si="6"/>
        <v>6.0457088840478552E-11</v>
      </c>
      <c r="T15">
        <f t="shared" si="7"/>
        <v>21.834061135371179</v>
      </c>
      <c r="U15">
        <f t="shared" si="8"/>
        <v>-24.566538736322325</v>
      </c>
      <c r="V15" s="2">
        <f t="shared" si="16"/>
        <v>2.8220158173012346</v>
      </c>
      <c r="W15">
        <f t="shared" si="9"/>
        <v>-10.669112212647271</v>
      </c>
      <c r="X15">
        <f t="shared" si="17"/>
        <v>-25.106018525720078</v>
      </c>
      <c r="Y15">
        <f t="shared" si="18"/>
        <v>0.53947978939775254</v>
      </c>
      <c r="AA15">
        <f t="shared" si="10"/>
        <v>1.6375431479413209E-7</v>
      </c>
      <c r="AB15" s="2">
        <f t="shared" si="11"/>
        <v>-1.6931455764185233E-7</v>
      </c>
      <c r="AC15" s="2">
        <f t="shared" si="12"/>
        <v>-2.3812048586642778E-6</v>
      </c>
    </row>
    <row r="16" spans="1:41" x14ac:dyDescent="0.3">
      <c r="A16" s="5">
        <v>13</v>
      </c>
      <c r="B16" s="7">
        <v>175</v>
      </c>
      <c r="C16" s="6">
        <v>920</v>
      </c>
      <c r="D16" s="11" cm="1">
        <f t="array" ref="D16:E16">'Raw Data and Corrections'!AV55:AW55</f>
        <v>1.8864768406653305E-2</v>
      </c>
      <c r="E16" s="7">
        <v>7.419842691148348E-4</v>
      </c>
      <c r="F16">
        <f t="shared" si="0"/>
        <v>55200</v>
      </c>
      <c r="G16" s="2" cm="1">
        <f t="array" ref="G16:H16">'Raw Data and Corrections'!AE55:AF55</f>
        <v>6.1071115475292128</v>
      </c>
      <c r="H16">
        <v>4.4908445359356161E-2</v>
      </c>
      <c r="I16" s="2">
        <f t="shared" si="19"/>
        <v>4.1787073741811148E-2</v>
      </c>
      <c r="J16" s="2">
        <f t="shared" si="13"/>
        <v>3.0727988235628936E-4</v>
      </c>
      <c r="L16" s="2">
        <f t="shared" si="1"/>
        <v>1.7028114095159787E-11</v>
      </c>
      <c r="M16" s="2">
        <f t="shared" si="2"/>
        <v>6.4649225727804662E-11</v>
      </c>
      <c r="N16" s="2">
        <f t="shared" si="14"/>
        <v>1.7607230323998566E-11</v>
      </c>
      <c r="O16" s="2">
        <f t="shared" si="3"/>
        <v>6.6847160817136904E-11</v>
      </c>
      <c r="P16" s="2">
        <f t="shared" si="4"/>
        <v>2.4724498233334527E-10</v>
      </c>
      <c r="Q16" s="2">
        <f t="shared" si="5"/>
        <v>9.3899101943550783E-10</v>
      </c>
      <c r="R16" s="2">
        <f t="shared" si="15"/>
        <v>1.7028114095159787E-11</v>
      </c>
      <c r="S16" s="2">
        <f t="shared" si="6"/>
        <v>6.4649225727804662E-11</v>
      </c>
      <c r="T16">
        <f t="shared" si="7"/>
        <v>22.321428571428573</v>
      </c>
      <c r="U16">
        <f t="shared" si="8"/>
        <v>-24.796155367541129</v>
      </c>
      <c r="V16" s="2">
        <f t="shared" si="16"/>
        <v>3.7966168987663229</v>
      </c>
      <c r="W16">
        <f t="shared" si="9"/>
        <v>-10.76883344853881</v>
      </c>
      <c r="X16">
        <f t="shared" si="17"/>
        <v>-26.038696027111062</v>
      </c>
      <c r="Y16">
        <f t="shared" si="18"/>
        <v>1.2425406595699329</v>
      </c>
      <c r="AA16">
        <f t="shared" si="10"/>
        <v>1.3212355463193321E-7</v>
      </c>
      <c r="AB16" s="2">
        <f t="shared" si="11"/>
        <v>-1.3662421070415478E-7</v>
      </c>
      <c r="AC16" s="2">
        <f t="shared" si="12"/>
        <v>-1.915574961340279E-6</v>
      </c>
    </row>
    <row r="17" spans="1:37" x14ac:dyDescent="0.3">
      <c r="A17" s="5">
        <v>14</v>
      </c>
      <c r="B17" s="7">
        <v>200</v>
      </c>
      <c r="C17" s="6">
        <v>260</v>
      </c>
      <c r="D17" s="11" cm="1">
        <f t="array" ref="D17:E17">'Raw Data and Corrections'!AV59:AW59</f>
        <v>3.1311094664891286E-2</v>
      </c>
      <c r="E17" s="7">
        <v>1.6538991465150745E-3</v>
      </c>
      <c r="F17">
        <f t="shared" si="0"/>
        <v>15600</v>
      </c>
      <c r="G17" s="2" cm="1">
        <f t="array" ref="G17:H17">'Raw Data and Corrections'!AE59:AF59</f>
        <v>6.1384226421941044</v>
      </c>
      <c r="H17">
        <v>4.4938890139623176E-2</v>
      </c>
      <c r="I17" s="2">
        <f t="shared" si="19"/>
        <v>4.2001315615652152E-2</v>
      </c>
      <c r="J17" s="2">
        <f t="shared" si="13"/>
        <v>3.0748819659259731E-4</v>
      </c>
      <c r="L17" s="2">
        <f t="shared" si="1"/>
        <v>1.0041786278003864E-10</v>
      </c>
      <c r="M17" s="2">
        <f t="shared" si="2"/>
        <v>1.5008743923034891E-10</v>
      </c>
      <c r="N17" s="2">
        <f t="shared" si="14"/>
        <v>1.0384760719442533E-10</v>
      </c>
      <c r="O17" s="2">
        <f t="shared" si="3"/>
        <v>1.5522523920499401E-10</v>
      </c>
      <c r="P17" s="2">
        <f t="shared" si="4"/>
        <v>1.4523341339309863E-9</v>
      </c>
      <c r="Q17" s="2">
        <f t="shared" si="5"/>
        <v>2.1661849638437762E-9</v>
      </c>
      <c r="R17" s="2">
        <f t="shared" si="15"/>
        <v>1.0041786278003864E-10</v>
      </c>
      <c r="S17" s="2">
        <f t="shared" si="6"/>
        <v>1.5008743923034891E-10</v>
      </c>
      <c r="T17">
        <f t="shared" si="7"/>
        <v>21.141649048625794</v>
      </c>
      <c r="U17">
        <f t="shared" si="8"/>
        <v>-23.021681008360275</v>
      </c>
      <c r="V17" s="2">
        <f t="shared" si="16"/>
        <v>1.4946288944538635</v>
      </c>
      <c r="W17">
        <f t="shared" si="9"/>
        <v>-9.9981890260677577</v>
      </c>
      <c r="X17">
        <f t="shared" si="17"/>
        <v>-23.780946050170943</v>
      </c>
      <c r="Y17">
        <f t="shared" si="18"/>
        <v>0.7592650418106679</v>
      </c>
      <c r="AA17">
        <f t="shared" si="10"/>
        <v>4.6991105619387125E-7</v>
      </c>
      <c r="AB17" s="2">
        <f t="shared" si="11"/>
        <v>-4.8600330648199448E-7</v>
      </c>
      <c r="AC17" s="2">
        <f t="shared" si="12"/>
        <v>-6.7797041637427357E-6</v>
      </c>
    </row>
    <row r="18" spans="1:37" x14ac:dyDescent="0.3">
      <c r="A18" s="5">
        <v>15</v>
      </c>
      <c r="B18" s="7">
        <v>209.99</v>
      </c>
      <c r="C18" s="6">
        <v>520</v>
      </c>
      <c r="D18" s="11" cm="1">
        <f t="array" ref="D18:E18">'Raw Data and Corrections'!AV61:AW61</f>
        <v>8.8370958934106916E-2</v>
      </c>
      <c r="E18" s="7">
        <v>3.8642449917183673E-3</v>
      </c>
      <c r="F18">
        <f t="shared" si="0"/>
        <v>31200</v>
      </c>
      <c r="G18" s="2" cm="1">
        <f t="array" ref="G18:H18">'Raw Data and Corrections'!AE61:AF61</f>
        <v>6.226793601128211</v>
      </c>
      <c r="H18">
        <v>4.5104725210748618E-2</v>
      </c>
      <c r="I18" s="2">
        <f t="shared" si="19"/>
        <v>4.2605981790303581E-2</v>
      </c>
      <c r="J18" s="2">
        <f t="shared" si="13"/>
        <v>3.0862290033792204E-4</v>
      </c>
      <c r="L18" s="2">
        <f t="shared" si="1"/>
        <v>1.4309230356936386E-10</v>
      </c>
      <c r="M18" s="2">
        <f t="shared" si="2"/>
        <v>1.6213740353937806E-10</v>
      </c>
      <c r="N18" s="2">
        <f t="shared" si="14"/>
        <v>1.4802926482948309E-10</v>
      </c>
      <c r="O18" s="2">
        <f t="shared" si="3"/>
        <v>1.677069423231275E-10</v>
      </c>
      <c r="P18" s="2">
        <f t="shared" si="4"/>
        <v>2.0503760335672102E-9</v>
      </c>
      <c r="Q18" s="2">
        <f t="shared" si="5"/>
        <v>2.3327611599289116E-9</v>
      </c>
      <c r="R18" s="2">
        <f t="shared" si="15"/>
        <v>1.4309230356936386E-10</v>
      </c>
      <c r="S18" s="2">
        <f t="shared" si="6"/>
        <v>1.6213740353937806E-10</v>
      </c>
      <c r="T18">
        <f t="shared" si="7"/>
        <v>20.704362409159611</v>
      </c>
      <c r="U18">
        <f t="shared" si="8"/>
        <v>-22.667531214394895</v>
      </c>
      <c r="V18" s="2">
        <f t="shared" si="16"/>
        <v>1.1330966061412389</v>
      </c>
      <c r="W18">
        <f t="shared" si="9"/>
        <v>-9.8443837247814194</v>
      </c>
      <c r="X18">
        <f t="shared" si="17"/>
        <v>-22.944108419843605</v>
      </c>
      <c r="Y18">
        <f t="shared" si="18"/>
        <v>0.27657720544871012</v>
      </c>
      <c r="AA18">
        <f t="shared" si="10"/>
        <v>2.3833803310434161E-7</v>
      </c>
      <c r="AB18" s="2">
        <f t="shared" si="11"/>
        <v>-2.4662205100506774E-7</v>
      </c>
      <c r="AC18" s="2">
        <f t="shared" si="12"/>
        <v>-3.3919930278685163E-6</v>
      </c>
    </row>
    <row r="19" spans="1:37" x14ac:dyDescent="0.3">
      <c r="A19" s="5">
        <v>16</v>
      </c>
      <c r="B19" s="7">
        <v>219.98</v>
      </c>
      <c r="C19" s="6">
        <v>1167</v>
      </c>
      <c r="D19" s="11" cm="1">
        <f t="array" ref="D19:E19">'Raw Data and Corrections'!AV65:AW65</f>
        <v>0.6014999772286963</v>
      </c>
      <c r="E19" s="7">
        <v>2.4491683267636909E-2</v>
      </c>
      <c r="F19">
        <f t="shared" si="0"/>
        <v>70020</v>
      </c>
      <c r="G19" s="2" cm="1">
        <f t="array" ref="G19:H19">'Raw Data and Corrections'!AE65:AF65</f>
        <v>6.8282935783569076</v>
      </c>
      <c r="H19">
        <v>5.1325225626580422E-2</v>
      </c>
      <c r="I19" s="2">
        <f t="shared" si="19"/>
        <v>4.67216629447312E-2</v>
      </c>
      <c r="J19" s="2">
        <f t="shared" si="13"/>
        <v>3.5118582187035981E-4</v>
      </c>
      <c r="L19" s="2">
        <f t="shared" si="1"/>
        <v>4.5819766427010107E-10</v>
      </c>
      <c r="M19" s="2">
        <f t="shared" si="2"/>
        <v>8.4162231895769781E-11</v>
      </c>
      <c r="N19" s="2">
        <f t="shared" si="14"/>
        <v>4.7493678587114967E-10</v>
      </c>
      <c r="O19" s="2">
        <f t="shared" si="3"/>
        <v>8.7157163147715028E-11</v>
      </c>
      <c r="P19" s="2">
        <f t="shared" si="4"/>
        <v>6.2339643983460168E-9</v>
      </c>
      <c r="Q19" s="2">
        <f t="shared" si="5"/>
        <v>1.1747622282193833E-9</v>
      </c>
      <c r="R19" s="2">
        <f t="shared" si="15"/>
        <v>4.5819766427010107E-10</v>
      </c>
      <c r="S19" s="2">
        <f t="shared" si="6"/>
        <v>8.4162231895769781E-11</v>
      </c>
      <c r="T19">
        <f t="shared" si="7"/>
        <v>20.28479857195018</v>
      </c>
      <c r="U19">
        <f t="shared" si="8"/>
        <v>-21.503720443543052</v>
      </c>
      <c r="V19" s="2">
        <f t="shared" si="16"/>
        <v>0.18368105832629764</v>
      </c>
      <c r="W19">
        <f t="shared" si="9"/>
        <v>-9.3389471290208945</v>
      </c>
      <c r="X19">
        <f t="shared" si="17"/>
        <v>-22.141187004887957</v>
      </c>
      <c r="Y19">
        <f t="shared" si="18"/>
        <v>0.63746656134490465</v>
      </c>
      <c r="AA19">
        <f t="shared" si="10"/>
        <v>1.1645913316089529E-7</v>
      </c>
      <c r="AB19" s="2">
        <f t="shared" si="11"/>
        <v>-1.2091465674530134E-7</v>
      </c>
      <c r="AC19" s="2">
        <f t="shared" si="12"/>
        <v>-1.5179533475482651E-6</v>
      </c>
    </row>
    <row r="20" spans="1:37" x14ac:dyDescent="0.3">
      <c r="A20" s="5">
        <v>17</v>
      </c>
      <c r="B20" s="7">
        <v>229.99</v>
      </c>
      <c r="C20" s="6">
        <v>370</v>
      </c>
      <c r="D20" s="11" cm="1">
        <f t="array" ref="D20:E20">'Raw Data and Corrections'!AV69:AW69</f>
        <v>0.39100087397064176</v>
      </c>
      <c r="E20" s="7">
        <v>1.484574036236812E-2</v>
      </c>
      <c r="F20">
        <f t="shared" si="0"/>
        <v>22200</v>
      </c>
      <c r="G20" s="2" cm="1">
        <f t="array" ref="G20:H20">'Raw Data and Corrections'!AE69:AF69</f>
        <v>7.2192944523275493</v>
      </c>
      <c r="H20">
        <v>5.3429156764132388E-2</v>
      </c>
      <c r="I20" s="2">
        <f t="shared" si="19"/>
        <v>4.9397032835483252E-2</v>
      </c>
      <c r="J20" s="2">
        <f t="shared" si="13"/>
        <v>3.6558168232064841E-4</v>
      </c>
      <c r="L20" s="2">
        <f t="shared" si="1"/>
        <v>1.0108485719291255E-9</v>
      </c>
      <c r="M20" s="2">
        <f t="shared" si="2"/>
        <v>1.477477866602867E-10</v>
      </c>
      <c r="N20" s="2">
        <f t="shared" si="14"/>
        <v>1.0506890262740289E-9</v>
      </c>
      <c r="O20" s="2">
        <f t="shared" si="3"/>
        <v>1.5371278499429313E-10</v>
      </c>
      <c r="P20" s="2">
        <f t="shared" si="4"/>
        <v>1.2826894644088158E-8</v>
      </c>
      <c r="Q20" s="2">
        <f t="shared" si="5"/>
        <v>1.8343907480454183E-9</v>
      </c>
      <c r="R20" s="2">
        <f t="shared" si="15"/>
        <v>1.0108485719291255E-9</v>
      </c>
      <c r="S20" s="2">
        <f t="shared" si="6"/>
        <v>1.477477866602867E-10</v>
      </c>
      <c r="T20">
        <f t="shared" si="7"/>
        <v>19.881110956480249</v>
      </c>
      <c r="U20">
        <f t="shared" si="8"/>
        <v>-20.712475688611828</v>
      </c>
      <c r="V20" s="2">
        <f t="shared" si="16"/>
        <v>0.1461621362122732</v>
      </c>
      <c r="W20">
        <f t="shared" si="9"/>
        <v>-8.9953138981193721</v>
      </c>
      <c r="X20">
        <f t="shared" si="17"/>
        <v>-21.36864799492702</v>
      </c>
      <c r="Y20">
        <f t="shared" si="18"/>
        <v>0.65617230631519163</v>
      </c>
      <c r="AA20">
        <f t="shared" si="10"/>
        <v>3.8835174040312306E-7</v>
      </c>
      <c r="AB20" s="2">
        <f t="shared" si="11"/>
        <v>-4.0409867748729863E-7</v>
      </c>
      <c r="AC20" s="2">
        <f t="shared" si="12"/>
        <v>-4.8011813962668939E-6</v>
      </c>
    </row>
    <row r="21" spans="1:37" x14ac:dyDescent="0.3">
      <c r="A21" s="5">
        <v>18</v>
      </c>
      <c r="B21" s="7">
        <v>240</v>
      </c>
      <c r="C21" s="6">
        <v>320</v>
      </c>
      <c r="D21" s="11" cm="1">
        <f t="array" ref="D21:E21">'Raw Data and Corrections'!AV73:AW73</f>
        <v>0.7420418710030634</v>
      </c>
      <c r="E21" s="7">
        <v>1.5668893362883681E-2</v>
      </c>
      <c r="F21">
        <f t="shared" si="0"/>
        <v>19200</v>
      </c>
      <c r="G21" s="2" cm="1">
        <f t="array" ref="G21:H21">'Raw Data and Corrections'!AE73:AF73</f>
        <v>7.9613363233306131</v>
      </c>
      <c r="H21">
        <v>5.5679340977993388E-2</v>
      </c>
      <c r="I21" s="2">
        <f t="shared" si="19"/>
        <v>5.4474352635816931E-2</v>
      </c>
      <c r="J21" s="2">
        <f t="shared" si="13"/>
        <v>3.8097825940057922E-4</v>
      </c>
      <c r="L21" s="2">
        <f t="shared" si="1"/>
        <v>2.3970472035611226E-9</v>
      </c>
      <c r="M21" s="2">
        <f t="shared" si="2"/>
        <v>2.3610891703402772E-10</v>
      </c>
      <c r="N21" s="2">
        <f t="shared" si="14"/>
        <v>2.4995659904250075E-9</v>
      </c>
      <c r="O21" s="2">
        <f t="shared" si="3"/>
        <v>2.4634294629998758E-10</v>
      </c>
      <c r="P21" s="2">
        <f t="shared" si="4"/>
        <v>2.8261602654271655E-8</v>
      </c>
      <c r="Q21" s="2">
        <f t="shared" si="5"/>
        <v>2.7571708927735001E-9</v>
      </c>
      <c r="R21" s="2">
        <f t="shared" si="15"/>
        <v>2.4995659904250075E-9</v>
      </c>
      <c r="S21" s="2">
        <f t="shared" si="6"/>
        <v>2.4634294629998758E-10</v>
      </c>
      <c r="T21">
        <f t="shared" si="7"/>
        <v>19.49317738791423</v>
      </c>
      <c r="U21">
        <f t="shared" si="8"/>
        <v>-19.807148723973143</v>
      </c>
      <c r="V21" s="2">
        <f t="shared" si="16"/>
        <v>9.8554287921840886E-2</v>
      </c>
      <c r="W21">
        <f t="shared" si="9"/>
        <v>-8.6021353930585711</v>
      </c>
      <c r="X21">
        <f t="shared" si="17"/>
        <v>-20.626257583366499</v>
      </c>
      <c r="Y21">
        <f t="shared" si="18"/>
        <v>0.81910885939335643</v>
      </c>
      <c r="AA21">
        <f t="shared" si="10"/>
        <v>4.9518583926430045E-7</v>
      </c>
      <c r="AB21" s="2">
        <f t="shared" si="11"/>
        <v>-5.1743203226341873E-7</v>
      </c>
      <c r="AC21" s="2">
        <f t="shared" si="12"/>
        <v>-5.5811759269383305E-6</v>
      </c>
      <c r="AE21" s="2"/>
      <c r="AF21" s="2"/>
    </row>
    <row r="22" spans="1:37" x14ac:dyDescent="0.3">
      <c r="A22" s="5">
        <v>19</v>
      </c>
      <c r="B22" s="7">
        <v>245</v>
      </c>
      <c r="C22" s="6">
        <v>250</v>
      </c>
      <c r="D22" s="11" cm="1">
        <f t="array" ref="D22:E22">'Raw Data and Corrections'!AV77:AW77</f>
        <v>0.58519944470038965</v>
      </c>
      <c r="E22" s="7">
        <v>1.455981910345742E-2</v>
      </c>
      <c r="F22">
        <f t="shared" si="0"/>
        <v>15000</v>
      </c>
      <c r="G22" s="2" cm="1">
        <f t="array" ref="G22:H22">'Raw Data and Corrections'!AE77:AF77</f>
        <v>8.5465357680310028</v>
      </c>
      <c r="H22">
        <v>5.7551519042237778E-2</v>
      </c>
      <c r="I22" s="2">
        <f t="shared" si="19"/>
        <v>5.8478499630521083E-2</v>
      </c>
      <c r="J22" s="2">
        <f t="shared" si="13"/>
        <v>3.9378838121013296E-4</v>
      </c>
      <c r="L22" s="2">
        <f t="shared" si="1"/>
        <v>2.6312573560632035E-9</v>
      </c>
      <c r="M22" s="2">
        <f t="shared" si="2"/>
        <v>3.2769666600551449E-10</v>
      </c>
      <c r="N22" s="2">
        <f t="shared" si="14"/>
        <v>2.7540942531143177E-9</v>
      </c>
      <c r="O22" s="2">
        <f t="shared" si="3"/>
        <v>3.4318142730995189E-10</v>
      </c>
      <c r="P22" s="2">
        <f t="shared" si="4"/>
        <v>2.8665987306627981E-8</v>
      </c>
      <c r="Q22" s="2">
        <f t="shared" si="5"/>
        <v>3.5359097582724678E-9</v>
      </c>
      <c r="R22" s="2">
        <f t="shared" si="15"/>
        <v>2.7540942531143177E-9</v>
      </c>
      <c r="S22" s="2">
        <f t="shared" si="6"/>
        <v>3.4318142730995189E-10</v>
      </c>
      <c r="T22">
        <f t="shared" si="7"/>
        <v>19.305019305019304</v>
      </c>
      <c r="U22">
        <f t="shared" si="8"/>
        <v>-19.710177213146306</v>
      </c>
      <c r="V22" s="2">
        <f t="shared" si="16"/>
        <v>0.12460772790251598</v>
      </c>
      <c r="W22">
        <f t="shared" si="9"/>
        <v>-8.5600212010046555</v>
      </c>
      <c r="X22">
        <f t="shared" si="17"/>
        <v>-20.266178518501999</v>
      </c>
      <c r="Y22">
        <f t="shared" si="18"/>
        <v>0.55600130535569292</v>
      </c>
      <c r="AA22">
        <f t="shared" si="10"/>
        <v>6.8042824011925359E-7</v>
      </c>
      <c r="AB22" s="2">
        <f t="shared" si="11"/>
        <v>-7.1336483295035184E-7</v>
      </c>
      <c r="AC22" s="2">
        <f t="shared" si="12"/>
        <v>-7.1742871230291651E-6</v>
      </c>
    </row>
    <row r="23" spans="1:37" x14ac:dyDescent="0.3">
      <c r="A23" s="5">
        <v>20</v>
      </c>
      <c r="B23" s="7">
        <v>249.99</v>
      </c>
      <c r="C23" s="6">
        <v>210</v>
      </c>
      <c r="D23" s="11" cm="1">
        <f t="array" ref="D23:E23">'Raw Data and Corrections'!AV81:AW81</f>
        <v>0.7544642316023219</v>
      </c>
      <c r="E23" s="7">
        <v>1.4115074525016393E-2</v>
      </c>
      <c r="F23">
        <f t="shared" si="0"/>
        <v>12600</v>
      </c>
      <c r="G23" s="2" cm="1">
        <f t="array" ref="G23:H23">'Raw Data and Corrections'!AE81:AF81</f>
        <v>9.3009999996333246</v>
      </c>
      <c r="H23">
        <v>5.9257174020668789E-2</v>
      </c>
      <c r="I23" s="2">
        <f t="shared" si="19"/>
        <v>6.3640817730684182E-2</v>
      </c>
      <c r="J23" s="2">
        <f t="shared" si="13"/>
        <v>4.0545909162815699E-4</v>
      </c>
      <c r="L23" s="2">
        <f t="shared" si="1"/>
        <v>4.366223440520277E-9</v>
      </c>
      <c r="M23" s="2">
        <f t="shared" si="2"/>
        <v>4.4670994125204269E-10</v>
      </c>
      <c r="N23" s="2">
        <f t="shared" si="14"/>
        <v>4.5875773121363803E-9</v>
      </c>
      <c r="O23" s="2">
        <f t="shared" si="3"/>
        <v>4.6962859849307289E-10</v>
      </c>
      <c r="P23" s="2">
        <f t="shared" si="4"/>
        <v>4.4211735869628733E-8</v>
      </c>
      <c r="Q23" s="2">
        <f t="shared" si="5"/>
        <v>4.4839836582764123E-9</v>
      </c>
      <c r="R23" s="2">
        <f t="shared" si="15"/>
        <v>4.5875773121363803E-9</v>
      </c>
      <c r="S23" s="2">
        <f t="shared" si="6"/>
        <v>4.6962859849307289E-10</v>
      </c>
      <c r="T23">
        <f t="shared" si="7"/>
        <v>19.120824489952007</v>
      </c>
      <c r="U23">
        <f t="shared" si="8"/>
        <v>-19.199913770925956</v>
      </c>
      <c r="V23" s="2">
        <f t="shared" si="16"/>
        <v>0.1023696314066852</v>
      </c>
      <c r="W23">
        <f t="shared" si="9"/>
        <v>-8.3384166037313978</v>
      </c>
      <c r="X23">
        <f t="shared" si="17"/>
        <v>-19.91368397911322</v>
      </c>
      <c r="Y23">
        <f t="shared" si="18"/>
        <v>0.71377020818726322</v>
      </c>
      <c r="AA23">
        <f t="shared" si="10"/>
        <v>8.8154111750954349E-7</v>
      </c>
      <c r="AB23" s="2">
        <f t="shared" si="11"/>
        <v>-9.2820243766927695E-7</v>
      </c>
      <c r="AC23" s="2">
        <f t="shared" si="12"/>
        <v>-8.5879050832280512E-6</v>
      </c>
    </row>
    <row r="24" spans="1:37" x14ac:dyDescent="0.3">
      <c r="A24" s="5">
        <v>21</v>
      </c>
      <c r="B24" s="7">
        <v>244.909999999999</v>
      </c>
      <c r="C24" s="6">
        <v>270</v>
      </c>
      <c r="D24" s="11" cm="1">
        <f t="array" ref="D24:E24">'Raw Data and Corrections'!AV85:AW85</f>
        <v>0.49085790223314241</v>
      </c>
      <c r="E24" s="7">
        <v>1.0074319930729707E-2</v>
      </c>
      <c r="F24">
        <f t="shared" si="0"/>
        <v>16200</v>
      </c>
      <c r="G24" s="2" cm="1">
        <f t="array" ref="G24:H24">'Raw Data and Corrections'!AE85:AF85</f>
        <v>9.7918579018664662</v>
      </c>
      <c r="H24">
        <v>6.0107442093159498E-2</v>
      </c>
      <c r="I24" s="2">
        <f t="shared" si="19"/>
        <v>6.6999445651221415E-2</v>
      </c>
      <c r="J24" s="2">
        <f t="shared" si="13"/>
        <v>4.1127693437901543E-4</v>
      </c>
      <c r="L24" s="2">
        <f t="shared" si="1"/>
        <v>2.3635854001038905E-9</v>
      </c>
      <c r="M24" s="2">
        <f t="shared" si="2"/>
        <v>4.6463731904598077E-10</v>
      </c>
      <c r="N24" s="2">
        <f t="shared" si="14"/>
        <v>2.4922275445003051E-9</v>
      </c>
      <c r="O24" s="2">
        <f t="shared" si="3"/>
        <v>4.897947229392535E-10</v>
      </c>
      <c r="P24" s="2">
        <f t="shared" si="4"/>
        <v>2.2474224388730156E-8</v>
      </c>
      <c r="Q24" s="2">
        <f t="shared" si="5"/>
        <v>4.4413638871513242E-9</v>
      </c>
      <c r="R24" s="2">
        <f t="shared" si="15"/>
        <v>2.4922275445003051E-9</v>
      </c>
      <c r="S24" s="2">
        <f t="shared" si="6"/>
        <v>4.897947229392535E-10</v>
      </c>
      <c r="T24">
        <f t="shared" si="7"/>
        <v>19.308374041821978</v>
      </c>
      <c r="U24">
        <f t="shared" si="8"/>
        <v>-19.810088930197612</v>
      </c>
      <c r="V24" s="2">
        <f t="shared" si="16"/>
        <v>0.19652889400893689</v>
      </c>
      <c r="W24">
        <f t="shared" si="9"/>
        <v>-8.603412308397516</v>
      </c>
      <c r="X24">
        <f t="shared" si="17"/>
        <v>-20.2725984951099</v>
      </c>
      <c r="Y24">
        <f t="shared" si="18"/>
        <v>0.46250956491228834</v>
      </c>
      <c r="AA24">
        <f t="shared" si="10"/>
        <v>7.2182773063259885E-7</v>
      </c>
      <c r="AB24" s="2">
        <f t="shared" si="11"/>
        <v>-7.6217756221736825E-7</v>
      </c>
      <c r="AC24" s="2">
        <f t="shared" si="12"/>
        <v>-6.7035266194044654E-6</v>
      </c>
    </row>
    <row r="25" spans="1:37" x14ac:dyDescent="0.3">
      <c r="A25" s="5">
        <v>22</v>
      </c>
      <c r="B25" s="7">
        <v>239.99</v>
      </c>
      <c r="C25" s="6">
        <v>320</v>
      </c>
      <c r="D25" s="11" cm="1">
        <f t="array" ref="D25:E25">'Raw Data and Corrections'!AV89:AW89</f>
        <v>0.2988879886383885</v>
      </c>
      <c r="E25" s="7">
        <v>6.5750502023248798E-3</v>
      </c>
      <c r="F25">
        <f t="shared" si="0"/>
        <v>19200</v>
      </c>
      <c r="G25" s="2" cm="1">
        <f t="array" ref="G25:H25">'Raw Data and Corrections'!AE89:AF89</f>
        <v>10.090745890504854</v>
      </c>
      <c r="H25">
        <v>6.046598944981893E-2</v>
      </c>
      <c r="I25" s="2">
        <f t="shared" si="19"/>
        <v>6.9044545748799785E-2</v>
      </c>
      <c r="J25" s="2">
        <f t="shared" si="13"/>
        <v>4.1373024552554603E-4</v>
      </c>
      <c r="L25" s="2">
        <f t="shared" si="1"/>
        <v>1.2645618565642274E-9</v>
      </c>
      <c r="M25" s="2">
        <f t="shared" si="2"/>
        <v>3.9441256298244888E-10</v>
      </c>
      <c r="N25" s="2">
        <f t="shared" si="14"/>
        <v>1.3364037667369126E-9</v>
      </c>
      <c r="O25" s="2">
        <f t="shared" si="3"/>
        <v>4.1677072315890748E-10</v>
      </c>
      <c r="P25" s="2">
        <f t="shared" si="4"/>
        <v>1.1579987936591351E-8</v>
      </c>
      <c r="Q25" s="2">
        <f t="shared" si="5"/>
        <v>3.6195627750934018E-9</v>
      </c>
      <c r="R25" s="2">
        <f t="shared" si="15"/>
        <v>1.3364037667369126E-9</v>
      </c>
      <c r="S25" s="2">
        <f t="shared" si="6"/>
        <v>4.1677072315890748E-10</v>
      </c>
      <c r="T25">
        <f t="shared" si="7"/>
        <v>19.493557379286145</v>
      </c>
      <c r="U25">
        <f t="shared" si="8"/>
        <v>-20.433283586879945</v>
      </c>
      <c r="V25" s="2">
        <f t="shared" si="16"/>
        <v>0.31185988361626182</v>
      </c>
      <c r="W25">
        <f t="shared" si="9"/>
        <v>-8.8740623089462449</v>
      </c>
      <c r="X25">
        <f t="shared" si="17"/>
        <v>-20.626984774756583</v>
      </c>
      <c r="Y25">
        <f t="shared" si="18"/>
        <v>0.1937011878766377</v>
      </c>
      <c r="AA25">
        <f t="shared" si="10"/>
        <v>6.2763263221896356E-7</v>
      </c>
      <c r="AB25" s="2">
        <f t="shared" si="11"/>
        <v>-6.6385703284064113E-7</v>
      </c>
      <c r="AC25" s="2">
        <f t="shared" si="12"/>
        <v>-5.6685257680952636E-6</v>
      </c>
      <c r="AH25" t="s">
        <v>153</v>
      </c>
      <c r="AI25" t="s">
        <v>397</v>
      </c>
    </row>
    <row r="26" spans="1:37" x14ac:dyDescent="0.3">
      <c r="A26" s="5">
        <v>23</v>
      </c>
      <c r="B26" s="7">
        <v>235</v>
      </c>
      <c r="C26" s="6">
        <v>370</v>
      </c>
      <c r="D26" s="11" cm="1">
        <f t="array" ref="D26:E26">'Raw Data and Corrections'!AV93:AW93</f>
        <v>0.23071286342677</v>
      </c>
      <c r="E26" s="7">
        <v>5.2303781003493364E-3</v>
      </c>
      <c r="F26">
        <f t="shared" si="0"/>
        <v>22200</v>
      </c>
      <c r="G26" s="2" cm="1">
        <f t="array" ref="G26:H26">'Raw Data and Corrections'!AE93:AF93</f>
        <v>10.321458753931624</v>
      </c>
      <c r="H26">
        <v>6.0691784742403387E-2</v>
      </c>
      <c r="I26" s="2">
        <f t="shared" si="19"/>
        <v>7.0623166895993225E-2</v>
      </c>
      <c r="J26" s="2">
        <f t="shared" si="13"/>
        <v>4.1527521886823825E-4</v>
      </c>
      <c r="L26" s="2">
        <f t="shared" si="1"/>
        <v>8.6669907788240424E-10</v>
      </c>
      <c r="M26" s="2">
        <f t="shared" si="2"/>
        <v>3.4726433963788752E-10</v>
      </c>
      <c r="N26" s="2">
        <f t="shared" si="14"/>
        <v>9.1733307714786682E-10</v>
      </c>
      <c r="O26" s="2">
        <f t="shared" si="3"/>
        <v>3.6752248351364918E-10</v>
      </c>
      <c r="P26" s="2">
        <f t="shared" si="4"/>
        <v>7.7457731336960153E-9</v>
      </c>
      <c r="Q26" s="2">
        <f t="shared" si="5"/>
        <v>3.1079085712766705E-9</v>
      </c>
      <c r="R26" s="2">
        <f t="shared" si="15"/>
        <v>9.1733307714786682E-10</v>
      </c>
      <c r="S26" s="2">
        <f t="shared" si="6"/>
        <v>3.6752248351364918E-10</v>
      </c>
      <c r="T26">
        <f t="shared" si="7"/>
        <v>19.685039370078741</v>
      </c>
      <c r="U26">
        <f t="shared" si="8"/>
        <v>-20.809550484815411</v>
      </c>
      <c r="V26" s="2">
        <f t="shared" si="16"/>
        <v>0.40064235409054966</v>
      </c>
      <c r="W26">
        <f t="shared" si="9"/>
        <v>-9.0374729464424721</v>
      </c>
      <c r="X26">
        <f t="shared" si="17"/>
        <v>-20.993424818799202</v>
      </c>
      <c r="Y26">
        <f t="shared" si="18"/>
        <v>0.18387433398379116</v>
      </c>
      <c r="AA26">
        <f t="shared" si="10"/>
        <v>5.5522828401826372E-7</v>
      </c>
      <c r="AB26" s="2">
        <f t="shared" si="11"/>
        <v>-5.8805492706632036E-7</v>
      </c>
      <c r="AC26" s="2">
        <f t="shared" si="12"/>
        <v>-4.9108360770551147E-6</v>
      </c>
      <c r="AF26" t="s">
        <v>148</v>
      </c>
      <c r="AG26">
        <f>-10000*1.987046*AN2</f>
        <v>38026.198742804518</v>
      </c>
      <c r="AH26">
        <f>2*AN3*10000*1.987046</f>
        <v>1327.3415325280055</v>
      </c>
      <c r="AI26">
        <f>AG26*8.314/(1000*1.987)</f>
        <v>159.10911743718003</v>
      </c>
      <c r="AJ26">
        <f>AH26*8.314/(1000*1.987)</f>
        <v>5.5538588331342922</v>
      </c>
    </row>
    <row r="27" spans="1:37" x14ac:dyDescent="0.3">
      <c r="A27" s="5">
        <v>24</v>
      </c>
      <c r="B27" s="7">
        <v>230</v>
      </c>
      <c r="C27" s="6">
        <v>420</v>
      </c>
      <c r="D27" s="11" cm="1">
        <f t="array" ref="D27:E27">'Raw Data and Corrections'!AV97:AW97</f>
        <v>0.15232776871620657</v>
      </c>
      <c r="E27" s="7">
        <v>4.0007780626060228E-3</v>
      </c>
      <c r="F27">
        <f t="shared" si="0"/>
        <v>25200</v>
      </c>
      <c r="G27" s="2" cm="1">
        <f t="array" ref="G27:H27">'Raw Data and Corrections'!AE97:AF97</f>
        <v>10.473786522647831</v>
      </c>
      <c r="H27">
        <v>6.0823506642781272E-2</v>
      </c>
      <c r="I27" s="2">
        <f t="shared" si="19"/>
        <v>7.1665448775852597E-2</v>
      </c>
      <c r="J27" s="2">
        <f t="shared" si="13"/>
        <v>4.1617650791817039E-4</v>
      </c>
      <c r="L27" s="2">
        <f t="shared" si="1"/>
        <v>5.1357298736299711E-10</v>
      </c>
      <c r="M27" s="2">
        <f t="shared" si="2"/>
        <v>3.0957110296194671E-10</v>
      </c>
      <c r="N27" s="2">
        <f t="shared" si="14"/>
        <v>5.4417646926140078E-10</v>
      </c>
      <c r="O27" s="2">
        <f t="shared" si="3"/>
        <v>3.2800218981111454E-10</v>
      </c>
      <c r="P27" s="2">
        <f t="shared" si="4"/>
        <v>4.5116634955174094E-9</v>
      </c>
      <c r="Q27" s="2">
        <f t="shared" si="5"/>
        <v>2.7217477975683348E-9</v>
      </c>
      <c r="R27" s="2">
        <f t="shared" si="15"/>
        <v>5.4417646926140078E-10</v>
      </c>
      <c r="S27" s="2">
        <f t="shared" si="6"/>
        <v>3.2800218981111454E-10</v>
      </c>
      <c r="T27">
        <f t="shared" si="7"/>
        <v>19.880715705765407</v>
      </c>
      <c r="U27">
        <f t="shared" si="8"/>
        <v>-21.33174752965169</v>
      </c>
      <c r="V27" s="2">
        <f t="shared" si="16"/>
        <v>0.60274967467135243</v>
      </c>
      <c r="W27">
        <f t="shared" si="9"/>
        <v>-9.2642602414810522</v>
      </c>
      <c r="X27">
        <f t="shared" si="17"/>
        <v>-21.367891601656016</v>
      </c>
      <c r="Y27">
        <f t="shared" si="18"/>
        <v>3.6144072004326233E-2</v>
      </c>
      <c r="AA27">
        <f t="shared" si="10"/>
        <v>4.9634842899125697E-7</v>
      </c>
      <c r="AB27" s="2">
        <f t="shared" si="11"/>
        <v>-5.2615611264792417E-7</v>
      </c>
      <c r="AC27" s="2">
        <f t="shared" si="12"/>
        <v>-4.3310699631583159E-6</v>
      </c>
      <c r="AF27" t="s">
        <v>156</v>
      </c>
      <c r="AG27">
        <f>EXP(AO2)</f>
        <v>17503887.141435698</v>
      </c>
      <c r="AH27">
        <f>EXP(AO2)*AO3*2</f>
        <v>22783290.786393255</v>
      </c>
    </row>
    <row r="28" spans="1:37" x14ac:dyDescent="0.3">
      <c r="A28" s="5">
        <v>25</v>
      </c>
      <c r="B28" s="7">
        <v>225</v>
      </c>
      <c r="C28" s="6">
        <v>652</v>
      </c>
      <c r="D28" s="11" cm="1">
        <f t="array" ref="D28:E28">'Raw Data and Corrections'!AV101:AW101</f>
        <v>0.15006116987224183</v>
      </c>
      <c r="E28" s="7">
        <v>3.4395009845550484E-3</v>
      </c>
      <c r="F28">
        <f t="shared" si="0"/>
        <v>39120</v>
      </c>
      <c r="G28" s="2" cm="1">
        <f t="array" ref="G28:H28">'Raw Data and Corrections'!AE101:AF101</f>
        <v>10.623847692520073</v>
      </c>
      <c r="H28">
        <v>6.0920678979696316E-2</v>
      </c>
      <c r="I28" s="2">
        <f t="shared" si="19"/>
        <v>7.2692221763775308E-2</v>
      </c>
      <c r="J28" s="2">
        <f t="shared" si="13"/>
        <v>4.1684139631536626E-4</v>
      </c>
      <c r="L28" s="2">
        <f t="shared" si="1"/>
        <v>3.306456595482383E-10</v>
      </c>
      <c r="M28" s="2">
        <f t="shared" si="2"/>
        <v>2.4687303053077936E-10</v>
      </c>
      <c r="N28" s="2">
        <f t="shared" si="14"/>
        <v>3.5065449608865999E-10</v>
      </c>
      <c r="O28" s="2">
        <f t="shared" si="3"/>
        <v>2.6176679130106529E-10</v>
      </c>
      <c r="P28" s="2">
        <f t="shared" si="4"/>
        <v>2.8662337965338443E-9</v>
      </c>
      <c r="Q28" s="2">
        <f t="shared" si="5"/>
        <v>2.1458005124183826E-9</v>
      </c>
      <c r="R28" s="2">
        <f t="shared" si="15"/>
        <v>3.5065449608865999E-10</v>
      </c>
      <c r="S28" s="2">
        <f t="shared" si="6"/>
        <v>2.6176679130106529E-10</v>
      </c>
      <c r="T28">
        <f t="shared" si="7"/>
        <v>20.080321285140563</v>
      </c>
      <c r="U28">
        <f t="shared" si="8"/>
        <v>-21.771219718872807</v>
      </c>
      <c r="V28" s="2">
        <f t="shared" si="16"/>
        <v>0.74650915422707087</v>
      </c>
      <c r="W28">
        <f t="shared" si="9"/>
        <v>-9.4551205882097253</v>
      </c>
      <c r="X28">
        <f t="shared" si="17"/>
        <v>-21.749877797823206</v>
      </c>
      <c r="Y28">
        <f t="shared" si="18"/>
        <v>-2.1341921049600643E-2</v>
      </c>
      <c r="AA28">
        <f t="shared" si="10"/>
        <v>3.2431457320239232E-7</v>
      </c>
      <c r="AB28" s="2">
        <f t="shared" si="11"/>
        <v>-3.440890201844788E-7</v>
      </c>
      <c r="AC28" s="2">
        <f t="shared" si="12"/>
        <v>-2.7930422537105472E-6</v>
      </c>
      <c r="AF28" t="s">
        <v>396</v>
      </c>
      <c r="AG28">
        <f>AJ32</f>
        <v>98.970731942328143</v>
      </c>
      <c r="AH28">
        <v>9.1999999999999993</v>
      </c>
    </row>
    <row r="29" spans="1:37" x14ac:dyDescent="0.3">
      <c r="A29" s="5">
        <v>26</v>
      </c>
      <c r="B29" s="7">
        <v>230</v>
      </c>
      <c r="C29" s="6">
        <v>500</v>
      </c>
      <c r="D29" s="11" cm="1">
        <f t="array" ref="D29:E29">'Raw Data and Corrections'!AV105:AW105</f>
        <v>0.16689228875273665</v>
      </c>
      <c r="E29" s="7">
        <v>3.393119329685734E-3</v>
      </c>
      <c r="F29">
        <f t="shared" si="0"/>
        <v>30000</v>
      </c>
      <c r="G29" s="2" cm="1">
        <f t="array" ref="G29:H29">'Raw Data and Corrections'!AE105:AF105</f>
        <v>10.790739981272809</v>
      </c>
      <c r="H29">
        <v>6.1015099656828387E-2</v>
      </c>
      <c r="I29" s="2">
        <f t="shared" si="19"/>
        <v>7.3834159375815764E-2</v>
      </c>
      <c r="J29" s="2">
        <f t="shared" si="13"/>
        <v>4.1748745685763128E-4</v>
      </c>
      <c r="L29" s="2">
        <f t="shared" si="1"/>
        <v>4.8672574490199905E-10</v>
      </c>
      <c r="M29" s="2">
        <f t="shared" si="2"/>
        <v>2.2457861875008203E-10</v>
      </c>
      <c r="N29" s="2">
        <f t="shared" si="14"/>
        <v>5.1665272334014207E-10</v>
      </c>
      <c r="O29" s="2">
        <f t="shared" si="3"/>
        <v>2.3841856302464137E-10</v>
      </c>
      <c r="P29" s="2">
        <f t="shared" si="4"/>
        <v>4.1616448870206962E-9</v>
      </c>
      <c r="Q29" s="2">
        <f t="shared" si="5"/>
        <v>1.9165712124302835E-9</v>
      </c>
      <c r="R29" s="2">
        <f t="shared" si="15"/>
        <v>5.1665272334014207E-10</v>
      </c>
      <c r="S29" s="2">
        <f t="shared" si="6"/>
        <v>2.3841856302464137E-10</v>
      </c>
      <c r="T29">
        <f t="shared" si="7"/>
        <v>19.880715705765407</v>
      </c>
      <c r="U29">
        <f t="shared" si="8"/>
        <v>-21.38365018213112</v>
      </c>
      <c r="V29" s="2">
        <f t="shared" si="16"/>
        <v>0.46146773694189314</v>
      </c>
      <c r="W29">
        <f t="shared" si="9"/>
        <v>-9.2868012770490118</v>
      </c>
      <c r="X29">
        <f t="shared" si="17"/>
        <v>-21.367891601656016</v>
      </c>
      <c r="Y29">
        <f t="shared" si="18"/>
        <v>-1.5758580475104367E-2</v>
      </c>
      <c r="AA29">
        <f t="shared" si="10"/>
        <v>4.2954972718340883E-7</v>
      </c>
      <c r="AB29" s="2">
        <f t="shared" si="11"/>
        <v>-4.5618065745707899E-7</v>
      </c>
      <c r="AC29" s="2">
        <f t="shared" si="12"/>
        <v>-3.6466177437528518E-6</v>
      </c>
    </row>
    <row r="30" spans="1:37" x14ac:dyDescent="0.3">
      <c r="A30" s="5">
        <v>27</v>
      </c>
      <c r="B30" s="7">
        <v>234.89999999999901</v>
      </c>
      <c r="C30" s="6">
        <v>450</v>
      </c>
      <c r="D30" s="11" cm="1">
        <f t="array" ref="D30:E30">'Raw Data and Corrections'!AV109:AW109</f>
        <v>0.22612777387601199</v>
      </c>
      <c r="E30" s="7">
        <v>3.3114253917326613E-3</v>
      </c>
      <c r="F30">
        <f t="shared" si="0"/>
        <v>27000</v>
      </c>
      <c r="G30" s="2" cm="1">
        <f t="array" ref="G30:H30">'Raw Data and Corrections'!AE109:AF109</f>
        <v>11.016867755148821</v>
      </c>
      <c r="H30">
        <v>6.1104892801294657E-2</v>
      </c>
      <c r="I30" s="2">
        <f t="shared" si="19"/>
        <v>7.5381407676176584E-2</v>
      </c>
      <c r="J30" s="2">
        <f t="shared" si="13"/>
        <v>4.1810185414186611E-4</v>
      </c>
      <c r="L30" s="2">
        <f t="shared" si="1"/>
        <v>7.4620431444161768E-10</v>
      </c>
      <c r="M30" s="2">
        <f t="shared" si="2"/>
        <v>2.7141608480707952E-10</v>
      </c>
      <c r="N30" s="2">
        <f t="shared" si="14"/>
        <v>7.9298763363447523E-10</v>
      </c>
      <c r="O30" s="2">
        <f t="shared" si="3"/>
        <v>2.8845598825456808E-10</v>
      </c>
      <c r="P30" s="2">
        <f t="shared" si="4"/>
        <v>6.2743792192369245E-9</v>
      </c>
      <c r="Q30" s="2">
        <f t="shared" si="5"/>
        <v>2.2797411756220959E-9</v>
      </c>
      <c r="R30" s="2">
        <f t="shared" si="15"/>
        <v>7.9298763363447523E-10</v>
      </c>
      <c r="S30" s="2">
        <f t="shared" si="6"/>
        <v>2.8845598825456808E-10</v>
      </c>
      <c r="T30">
        <f t="shared" si="7"/>
        <v>19.68891514077578</v>
      </c>
      <c r="U30">
        <f t="shared" si="8"/>
        <v>-20.955213488823269</v>
      </c>
      <c r="V30" s="2">
        <f t="shared" si="16"/>
        <v>0.3637584951135957</v>
      </c>
      <c r="W30">
        <f t="shared" si="9"/>
        <v>-9.1007335853005369</v>
      </c>
      <c r="X30">
        <f t="shared" si="17"/>
        <v>-21.000841900578248</v>
      </c>
      <c r="Y30">
        <f t="shared" si="18"/>
        <v>4.5628411754979226E-2</v>
      </c>
      <c r="AA30">
        <f t="shared" si="10"/>
        <v>4.8727916990274401E-7</v>
      </c>
      <c r="AB30" s="2">
        <f t="shared" si="11"/>
        <v>-5.181671426136309E-7</v>
      </c>
      <c r="AC30" s="2">
        <f t="shared" si="12"/>
        <v>-4.0585777339457097E-6</v>
      </c>
      <c r="AF30" t="s">
        <v>146</v>
      </c>
    </row>
    <row r="31" spans="1:37" ht="15" thickBot="1" x14ac:dyDescent="0.35">
      <c r="A31" s="5">
        <v>28</v>
      </c>
      <c r="B31" s="7">
        <v>240</v>
      </c>
      <c r="C31" s="6">
        <v>400</v>
      </c>
      <c r="D31" s="11" cm="1">
        <f t="array" ref="D31:E31">'Raw Data and Corrections'!AV113:AW113</f>
        <v>0.26047750110158807</v>
      </c>
      <c r="E31" s="7">
        <v>1.2304883550138675E-2</v>
      </c>
      <c r="F31">
        <f t="shared" si="0"/>
        <v>24000</v>
      </c>
      <c r="G31" s="2" cm="1">
        <f t="array" ref="G31:H31">'Raw Data and Corrections'!AE113:AF113</f>
        <v>11.27734525625041</v>
      </c>
      <c r="H31">
        <v>6.2331517576906345E-2</v>
      </c>
      <c r="I31" s="2">
        <f t="shared" si="19"/>
        <v>7.7163689277209138E-2</v>
      </c>
      <c r="J31" s="2">
        <f t="shared" si="13"/>
        <v>4.2649486605152338E-4</v>
      </c>
      <c r="L31" s="2">
        <f t="shared" si="1"/>
        <v>9.8857746714452167E-10</v>
      </c>
      <c r="M31" s="2">
        <f t="shared" si="2"/>
        <v>3.143001667277626E-10</v>
      </c>
      <c r="N31" s="2">
        <f t="shared" si="14"/>
        <v>1.0520394024963829E-9</v>
      </c>
      <c r="O31" s="2">
        <f t="shared" si="3"/>
        <v>3.3451631830236285E-10</v>
      </c>
      <c r="P31" s="2">
        <f t="shared" si="4"/>
        <v>8.1455726436152452E-9</v>
      </c>
      <c r="Q31" s="2">
        <f t="shared" si="5"/>
        <v>2.5857750802555282E-9</v>
      </c>
      <c r="R31" s="2">
        <f t="shared" si="15"/>
        <v>1.0520394024963829E-9</v>
      </c>
      <c r="S31" s="2">
        <f t="shared" si="6"/>
        <v>3.3451631830236285E-10</v>
      </c>
      <c r="T31">
        <f t="shared" si="7"/>
        <v>19.49317738791423</v>
      </c>
      <c r="U31">
        <f t="shared" si="8"/>
        <v>-20.672535268487838</v>
      </c>
      <c r="V31" s="2">
        <f t="shared" si="16"/>
        <v>0.3179693816682051</v>
      </c>
      <c r="W31">
        <f t="shared" si="9"/>
        <v>-8.9779679940546266</v>
      </c>
      <c r="X31">
        <f t="shared" si="17"/>
        <v>-20.626257583366499</v>
      </c>
      <c r="Y31">
        <f t="shared" si="18"/>
        <v>-4.6277685121339118E-2</v>
      </c>
      <c r="AA31">
        <f t="shared" si="10"/>
        <v>5.6115018369714289E-7</v>
      </c>
      <c r="AB31" s="2">
        <f t="shared" si="11"/>
        <v>-5.9762292417809984E-7</v>
      </c>
      <c r="AC31" s="2">
        <f t="shared" si="12"/>
        <v>-4.5747181120244861E-6</v>
      </c>
      <c r="AF31" t="s">
        <v>145</v>
      </c>
      <c r="AG31">
        <f>EXP(AO2)</f>
        <v>17503887.141435698</v>
      </c>
      <c r="AH31">
        <v>346</v>
      </c>
      <c r="AI31">
        <f>(AG32/1.987)/(LN((AG31*AH31^2*55*1.987)/(AG32*AG33)))</f>
        <v>373.06287097489252</v>
      </c>
      <c r="AJ31" t="s">
        <v>386</v>
      </c>
      <c r="AK31" t="s">
        <v>153</v>
      </c>
    </row>
    <row r="32" spans="1:37" ht="15" thickBot="1" x14ac:dyDescent="0.35">
      <c r="A32" s="5">
        <v>29</v>
      </c>
      <c r="B32" s="7">
        <v>245</v>
      </c>
      <c r="C32" s="6">
        <v>350</v>
      </c>
      <c r="D32" s="11" cm="1">
        <f t="array" ref="D32:E32">'Raw Data and Corrections'!AV117:AW117</f>
        <v>0.34868138609583449</v>
      </c>
      <c r="E32" s="7">
        <v>9.3889275064231829E-3</v>
      </c>
      <c r="F32">
        <f t="shared" si="0"/>
        <v>21000</v>
      </c>
      <c r="G32" s="2" cm="1">
        <f t="array" ref="G32:H32">'Raw Data and Corrections'!AE117:AF117</f>
        <v>11.626026642346245</v>
      </c>
      <c r="H32">
        <v>6.3034673340638919E-2</v>
      </c>
      <c r="I32" s="2">
        <f t="shared" si="19"/>
        <v>7.9549493872358282E-2</v>
      </c>
      <c r="J32" s="2">
        <f t="shared" si="13"/>
        <v>4.3130611299247048E-4</v>
      </c>
      <c r="L32" s="2">
        <f t="shared" si="1"/>
        <v>1.5537047017295395E-9</v>
      </c>
      <c r="M32" s="2">
        <f t="shared" si="2"/>
        <v>3.7227832641441269E-10</v>
      </c>
      <c r="N32" s="2">
        <f t="shared" si="14"/>
        <v>1.6563756810066476E-9</v>
      </c>
      <c r="O32" s="2">
        <f t="shared" si="3"/>
        <v>3.969472087373199E-10</v>
      </c>
      <c r="P32" s="2">
        <f t="shared" si="4"/>
        <v>1.2489732925987764E-8</v>
      </c>
      <c r="Q32" s="2">
        <f t="shared" si="5"/>
        <v>2.9863150340761914E-9</v>
      </c>
      <c r="R32" s="2">
        <f t="shared" si="15"/>
        <v>1.6563756810066476E-9</v>
      </c>
      <c r="S32" s="2">
        <f t="shared" si="6"/>
        <v>3.969472087373199E-10</v>
      </c>
      <c r="T32">
        <f t="shared" si="7"/>
        <v>19.305019305019304</v>
      </c>
      <c r="U32">
        <f t="shared" si="8"/>
        <v>-20.218633946201038</v>
      </c>
      <c r="V32" s="2">
        <f t="shared" si="16"/>
        <v>0.23964805405503101</v>
      </c>
      <c r="W32">
        <f t="shared" si="9"/>
        <v>-8.7808411544568798</v>
      </c>
      <c r="X32">
        <f t="shared" si="17"/>
        <v>-20.266178518501999</v>
      </c>
      <c r="Y32">
        <f t="shared" si="18"/>
        <v>4.7544572300960652E-2</v>
      </c>
      <c r="AA32">
        <f t="shared" si="10"/>
        <v>6.6114313636557412E-7</v>
      </c>
      <c r="AB32" s="2">
        <f t="shared" si="11"/>
        <v>-7.055435670292809E-7</v>
      </c>
      <c r="AC32" s="2">
        <f t="shared" si="12"/>
        <v>-5.2418008752919073E-6</v>
      </c>
      <c r="AF32" t="s">
        <v>144</v>
      </c>
      <c r="AG32">
        <f>AG26</f>
        <v>38026.198742804518</v>
      </c>
      <c r="AH32">
        <f>AI31</f>
        <v>373.06287097489252</v>
      </c>
      <c r="AI32">
        <f>(AG32/1.987)/(LN((AG31*AH32^2*55*1.987)/(AG32*AG33)))</f>
        <v>371.97073194232814</v>
      </c>
      <c r="AJ32" s="19">
        <f>AI32-273</f>
        <v>98.970731942328143</v>
      </c>
      <c r="AK32">
        <f>AK34-AJ32</f>
        <v>9.2399177981236562</v>
      </c>
    </row>
    <row r="33" spans="1:37" ht="15" thickBot="1" x14ac:dyDescent="0.35">
      <c r="A33" s="5">
        <v>30</v>
      </c>
      <c r="B33" s="7">
        <v>250</v>
      </c>
      <c r="C33" s="6">
        <v>300</v>
      </c>
      <c r="D33" s="11" cm="1">
        <f t="array" ref="D33:E33">'Raw Data and Corrections'!AV121:AW121</f>
        <v>0.40179984450578188</v>
      </c>
      <c r="E33" s="7">
        <v>9.6187659471836922E-3</v>
      </c>
      <c r="F33">
        <f t="shared" si="0"/>
        <v>18000</v>
      </c>
      <c r="G33" s="2" cm="1">
        <f t="array" ref="G33:H33">'Raw Data and Corrections'!AE121:AF121</f>
        <v>12.027826486852026</v>
      </c>
      <c r="H33">
        <v>6.3764337223151279E-2</v>
      </c>
      <c r="I33" s="2">
        <f t="shared" si="19"/>
        <v>8.2298754238922925E-2</v>
      </c>
      <c r="J33" s="2">
        <f t="shared" si="13"/>
        <v>4.3629873810304603E-4</v>
      </c>
      <c r="L33" s="2">
        <f t="shared" si="1"/>
        <v>2.1572413734857895E-9</v>
      </c>
      <c r="M33" s="2">
        <f t="shared" si="2"/>
        <v>4.5003399132936474E-10</v>
      </c>
      <c r="N33" s="2">
        <f t="shared" si="14"/>
        <v>2.3048269865420743E-9</v>
      </c>
      <c r="O33" s="2">
        <f t="shared" si="3"/>
        <v>4.8093118037640822E-10</v>
      </c>
      <c r="P33" s="2">
        <f t="shared" si="4"/>
        <v>1.6838080359098298E-8</v>
      </c>
      <c r="Q33" s="2">
        <f t="shared" si="5"/>
        <v>3.5032966074962402E-9</v>
      </c>
      <c r="R33" s="2">
        <f t="shared" si="15"/>
        <v>2.3048269865420743E-9</v>
      </c>
      <c r="S33" s="2">
        <f t="shared" si="6"/>
        <v>4.8093118037640822E-10</v>
      </c>
      <c r="T33">
        <f t="shared" si="7"/>
        <v>19.120458891013385</v>
      </c>
      <c r="U33">
        <f t="shared" si="8"/>
        <v>-19.888260223383462</v>
      </c>
      <c r="V33" s="2">
        <f t="shared" si="16"/>
        <v>0.20866259514686955</v>
      </c>
      <c r="W33">
        <f t="shared" si="9"/>
        <v>-8.6373616696713711</v>
      </c>
      <c r="X33">
        <f t="shared" si="17"/>
        <v>-19.912984330594757</v>
      </c>
      <c r="Y33">
        <f t="shared" si="18"/>
        <v>2.4724107211294921E-2</v>
      </c>
      <c r="AA33">
        <f t="shared" si="10"/>
        <v>7.9799123986602502E-7</v>
      </c>
      <c r="AB33" s="2">
        <f t="shared" si="11"/>
        <v>-8.5357854644803307E-7</v>
      </c>
      <c r="AC33" s="2">
        <f t="shared" si="12"/>
        <v>-6.1337550458791015E-6</v>
      </c>
      <c r="AF33" t="s">
        <v>143</v>
      </c>
      <c r="AG33">
        <f>AG35/(1000000*365*24*60*60)</f>
        <v>3.1709791983764587E-13</v>
      </c>
      <c r="AJ33" t="s">
        <v>384</v>
      </c>
      <c r="AK33" t="s">
        <v>385</v>
      </c>
    </row>
    <row r="34" spans="1:37" ht="15" thickBot="1" x14ac:dyDescent="0.35">
      <c r="A34" s="5">
        <v>31</v>
      </c>
      <c r="B34" s="7">
        <v>249.97</v>
      </c>
      <c r="C34" s="6">
        <v>300</v>
      </c>
      <c r="D34" s="11" cm="1">
        <f t="array" ref="D34:E34">'Raw Data and Corrections'!AV126:AW126</f>
        <v>0.37354875442200886</v>
      </c>
      <c r="E34" s="7">
        <v>7.9898983109723681E-3</v>
      </c>
      <c r="F34">
        <f t="shared" si="0"/>
        <v>18000</v>
      </c>
      <c r="G34" s="2" cm="1">
        <f t="array" ref="G34:H34">'Raw Data and Corrections'!AE126:AF126</f>
        <v>12.401375241274035</v>
      </c>
      <c r="H34">
        <v>6.4262968936452308E-2</v>
      </c>
      <c r="I34" s="2">
        <f t="shared" si="19"/>
        <v>8.4854710393597946E-2</v>
      </c>
      <c r="J34" s="2">
        <f t="shared" si="13"/>
        <v>4.3971055726036036E-4</v>
      </c>
      <c r="L34" s="2">
        <f t="shared" si="1"/>
        <v>2.0713030714068281E-9</v>
      </c>
      <c r="M34" s="2">
        <f t="shared" si="2"/>
        <v>5.0209943922049616E-10</v>
      </c>
      <c r="N34" s="2">
        <f t="shared" si="14"/>
        <v>2.2180196181156492E-9</v>
      </c>
      <c r="O34" s="2">
        <f t="shared" si="3"/>
        <v>5.3768494924467913E-10</v>
      </c>
      <c r="P34" s="2">
        <f t="shared" si="4"/>
        <v>1.5699482005351516E-8</v>
      </c>
      <c r="Q34" s="2">
        <f t="shared" si="5"/>
        <v>3.8048245670209156E-9</v>
      </c>
      <c r="R34" s="2">
        <f t="shared" si="15"/>
        <v>2.2180196181156492E-9</v>
      </c>
      <c r="S34" s="2">
        <f t="shared" si="6"/>
        <v>5.3768494924467913E-10</v>
      </c>
      <c r="T34">
        <f t="shared" si="7"/>
        <v>19.121555729774173</v>
      </c>
      <c r="U34">
        <f t="shared" si="8"/>
        <v>-19.926651103099889</v>
      </c>
      <c r="V34" s="2">
        <f t="shared" si="16"/>
        <v>0.24241667875844902</v>
      </c>
      <c r="W34">
        <f t="shared" si="9"/>
        <v>-8.6540346168876283</v>
      </c>
      <c r="X34">
        <f t="shared" si="17"/>
        <v>-19.91508335642035</v>
      </c>
      <c r="Y34">
        <f t="shared" si="18"/>
        <v>-1.1567746679538971E-2</v>
      </c>
      <c r="AA34">
        <f t="shared" si="10"/>
        <v>8.2277449010807641E-7</v>
      </c>
      <c r="AB34" s="2">
        <f t="shared" si="11"/>
        <v>-8.8201168347151445E-7</v>
      </c>
      <c r="AC34" s="2">
        <f t="shared" si="12"/>
        <v>-6.1508863245283374E-6</v>
      </c>
      <c r="AF34" t="s">
        <v>142</v>
      </c>
      <c r="AH34">
        <f>0.97*AG32</f>
        <v>36885.412780520383</v>
      </c>
      <c r="AI34" t="s">
        <v>141</v>
      </c>
      <c r="AJ34" s="19">
        <v>90.19658763822008</v>
      </c>
      <c r="AK34">
        <v>108.2106497404518</v>
      </c>
    </row>
    <row r="35" spans="1:37" x14ac:dyDescent="0.3">
      <c r="A35" s="5">
        <v>32</v>
      </c>
      <c r="B35" s="6">
        <v>249.98</v>
      </c>
      <c r="C35" s="6">
        <v>300</v>
      </c>
      <c r="D35" s="12" cm="1">
        <f t="array" ref="D35:E35">'Raw Data and Corrections'!AV130:AW130</f>
        <v>0.37333060971607829</v>
      </c>
      <c r="E35" s="6">
        <v>7.9125970260669649E-3</v>
      </c>
      <c r="F35">
        <f t="shared" si="0"/>
        <v>18000</v>
      </c>
      <c r="G35" s="2" cm="1">
        <f t="array" ref="G35:H35">'Raw Data and Corrections'!AE130:AF130</f>
        <v>12.774705850990113</v>
      </c>
      <c r="H35">
        <v>6.4748269229565961E-2</v>
      </c>
      <c r="I35" s="2">
        <f t="shared" si="19"/>
        <v>8.7409173923020889E-2</v>
      </c>
      <c r="J35" s="2">
        <f t="shared" si="13"/>
        <v>4.4303115800220651E-4</v>
      </c>
      <c r="L35" s="2">
        <f t="shared" si="1"/>
        <v>2.1333828971113211E-9</v>
      </c>
      <c r="M35" s="2">
        <f t="shared" si="2"/>
        <v>5.2141918423045602E-10</v>
      </c>
      <c r="N35" s="2">
        <f t="shared" si="14"/>
        <v>2.2894946156190166E-9</v>
      </c>
      <c r="O35" s="2">
        <f t="shared" si="3"/>
        <v>5.595949379251712E-10</v>
      </c>
      <c r="P35" s="2">
        <f t="shared" si="4"/>
        <v>1.5734184593565133E-8</v>
      </c>
      <c r="Q35" s="2">
        <f t="shared" si="5"/>
        <v>3.8447828449109666E-9</v>
      </c>
      <c r="R35" s="2">
        <f t="shared" si="15"/>
        <v>2.2894946156190166E-9</v>
      </c>
      <c r="S35" s="2">
        <f t="shared" si="6"/>
        <v>5.595949379251712E-10</v>
      </c>
      <c r="T35">
        <f t="shared" si="7"/>
        <v>19.121190102872003</v>
      </c>
      <c r="U35">
        <f t="shared" si="8"/>
        <v>-19.894934735605723</v>
      </c>
      <c r="V35" s="2">
        <f t="shared" si="16"/>
        <v>0.24441854289920315</v>
      </c>
      <c r="W35">
        <f t="shared" si="9"/>
        <v>-8.6402603734988954</v>
      </c>
      <c r="X35">
        <f t="shared" si="17"/>
        <v>-19.914383654387908</v>
      </c>
      <c r="Y35">
        <f t="shared" si="18"/>
        <v>1.9448918782185132E-2</v>
      </c>
      <c r="AA35">
        <f t="shared" si="10"/>
        <v>8.4754326744726841E-7</v>
      </c>
      <c r="AB35" s="2">
        <f t="shared" si="11"/>
        <v>-9.1055367169673033E-7</v>
      </c>
      <c r="AC35" s="2">
        <f t="shared" si="12"/>
        <v>-6.1681034763346701E-6</v>
      </c>
      <c r="AF35" t="s">
        <v>140</v>
      </c>
      <c r="AG35">
        <v>10</v>
      </c>
      <c r="AJ35">
        <v>64439823.670807518</v>
      </c>
      <c r="AK35">
        <v>4828742.7687072773</v>
      </c>
    </row>
    <row r="36" spans="1:37" x14ac:dyDescent="0.3">
      <c r="A36" s="5">
        <v>33</v>
      </c>
      <c r="B36" s="6">
        <v>250</v>
      </c>
      <c r="C36" s="6">
        <v>10250</v>
      </c>
      <c r="D36" s="12" cm="1">
        <f t="array" ref="D36:E36">'Raw Data and Corrections'!AV133:AW133</f>
        <v>8.580386501689409</v>
      </c>
      <c r="E36" s="6">
        <v>0.12782739057103734</v>
      </c>
      <c r="F36">
        <f t="shared" si="0"/>
        <v>615000</v>
      </c>
      <c r="G36" s="2" cm="1">
        <f t="array" ref="G36:H36">'Raw Data and Corrections'!AE133:AF133</f>
        <v>21.35509235267952</v>
      </c>
      <c r="H36">
        <v>0.14329054451855811</v>
      </c>
      <c r="I36" s="2">
        <f t="shared" si="19"/>
        <v>0.14611929255912087</v>
      </c>
      <c r="J36" s="2">
        <f t="shared" si="13"/>
        <v>9.8044591190146746E-4</v>
      </c>
      <c r="L36" s="2">
        <f t="shared" si="1"/>
        <v>1.9454722549153241E-9</v>
      </c>
      <c r="M36" s="2">
        <f t="shared" si="2"/>
        <v>3.7768276635769E-10</v>
      </c>
      <c r="N36" s="2">
        <f t="shared" si="14"/>
        <v>2.1494607876287719E-9</v>
      </c>
      <c r="O36" s="2">
        <f t="shared" si="3"/>
        <v>4.0601899963489054E-10</v>
      </c>
      <c r="P36" s="2">
        <f t="shared" si="4"/>
        <v>1.0955228386927575E-8</v>
      </c>
      <c r="Q36" s="2">
        <f t="shared" si="5"/>
        <v>2.7392018770164686E-9</v>
      </c>
      <c r="R36" s="2">
        <f t="shared" si="15"/>
        <v>2.1494607876287719E-9</v>
      </c>
      <c r="S36" s="2">
        <f t="shared" si="6"/>
        <v>4.0601899963489054E-10</v>
      </c>
      <c r="T36">
        <f t="shared" si="7"/>
        <v>19.120458891013385</v>
      </c>
      <c r="U36">
        <f t="shared" si="8"/>
        <v>-19.958048822713263</v>
      </c>
      <c r="V36" s="2">
        <f t="shared" si="16"/>
        <v>0.18889342014133689</v>
      </c>
      <c r="W36">
        <f t="shared" si="9"/>
        <v>-8.6676704732600616</v>
      </c>
      <c r="X36">
        <f t="shared" si="17"/>
        <v>-19.912984330594757</v>
      </c>
      <c r="Y36">
        <f t="shared" si="18"/>
        <v>-4.5064492118505939E-2</v>
      </c>
      <c r="AA36">
        <f t="shared" si="10"/>
        <v>4.1467687086853826E-8</v>
      </c>
      <c r="AB36" s="2">
        <f t="shared" si="11"/>
        <v>-4.6927683164893449E-8</v>
      </c>
      <c r="AC36" s="2">
        <f t="shared" si="12"/>
        <v>-1.9294251605136442E-7</v>
      </c>
    </row>
    <row r="37" spans="1:37" x14ac:dyDescent="0.3">
      <c r="A37" s="5">
        <v>34</v>
      </c>
      <c r="B37" s="6">
        <v>240</v>
      </c>
      <c r="C37" s="6">
        <v>785</v>
      </c>
      <c r="D37" s="12" cm="1">
        <f t="array" ref="D37:E37">'Raw Data and Corrections'!AV135:AW135</f>
        <v>0.25246265215053254</v>
      </c>
      <c r="E37" s="6">
        <v>2.2088877113003287E-2</v>
      </c>
      <c r="F37">
        <f t="shared" si="0"/>
        <v>47100</v>
      </c>
      <c r="G37" s="2" cm="1">
        <f t="array" ref="G37:H37">'Raw Data and Corrections'!AE135:AF135</f>
        <v>21.607555004830054</v>
      </c>
      <c r="H37">
        <v>0.14498309777535534</v>
      </c>
      <c r="I37" s="2">
        <f t="shared" si="19"/>
        <v>0.14784673365469669</v>
      </c>
      <c r="J37" s="2">
        <f>2*(((H37/(2*$G$38))^2+($H$38*G37/(2*($G$38^2)))^2)^0.5)</f>
        <v>9.9202697558489457E-4</v>
      </c>
      <c r="L37" s="2">
        <f t="shared" si="1"/>
        <v>9.408640045920748E-10</v>
      </c>
      <c r="M37" s="2">
        <f t="shared" si="2"/>
        <v>5.4500873304904956E-10</v>
      </c>
      <c r="N37" s="2">
        <f t="shared" si="14"/>
        <v>1.0655899580101348E-9</v>
      </c>
      <c r="O37" s="2">
        <f t="shared" si="3"/>
        <v>6.1773991545031156E-10</v>
      </c>
      <c r="P37" s="2">
        <f t="shared" si="4"/>
        <v>4.3563730565805875E-9</v>
      </c>
      <c r="Q37" s="2">
        <f t="shared" si="5"/>
        <v>2.5114274692769283E-9</v>
      </c>
      <c r="R37" s="2">
        <f t="shared" si="15"/>
        <v>1.0655899580101348E-9</v>
      </c>
      <c r="S37" s="2">
        <f t="shared" si="6"/>
        <v>6.1773991545031156E-10</v>
      </c>
      <c r="T37">
        <f t="shared" si="7"/>
        <v>19.49317738791423</v>
      </c>
      <c r="U37">
        <f t="shared" si="8"/>
        <v>-20.659737239976117</v>
      </c>
      <c r="V37" s="2">
        <f t="shared" si="16"/>
        <v>0.57971634474096301</v>
      </c>
      <c r="W37">
        <f t="shared" si="9"/>
        <v>-8.9724098808927444</v>
      </c>
      <c r="X37">
        <f t="shared" si="17"/>
        <v>-20.626257583366499</v>
      </c>
      <c r="Y37">
        <f t="shared" si="18"/>
        <v>-3.3479656609618047E-2</v>
      </c>
      <c r="AA37">
        <f t="shared" si="10"/>
        <v>5.478582357948124E-7</v>
      </c>
      <c r="AB37" s="2">
        <f t="shared" si="11"/>
        <v>-6.2097513873180532E-7</v>
      </c>
      <c r="AC37" s="2">
        <f t="shared" si="12"/>
        <v>-2.5244201291093447E-6</v>
      </c>
      <c r="AH37">
        <v>98.9</v>
      </c>
      <c r="AI37">
        <v>99.09</v>
      </c>
    </row>
    <row r="38" spans="1:37" x14ac:dyDescent="0.3">
      <c r="A38" t="s">
        <v>92</v>
      </c>
      <c r="D38" s="6" cm="1">
        <f t="array" ref="D38:E38">'Raw Data and Corrections'!AE138:AF138</f>
        <v>124.54078707011602</v>
      </c>
      <c r="E38" s="6">
        <v>1.0730577113002813</v>
      </c>
      <c r="F38">
        <f>3600*C38</f>
        <v>0</v>
      </c>
      <c r="G38" s="2">
        <f>D39</f>
        <v>146.14834207494607</v>
      </c>
      <c r="H38">
        <v>0</v>
      </c>
      <c r="I38" s="2">
        <f>G38/$G$38</f>
        <v>1</v>
      </c>
      <c r="J38" s="2"/>
      <c r="AH38">
        <v>18003069.985226665</v>
      </c>
      <c r="AI38">
        <v>17354426.675797403</v>
      </c>
    </row>
    <row r="39" spans="1:37" x14ac:dyDescent="0.3">
      <c r="D39" s="7">
        <f>SUM(D4:D38)</f>
        <v>146.14834207494607</v>
      </c>
      <c r="E39" s="6">
        <v>1.0726345452392398</v>
      </c>
      <c r="H39">
        <v>1.073686271083476</v>
      </c>
      <c r="AH39">
        <v>38038.944164075619</v>
      </c>
      <c r="AI39">
        <v>38032.636907850479</v>
      </c>
    </row>
  </sheetData>
  <mergeCells count="1">
    <mergeCell ref="AA1:AC1"/>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3A0A1-1C8D-4F2D-A56A-EEF6EF1AA231}">
  <dimension ref="A1:AB82"/>
  <sheetViews>
    <sheetView tabSelected="1" topLeftCell="A37" zoomScale="55" zoomScaleNormal="55" workbookViewId="0">
      <selection activeCell="M16" sqref="M16"/>
    </sheetView>
  </sheetViews>
  <sheetFormatPr defaultRowHeight="14.4" x14ac:dyDescent="0.3"/>
  <cols>
    <col min="1" max="1" width="9" bestFit="1" customWidth="1"/>
    <col min="2" max="3" width="9.21875" bestFit="1" customWidth="1"/>
    <col min="4" max="4" width="13.6640625" bestFit="1" customWidth="1"/>
    <col min="5" max="5" width="9.33203125" bestFit="1" customWidth="1"/>
    <col min="6" max="6" width="9.44140625" style="2" bestFit="1" customWidth="1"/>
    <col min="7" max="7" width="9.21875" style="2" bestFit="1" customWidth="1"/>
    <col min="8" max="8" width="13.109375" style="2" bestFit="1" customWidth="1"/>
    <col min="9" max="9" width="13.6640625" bestFit="1" customWidth="1"/>
    <col min="10" max="10" width="9.33203125" bestFit="1" customWidth="1"/>
    <col min="11" max="11" width="11.21875" bestFit="1" customWidth="1"/>
    <col min="12" max="12" width="10.44140625" customWidth="1"/>
    <col min="13" max="13" width="9.6640625" customWidth="1"/>
    <col min="14" max="14" width="9.21875" bestFit="1" customWidth="1"/>
    <col min="15" max="15" width="9.21875" customWidth="1"/>
    <col min="16" max="16" width="9.21875" bestFit="1" customWidth="1"/>
    <col min="17" max="17" width="10.77734375" customWidth="1"/>
    <col min="18" max="18" width="10.5546875" customWidth="1"/>
    <col min="19" max="19" width="9.21875" bestFit="1" customWidth="1"/>
    <col min="20" max="20" width="9.109375" bestFit="1" customWidth="1"/>
    <col min="21" max="21" width="13.21875" bestFit="1" customWidth="1"/>
    <col min="22" max="22" width="9" bestFit="1" customWidth="1"/>
    <col min="25" max="25" width="11.5546875" customWidth="1"/>
    <col min="26" max="26" width="10.21875" customWidth="1"/>
  </cols>
  <sheetData>
    <row r="1" spans="2:27" s="4" customFormat="1" ht="94.2" customHeight="1" x14ac:dyDescent="0.3">
      <c r="B1" s="4" t="s">
        <v>70</v>
      </c>
      <c r="C1" s="4" t="s">
        <v>72</v>
      </c>
      <c r="D1" s="4" t="s">
        <v>76</v>
      </c>
      <c r="E1" s="4" t="s">
        <v>78</v>
      </c>
      <c r="F1" s="2" t="s">
        <v>79</v>
      </c>
      <c r="G1" s="2" t="s">
        <v>118</v>
      </c>
      <c r="H1" s="2" t="s">
        <v>117</v>
      </c>
      <c r="I1" s="4" t="s">
        <v>77</v>
      </c>
      <c r="J1" s="4" t="s">
        <v>119</v>
      </c>
      <c r="K1" s="4" t="s">
        <v>117</v>
      </c>
      <c r="M1" s="4" t="s">
        <v>398</v>
      </c>
      <c r="N1" s="4" t="s">
        <v>121</v>
      </c>
      <c r="P1" t="s">
        <v>80</v>
      </c>
      <c r="Q1" t="s">
        <v>468</v>
      </c>
      <c r="R1" s="20"/>
      <c r="U1" s="4" t="s">
        <v>399</v>
      </c>
      <c r="W1" s="4" t="s">
        <v>382</v>
      </c>
      <c r="X1" s="4" t="s">
        <v>383</v>
      </c>
      <c r="Z1" s="4" t="s">
        <v>467</v>
      </c>
      <c r="AA1" s="89">
        <f>'Raw Data and Corrections'!C145</f>
        <v>1.3621000000000001E-22</v>
      </c>
    </row>
    <row r="2" spans="2:27" ht="16.2" x14ac:dyDescent="0.3">
      <c r="B2">
        <v>105</v>
      </c>
      <c r="C2">
        <v>150</v>
      </c>
      <c r="D2">
        <v>1560</v>
      </c>
      <c r="E2">
        <f t="shared" ref="E2:E11" si="0">10000/(B2+273)</f>
        <v>26.455026455026456</v>
      </c>
      <c r="F2" s="2" cm="1">
        <f t="array" ref="F2:G2">T42:U42</f>
        <v>4.8656592845699998E-5</v>
      </c>
      <c r="G2" s="2">
        <v>4.5764970058312102E-11</v>
      </c>
      <c r="H2" s="2">
        <f>(G2^0.5)*2</f>
        <v>1.3529962314553888E-5</v>
      </c>
      <c r="I2" s="2">
        <f t="shared" ref="I2:I11" si="1">F2/($AA$2*(B2+273)*$AA$1)</f>
        <v>135079813710.00893</v>
      </c>
      <c r="J2">
        <f>LN(I2)</f>
        <v>25.629131653354218</v>
      </c>
      <c r="K2" s="2">
        <f>((H2/2)*(1/F2))*2</f>
        <v>0.2780704838388533</v>
      </c>
      <c r="L2" s="10"/>
      <c r="M2">
        <v>102727544652.81799</v>
      </c>
      <c r="N2">
        <f t="shared" ref="N2:N11" si="2">LN(M2)</f>
        <v>25.355346122913755</v>
      </c>
      <c r="P2">
        <v>27.548209366391184</v>
      </c>
      <c r="Q2" s="20">
        <v>25.018107203522302</v>
      </c>
      <c r="R2" s="20"/>
      <c r="U2" cm="1">
        <f t="array" ref="U2:V6">LINEST(J2:J11,E2:E11,TRUE,TRUE)</f>
        <v>-0.51295242483587999</v>
      </c>
      <c r="V2">
        <v>39.211840300339205</v>
      </c>
      <c r="W2">
        <f>U2*-10000*1.987</f>
        <v>10192.364681488936</v>
      </c>
      <c r="X2">
        <f>U3*10000*1.987*2</f>
        <v>1881.6684905319303</v>
      </c>
      <c r="Z2" t="s">
        <v>466</v>
      </c>
      <c r="AA2" s="20">
        <f>'Raw Data and Corrections'!E144</f>
        <v>6996.0104353363404</v>
      </c>
    </row>
    <row r="3" spans="2:27" x14ac:dyDescent="0.3">
      <c r="B3">
        <v>109.99</v>
      </c>
      <c r="C3">
        <v>150</v>
      </c>
      <c r="D3">
        <v>1560</v>
      </c>
      <c r="E3">
        <f t="shared" si="0"/>
        <v>26.11034230658764</v>
      </c>
      <c r="F3" s="2" cm="1">
        <f t="array" ref="F3:G3">T46:U46</f>
        <v>6.28365594731547E-5</v>
      </c>
      <c r="G3" s="2">
        <v>8.3310292177955496E-11</v>
      </c>
      <c r="H3" s="2">
        <f t="shared" ref="H3:H11" si="3">(G3^0.5)*2</f>
        <v>1.825489437690128E-5</v>
      </c>
      <c r="I3" s="2">
        <f t="shared" si="1"/>
        <v>172173188285.58456</v>
      </c>
      <c r="J3">
        <f t="shared" ref="J3:J11" si="4">LN(I3)</f>
        <v>25.871766715804515</v>
      </c>
      <c r="K3" s="2">
        <f t="shared" ref="K3:K11" si="5">((H3/2)*(1/F3))*2</f>
        <v>0.2905139067122256</v>
      </c>
      <c r="L3" s="10"/>
      <c r="M3">
        <v>111620335527.40601</v>
      </c>
      <c r="N3">
        <f t="shared" si="2"/>
        <v>25.438369088281451</v>
      </c>
      <c r="P3">
        <v>27.173913043478262</v>
      </c>
      <c r="Q3" s="20">
        <v>25.111483493038101</v>
      </c>
      <c r="U3">
        <v>4.7349483908704838E-2</v>
      </c>
      <c r="V3">
        <v>1.2734304804814598</v>
      </c>
    </row>
    <row r="4" spans="2:27" x14ac:dyDescent="0.3">
      <c r="B4">
        <v>99.86</v>
      </c>
      <c r="C4">
        <v>120</v>
      </c>
      <c r="D4">
        <v>1560</v>
      </c>
      <c r="E4">
        <f t="shared" si="0"/>
        <v>26.819717856568147</v>
      </c>
      <c r="F4" s="2" cm="1">
        <f t="array" ref="F4:G4">T50:U50</f>
        <v>4.3435369436099002E-5</v>
      </c>
      <c r="G4" s="2">
        <v>4.0154165900872303E-11</v>
      </c>
      <c r="H4" s="2">
        <f t="shared" si="3"/>
        <v>1.2673462968087658E-5</v>
      </c>
      <c r="I4" s="2">
        <f t="shared" si="1"/>
        <v>122247020495.95349</v>
      </c>
      <c r="J4">
        <f t="shared" si="4"/>
        <v>25.529309592783147</v>
      </c>
      <c r="K4" s="2">
        <f t="shared" si="5"/>
        <v>0.29177748762405553</v>
      </c>
      <c r="L4" s="10"/>
      <c r="M4">
        <v>95413904948.667099</v>
      </c>
      <c r="N4">
        <f t="shared" si="2"/>
        <v>25.281490158958444</v>
      </c>
      <c r="P4">
        <v>26.809651474530831</v>
      </c>
      <c r="Q4" s="20">
        <v>25.2023563967761</v>
      </c>
      <c r="R4" s="20"/>
      <c r="U4">
        <v>0.93618428234402939</v>
      </c>
      <c r="V4" s="3">
        <v>6.7480704157997479E-2</v>
      </c>
      <c r="W4" t="s">
        <v>120</v>
      </c>
      <c r="Y4">
        <f>V4*2</f>
        <v>0.13496140831599496</v>
      </c>
    </row>
    <row r="5" spans="2:27" x14ac:dyDescent="0.3">
      <c r="B5">
        <v>95</v>
      </c>
      <c r="C5">
        <v>150</v>
      </c>
      <c r="D5">
        <v>1560</v>
      </c>
      <c r="E5">
        <f t="shared" si="0"/>
        <v>27.173913043478262</v>
      </c>
      <c r="F5" s="2" cm="1">
        <f t="array" ref="F5:G5">T55:U55</f>
        <v>3.1035067212313599E-5</v>
      </c>
      <c r="G5" s="2">
        <v>1.6403942739413701E-12</v>
      </c>
      <c r="H5" s="2">
        <f t="shared" si="3"/>
        <v>2.5615575526943526E-6</v>
      </c>
      <c r="I5" s="2">
        <f t="shared" si="1"/>
        <v>88500440032.7901</v>
      </c>
      <c r="J5">
        <f t="shared" si="4"/>
        <v>25.206273361069854</v>
      </c>
      <c r="K5" s="2">
        <f t="shared" si="5"/>
        <v>8.2537522318560291E-2</v>
      </c>
      <c r="L5" s="10"/>
      <c r="M5">
        <v>86535010500.320801</v>
      </c>
      <c r="N5">
        <f t="shared" si="2"/>
        <v>25.183814914665259</v>
      </c>
      <c r="P5">
        <v>26.455026455026456</v>
      </c>
      <c r="Q5" s="20">
        <v>25.290825255441501</v>
      </c>
      <c r="R5" s="20"/>
      <c r="U5">
        <v>117.36096582236756</v>
      </c>
      <c r="V5">
        <v>8</v>
      </c>
    </row>
    <row r="6" spans="2:27" x14ac:dyDescent="0.3">
      <c r="B6">
        <v>104.99</v>
      </c>
      <c r="C6">
        <v>120</v>
      </c>
      <c r="D6">
        <v>1560</v>
      </c>
      <c r="E6">
        <f t="shared" si="0"/>
        <v>26.455726341966717</v>
      </c>
      <c r="F6" s="2" cm="1">
        <f t="array" ref="F6:G6">T59:U59</f>
        <v>5.0419981402233297E-5</v>
      </c>
      <c r="G6" s="2">
        <v>9.47011468340536E-12</v>
      </c>
      <c r="H6" s="2">
        <f t="shared" si="3"/>
        <v>6.1547102883581321E-6</v>
      </c>
      <c r="I6" s="2">
        <f t="shared" si="1"/>
        <v>139979013723.05099</v>
      </c>
      <c r="J6">
        <f t="shared" si="4"/>
        <v>25.664758346341085</v>
      </c>
      <c r="K6" s="2">
        <f t="shared" si="5"/>
        <v>0.12206887264114533</v>
      </c>
      <c r="L6" s="10"/>
      <c r="M6">
        <v>104555110906.25301</v>
      </c>
      <c r="N6">
        <f t="shared" si="2"/>
        <v>25.37298014643018</v>
      </c>
      <c r="P6">
        <v>26.109660574412533</v>
      </c>
      <c r="Q6">
        <v>25.376984222235901</v>
      </c>
      <c r="R6" s="20"/>
      <c r="U6">
        <v>0.5344202261068548</v>
      </c>
      <c r="V6">
        <v>3.6429163469273419E-2</v>
      </c>
    </row>
    <row r="7" spans="2:27" x14ac:dyDescent="0.3">
      <c r="B7">
        <v>100</v>
      </c>
      <c r="C7">
        <v>120</v>
      </c>
      <c r="D7">
        <v>1560</v>
      </c>
      <c r="E7">
        <f t="shared" si="0"/>
        <v>26.809651474530831</v>
      </c>
      <c r="F7" s="2" cm="1">
        <f t="array" ref="F7:G7">T63:U63</f>
        <v>3.6812402359058797E-5</v>
      </c>
      <c r="G7" s="2">
        <v>4.25267907887892E-12</v>
      </c>
      <c r="H7" s="2">
        <f t="shared" si="3"/>
        <v>4.1244049650241285E-6</v>
      </c>
      <c r="I7" s="2">
        <f t="shared" si="1"/>
        <v>103568070872.73692</v>
      </c>
      <c r="J7">
        <f t="shared" si="4"/>
        <v>25.363494923060479</v>
      </c>
      <c r="K7" s="2">
        <f t="shared" si="5"/>
        <v>0.11203846260278623</v>
      </c>
      <c r="L7" s="10"/>
      <c r="M7">
        <v>96115832182.949997</v>
      </c>
      <c r="N7">
        <f t="shared" si="2"/>
        <v>25.288819886314347</v>
      </c>
      <c r="P7">
        <f>10000/(273+26)</f>
        <v>33.444816053511708</v>
      </c>
      <c r="Q7" s="20">
        <v>23.486009099755101</v>
      </c>
      <c r="R7" s="20"/>
    </row>
    <row r="8" spans="2:27" x14ac:dyDescent="0.3">
      <c r="B8">
        <v>95</v>
      </c>
      <c r="C8">
        <v>120</v>
      </c>
      <c r="D8">
        <v>1560</v>
      </c>
      <c r="E8">
        <f t="shared" si="0"/>
        <v>27.173913043478262</v>
      </c>
      <c r="F8" s="2" cm="1">
        <f t="array" ref="F8:G8">T67:U67</f>
        <v>3.3275569285366801E-5</v>
      </c>
      <c r="G8" s="2">
        <v>5.7816789024607003E-11</v>
      </c>
      <c r="H8" s="2">
        <f t="shared" si="3"/>
        <v>1.5207470404325237E-5</v>
      </c>
      <c r="I8" s="2">
        <f t="shared" si="1"/>
        <v>94889516557.197128</v>
      </c>
      <c r="J8">
        <f t="shared" si="4"/>
        <v>25.275979068148281</v>
      </c>
      <c r="K8" s="2">
        <f t="shared" si="5"/>
        <v>0.45701608510159564</v>
      </c>
      <c r="L8" s="10"/>
      <c r="M8">
        <v>88162803875.337097</v>
      </c>
      <c r="N8">
        <f t="shared" si="2"/>
        <v>25.202450986238837</v>
      </c>
      <c r="R8" s="20"/>
    </row>
    <row r="9" spans="2:27" x14ac:dyDescent="0.3">
      <c r="B9">
        <v>90</v>
      </c>
      <c r="C9">
        <v>150</v>
      </c>
      <c r="D9">
        <v>1560</v>
      </c>
      <c r="E9">
        <f t="shared" si="0"/>
        <v>27.548209366391184</v>
      </c>
      <c r="F9" s="2" cm="1">
        <f t="array" ref="F9:G9">T71:U71</f>
        <v>2.6736751739871801E-5</v>
      </c>
      <c r="G9" s="2">
        <v>5.8073564601810096E-12</v>
      </c>
      <c r="H9" s="2">
        <f t="shared" si="3"/>
        <v>4.8196914673788027E-6</v>
      </c>
      <c r="I9" s="2">
        <f t="shared" si="1"/>
        <v>77293429429.505157</v>
      </c>
      <c r="J9">
        <f t="shared" si="4"/>
        <v>25.07087478801504</v>
      </c>
      <c r="K9" s="2">
        <f>((H9/2)*(1/F9))*2</f>
        <v>0.18026466020520085</v>
      </c>
      <c r="L9" s="10"/>
      <c r="M9">
        <v>79198525303.939896</v>
      </c>
      <c r="N9">
        <f t="shared" si="2"/>
        <v>25.095223515693689</v>
      </c>
      <c r="R9" s="20"/>
    </row>
    <row r="10" spans="2:27" x14ac:dyDescent="0.3">
      <c r="B10">
        <v>90</v>
      </c>
      <c r="C10">
        <v>180</v>
      </c>
      <c r="D10">
        <v>1560</v>
      </c>
      <c r="E10">
        <f t="shared" si="0"/>
        <v>27.548209366391184</v>
      </c>
      <c r="F10" s="2" cm="1">
        <f t="array" ref="F10:G10">T75:U75</f>
        <v>2.9731426367891301E-5</v>
      </c>
      <c r="G10" s="2">
        <v>2.0072552363581999E-11</v>
      </c>
      <c r="H10" s="2">
        <f t="shared" si="3"/>
        <v>8.9604804254196096E-6</v>
      </c>
      <c r="I10" s="2">
        <f t="shared" si="1"/>
        <v>85950751540.925735</v>
      </c>
      <c r="J10">
        <f t="shared" si="4"/>
        <v>25.177040312668698</v>
      </c>
      <c r="K10" s="2">
        <f t="shared" si="5"/>
        <v>0.30138077852519563</v>
      </c>
      <c r="L10" s="10"/>
      <c r="M10">
        <v>78203949962.354706</v>
      </c>
      <c r="N10">
        <f t="shared" si="2"/>
        <v>25.082585994249591</v>
      </c>
      <c r="R10" s="20"/>
    </row>
    <row r="11" spans="2:27" x14ac:dyDescent="0.3">
      <c r="B11">
        <v>99.99</v>
      </c>
      <c r="C11">
        <v>150</v>
      </c>
      <c r="D11">
        <v>1560</v>
      </c>
      <c r="E11">
        <f t="shared" si="0"/>
        <v>26.810370251213168</v>
      </c>
      <c r="F11" s="2" cm="1">
        <f t="array" ref="F11:G11">T79:U79</f>
        <v>3.7961585290435602E-5</v>
      </c>
      <c r="G11" s="2">
        <v>3.49401225970751E-11</v>
      </c>
      <c r="H11" s="2">
        <f t="shared" si="3"/>
        <v>1.1822034105360227E-5</v>
      </c>
      <c r="I11" s="2">
        <f t="shared" si="1"/>
        <v>106804047324.12433</v>
      </c>
      <c r="J11">
        <f t="shared" si="4"/>
        <v>25.394261659047757</v>
      </c>
      <c r="K11" s="2">
        <f t="shared" si="5"/>
        <v>0.31142098031239968</v>
      </c>
      <c r="L11" s="10"/>
      <c r="M11">
        <v>94446618609.783493</v>
      </c>
      <c r="N11">
        <f t="shared" si="2"/>
        <v>25.271300629403761</v>
      </c>
      <c r="R11" s="20"/>
    </row>
    <row r="12" spans="2:27" s="9" customFormat="1" x14ac:dyDescent="0.3">
      <c r="F12"/>
      <c r="G12" s="2"/>
      <c r="H12" s="39"/>
      <c r="I12" s="39"/>
      <c r="K12" s="39"/>
      <c r="L12" s="53"/>
    </row>
    <row r="13" spans="2:27" x14ac:dyDescent="0.3">
      <c r="B13" s="99" t="s">
        <v>471</v>
      </c>
      <c r="C13" s="99"/>
      <c r="D13" s="99"/>
      <c r="E13" s="99"/>
      <c r="F13" s="99"/>
      <c r="G13" s="99"/>
      <c r="H13" s="99"/>
      <c r="I13" s="99"/>
      <c r="J13" s="99"/>
      <c r="K13" s="99"/>
    </row>
    <row r="14" spans="2:27" x14ac:dyDescent="0.3">
      <c r="B14" s="99"/>
      <c r="C14" s="99"/>
      <c r="D14" s="99"/>
      <c r="E14" s="99"/>
      <c r="F14" s="99"/>
      <c r="G14" s="99"/>
      <c r="H14" s="99"/>
      <c r="I14" s="99"/>
      <c r="J14" s="99"/>
      <c r="K14" s="99"/>
    </row>
    <row r="15" spans="2:27" x14ac:dyDescent="0.3">
      <c r="B15" s="99"/>
      <c r="C15" s="99"/>
      <c r="D15" s="99"/>
      <c r="E15" s="99"/>
      <c r="F15" s="99"/>
      <c r="G15" s="99"/>
      <c r="H15" s="99"/>
      <c r="I15" s="99"/>
      <c r="J15" s="99"/>
      <c r="K15" s="99"/>
    </row>
    <row r="16" spans="2:27" x14ac:dyDescent="0.3">
      <c r="B16" s="99"/>
      <c r="C16" s="99"/>
      <c r="D16" s="99"/>
      <c r="E16" s="99"/>
      <c r="F16" s="99"/>
      <c r="G16" s="99"/>
      <c r="H16" s="99"/>
      <c r="I16" s="99"/>
      <c r="J16" s="99"/>
      <c r="K16" s="99"/>
    </row>
    <row r="17" spans="2:21" x14ac:dyDescent="0.3">
      <c r="B17" s="99"/>
      <c r="C17" s="99"/>
      <c r="D17" s="99"/>
      <c r="E17" s="99"/>
      <c r="F17" s="99"/>
      <c r="G17" s="99"/>
      <c r="H17" s="99"/>
      <c r="I17" s="99"/>
      <c r="J17" s="99"/>
      <c r="K17" s="99"/>
    </row>
    <row r="18" spans="2:21" x14ac:dyDescent="0.3">
      <c r="F18"/>
      <c r="G18"/>
      <c r="H18"/>
    </row>
    <row r="19" spans="2:21" x14ac:dyDescent="0.3">
      <c r="F19"/>
      <c r="G19"/>
      <c r="H19"/>
    </row>
    <row r="20" spans="2:21" x14ac:dyDescent="0.3">
      <c r="F20"/>
      <c r="G20"/>
      <c r="H20"/>
    </row>
    <row r="21" spans="2:21" x14ac:dyDescent="0.3">
      <c r="F21"/>
      <c r="G21"/>
      <c r="H21"/>
    </row>
    <row r="22" spans="2:21" x14ac:dyDescent="0.3">
      <c r="F22"/>
      <c r="G22"/>
      <c r="H22"/>
      <c r="S22" s="81" t="s">
        <v>465</v>
      </c>
      <c r="T22" s="82"/>
      <c r="U22" s="83"/>
    </row>
    <row r="23" spans="2:21" x14ac:dyDescent="0.3">
      <c r="F23"/>
      <c r="G23"/>
      <c r="H23"/>
      <c r="S23" s="84"/>
      <c r="U23" s="85"/>
    </row>
    <row r="24" spans="2:21" x14ac:dyDescent="0.3">
      <c r="F24"/>
      <c r="G24"/>
      <c r="H24"/>
      <c r="S24" s="84">
        <v>27.6</v>
      </c>
      <c r="T24">
        <f>V2+(U2*S24)+(1.96*V4)</f>
        <v>25.186615555018591</v>
      </c>
      <c r="U24" s="85">
        <f>V2+(U2*S24)-(V4*1.96)</f>
        <v>24.922091194719243</v>
      </c>
    </row>
    <row r="25" spans="2:21" x14ac:dyDescent="0.3">
      <c r="F25"/>
      <c r="G25"/>
      <c r="H25"/>
      <c r="S25" s="84">
        <v>26.1</v>
      </c>
      <c r="T25">
        <f>V2+(U2*S25)+(V4*1.96)</f>
        <v>25.956044192272408</v>
      </c>
      <c r="U25" s="85">
        <f>V2+(U2*S25)-(V4*1.96)</f>
        <v>25.691519831973061</v>
      </c>
    </row>
    <row r="26" spans="2:21" x14ac:dyDescent="0.3">
      <c r="F26"/>
      <c r="G26"/>
      <c r="H26"/>
      <c r="S26" s="84"/>
      <c r="U26" s="85"/>
    </row>
    <row r="27" spans="2:21" x14ac:dyDescent="0.3">
      <c r="F27"/>
      <c r="G27"/>
      <c r="H27"/>
      <c r="S27" s="84"/>
      <c r="U27" s="85"/>
    </row>
    <row r="28" spans="2:21" x14ac:dyDescent="0.3">
      <c r="F28"/>
      <c r="G28"/>
      <c r="H28"/>
      <c r="S28" s="84"/>
      <c r="U28" s="85"/>
    </row>
    <row r="29" spans="2:21" x14ac:dyDescent="0.3">
      <c r="F29"/>
      <c r="G29"/>
      <c r="H29"/>
      <c r="S29" s="84"/>
      <c r="T29">
        <v>26</v>
      </c>
      <c r="U29" s="85">
        <f>V2+U2*T29</f>
        <v>25.875077254606325</v>
      </c>
    </row>
    <row r="30" spans="2:21" x14ac:dyDescent="0.3">
      <c r="F30"/>
      <c r="G30"/>
      <c r="H30"/>
      <c r="S30" s="86"/>
      <c r="T30" s="87">
        <v>33.5</v>
      </c>
      <c r="U30" s="88">
        <f>V2+U2*T30</f>
        <v>22.027934068337224</v>
      </c>
    </row>
    <row r="31" spans="2:21" x14ac:dyDescent="0.3">
      <c r="F31"/>
      <c r="G31"/>
      <c r="H31"/>
    </row>
    <row r="32" spans="2:21" x14ac:dyDescent="0.3">
      <c r="F32"/>
      <c r="G32"/>
      <c r="H32"/>
    </row>
    <row r="33" spans="1:28" x14ac:dyDescent="0.3">
      <c r="F33"/>
      <c r="G33"/>
      <c r="H33"/>
    </row>
    <row r="34" spans="1:28" x14ac:dyDescent="0.3">
      <c r="F34"/>
      <c r="G34"/>
      <c r="H34"/>
    </row>
    <row r="35" spans="1:28" x14ac:dyDescent="0.3">
      <c r="F35"/>
      <c r="G35"/>
      <c r="H35"/>
    </row>
    <row r="36" spans="1:28" x14ac:dyDescent="0.3">
      <c r="F36"/>
      <c r="G36"/>
      <c r="H36"/>
    </row>
    <row r="37" spans="1:28" x14ac:dyDescent="0.3">
      <c r="F37"/>
      <c r="G37"/>
      <c r="H37"/>
    </row>
    <row r="40" spans="1:28" ht="82.2" customHeight="1" x14ac:dyDescent="0.3">
      <c r="A40" t="s">
        <v>174</v>
      </c>
      <c r="B40" s="4" t="s">
        <v>64</v>
      </c>
      <c r="C40" s="4" t="s">
        <v>65</v>
      </c>
      <c r="D40" s="4" t="s">
        <v>152</v>
      </c>
      <c r="E40" s="4" t="s">
        <v>70</v>
      </c>
      <c r="F40" s="4" t="s">
        <v>151</v>
      </c>
      <c r="G40" s="4" t="s">
        <v>69</v>
      </c>
      <c r="H40" s="4" t="s">
        <v>66</v>
      </c>
      <c r="I40" s="4" t="s">
        <v>73</v>
      </c>
      <c r="J40" s="4" t="s">
        <v>74</v>
      </c>
      <c r="K40" s="4" t="s">
        <v>75</v>
      </c>
      <c r="L40" s="4" t="s">
        <v>76</v>
      </c>
      <c r="M40" s="4" t="s">
        <v>62</v>
      </c>
      <c r="N40" s="4"/>
      <c r="O40" s="4" t="s">
        <v>83</v>
      </c>
      <c r="P40" s="4" t="s">
        <v>153</v>
      </c>
      <c r="Q40" s="4" t="s">
        <v>169</v>
      </c>
      <c r="R40" s="4" t="s">
        <v>170</v>
      </c>
      <c r="S40" s="4" t="s">
        <v>153</v>
      </c>
      <c r="T40" s="4" t="s">
        <v>176</v>
      </c>
      <c r="U40" s="4" t="s">
        <v>171</v>
      </c>
      <c r="V40" s="4" t="s">
        <v>175</v>
      </c>
      <c r="W40" s="4" t="s">
        <v>171</v>
      </c>
      <c r="X40" s="4" t="s">
        <v>153</v>
      </c>
      <c r="Y40" s="4" t="s">
        <v>173</v>
      </c>
      <c r="Z40" s="4" t="s">
        <v>172</v>
      </c>
      <c r="AA40" s="4" t="s">
        <v>166</v>
      </c>
      <c r="AB40" s="4" t="s">
        <v>153</v>
      </c>
    </row>
    <row r="41" spans="1:28" x14ac:dyDescent="0.3">
      <c r="B41" s="4"/>
      <c r="C41" s="4"/>
      <c r="D41" s="1"/>
      <c r="E41" s="4"/>
      <c r="F41" s="4"/>
      <c r="G41" s="4"/>
      <c r="H41" s="4"/>
      <c r="I41" s="4"/>
      <c r="J41" s="4"/>
      <c r="K41" s="4"/>
      <c r="L41" s="4"/>
      <c r="M41" s="4"/>
      <c r="N41" s="4"/>
      <c r="O41" s="4"/>
      <c r="P41" s="4"/>
      <c r="Q41">
        <v>0</v>
      </c>
      <c r="Y41">
        <v>0</v>
      </c>
    </row>
    <row r="42" spans="1:28" x14ac:dyDescent="0.3">
      <c r="A42" s="94">
        <v>1</v>
      </c>
      <c r="B42" t="s">
        <v>0</v>
      </c>
      <c r="C42" t="s">
        <v>1</v>
      </c>
      <c r="D42" s="1">
        <v>45326.121527777781</v>
      </c>
      <c r="E42">
        <v>105</v>
      </c>
      <c r="F42">
        <v>150</v>
      </c>
      <c r="G42" t="s">
        <v>157</v>
      </c>
      <c r="H42" s="2">
        <v>3.06</v>
      </c>
      <c r="I42">
        <v>9000</v>
      </c>
      <c r="J42">
        <v>9129.0259999999998</v>
      </c>
      <c r="K42">
        <v>10560.000000474975</v>
      </c>
      <c r="L42">
        <v>1560.0000004749745</v>
      </c>
      <c r="M42">
        <v>6.22508308337288E-3</v>
      </c>
      <c r="O42">
        <v>1.9048754235121E-2</v>
      </c>
      <c r="P42">
        <v>1.0843772036823799E-4</v>
      </c>
      <c r="Q42">
        <f>Q41+I42</f>
        <v>9000</v>
      </c>
      <c r="R42">
        <f>O42+R41</f>
        <v>1.9048754235121E-2</v>
      </c>
      <c r="S42" cm="1">
        <f t="array" ref="S42">2*SQRT(SUM(($P$42:P42/2)^2))</f>
        <v>1.0843772036823799E-4</v>
      </c>
      <c r="T42" s="2">
        <v>4.8656592845699998E-5</v>
      </c>
      <c r="U42" s="2">
        <v>4.5764970058312102E-11</v>
      </c>
      <c r="V42">
        <v>5.2141689927696001E-2</v>
      </c>
      <c r="W42" s="2">
        <v>1.5187890449130901E-5</v>
      </c>
      <c r="X42" s="2">
        <f>SQRT(W42)*2</f>
        <v>7.7943288227097273E-3</v>
      </c>
      <c r="Y42" s="2">
        <f>V42*(1-EXP(-T42*Q42))</f>
        <v>1.8490262207783874E-2</v>
      </c>
      <c r="Z42" s="2">
        <v>-1.9959455359566899E-8</v>
      </c>
      <c r="AA42" s="2" cm="1">
        <f t="array" ref="AA42:AB42">'Raw Data and Corrections'!AR18:AS18</f>
        <v>5.3183279588532632E-2</v>
      </c>
      <c r="AB42">
        <v>5.7734014494848695E-3</v>
      </c>
    </row>
    <row r="43" spans="1:28" x14ac:dyDescent="0.3">
      <c r="A43" s="94"/>
      <c r="B43" t="s">
        <v>2</v>
      </c>
      <c r="C43" t="s">
        <v>3</v>
      </c>
      <c r="D43" s="1">
        <v>45326.243750000001</v>
      </c>
      <c r="E43">
        <v>105</v>
      </c>
      <c r="F43">
        <v>150</v>
      </c>
      <c r="G43" t="s">
        <v>82</v>
      </c>
      <c r="H43" s="2">
        <v>1.79</v>
      </c>
      <c r="I43">
        <v>9000</v>
      </c>
      <c r="J43">
        <v>9127.5550000000003</v>
      </c>
      <c r="K43">
        <v>10559.999999846332</v>
      </c>
      <c r="L43">
        <v>1559.9999998463318</v>
      </c>
      <c r="M43">
        <v>6.2200776141821497E-3</v>
      </c>
      <c r="O43">
        <v>1.1133938929386E-2</v>
      </c>
      <c r="P43" s="2">
        <v>7.3696124467455094E-5</v>
      </c>
      <c r="Q43">
        <f>Q42+I43</f>
        <v>18000</v>
      </c>
      <c r="R43">
        <f t="shared" ref="R43:R81" si="6">O43+R42</f>
        <v>3.0182693164507002E-2</v>
      </c>
      <c r="S43" cm="1">
        <f t="array" ref="S43">2*SQRT(SUM(($P$42:P43/2)^2))</f>
        <v>1.311100986201399E-4</v>
      </c>
      <c r="T43" s="2">
        <v>4.8656592845699998E-5</v>
      </c>
      <c r="U43" s="2">
        <v>4.5764970058312102E-11</v>
      </c>
      <c r="V43">
        <v>5.2141689927696001E-2</v>
      </c>
      <c r="W43" s="2">
        <v>1.5187890449130901E-5</v>
      </c>
      <c r="X43" s="2">
        <f>SQRT(W43)*2</f>
        <v>7.7943288227097273E-3</v>
      </c>
      <c r="Y43" s="2">
        <f>V43*(1-EXP(-T43*Q43))</f>
        <v>3.0423587020813315E-2</v>
      </c>
    </row>
    <row r="44" spans="1:28" x14ac:dyDescent="0.3">
      <c r="A44" s="94"/>
      <c r="B44" t="s">
        <v>4</v>
      </c>
      <c r="C44" t="s">
        <v>5</v>
      </c>
      <c r="D44" s="1">
        <v>45326.365972222222</v>
      </c>
      <c r="E44">
        <v>105</v>
      </c>
      <c r="F44">
        <v>150</v>
      </c>
      <c r="G44" t="s">
        <v>82</v>
      </c>
      <c r="H44" s="2">
        <v>1.29</v>
      </c>
      <c r="I44">
        <v>9000</v>
      </c>
      <c r="J44">
        <v>9129.5280000000002</v>
      </c>
      <c r="K44">
        <v>10559.999999846332</v>
      </c>
      <c r="L44">
        <v>1559.9999998463318</v>
      </c>
      <c r="M44">
        <v>6.2228369847062001E-3</v>
      </c>
      <c r="O44">
        <v>8.0274597102710007E-3</v>
      </c>
      <c r="P44" s="2">
        <v>5.3458813146813503E-5</v>
      </c>
      <c r="Q44">
        <f>Q43+I44</f>
        <v>27000</v>
      </c>
      <c r="R44">
        <f t="shared" si="6"/>
        <v>3.8210152874778004E-2</v>
      </c>
      <c r="S44" cm="1">
        <f t="array" ref="S44">2*SQRT(SUM(($P$42:P44/2)^2))</f>
        <v>1.4158991017459093E-4</v>
      </c>
      <c r="T44" s="2">
        <v>4.8656592845699998E-5</v>
      </c>
      <c r="U44" s="2">
        <v>4.5764970058312102E-11</v>
      </c>
      <c r="V44">
        <v>5.2141689927696001E-2</v>
      </c>
      <c r="W44" s="2">
        <v>1.5187890449130901E-5</v>
      </c>
      <c r="X44" s="2">
        <f>SQRT(W44)*2</f>
        <v>7.7943288227097273E-3</v>
      </c>
      <c r="Y44" s="2">
        <f>V44*(1-EXP(-T44*Q44))</f>
        <v>3.8125167425298652E-2</v>
      </c>
    </row>
    <row r="45" spans="1:28" x14ac:dyDescent="0.3">
      <c r="D45" s="1"/>
      <c r="F45"/>
      <c r="G45"/>
      <c r="Q45">
        <v>0</v>
      </c>
      <c r="Y45">
        <v>0</v>
      </c>
    </row>
    <row r="46" spans="1:28" x14ac:dyDescent="0.3">
      <c r="A46" s="94">
        <v>2</v>
      </c>
      <c r="B46" t="s">
        <v>6</v>
      </c>
      <c r="C46" t="s">
        <v>7</v>
      </c>
      <c r="D46" s="1">
        <v>45326.836111111108</v>
      </c>
      <c r="E46">
        <v>109.99</v>
      </c>
      <c r="F46">
        <v>150</v>
      </c>
      <c r="G46" t="s">
        <v>157</v>
      </c>
      <c r="H46" s="2">
        <v>3.71</v>
      </c>
      <c r="I46">
        <v>9000</v>
      </c>
      <c r="J46">
        <v>9128.3590000000004</v>
      </c>
      <c r="K46">
        <v>10559.999999846332</v>
      </c>
      <c r="L46">
        <v>1559.9999998463318</v>
      </c>
      <c r="M46">
        <v>6.1766665928778596E-3</v>
      </c>
      <c r="O46">
        <v>2.2915433059576801E-2</v>
      </c>
      <c r="P46">
        <v>1.3755030980340001E-4</v>
      </c>
      <c r="Q46">
        <f>Q45+I46</f>
        <v>9000</v>
      </c>
      <c r="R46">
        <f t="shared" si="6"/>
        <v>2.2915433059576801E-2</v>
      </c>
      <c r="S46" cm="1">
        <f t="array" ref="S46">2*SQRT(SUM(($P$46:P46/2)^2))</f>
        <v>1.3755030980340001E-4</v>
      </c>
      <c r="T46" s="2">
        <v>6.28365594731547E-5</v>
      </c>
      <c r="U46" s="2">
        <v>8.3310292177955496E-11</v>
      </c>
      <c r="V46">
        <v>5.0814971730320901E-2</v>
      </c>
      <c r="W46" s="2">
        <v>1.3260131993946601E-5</v>
      </c>
      <c r="X46" s="2">
        <f>SQRT(W46)*2</f>
        <v>7.2828928301730761E-3</v>
      </c>
      <c r="Y46" s="2">
        <f>V46*(1-EXP(-T46*Q46))</f>
        <v>2.1949042074935577E-2</v>
      </c>
      <c r="Z46" s="2">
        <v>-1.57694328814813E-8</v>
      </c>
      <c r="AA46" s="2" cm="1">
        <f t="array" ref="AA46:AB46">'Raw Data and Corrections'!AR22:AS22</f>
        <v>5.5214985605355503E-2</v>
      </c>
      <c r="AB46">
        <v>5.7108534338673354E-3</v>
      </c>
    </row>
    <row r="47" spans="1:28" x14ac:dyDescent="0.3">
      <c r="A47" s="94"/>
      <c r="B47" t="s">
        <v>8</v>
      </c>
      <c r="C47" t="s">
        <v>9</v>
      </c>
      <c r="D47" s="1">
        <v>45326.958333333336</v>
      </c>
      <c r="E47">
        <v>110</v>
      </c>
      <c r="F47">
        <v>150</v>
      </c>
      <c r="G47" t="s">
        <v>82</v>
      </c>
      <c r="H47" s="2">
        <v>1.86</v>
      </c>
      <c r="I47">
        <v>9000</v>
      </c>
      <c r="J47">
        <v>9129.1620000000003</v>
      </c>
      <c r="K47">
        <v>10560.000000474975</v>
      </c>
      <c r="L47">
        <v>1560.0000004749745</v>
      </c>
      <c r="M47">
        <v>6.18899770477654E-3</v>
      </c>
      <c r="O47">
        <v>1.1511535730884301E-2</v>
      </c>
      <c r="P47" s="2">
        <v>7.2943301410205994E-5</v>
      </c>
      <c r="Q47">
        <f>Q46+I47</f>
        <v>18000</v>
      </c>
      <c r="R47">
        <f t="shared" si="6"/>
        <v>3.4426968790461102E-2</v>
      </c>
      <c r="S47" cm="1">
        <f t="array" ref="S47">2*SQRT(SUM(($P$46:P47/2)^2))</f>
        <v>1.5569461438223059E-4</v>
      </c>
      <c r="T47" s="2">
        <v>6.28365594731547E-5</v>
      </c>
      <c r="U47" s="2">
        <v>8.3310292177955496E-11</v>
      </c>
      <c r="V47">
        <v>5.0814971730320901E-2</v>
      </c>
      <c r="W47" s="2">
        <v>1.3260131993946601E-5</v>
      </c>
      <c r="X47" s="2">
        <f>SQRT(W47)*2</f>
        <v>7.2828928301730761E-3</v>
      </c>
      <c r="Y47" s="2">
        <f>V47*(1-EXP(-T47*Q47))</f>
        <v>3.4417404901164038E-2</v>
      </c>
    </row>
    <row r="48" spans="1:28" x14ac:dyDescent="0.3">
      <c r="A48" s="94"/>
      <c r="B48" t="s">
        <v>10</v>
      </c>
      <c r="C48" t="s">
        <v>11</v>
      </c>
      <c r="D48" s="1">
        <v>45327.080555555556</v>
      </c>
      <c r="E48">
        <v>110</v>
      </c>
      <c r="F48">
        <v>150</v>
      </c>
      <c r="G48" t="s">
        <v>82</v>
      </c>
      <c r="H48" s="2">
        <v>1.21</v>
      </c>
      <c r="I48">
        <v>9000</v>
      </c>
      <c r="J48">
        <v>9128.9069999999992</v>
      </c>
      <c r="K48">
        <v>10559.999999846332</v>
      </c>
      <c r="L48">
        <v>1559.9999998463318</v>
      </c>
      <c r="M48">
        <v>6.2128988695499196E-3</v>
      </c>
      <c r="O48">
        <v>7.5176076321554E-3</v>
      </c>
      <c r="P48" s="2">
        <v>5.24136689946779E-5</v>
      </c>
      <c r="Q48">
        <f>Q47+I48</f>
        <v>27000</v>
      </c>
      <c r="R48">
        <f t="shared" si="6"/>
        <v>4.1944576422616502E-2</v>
      </c>
      <c r="S48" cm="1">
        <f t="array" ref="S48">2*SQRT(SUM(($P$46:P48/2)^2))</f>
        <v>1.6428026553763278E-4</v>
      </c>
      <c r="T48" s="2">
        <v>6.28365594731547E-5</v>
      </c>
      <c r="U48" s="2">
        <v>8.3310292177955496E-11</v>
      </c>
      <c r="V48">
        <v>5.0814971730320901E-2</v>
      </c>
      <c r="W48" s="2">
        <v>1.3260131993946601E-5</v>
      </c>
      <c r="X48" s="2">
        <f>SQRT(W48)*2</f>
        <v>7.2828928301730761E-3</v>
      </c>
      <c r="Y48" s="2">
        <f>V48*(1-EXP(-T48*Q48))</f>
        <v>4.1500177399194885E-2</v>
      </c>
    </row>
    <row r="49" spans="1:28" x14ac:dyDescent="0.3">
      <c r="D49" s="1"/>
      <c r="F49"/>
      <c r="G49"/>
      <c r="Q49">
        <v>0</v>
      </c>
      <c r="Y49">
        <v>0</v>
      </c>
    </row>
    <row r="50" spans="1:28" x14ac:dyDescent="0.3">
      <c r="A50" s="94">
        <v>3</v>
      </c>
      <c r="B50" t="s">
        <v>12</v>
      </c>
      <c r="C50" t="s">
        <v>13</v>
      </c>
      <c r="D50" s="1">
        <v>45329.518055555556</v>
      </c>
      <c r="E50">
        <v>99.86</v>
      </c>
      <c r="F50">
        <v>120</v>
      </c>
      <c r="G50" t="s">
        <v>157</v>
      </c>
      <c r="H50" s="2">
        <v>1.69</v>
      </c>
      <c r="I50">
        <v>7200</v>
      </c>
      <c r="J50">
        <v>7326.3419999999996</v>
      </c>
      <c r="K50">
        <v>8760.0000002654269</v>
      </c>
      <c r="L50">
        <v>1560.0000002654269</v>
      </c>
      <c r="M50">
        <v>6.2625738048337001E-3</v>
      </c>
      <c r="O50">
        <v>1.0583749730168899E-2</v>
      </c>
      <c r="P50" s="2">
        <v>6.1179662231932694E-5</v>
      </c>
      <c r="Q50">
        <f>Q49+I50</f>
        <v>7200</v>
      </c>
      <c r="R50">
        <f t="shared" si="6"/>
        <v>1.0583749730168899E-2</v>
      </c>
      <c r="S50" s="2" cm="1">
        <f t="array" ref="S50">2*SQRT(SUM(($P$50:P50/2)^2))</f>
        <v>6.1179662231932694E-5</v>
      </c>
      <c r="T50" s="2">
        <v>4.3435369436099002E-5</v>
      </c>
      <c r="U50" s="2">
        <v>4.0154165900872303E-11</v>
      </c>
      <c r="V50">
        <v>3.7655167500817599E-2</v>
      </c>
      <c r="W50" s="2">
        <v>6.7740604210377603E-6</v>
      </c>
      <c r="X50" s="2">
        <f>SQRT(W50)*2</f>
        <v>5.2054050451574895E-3</v>
      </c>
      <c r="Y50" s="2">
        <f>V50*(1-EXP(-T50*Q50))</f>
        <v>1.0112522360450618E-2</v>
      </c>
      <c r="Z50" s="2">
        <v>-1.18765930930622E-8</v>
      </c>
      <c r="AA50" s="2" cm="1">
        <f t="array" ref="AA50:AB50">'Raw Data and Corrections'!AR34:AS34</f>
        <v>4.2015245291307901E-2</v>
      </c>
      <c r="AB50">
        <v>4.9388402064205091E-3</v>
      </c>
    </row>
    <row r="51" spans="1:28" x14ac:dyDescent="0.3">
      <c r="A51" s="94"/>
      <c r="B51" t="s">
        <v>14</v>
      </c>
      <c r="C51" t="s">
        <v>15</v>
      </c>
      <c r="D51" s="1">
        <v>45329.619444444441</v>
      </c>
      <c r="E51">
        <v>100</v>
      </c>
      <c r="F51">
        <v>120</v>
      </c>
      <c r="G51" t="s">
        <v>82</v>
      </c>
      <c r="H51" s="2">
        <v>1.19</v>
      </c>
      <c r="I51">
        <v>7200</v>
      </c>
      <c r="J51">
        <v>7324.7139999999999</v>
      </c>
      <c r="K51">
        <v>8759.9999996367842</v>
      </c>
      <c r="L51">
        <v>1559.9999996367842</v>
      </c>
      <c r="M51">
        <v>6.25857059078333E-3</v>
      </c>
      <c r="O51">
        <v>7.4476990030321599E-3</v>
      </c>
      <c r="P51" s="2">
        <v>3.9635740604645498E-5</v>
      </c>
      <c r="Q51">
        <f>Q50+I51</f>
        <v>14400</v>
      </c>
      <c r="R51">
        <f t="shared" si="6"/>
        <v>1.8031448733201061E-2</v>
      </c>
      <c r="S51" s="2" cm="1">
        <f t="array" ref="S51">2*SQRT(SUM(($P$50:P51/2)^2))</f>
        <v>7.2896796939866395E-5</v>
      </c>
      <c r="T51" s="2">
        <v>4.3435369436099002E-5</v>
      </c>
      <c r="U51" s="2">
        <v>4.0154165900872303E-11</v>
      </c>
      <c r="V51">
        <v>3.7655167500817599E-2</v>
      </c>
      <c r="W51" s="2">
        <v>6.7740604210377603E-6</v>
      </c>
      <c r="X51" s="2">
        <f>SQRT(W51)*2</f>
        <v>5.2054050451574895E-3</v>
      </c>
      <c r="Y51" s="2">
        <f>V51*(1-EXP(-T51*Q51))</f>
        <v>1.7509265844379354E-2</v>
      </c>
    </row>
    <row r="52" spans="1:28" x14ac:dyDescent="0.3">
      <c r="A52" s="94"/>
      <c r="B52" t="s">
        <v>16</v>
      </c>
      <c r="C52" t="s">
        <v>17</v>
      </c>
      <c r="D52" s="1">
        <v>45329.720833333333</v>
      </c>
      <c r="E52">
        <v>100</v>
      </c>
      <c r="F52">
        <v>120</v>
      </c>
      <c r="G52" t="s">
        <v>82</v>
      </c>
      <c r="H52" s="2">
        <v>0.78600000000000003</v>
      </c>
      <c r="I52">
        <v>7200</v>
      </c>
      <c r="J52">
        <v>7324.4070000000002</v>
      </c>
      <c r="K52">
        <v>8760.0000002654269</v>
      </c>
      <c r="L52">
        <v>1560.0000002654269</v>
      </c>
      <c r="M52">
        <v>6.2550481403230301E-3</v>
      </c>
      <c r="O52">
        <v>4.9164678382939003E-3</v>
      </c>
      <c r="P52" s="2">
        <v>2.49290264110073E-5</v>
      </c>
      <c r="Q52">
        <f>Q51+I52</f>
        <v>21600</v>
      </c>
      <c r="R52">
        <f t="shared" si="6"/>
        <v>2.2947916571494961E-2</v>
      </c>
      <c r="S52" s="2" cm="1">
        <f t="array" ref="S52">2*SQRT(SUM(($P$50:P52/2)^2))</f>
        <v>7.7041543091327128E-5</v>
      </c>
      <c r="T52" s="2">
        <v>4.3435369436099002E-5</v>
      </c>
      <c r="U52" s="2">
        <v>4.0154165900872303E-11</v>
      </c>
      <c r="V52">
        <v>3.7655167500817599E-2</v>
      </c>
      <c r="W52" s="2">
        <v>6.7740604210377603E-6</v>
      </c>
      <c r="X52" s="2">
        <f>SQRT(W52)*2</f>
        <v>5.2054050451574895E-3</v>
      </c>
      <c r="Y52" s="2">
        <f>V52*(1-EXP(-T52*Q52))</f>
        <v>2.291956925008715E-2</v>
      </c>
    </row>
    <row r="53" spans="1:28" x14ac:dyDescent="0.3">
      <c r="A53" s="94"/>
      <c r="B53" t="s">
        <v>18</v>
      </c>
      <c r="C53" t="s">
        <v>19</v>
      </c>
      <c r="D53" s="1">
        <v>45329.822222222225</v>
      </c>
      <c r="E53">
        <v>99.99</v>
      </c>
      <c r="F53">
        <v>120</v>
      </c>
      <c r="G53" t="s">
        <v>82</v>
      </c>
      <c r="H53" s="2">
        <v>0.68200000000000005</v>
      </c>
      <c r="I53">
        <v>7200</v>
      </c>
      <c r="J53">
        <v>7329.0789999999997</v>
      </c>
      <c r="K53">
        <v>8760.0000002654269</v>
      </c>
      <c r="L53">
        <v>1560.0000002654269</v>
      </c>
      <c r="M53">
        <v>6.2505943530833498E-3</v>
      </c>
      <c r="O53">
        <v>4.2629053488028399E-3</v>
      </c>
      <c r="P53" s="2">
        <v>2.08329846518396E-5</v>
      </c>
      <c r="Q53">
        <f>Q52+I53</f>
        <v>28800</v>
      </c>
      <c r="R53">
        <f t="shared" si="6"/>
        <v>2.7210821920297799E-2</v>
      </c>
      <c r="S53" s="2" cm="1">
        <f t="array" ref="S53">2*SQRT(SUM(($P$50:P53/2)^2))</f>
        <v>7.9808599858640535E-5</v>
      </c>
      <c r="T53" s="2">
        <v>4.3435369436099002E-5</v>
      </c>
      <c r="U53" s="2">
        <v>4.0154165900872303E-11</v>
      </c>
      <c r="V53">
        <v>3.7655167500817599E-2</v>
      </c>
      <c r="W53" s="2">
        <v>6.7740604210377603E-6</v>
      </c>
      <c r="X53" s="2">
        <f>SQRT(W53)*2</f>
        <v>5.2054050451574895E-3</v>
      </c>
      <c r="Y53" s="2">
        <f>V53*(1-EXP(-T53*Q53))</f>
        <v>2.6876903042371919E-2</v>
      </c>
    </row>
    <row r="54" spans="1:28" x14ac:dyDescent="0.3">
      <c r="D54" s="1"/>
      <c r="F54"/>
      <c r="G54"/>
      <c r="Q54">
        <v>0</v>
      </c>
      <c r="Y54">
        <v>0</v>
      </c>
    </row>
    <row r="55" spans="1:28" x14ac:dyDescent="0.3">
      <c r="A55" s="94">
        <v>4</v>
      </c>
      <c r="B55" t="s">
        <v>20</v>
      </c>
      <c r="C55" t="s">
        <v>21</v>
      </c>
      <c r="D55" s="1">
        <v>45338.244444444441</v>
      </c>
      <c r="E55">
        <v>95</v>
      </c>
      <c r="F55">
        <v>150</v>
      </c>
      <c r="G55" t="s">
        <v>157</v>
      </c>
      <c r="H55" s="2">
        <v>1.73</v>
      </c>
      <c r="I55">
        <v>9000</v>
      </c>
      <c r="J55">
        <v>9127.6110000000008</v>
      </c>
      <c r="K55">
        <v>10559.999999846332</v>
      </c>
      <c r="L55">
        <v>1559.9999998463318</v>
      </c>
      <c r="M55">
        <v>6.3009891986499696E-3</v>
      </c>
      <c r="O55">
        <v>1.09007113136644E-2</v>
      </c>
      <c r="P55">
        <v>2.7931925738612201E-4</v>
      </c>
      <c r="Q55">
        <f>Q54+I55</f>
        <v>9000</v>
      </c>
      <c r="R55">
        <f t="shared" si="6"/>
        <v>1.09007113136644E-2</v>
      </c>
      <c r="S55" s="2" cm="1">
        <f t="array" ref="S55">2*SQRT(SUM(($P$55:P55/2)^2))</f>
        <v>2.7931925738612201E-4</v>
      </c>
      <c r="T55" s="2">
        <v>3.1035067212313599E-5</v>
      </c>
      <c r="U55" s="2">
        <v>1.6403942739413701E-12</v>
      </c>
      <c r="V55">
        <v>4.4394575768924097E-2</v>
      </c>
      <c r="W55" s="2">
        <v>1.2304539646741101E-6</v>
      </c>
      <c r="X55" s="2">
        <f>SQRT(W55)*2</f>
        <v>2.2185165896824932E-3</v>
      </c>
      <c r="Y55" s="2">
        <f>V55*(1-EXP(-T55*Q55))</f>
        <v>1.0818906032035015E-2</v>
      </c>
      <c r="Z55" s="2">
        <v>-1.31599654268952E-9</v>
      </c>
      <c r="AA55" s="2" cm="1">
        <f t="array" ref="AA55:AB55">'Raw Data and Corrections'!AR70:AS70</f>
        <v>4.223162098878816E-2</v>
      </c>
      <c r="AB55">
        <v>5.1323413557861587E-3</v>
      </c>
    </row>
    <row r="56" spans="1:28" x14ac:dyDescent="0.3">
      <c r="A56" s="94"/>
      <c r="B56" t="s">
        <v>22</v>
      </c>
      <c r="C56" t="s">
        <v>23</v>
      </c>
      <c r="D56" s="1">
        <v>45338.366666666669</v>
      </c>
      <c r="E56">
        <v>95</v>
      </c>
      <c r="F56">
        <v>150</v>
      </c>
      <c r="G56" t="s">
        <v>82</v>
      </c>
      <c r="H56" s="2">
        <v>1.28</v>
      </c>
      <c r="I56">
        <v>9000</v>
      </c>
      <c r="J56">
        <v>9124.4429999999993</v>
      </c>
      <c r="K56">
        <v>10560.000000474975</v>
      </c>
      <c r="L56">
        <v>1560.0000004749745</v>
      </c>
      <c r="M56">
        <v>6.3057618476632703E-3</v>
      </c>
      <c r="O56">
        <v>8.0713751650089895E-3</v>
      </c>
      <c r="P56">
        <v>2.00058661458459E-4</v>
      </c>
      <c r="Q56">
        <f>Q55+I56</f>
        <v>18000</v>
      </c>
      <c r="R56">
        <f t="shared" si="6"/>
        <v>1.8972086478673392E-2</v>
      </c>
      <c r="S56" s="2" cm="1">
        <f t="array" ref="S56">2*SQRT(SUM(($P$55:P56/2)^2))</f>
        <v>3.4357345003839426E-4</v>
      </c>
      <c r="T56" s="2">
        <v>3.1035067212313599E-5</v>
      </c>
      <c r="U56" s="2">
        <v>1.6403942739413701E-12</v>
      </c>
      <c r="V56">
        <v>4.4394575768924097E-2</v>
      </c>
      <c r="W56" s="2">
        <v>1.2304539646741101E-6</v>
      </c>
      <c r="X56" s="2">
        <f>SQRT(W56)*2</f>
        <v>2.2185165896824932E-3</v>
      </c>
      <c r="Y56" s="2">
        <f>V56*(1-EXP(-T56*Q56))</f>
        <v>1.9001257356592974E-2</v>
      </c>
    </row>
    <row r="57" spans="1:28" x14ac:dyDescent="0.3">
      <c r="A57" s="94"/>
      <c r="B57" t="s">
        <v>24</v>
      </c>
      <c r="C57" t="s">
        <v>25</v>
      </c>
      <c r="D57" s="1">
        <v>45338.488888888889</v>
      </c>
      <c r="E57">
        <v>95</v>
      </c>
      <c r="F57">
        <v>150</v>
      </c>
      <c r="G57" t="s">
        <v>82</v>
      </c>
      <c r="H57" s="2">
        <v>0.98699999999999999</v>
      </c>
      <c r="I57">
        <v>9000</v>
      </c>
      <c r="J57">
        <v>9127.0869999999995</v>
      </c>
      <c r="K57">
        <v>10559.999999846332</v>
      </c>
      <c r="L57">
        <v>1559.9999998463318</v>
      </c>
      <c r="M57">
        <v>6.3054984576007599E-3</v>
      </c>
      <c r="O57">
        <v>6.2235269776519499E-3</v>
      </c>
      <c r="P57">
        <v>1.3858219534272899E-4</v>
      </c>
      <c r="Q57">
        <f>Q56+I57</f>
        <v>27000</v>
      </c>
      <c r="R57">
        <f t="shared" si="6"/>
        <v>2.5195613456325341E-2</v>
      </c>
      <c r="S57" s="2" cm="1">
        <f t="array" ref="S57">2*SQRT(SUM(($P$55:P57/2)^2))</f>
        <v>3.7046962147697791E-4</v>
      </c>
      <c r="T57" s="2">
        <v>3.1035067212313599E-5</v>
      </c>
      <c r="U57" s="2">
        <v>1.6403942739413701E-12</v>
      </c>
      <c r="V57">
        <v>4.4394575768924097E-2</v>
      </c>
      <c r="W57" s="2">
        <v>1.2304539646741101E-6</v>
      </c>
      <c r="X57" s="2">
        <f>SQRT(W57)*2</f>
        <v>2.2185165896824932E-3</v>
      </c>
      <c r="Y57" s="2">
        <f>V57*(1-EXP(-T57*Q57))</f>
        <v>2.5189579262731396E-2</v>
      </c>
    </row>
    <row r="58" spans="1:28" x14ac:dyDescent="0.3">
      <c r="D58" s="1"/>
      <c r="F58"/>
      <c r="G58"/>
      <c r="Q58">
        <v>0</v>
      </c>
      <c r="Y58">
        <v>0</v>
      </c>
    </row>
    <row r="59" spans="1:28" x14ac:dyDescent="0.3">
      <c r="A59" s="94">
        <v>5</v>
      </c>
      <c r="B59" t="s">
        <v>26</v>
      </c>
      <c r="C59" t="s">
        <v>27</v>
      </c>
      <c r="D59" s="1">
        <v>45341.236111111109</v>
      </c>
      <c r="E59">
        <v>104.99</v>
      </c>
      <c r="F59">
        <v>120</v>
      </c>
      <c r="G59" t="s">
        <v>157</v>
      </c>
      <c r="H59" s="2">
        <v>3.38</v>
      </c>
      <c r="I59">
        <v>7200</v>
      </c>
      <c r="J59">
        <v>7329.5259999999998</v>
      </c>
      <c r="K59">
        <v>8759.9999996367842</v>
      </c>
      <c r="L59">
        <v>1559.9999996367842</v>
      </c>
      <c r="M59">
        <v>6.3462757172787401E-3</v>
      </c>
      <c r="O59">
        <v>2.1450411924402099E-2</v>
      </c>
      <c r="P59" s="2">
        <v>8.8921420460834997E-5</v>
      </c>
      <c r="Q59">
        <f>Q58+I59</f>
        <v>7200</v>
      </c>
      <c r="R59">
        <f t="shared" si="6"/>
        <v>2.1450411924402099E-2</v>
      </c>
      <c r="S59" s="2" cm="1">
        <f t="array" ref="S59">2*SQRT(SUM(($P$59:P59/2)^2))</f>
        <v>8.8921420460834997E-5</v>
      </c>
      <c r="T59" s="2">
        <v>5.0419981402233297E-5</v>
      </c>
      <c r="U59" s="2">
        <v>9.47011468340536E-12</v>
      </c>
      <c r="V59">
        <v>6.9556590424275797E-2</v>
      </c>
      <c r="W59" s="2">
        <v>5.5020795264518902E-6</v>
      </c>
      <c r="X59" s="2">
        <f>SQRT(W59)*2</f>
        <v>4.6913023890821151E-3</v>
      </c>
      <c r="Y59" s="2">
        <f>V59*(1-EXP(-T59*Q59))</f>
        <v>2.1175124455190708E-2</v>
      </c>
      <c r="Z59" s="2">
        <v>-6.1251811404206596E-9</v>
      </c>
      <c r="AA59" s="2" cm="1">
        <f t="array" ref="AA59:AB59">'Raw Data and Corrections'!AR82:AS82</f>
        <v>7.1847731275520202E-2</v>
      </c>
      <c r="AB59">
        <v>8.1531835353759775E-3</v>
      </c>
    </row>
    <row r="60" spans="1:28" x14ac:dyDescent="0.3">
      <c r="A60" s="94"/>
      <c r="B60" t="s">
        <v>28</v>
      </c>
      <c r="C60" t="s">
        <v>29</v>
      </c>
      <c r="D60" s="1">
        <v>45341.337500000001</v>
      </c>
      <c r="E60">
        <v>104.99</v>
      </c>
      <c r="F60">
        <v>120</v>
      </c>
      <c r="G60" t="s">
        <v>82</v>
      </c>
      <c r="H60" s="2">
        <v>2.27</v>
      </c>
      <c r="I60">
        <v>7200</v>
      </c>
      <c r="J60">
        <v>7328.2079999999996</v>
      </c>
      <c r="K60">
        <v>8760.0000002654269</v>
      </c>
      <c r="L60">
        <v>1560.0000002654269</v>
      </c>
      <c r="M60">
        <v>6.3311702791372798E-3</v>
      </c>
      <c r="O60">
        <v>1.4371756533641601E-2</v>
      </c>
      <c r="P60" s="2">
        <v>5.9719415516596298E-5</v>
      </c>
      <c r="Q60">
        <f>Q59+I60</f>
        <v>14400</v>
      </c>
      <c r="R60">
        <f t="shared" si="6"/>
        <v>3.5822168458043702E-2</v>
      </c>
      <c r="S60" s="2" cm="1">
        <f t="array" ref="S60">2*SQRT(SUM(($P$59:P60/2)^2))</f>
        <v>1.0711408687197257E-4</v>
      </c>
      <c r="T60" s="2">
        <v>5.0419981402233297E-5</v>
      </c>
      <c r="U60" s="2">
        <v>9.47011468340536E-12</v>
      </c>
      <c r="V60">
        <v>6.9556590424275797E-2</v>
      </c>
      <c r="W60" s="2">
        <v>5.5020795264518902E-6</v>
      </c>
      <c r="X60" s="2">
        <f>SQRT(W60)*2</f>
        <v>4.6913023890821151E-3</v>
      </c>
      <c r="Y60" s="2">
        <f>V60*(1-EXP(-T60*Q60))</f>
        <v>3.5903902231256016E-2</v>
      </c>
    </row>
    <row r="61" spans="1:28" x14ac:dyDescent="0.3">
      <c r="A61" s="94"/>
      <c r="B61" t="s">
        <v>30</v>
      </c>
      <c r="C61" t="s">
        <v>31</v>
      </c>
      <c r="D61" s="1">
        <v>45341.438888888886</v>
      </c>
      <c r="E61">
        <v>104.99</v>
      </c>
      <c r="F61">
        <v>120</v>
      </c>
      <c r="G61" t="s">
        <v>82</v>
      </c>
      <c r="H61" s="2">
        <v>1.64</v>
      </c>
      <c r="I61">
        <v>7200</v>
      </c>
      <c r="J61">
        <v>7329.22</v>
      </c>
      <c r="K61">
        <v>8759.9999996367842</v>
      </c>
      <c r="L61">
        <v>1559.9999996367842</v>
      </c>
      <c r="M61">
        <v>6.32978723404255E-3</v>
      </c>
      <c r="O61">
        <v>1.03808510638297E-2</v>
      </c>
      <c r="P61" s="2">
        <v>4.34665881199926E-5</v>
      </c>
      <c r="Q61">
        <f>Q60+I61</f>
        <v>21600</v>
      </c>
      <c r="R61">
        <f t="shared" si="6"/>
        <v>4.6203019521873404E-2</v>
      </c>
      <c r="S61" s="2" cm="1">
        <f t="array" ref="S61">2*SQRT(SUM(($P$59:P61/2)^2))</f>
        <v>1.1559745624021996E-4</v>
      </c>
      <c r="T61" s="2">
        <v>5.0419981402233297E-5</v>
      </c>
      <c r="U61" s="2">
        <v>9.47011468340536E-12</v>
      </c>
      <c r="V61">
        <v>6.9556590424275797E-2</v>
      </c>
      <c r="W61" s="2">
        <v>5.5020795264518902E-6</v>
      </c>
      <c r="X61" s="2">
        <f>SQRT(W61)*2</f>
        <v>4.6913023890821151E-3</v>
      </c>
      <c r="Y61" s="2">
        <f>V61*(1-EXP(-T61*Q61))</f>
        <v>4.6148795725779838E-2</v>
      </c>
    </row>
    <row r="62" spans="1:28" x14ac:dyDescent="0.3">
      <c r="D62" s="1"/>
      <c r="F62"/>
      <c r="G62"/>
      <c r="Q62">
        <v>0</v>
      </c>
      <c r="Y62">
        <v>0</v>
      </c>
    </row>
    <row r="63" spans="1:28" x14ac:dyDescent="0.3">
      <c r="A63" s="94">
        <v>6</v>
      </c>
      <c r="B63" t="s">
        <v>32</v>
      </c>
      <c r="C63" t="s">
        <v>33</v>
      </c>
      <c r="D63" s="1">
        <v>45341.745833333334</v>
      </c>
      <c r="E63">
        <v>100</v>
      </c>
      <c r="F63">
        <v>120</v>
      </c>
      <c r="G63" t="s">
        <v>157</v>
      </c>
      <c r="H63" s="2">
        <v>1.99</v>
      </c>
      <c r="I63">
        <v>7200</v>
      </c>
      <c r="J63">
        <v>7328.5330000000004</v>
      </c>
      <c r="K63">
        <v>8760.0000002654269</v>
      </c>
      <c r="L63">
        <v>1560.0000002654269</v>
      </c>
      <c r="M63">
        <v>6.3318091695029801E-3</v>
      </c>
      <c r="O63">
        <v>1.2600300247310899E-2</v>
      </c>
      <c r="P63" s="2">
        <v>5.59001078957548E-5</v>
      </c>
      <c r="Q63">
        <f>Q62+I63</f>
        <v>7200</v>
      </c>
      <c r="R63">
        <f t="shared" si="6"/>
        <v>1.2600300247310899E-2</v>
      </c>
      <c r="S63" s="2" cm="1">
        <f t="array" ref="S63">2*SQRT(SUM(($P$63:P63/2)^2))</f>
        <v>5.59001078957548E-5</v>
      </c>
      <c r="T63" s="2">
        <v>3.6812402359058797E-5</v>
      </c>
      <c r="U63" s="2">
        <v>4.25267907887892E-12</v>
      </c>
      <c r="V63">
        <v>5.3411741497896598E-2</v>
      </c>
      <c r="W63" s="2">
        <v>2.8238498880393998E-6</v>
      </c>
      <c r="X63" s="2">
        <f>SQRT(W63)*2</f>
        <v>3.3608629177872755E-3</v>
      </c>
      <c r="Y63" s="2">
        <f>V63*(1-EXP(-T63*Q63))</f>
        <v>1.2435955654637581E-2</v>
      </c>
      <c r="Z63" s="2">
        <v>-3.2250949838394899E-9</v>
      </c>
      <c r="AA63" s="2" cm="1">
        <f t="array" ref="AA63:AB63">'Raw Data and Corrections'!AR86:AS86</f>
        <v>4.9782393388959088E-2</v>
      </c>
      <c r="AB63">
        <v>5.8377318434053192E-3</v>
      </c>
    </row>
    <row r="64" spans="1:28" x14ac:dyDescent="0.3">
      <c r="A64" s="94"/>
      <c r="B64" t="s">
        <v>34</v>
      </c>
      <c r="C64" t="s">
        <v>35</v>
      </c>
      <c r="D64" s="1">
        <v>45341.847222222219</v>
      </c>
      <c r="E64">
        <v>100</v>
      </c>
      <c r="F64">
        <v>120</v>
      </c>
      <c r="G64" t="s">
        <v>82</v>
      </c>
      <c r="H64" s="2">
        <v>1.48</v>
      </c>
      <c r="I64">
        <v>7200</v>
      </c>
      <c r="J64">
        <v>7328.0680000000002</v>
      </c>
      <c r="K64">
        <v>8759.9999996367842</v>
      </c>
      <c r="L64">
        <v>1559.9999996367842</v>
      </c>
      <c r="M64">
        <v>6.3356834113348203E-3</v>
      </c>
      <c r="O64">
        <v>9.3768114487755398E-3</v>
      </c>
      <c r="P64" s="2">
        <v>3.454879751305E-5</v>
      </c>
      <c r="Q64">
        <f>Q63+I64</f>
        <v>14400</v>
      </c>
      <c r="R64">
        <f t="shared" si="6"/>
        <v>2.1977111696086439E-2</v>
      </c>
      <c r="S64" s="2" cm="1">
        <f t="array" ref="S64">2*SQRT(SUM(($P$63:P64/2)^2))</f>
        <v>6.5714849709595764E-5</v>
      </c>
      <c r="T64" s="2">
        <v>3.6812402359058797E-5</v>
      </c>
      <c r="U64" s="2">
        <v>4.25267907887892E-12</v>
      </c>
      <c r="V64">
        <v>5.3411741497896598E-2</v>
      </c>
      <c r="W64" s="2">
        <v>2.8238498880393998E-6</v>
      </c>
      <c r="X64" s="2">
        <f>SQRT(W64)*2</f>
        <v>3.3608629177872755E-3</v>
      </c>
      <c r="Y64" s="2">
        <f>V64*(1-EXP(-T64*Q64))</f>
        <v>2.1976424498567019E-2</v>
      </c>
    </row>
    <row r="65" spans="1:28" x14ac:dyDescent="0.3">
      <c r="A65" s="94"/>
      <c r="B65" t="s">
        <v>36</v>
      </c>
      <c r="C65" t="s">
        <v>37</v>
      </c>
      <c r="D65" s="1">
        <v>45341.948611111111</v>
      </c>
      <c r="E65">
        <v>100</v>
      </c>
      <c r="F65">
        <v>120</v>
      </c>
      <c r="G65" t="s">
        <v>82</v>
      </c>
      <c r="H65" s="2">
        <v>1.1599999999999999</v>
      </c>
      <c r="I65">
        <v>7200</v>
      </c>
      <c r="J65">
        <v>7326.6490000000003</v>
      </c>
      <c r="K65">
        <v>8760.0000002654269</v>
      </c>
      <c r="L65">
        <v>1560.0000002654269</v>
      </c>
      <c r="M65">
        <v>6.3406189747238504E-3</v>
      </c>
      <c r="O65">
        <v>7.3551180106796697E-3</v>
      </c>
      <c r="P65" s="2">
        <v>2.0064201759700601E-5</v>
      </c>
      <c r="Q65">
        <f>Q64+I65</f>
        <v>21600</v>
      </c>
      <c r="R65">
        <f t="shared" si="6"/>
        <v>2.9332229706766109E-2</v>
      </c>
      <c r="S65" s="2" cm="1">
        <f t="array" ref="S65">2*SQRT(SUM(($P$63:P65/2)^2))</f>
        <v>6.8709632982637384E-5</v>
      </c>
      <c r="T65" s="2">
        <v>3.6812402359058797E-5</v>
      </c>
      <c r="U65" s="2">
        <v>4.25267907887892E-12</v>
      </c>
      <c r="V65">
        <v>5.3411741497896598E-2</v>
      </c>
      <c r="W65" s="2">
        <v>2.8238498880393998E-6</v>
      </c>
      <c r="X65" s="2">
        <f>SQRT(W65)*2</f>
        <v>3.3608629177872755E-3</v>
      </c>
      <c r="Y65" s="2">
        <f>V65*(1-EXP(-T65*Q65))</f>
        <v>2.9295568140579376E-2</v>
      </c>
    </row>
    <row r="66" spans="1:28" x14ac:dyDescent="0.3">
      <c r="D66" s="1"/>
      <c r="F66"/>
      <c r="G66"/>
      <c r="Q66">
        <v>0</v>
      </c>
      <c r="Y66">
        <v>0</v>
      </c>
    </row>
    <row r="67" spans="1:28" x14ac:dyDescent="0.3">
      <c r="A67" s="94">
        <v>7</v>
      </c>
      <c r="B67" t="s">
        <v>38</v>
      </c>
      <c r="C67" t="s">
        <v>39</v>
      </c>
      <c r="D67" s="1">
        <v>45342.290277777778</v>
      </c>
      <c r="E67">
        <v>95</v>
      </c>
      <c r="F67">
        <v>120</v>
      </c>
      <c r="G67" t="s">
        <v>157</v>
      </c>
      <c r="H67" s="2">
        <v>1.1399999999999999</v>
      </c>
      <c r="I67">
        <v>7200</v>
      </c>
      <c r="J67">
        <v>7324.3819999999996</v>
      </c>
      <c r="K67">
        <v>8760.0000002654269</v>
      </c>
      <c r="L67">
        <v>1560.0000002654269</v>
      </c>
      <c r="M67">
        <v>6.3185840707964602E-3</v>
      </c>
      <c r="O67">
        <v>7.2031858407079598E-3</v>
      </c>
      <c r="P67" s="2">
        <v>2.9884912286546701E-5</v>
      </c>
      <c r="Q67">
        <f>Q66+I67</f>
        <v>7200</v>
      </c>
      <c r="R67">
        <f t="shared" si="6"/>
        <v>7.2031858407079598E-3</v>
      </c>
      <c r="S67" s="2" cm="1">
        <f t="array" ref="S67">2*SQRT(SUM(($P$67:P67/2)^2))</f>
        <v>2.9884912286546701E-5</v>
      </c>
      <c r="T67" s="2">
        <v>3.3275569285366801E-5</v>
      </c>
      <c r="U67" s="2">
        <v>5.7816789024607003E-11</v>
      </c>
      <c r="V67">
        <v>3.4838937591381999E-2</v>
      </c>
      <c r="W67" s="2">
        <v>2.8978950845637801E-5</v>
      </c>
      <c r="X67" s="2">
        <f>SQRT(W67)*2</f>
        <v>1.0766420174902668E-2</v>
      </c>
      <c r="Y67" s="2">
        <f>V67*(1-EXP(-T67*Q67))</f>
        <v>7.4222583746082265E-3</v>
      </c>
      <c r="Z67" s="2">
        <v>-3.9067578208663702E-8</v>
      </c>
      <c r="AA67" s="2" cm="1">
        <f t="array" ref="AA67:AB67">'Raw Data and Corrections'!AR90:AS90</f>
        <v>3.3902448389334851E-2</v>
      </c>
      <c r="AB67">
        <v>4.0838832228440531E-3</v>
      </c>
    </row>
    <row r="68" spans="1:28" x14ac:dyDescent="0.3">
      <c r="A68" s="94"/>
      <c r="B68" t="s">
        <v>40</v>
      </c>
      <c r="C68" t="s">
        <v>41</v>
      </c>
      <c r="D68" s="1">
        <v>45342.39166666667</v>
      </c>
      <c r="E68">
        <v>95</v>
      </c>
      <c r="F68">
        <v>120</v>
      </c>
      <c r="G68" t="s">
        <v>82</v>
      </c>
      <c r="H68" s="2">
        <v>0.99099999999999999</v>
      </c>
      <c r="I68">
        <v>7200</v>
      </c>
      <c r="J68">
        <v>7324.5929999999998</v>
      </c>
      <c r="K68">
        <v>8760.0000002654269</v>
      </c>
      <c r="L68">
        <v>1560.0000002654269</v>
      </c>
      <c r="M68">
        <v>6.3185840707964602E-3</v>
      </c>
      <c r="O68">
        <v>6.26171681415929E-3</v>
      </c>
      <c r="P68" s="2">
        <v>2.59789018210244E-5</v>
      </c>
      <c r="Q68">
        <f>Q67+I68</f>
        <v>14400</v>
      </c>
      <c r="R68">
        <f t="shared" si="6"/>
        <v>1.346490265486725E-2</v>
      </c>
      <c r="S68" s="2" cm="1">
        <f t="array" ref="S68">2*SQRT(SUM(($P$67:P68/2)^2))</f>
        <v>3.9598122710565649E-5</v>
      </c>
      <c r="T68" s="2">
        <v>3.3275569285366801E-5</v>
      </c>
      <c r="U68" s="2">
        <v>5.7816789024607003E-11</v>
      </c>
      <c r="V68">
        <v>3.4838937591381999E-2</v>
      </c>
      <c r="W68" s="2">
        <v>2.8978950845637801E-5</v>
      </c>
      <c r="X68" s="2">
        <f>SQRT(W68)*2</f>
        <v>1.0766420174902668E-2</v>
      </c>
      <c r="Y68" s="2">
        <f>V68*(1-EXP(-T68*Q68))</f>
        <v>1.326324237094525E-2</v>
      </c>
    </row>
    <row r="69" spans="1:28" x14ac:dyDescent="0.3">
      <c r="A69" s="94"/>
      <c r="B69" t="s">
        <v>42</v>
      </c>
      <c r="C69" t="s">
        <v>43</v>
      </c>
      <c r="D69" s="1">
        <v>45342.493055555555</v>
      </c>
      <c r="E69">
        <v>95</v>
      </c>
      <c r="F69">
        <v>120</v>
      </c>
      <c r="G69" t="s">
        <v>82</v>
      </c>
      <c r="H69" s="2">
        <v>0.70599999999999996</v>
      </c>
      <c r="I69">
        <v>7200</v>
      </c>
      <c r="J69">
        <v>7329.5959999999995</v>
      </c>
      <c r="K69">
        <v>8759.9999996367842</v>
      </c>
      <c r="L69">
        <v>1559.9999996367842</v>
      </c>
      <c r="M69">
        <v>6.3185840707964602E-3</v>
      </c>
      <c r="O69">
        <v>4.4609203539823002E-3</v>
      </c>
      <c r="P69" s="2">
        <v>1.8507673749387699E-5</v>
      </c>
      <c r="Q69">
        <f>Q68+I69</f>
        <v>21600</v>
      </c>
      <c r="R69">
        <f t="shared" si="6"/>
        <v>1.792582300884955E-2</v>
      </c>
      <c r="S69" s="2" cm="1">
        <f t="array" ref="S69">2*SQRT(SUM(($P$67:P69/2)^2))</f>
        <v>4.3709785057979749E-5</v>
      </c>
      <c r="T69" s="2">
        <v>3.3275569285366801E-5</v>
      </c>
      <c r="U69" s="2">
        <v>5.7816789024607003E-11</v>
      </c>
      <c r="V69">
        <v>3.4838937591381999E-2</v>
      </c>
      <c r="W69" s="2">
        <v>2.8978950845637801E-5</v>
      </c>
      <c r="X69" s="2">
        <f>SQRT(W69)*2</f>
        <v>1.0766420174902668E-2</v>
      </c>
      <c r="Y69" s="2">
        <f>V69*(1-EXP(-T69*Q69))</f>
        <v>1.7859834448927983E-2</v>
      </c>
    </row>
    <row r="70" spans="1:28" x14ac:dyDescent="0.3">
      <c r="D70" s="1"/>
      <c r="F70"/>
      <c r="G70"/>
      <c r="Q70">
        <v>0</v>
      </c>
      <c r="Y70">
        <v>0</v>
      </c>
    </row>
    <row r="71" spans="1:28" x14ac:dyDescent="0.3">
      <c r="A71" s="94">
        <v>8</v>
      </c>
      <c r="B71" t="s">
        <v>44</v>
      </c>
      <c r="C71" t="s">
        <v>45</v>
      </c>
      <c r="D71" s="1">
        <v>45342.908333333333</v>
      </c>
      <c r="E71">
        <v>90</v>
      </c>
      <c r="F71">
        <v>150</v>
      </c>
      <c r="G71" t="s">
        <v>157</v>
      </c>
      <c r="H71" s="2">
        <v>0.92900000000000005</v>
      </c>
      <c r="I71">
        <v>9000</v>
      </c>
      <c r="J71">
        <v>9125.866</v>
      </c>
      <c r="K71">
        <v>10559.999999846332</v>
      </c>
      <c r="L71">
        <v>1559.9999998463318</v>
      </c>
      <c r="M71">
        <v>6.34937328355411E-3</v>
      </c>
      <c r="O71">
        <v>5.8985677804217701E-3</v>
      </c>
      <c r="P71" s="2">
        <v>2.7371568871143001E-5</v>
      </c>
      <c r="Q71">
        <f>Q70+I71</f>
        <v>9000</v>
      </c>
      <c r="R71">
        <f t="shared" si="6"/>
        <v>5.8985677804217701E-3</v>
      </c>
      <c r="S71" s="2" cm="1">
        <f t="array" ref="S71">2*SQRT(SUM(($P$71:P71/2)^2))</f>
        <v>2.7371568871143001E-5</v>
      </c>
      <c r="T71" s="2">
        <v>2.6736751739871801E-5</v>
      </c>
      <c r="U71" s="2">
        <v>5.8073564601810096E-12</v>
      </c>
      <c r="V71">
        <v>2.7883299930702501E-2</v>
      </c>
      <c r="W71" s="2">
        <v>3.0188286098138802E-6</v>
      </c>
      <c r="X71" s="2">
        <f>SQRT(W71)*2</f>
        <v>3.4749553147134888E-3</v>
      </c>
      <c r="Y71" s="2">
        <f>V71*(1-EXP(-T71*Q71))</f>
        <v>5.9633500598698453E-3</v>
      </c>
      <c r="Z71" s="2">
        <v>-4.0107479099404604E-9</v>
      </c>
      <c r="AA71" s="2" cm="1">
        <f t="array" ref="AA71:AB71">'Raw Data and Corrections'!AR94:AS94</f>
        <v>2.7336589915813874E-2</v>
      </c>
      <c r="AB71">
        <v>3.2876132512060052E-3</v>
      </c>
    </row>
    <row r="72" spans="1:28" x14ac:dyDescent="0.3">
      <c r="A72" s="94"/>
      <c r="B72" t="s">
        <v>46</v>
      </c>
      <c r="C72" t="s">
        <v>47</v>
      </c>
      <c r="D72" s="1">
        <v>45343.030555555553</v>
      </c>
      <c r="E72">
        <v>89.899999999999906</v>
      </c>
      <c r="F72">
        <v>150</v>
      </c>
      <c r="G72" t="s">
        <v>82</v>
      </c>
      <c r="H72" s="2">
        <v>0.75800000000000001</v>
      </c>
      <c r="I72">
        <v>9000</v>
      </c>
      <c r="J72">
        <v>9124.6630000000005</v>
      </c>
      <c r="K72">
        <v>10559.999999846332</v>
      </c>
      <c r="L72">
        <v>1559.9999998463318</v>
      </c>
      <c r="M72">
        <v>6.34803141083304E-3</v>
      </c>
      <c r="O72">
        <v>4.8118078094114402E-3</v>
      </c>
      <c r="P72" s="2">
        <v>2.3725436010008501E-5</v>
      </c>
      <c r="Q72">
        <f>Q71+I72</f>
        <v>18000</v>
      </c>
      <c r="R72">
        <f t="shared" si="6"/>
        <v>1.0710375589833211E-2</v>
      </c>
      <c r="S72" s="2" cm="1">
        <f t="array" ref="S72">2*SQRT(SUM(($P$71:P72/2)^2))</f>
        <v>3.6222908446627148E-5</v>
      </c>
      <c r="T72" s="2">
        <v>2.6736751739871801E-5</v>
      </c>
      <c r="U72" s="2">
        <v>5.8073564601810096E-12</v>
      </c>
      <c r="V72">
        <v>2.7883299930702501E-2</v>
      </c>
      <c r="W72" s="2">
        <v>3.0188286098138802E-6</v>
      </c>
      <c r="X72" s="2">
        <f>SQRT(W72)*2</f>
        <v>3.4749553147134888E-3</v>
      </c>
      <c r="Y72" s="2">
        <f>V72*(1-EXP(-T72*Q72))</f>
        <v>1.065132941308267E-2</v>
      </c>
    </row>
    <row r="73" spans="1:28" x14ac:dyDescent="0.3">
      <c r="A73" s="94"/>
      <c r="B73" t="s">
        <v>48</v>
      </c>
      <c r="C73" t="s">
        <v>49</v>
      </c>
      <c r="D73" s="1">
        <v>45343.152777777781</v>
      </c>
      <c r="E73">
        <v>90</v>
      </c>
      <c r="F73">
        <v>150</v>
      </c>
      <c r="G73" t="s">
        <v>82</v>
      </c>
      <c r="H73" s="2">
        <v>0.57399999999999995</v>
      </c>
      <c r="I73">
        <v>9000</v>
      </c>
      <c r="J73">
        <v>9128.6740000000009</v>
      </c>
      <c r="K73">
        <v>10560.000000474975</v>
      </c>
      <c r="L73">
        <v>1560.0000004749745</v>
      </c>
      <c r="M73">
        <v>6.3333021470058102E-3</v>
      </c>
      <c r="O73">
        <v>3.63531543238133E-3</v>
      </c>
      <c r="P73" s="2">
        <v>1.89141790296807E-5</v>
      </c>
      <c r="Q73">
        <f>Q72+I73</f>
        <v>27000</v>
      </c>
      <c r="R73">
        <f t="shared" si="6"/>
        <v>1.4345691022214542E-2</v>
      </c>
      <c r="S73" s="2" cm="1">
        <f t="array" ref="S73">2*SQRT(SUM(($P$71:P73/2)^2))</f>
        <v>4.0863740219166742E-5</v>
      </c>
      <c r="T73" s="2">
        <v>2.6736751739871801E-5</v>
      </c>
      <c r="U73" s="2">
        <v>5.8073564601810096E-12</v>
      </c>
      <c r="V73">
        <v>2.7883299930702501E-2</v>
      </c>
      <c r="W73" s="2">
        <v>3.0188286098138802E-6</v>
      </c>
      <c r="X73" s="2">
        <f>SQRT(W73)*2</f>
        <v>3.4749553147134888E-3</v>
      </c>
      <c r="Y73" s="2">
        <f>V73*(1-EXP(-T73*Q73))</f>
        <v>1.4336699246399047E-2</v>
      </c>
    </row>
    <row r="74" spans="1:28" x14ac:dyDescent="0.3">
      <c r="D74" s="1"/>
      <c r="F74"/>
      <c r="G74"/>
      <c r="Q74">
        <v>0</v>
      </c>
      <c r="Y74">
        <v>0</v>
      </c>
    </row>
    <row r="75" spans="1:28" x14ac:dyDescent="0.3">
      <c r="A75" s="94">
        <v>9</v>
      </c>
      <c r="B75" t="s">
        <v>50</v>
      </c>
      <c r="C75" t="s">
        <v>51</v>
      </c>
      <c r="D75" s="1">
        <v>45348.242361111108</v>
      </c>
      <c r="E75">
        <v>90</v>
      </c>
      <c r="F75">
        <v>180</v>
      </c>
      <c r="G75" t="s">
        <v>157</v>
      </c>
      <c r="H75" s="2">
        <v>1.6</v>
      </c>
      <c r="I75">
        <v>10800</v>
      </c>
      <c r="J75">
        <v>10929.633</v>
      </c>
      <c r="K75">
        <v>12359.999999427237</v>
      </c>
      <c r="L75">
        <v>1559.9999994272366</v>
      </c>
      <c r="M75">
        <v>6.2415967904154998E-3</v>
      </c>
      <c r="O75">
        <v>9.9865548646648102E-3</v>
      </c>
      <c r="P75" s="2">
        <v>6.1586589907512598E-5</v>
      </c>
      <c r="Q75">
        <f>Q74+I75</f>
        <v>10800</v>
      </c>
      <c r="R75">
        <f t="shared" si="6"/>
        <v>9.9865548646648102E-3</v>
      </c>
      <c r="S75" s="2" cm="1">
        <f t="array" ref="S75">2*SQRT(SUM(($P$75:P75/2)^2))</f>
        <v>6.1586589907512598E-5</v>
      </c>
      <c r="T75" s="2">
        <v>2.9731426367891301E-5</v>
      </c>
      <c r="U75" s="2">
        <v>2.0072552363581999E-11</v>
      </c>
      <c r="V75">
        <v>3.5673678341071699E-2</v>
      </c>
      <c r="W75" s="2">
        <v>1.2341854887739599E-5</v>
      </c>
      <c r="X75" s="2">
        <f>SQRT(W75)*2</f>
        <v>7.0261952400255999E-3</v>
      </c>
      <c r="Y75" s="2">
        <f>V75*(1-EXP(-T75*Q75))</f>
        <v>9.7977349442485862E-3</v>
      </c>
      <c r="Z75" s="2">
        <v>-1.45573090811468E-8</v>
      </c>
      <c r="AA75" s="2" cm="1">
        <f t="array" ref="AA75:AB75">'Raw Data and Corrections'!AR118:AS118</f>
        <v>3.9474655806621739E-2</v>
      </c>
      <c r="AB75">
        <v>4.6389510287064032E-3</v>
      </c>
    </row>
    <row r="76" spans="1:28" x14ac:dyDescent="0.3">
      <c r="A76" s="94"/>
      <c r="B76" t="s">
        <v>52</v>
      </c>
      <c r="C76" t="s">
        <v>53</v>
      </c>
      <c r="D76" s="1">
        <v>45348.385416666664</v>
      </c>
      <c r="E76">
        <v>89.92</v>
      </c>
      <c r="F76">
        <v>180</v>
      </c>
      <c r="G76" t="s">
        <v>82</v>
      </c>
      <c r="H76" s="2">
        <v>1.08</v>
      </c>
      <c r="I76">
        <v>10800</v>
      </c>
      <c r="J76">
        <v>10928.4</v>
      </c>
      <c r="K76">
        <v>12360.000000055879</v>
      </c>
      <c r="L76">
        <v>1560.0000000558794</v>
      </c>
      <c r="M76">
        <v>6.2479930097031899E-3</v>
      </c>
      <c r="O76">
        <v>6.7478324504794502E-3</v>
      </c>
      <c r="P76" s="2">
        <v>5.1138436008534402E-5</v>
      </c>
      <c r="Q76">
        <f>Q75+I76</f>
        <v>21600</v>
      </c>
      <c r="R76">
        <f t="shared" si="6"/>
        <v>1.6734387315144261E-2</v>
      </c>
      <c r="S76" s="2" cm="1">
        <f t="array" ref="S76">2*SQRT(SUM(($P$75:P76/2)^2))</f>
        <v>8.0050282284543513E-5</v>
      </c>
      <c r="T76" s="2">
        <v>2.9731426367891301E-5</v>
      </c>
      <c r="U76" s="2">
        <v>2.0072552363581999E-11</v>
      </c>
      <c r="V76">
        <v>3.5673678341071699E-2</v>
      </c>
      <c r="W76" s="2">
        <v>1.2341854887739599E-5</v>
      </c>
      <c r="X76" s="2">
        <f>SQRT(W76)*2</f>
        <v>7.0261952400255999E-3</v>
      </c>
      <c r="Y76" s="2">
        <f>V76*(1-EXP(-T76*Q76))</f>
        <v>1.6904533195063218E-2</v>
      </c>
    </row>
    <row r="77" spans="1:28" x14ac:dyDescent="0.3">
      <c r="A77" s="94"/>
      <c r="B77" t="s">
        <v>54</v>
      </c>
      <c r="C77" t="s">
        <v>55</v>
      </c>
      <c r="D77" s="1">
        <v>45348.52847222222</v>
      </c>
      <c r="E77">
        <v>90</v>
      </c>
      <c r="F77">
        <v>180</v>
      </c>
      <c r="G77" t="s">
        <v>82</v>
      </c>
      <c r="H77" s="2">
        <v>0.85699999999999998</v>
      </c>
      <c r="I77">
        <v>10800</v>
      </c>
      <c r="J77">
        <v>10926.404</v>
      </c>
      <c r="K77">
        <v>12360.000000055879</v>
      </c>
      <c r="L77">
        <v>1560.0000000558794</v>
      </c>
      <c r="M77">
        <v>6.2656091954486097E-3</v>
      </c>
      <c r="O77">
        <v>5.3696270804994501E-3</v>
      </c>
      <c r="P77" s="2">
        <v>4.76352505532111E-5</v>
      </c>
      <c r="Q77">
        <f>Q76+I77</f>
        <v>32400</v>
      </c>
      <c r="R77">
        <f t="shared" si="6"/>
        <v>2.210401439564371E-2</v>
      </c>
      <c r="S77" s="2" cm="1">
        <f t="array" ref="S77">2*SQRT(SUM(($P$75:P77/2)^2))</f>
        <v>9.3151300522871389E-5</v>
      </c>
      <c r="T77" s="2">
        <v>2.9731426367891301E-5</v>
      </c>
      <c r="U77" s="2">
        <v>2.0072552363581999E-11</v>
      </c>
      <c r="V77">
        <v>3.5673678341071699E-2</v>
      </c>
      <c r="W77" s="2">
        <v>1.2341854887739599E-5</v>
      </c>
      <c r="X77" s="2">
        <f>SQRT(W77)*2</f>
        <v>7.0261952400255999E-3</v>
      </c>
      <c r="Y77" s="2">
        <f>V77*(1-EXP(-T77*Q77))</f>
        <v>2.2059457436755428E-2</v>
      </c>
    </row>
    <row r="78" spans="1:28" x14ac:dyDescent="0.3">
      <c r="D78" s="1"/>
      <c r="F78"/>
      <c r="G78"/>
      <c r="Q78">
        <v>0</v>
      </c>
      <c r="Y78">
        <v>0</v>
      </c>
    </row>
    <row r="79" spans="1:28" x14ac:dyDescent="0.3">
      <c r="A79" s="94">
        <v>10</v>
      </c>
      <c r="B79" t="s">
        <v>56</v>
      </c>
      <c r="C79" t="s">
        <v>57</v>
      </c>
      <c r="D79" s="1">
        <v>45349.704861111109</v>
      </c>
      <c r="E79">
        <v>99.99</v>
      </c>
      <c r="F79">
        <v>150</v>
      </c>
      <c r="G79" t="s">
        <v>157</v>
      </c>
      <c r="H79" s="2">
        <v>1.64</v>
      </c>
      <c r="I79">
        <v>9000</v>
      </c>
      <c r="J79">
        <v>9124.2659999999996</v>
      </c>
      <c r="K79">
        <v>10559.999999846332</v>
      </c>
      <c r="L79">
        <v>1559.9999998463318</v>
      </c>
      <c r="M79">
        <v>6.31122485425823E-3</v>
      </c>
      <c r="O79">
        <v>1.03504087609835E-2</v>
      </c>
      <c r="P79" s="2">
        <v>4.2676659856159103E-5</v>
      </c>
      <c r="Q79">
        <f>Q78+I79</f>
        <v>9000</v>
      </c>
      <c r="R79">
        <f t="shared" si="6"/>
        <v>1.03504087609835E-2</v>
      </c>
      <c r="S79" s="2" cm="1">
        <f t="array" ref="S79">2*SQRT(SUM(($P$79:P79/2)^2))</f>
        <v>4.2676659856159103E-5</v>
      </c>
      <c r="T79" s="2">
        <v>3.7961585290435602E-5</v>
      </c>
      <c r="U79" s="2">
        <v>3.49401225970751E-11</v>
      </c>
      <c r="V79">
        <v>3.5056085560588E-2</v>
      </c>
      <c r="W79" s="2">
        <v>1.2366952637435201E-5</v>
      </c>
      <c r="X79" s="2">
        <f>SQRT(W79)*2</f>
        <v>7.0333356630933519E-3</v>
      </c>
      <c r="Y79" s="2">
        <f>V79*(1-EXP(-T79*Q79))</f>
        <v>1.0145447192675038E-2</v>
      </c>
      <c r="Z79" s="2">
        <v>-1.90424518358722E-8</v>
      </c>
      <c r="AA79" s="2" cm="1">
        <f t="array" ref="AA79:AB79">'Raw Data and Corrections'!AR127:AS127</f>
        <v>3.3873660280899824E-2</v>
      </c>
      <c r="AB79">
        <v>3.8238213473074708E-3</v>
      </c>
    </row>
    <row r="80" spans="1:28" x14ac:dyDescent="0.3">
      <c r="A80" s="94"/>
      <c r="B80" t="s">
        <v>58</v>
      </c>
      <c r="C80" t="s">
        <v>59</v>
      </c>
      <c r="D80" s="1">
        <v>45349.82708333333</v>
      </c>
      <c r="E80">
        <v>99.98</v>
      </c>
      <c r="F80">
        <v>150</v>
      </c>
      <c r="G80" t="s">
        <v>82</v>
      </c>
      <c r="H80" s="2">
        <v>1.08</v>
      </c>
      <c r="I80">
        <v>9000</v>
      </c>
      <c r="J80">
        <v>9124.2849999999999</v>
      </c>
      <c r="K80">
        <v>10559.999999846332</v>
      </c>
      <c r="L80">
        <v>1559.9999998463318</v>
      </c>
      <c r="M80">
        <v>6.32575275047136E-3</v>
      </c>
      <c r="O80">
        <v>6.8318129705090703E-3</v>
      </c>
      <c r="P80" s="2">
        <v>3.4521996161035602E-5</v>
      </c>
      <c r="Q80">
        <f>Q79+I80</f>
        <v>18000</v>
      </c>
      <c r="R80">
        <f t="shared" si="6"/>
        <v>1.7182221731492572E-2</v>
      </c>
      <c r="S80" s="2" cm="1">
        <f t="array" ref="S80">2*SQRT(SUM(($P$79:P80/2)^2))</f>
        <v>5.4891397462816146E-5</v>
      </c>
      <c r="T80" s="2">
        <v>3.7961585290435602E-5</v>
      </c>
      <c r="U80" s="2">
        <v>3.49401225970751E-11</v>
      </c>
      <c r="V80">
        <v>3.5056085560588E-2</v>
      </c>
      <c r="W80" s="2">
        <v>1.2366952637435201E-5</v>
      </c>
      <c r="X80" s="2">
        <f>SQRT(W80)*2</f>
        <v>7.0333356630933519E-3</v>
      </c>
      <c r="Y80" s="2">
        <f>V80*(1-EXP(-T80*Q80))</f>
        <v>1.7354739446959644E-2</v>
      </c>
    </row>
    <row r="81" spans="1:25" x14ac:dyDescent="0.3">
      <c r="A81" s="94"/>
      <c r="B81" t="s">
        <v>60</v>
      </c>
      <c r="C81" t="s">
        <v>61</v>
      </c>
      <c r="D81" s="1">
        <v>45349.949305555558</v>
      </c>
      <c r="E81">
        <v>100</v>
      </c>
      <c r="F81">
        <v>150</v>
      </c>
      <c r="G81" t="s">
        <v>82</v>
      </c>
      <c r="H81" s="2">
        <v>0.84799999999999998</v>
      </c>
      <c r="I81">
        <v>9000</v>
      </c>
      <c r="J81">
        <v>9124.2870000000003</v>
      </c>
      <c r="K81">
        <v>10560.000000474975</v>
      </c>
      <c r="L81">
        <v>1560.0000004749745</v>
      </c>
      <c r="M81">
        <v>6.3408591876399998E-3</v>
      </c>
      <c r="O81">
        <v>5.3770485911187197E-3</v>
      </c>
      <c r="P81" s="2">
        <v>3.3770428274898201E-5</v>
      </c>
      <c r="Q81">
        <f>Q80+I81</f>
        <v>27000</v>
      </c>
      <c r="R81">
        <f t="shared" si="6"/>
        <v>2.2559270322611291E-2</v>
      </c>
      <c r="S81" s="2" cm="1">
        <f t="array" ref="S81">2*SQRT(SUM(($P$79:P81/2)^2))</f>
        <v>6.444771013225297E-5</v>
      </c>
      <c r="T81" s="2">
        <v>3.7961585290435602E-5</v>
      </c>
      <c r="U81" s="2">
        <v>3.49401225970751E-11</v>
      </c>
      <c r="V81">
        <v>3.5056085560588E-2</v>
      </c>
      <c r="W81" s="2">
        <v>1.2366952637435201E-5</v>
      </c>
      <c r="X81" s="2">
        <f>SQRT(W81)*2</f>
        <v>7.0333356630933519E-3</v>
      </c>
      <c r="Y81" s="2">
        <f>V81*(1-EXP(-T81*Q81))</f>
        <v>2.2477618095937579E-2</v>
      </c>
    </row>
    <row r="82" spans="1:25" x14ac:dyDescent="0.3">
      <c r="C82" s="1"/>
      <c r="F82"/>
      <c r="H82"/>
      <c r="L82" s="41"/>
    </row>
  </sheetData>
  <mergeCells count="11">
    <mergeCell ref="B13:K17"/>
    <mergeCell ref="A63:A65"/>
    <mergeCell ref="A67:A69"/>
    <mergeCell ref="A71:A73"/>
    <mergeCell ref="A75:A77"/>
    <mergeCell ref="A79:A81"/>
    <mergeCell ref="A42:A44"/>
    <mergeCell ref="A46:A48"/>
    <mergeCell ref="A50:A53"/>
    <mergeCell ref="A55:A57"/>
    <mergeCell ref="A59:A61"/>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CF614C-76D2-46EF-AF64-0CBD98364BBB}">
  <dimension ref="A1:AB8"/>
  <sheetViews>
    <sheetView topLeftCell="O1" workbookViewId="0">
      <selection activeCell="W14" sqref="W14"/>
    </sheetView>
  </sheetViews>
  <sheetFormatPr defaultRowHeight="14.4" x14ac:dyDescent="0.3"/>
  <cols>
    <col min="22" max="22" width="10" bestFit="1" customWidth="1"/>
  </cols>
  <sheetData>
    <row r="1" spans="1:28" x14ac:dyDescent="0.3">
      <c r="D1" t="s">
        <v>389</v>
      </c>
      <c r="F1" t="s">
        <v>390</v>
      </c>
      <c r="H1" t="s">
        <v>391</v>
      </c>
      <c r="J1" t="s">
        <v>393</v>
      </c>
      <c r="K1" t="s">
        <v>394</v>
      </c>
      <c r="L1" t="s">
        <v>392</v>
      </c>
      <c r="O1" t="s">
        <v>66</v>
      </c>
      <c r="Q1" t="s">
        <v>395</v>
      </c>
      <c r="S1" t="s">
        <v>390</v>
      </c>
      <c r="T1" t="s">
        <v>389</v>
      </c>
      <c r="V1" t="s">
        <v>97</v>
      </c>
      <c r="W1" t="s">
        <v>98</v>
      </c>
      <c r="X1" t="s">
        <v>99</v>
      </c>
      <c r="Y1" t="s">
        <v>100</v>
      </c>
    </row>
    <row r="2" spans="1:28" x14ac:dyDescent="0.3">
      <c r="A2" t="s">
        <v>101</v>
      </c>
      <c r="B2" t="s">
        <v>102</v>
      </c>
      <c r="C2" s="1">
        <v>45518.905150462961</v>
      </c>
      <c r="D2">
        <v>0.15943199999999999</v>
      </c>
      <c r="E2">
        <v>4.5300000000000001E-4</v>
      </c>
      <c r="F2">
        <v>61.292948000000003</v>
      </c>
      <c r="G2">
        <v>1.023E-3</v>
      </c>
      <c r="H2">
        <v>1.8851329999999999</v>
      </c>
      <c r="I2">
        <v>5.594E-3</v>
      </c>
      <c r="J2">
        <v>515</v>
      </c>
      <c r="K2">
        <v>9.35</v>
      </c>
      <c r="L2">
        <v>1</v>
      </c>
      <c r="M2">
        <v>0.14327000000000001</v>
      </c>
      <c r="N2">
        <v>4.2499999999999998E-4</v>
      </c>
      <c r="O2">
        <v>82.107544000000004</v>
      </c>
      <c r="P2">
        <v>0.23311899999999999</v>
      </c>
      <c r="Q2">
        <v>573.08905900000002</v>
      </c>
      <c r="R2">
        <v>9.5619999999999993E-3</v>
      </c>
      <c r="S2">
        <f>Q2*$X$5*(1/L2)</f>
        <v>60.390605399658952</v>
      </c>
      <c r="T2">
        <f>O2*$Y$5*(1/L2)</f>
        <v>0.17130855846234613</v>
      </c>
      <c r="V2">
        <v>60.64</v>
      </c>
      <c r="W2">
        <v>0.1706</v>
      </c>
      <c r="X2">
        <f>V2/Q2</f>
        <v>0.10581252433227835</v>
      </c>
      <c r="Y2">
        <f>W2/O2</f>
        <v>2.077762793635625E-3</v>
      </c>
    </row>
    <row r="3" spans="1:28" x14ac:dyDescent="0.3">
      <c r="A3" t="s">
        <v>103</v>
      </c>
      <c r="B3" t="s">
        <v>104</v>
      </c>
      <c r="C3" s="1">
        <v>45518.935520833336</v>
      </c>
      <c r="D3">
        <v>1.74E-4</v>
      </c>
      <c r="E3">
        <v>3.8000000000000002E-5</v>
      </c>
      <c r="F3">
        <v>0.108775</v>
      </c>
      <c r="G3">
        <v>2.1800000000000001E-4</v>
      </c>
      <c r="H3">
        <v>0.45619500000000002</v>
      </c>
      <c r="I3">
        <v>6.7360000000000003E-2</v>
      </c>
      <c r="J3">
        <v>539.86906699999997</v>
      </c>
      <c r="K3">
        <v>9.5989090000000008</v>
      </c>
      <c r="L3">
        <v>0.627</v>
      </c>
      <c r="M3">
        <v>3.5575000000000002E-2</v>
      </c>
      <c r="N3">
        <v>5.2529999999999999E-3</v>
      </c>
      <c r="O3">
        <v>5.8789000000000001E-2</v>
      </c>
      <c r="P3">
        <v>1.2739E-2</v>
      </c>
      <c r="Q3">
        <v>0.65466400000000002</v>
      </c>
      <c r="R3">
        <v>1.3140000000000001E-3</v>
      </c>
      <c r="S3">
        <f t="shared" ref="S3:S8" si="0">Q3*$X$5*(1/L3)</f>
        <v>0.1100267246781023</v>
      </c>
      <c r="T3">
        <f t="shared" ref="T3:T8" si="1">O3*$Y$5*(1/L3)</f>
        <v>1.9562507930000894E-4</v>
      </c>
    </row>
    <row r="4" spans="1:28" x14ac:dyDescent="0.3">
      <c r="A4" t="s">
        <v>105</v>
      </c>
      <c r="B4" t="s">
        <v>106</v>
      </c>
      <c r="C4" s="1">
        <v>45519.382673611108</v>
      </c>
      <c r="D4">
        <v>0.15811900000000001</v>
      </c>
      <c r="E4">
        <v>4.9600000000000002E-4</v>
      </c>
      <c r="F4">
        <v>61.801288999999997</v>
      </c>
      <c r="G4">
        <v>9.59E-4</v>
      </c>
      <c r="H4">
        <v>1.854195</v>
      </c>
      <c r="I4">
        <v>6.0600000000000003E-3</v>
      </c>
      <c r="J4">
        <v>515</v>
      </c>
      <c r="K4">
        <v>9.35</v>
      </c>
      <c r="L4">
        <v>1</v>
      </c>
      <c r="M4">
        <v>0.14091899999999999</v>
      </c>
      <c r="N4">
        <v>4.6099999999999998E-4</v>
      </c>
      <c r="O4">
        <v>81.431122999999999</v>
      </c>
      <c r="P4">
        <v>0.25520799999999999</v>
      </c>
      <c r="Q4">
        <v>577.84204999999997</v>
      </c>
      <c r="R4">
        <v>8.9680000000000003E-3</v>
      </c>
      <c r="S4">
        <f t="shared" si="0"/>
        <v>60.891462987919297</v>
      </c>
      <c r="T4">
        <f t="shared" si="1"/>
        <v>0.16989727880668307</v>
      </c>
      <c r="V4">
        <v>60.64</v>
      </c>
      <c r="W4">
        <v>0.1706</v>
      </c>
      <c r="X4">
        <f>V4/Q4</f>
        <v>0.10494217234623199</v>
      </c>
      <c r="Y4">
        <f>W4/O4</f>
        <v>2.0950220715978581E-3</v>
      </c>
    </row>
    <row r="5" spans="1:28" x14ac:dyDescent="0.3">
      <c r="A5" t="s">
        <v>103</v>
      </c>
      <c r="B5" t="s">
        <v>107</v>
      </c>
      <c r="C5" s="1">
        <v>45519.413043981483</v>
      </c>
      <c r="D5">
        <v>2.1900000000000001E-4</v>
      </c>
      <c r="E5">
        <v>3.1000000000000001E-5</v>
      </c>
      <c r="F5">
        <v>8.7799000000000002E-2</v>
      </c>
      <c r="G5">
        <v>9.2E-5</v>
      </c>
      <c r="H5">
        <v>0.17388300000000001</v>
      </c>
      <c r="I5">
        <v>9.9790000000000004E-2</v>
      </c>
      <c r="J5">
        <v>539.89431300000001</v>
      </c>
      <c r="K5">
        <v>9.599119</v>
      </c>
      <c r="L5">
        <v>0.627</v>
      </c>
      <c r="M5">
        <v>1.3559999999999999E-2</v>
      </c>
      <c r="N5">
        <v>7.7819999999999999E-3</v>
      </c>
      <c r="O5">
        <v>7.4235999999999996E-2</v>
      </c>
      <c r="P5">
        <v>1.0333E-2</v>
      </c>
      <c r="Q5">
        <v>0.52843300000000004</v>
      </c>
      <c r="R5">
        <v>5.5099999999999995E-4</v>
      </c>
      <c r="S5">
        <f t="shared" si="0"/>
        <v>8.8811592208863838E-2</v>
      </c>
      <c r="T5">
        <f t="shared" si="1"/>
        <v>2.4702620195811225E-4</v>
      </c>
      <c r="X5">
        <f>AVERAGE(X2:X4)</f>
        <v>0.10537734833925516</v>
      </c>
      <c r="Y5">
        <f>AVERAGE(Y2:Y4)</f>
        <v>2.0863924326167413E-3</v>
      </c>
      <c r="Z5" t="s">
        <v>114</v>
      </c>
    </row>
    <row r="6" spans="1:28" ht="15" thickBot="1" x14ac:dyDescent="0.35">
      <c r="A6" t="s">
        <v>108</v>
      </c>
      <c r="B6" t="s">
        <v>109</v>
      </c>
      <c r="C6" s="1">
        <v>45519.48238425926</v>
      </c>
      <c r="D6">
        <v>6.0549999999999996E-3</v>
      </c>
      <c r="E6">
        <v>7.7399999999999995E-4</v>
      </c>
      <c r="F6">
        <v>0.310448</v>
      </c>
      <c r="G6">
        <v>5.2129999999999998E-3</v>
      </c>
      <c r="H6">
        <v>-0.243566</v>
      </c>
      <c r="I6">
        <v>0.25450899999999999</v>
      </c>
      <c r="J6">
        <v>539.99517200000003</v>
      </c>
      <c r="K6">
        <v>9.5999599999999994</v>
      </c>
      <c r="L6">
        <v>8.0999999999999996E-3</v>
      </c>
      <c r="M6">
        <v>-1.8998000000000001E-2</v>
      </c>
      <c r="N6">
        <v>1.9852000000000002E-2</v>
      </c>
      <c r="O6">
        <v>2.6485999999999999E-2</v>
      </c>
      <c r="P6">
        <v>3.3839999999999999E-3</v>
      </c>
      <c r="Q6">
        <v>2.4140000000000002E-2</v>
      </c>
      <c r="R6">
        <v>4.0499999999999998E-4</v>
      </c>
      <c r="S6">
        <f t="shared" si="0"/>
        <v>0.31405051714933579</v>
      </c>
      <c r="T6">
        <f t="shared" si="1"/>
        <v>6.8222456753440752E-3</v>
      </c>
      <c r="V6" t="s">
        <v>390</v>
      </c>
      <c r="W6" t="s">
        <v>389</v>
      </c>
      <c r="X6">
        <f>_xlfn.STDEV.P(X4,X2)</f>
        <v>4.351759930231805E-4</v>
      </c>
      <c r="Y6">
        <f>_xlfn.STDEV.P(Y4,Y2)</f>
        <v>8.6296389811165147E-6</v>
      </c>
      <c r="Z6" t="s">
        <v>126</v>
      </c>
    </row>
    <row r="7" spans="1:28" x14ac:dyDescent="0.3">
      <c r="A7" t="s">
        <v>110</v>
      </c>
      <c r="B7" t="s">
        <v>111</v>
      </c>
      <c r="C7" s="1">
        <v>45519.523946759262</v>
      </c>
      <c r="D7">
        <v>110.91497099999999</v>
      </c>
      <c r="E7">
        <v>0.133687</v>
      </c>
      <c r="F7">
        <v>132.17713599999999</v>
      </c>
      <c r="G7">
        <v>5.4980000000000003E-3</v>
      </c>
      <c r="H7">
        <v>605.42457400000001</v>
      </c>
      <c r="I7">
        <v>0.71680200000000005</v>
      </c>
      <c r="J7">
        <v>537.94804299999998</v>
      </c>
      <c r="K7">
        <v>9.5829000000000004</v>
      </c>
      <c r="L7">
        <v>8.0999999999999996E-3</v>
      </c>
      <c r="M7">
        <v>47.057476000000001</v>
      </c>
      <c r="N7">
        <v>5.5714E-2</v>
      </c>
      <c r="O7">
        <v>483.29858000000002</v>
      </c>
      <c r="P7">
        <v>0.58252499999999996</v>
      </c>
      <c r="Q7">
        <v>10.259786999999999</v>
      </c>
      <c r="R7">
        <v>4.2700000000000002E-4</v>
      </c>
      <c r="S7">
        <f t="shared" si="0"/>
        <v>133.47520352908168</v>
      </c>
      <c r="T7">
        <f t="shared" si="1"/>
        <v>124.48771605017492</v>
      </c>
      <c r="V7" s="61">
        <f>(((Q7-Q6)*$X$5)/L7)+(((Q8-Q5)*$X$5)/L8)</f>
        <v>133.18435333935949</v>
      </c>
      <c r="W7" s="62">
        <f>(((O7-O6)*$Y$5)/L7)+(((O8-O5)*$Y$5)/L8)</f>
        <v>124.54078707011602</v>
      </c>
      <c r="X7" s="36"/>
      <c r="Y7" s="36"/>
      <c r="Z7" s="36" t="s">
        <v>115</v>
      </c>
      <c r="AA7" s="36"/>
      <c r="AB7" s="14"/>
    </row>
    <row r="8" spans="1:28" ht="15" thickBot="1" x14ac:dyDescent="0.35">
      <c r="A8" t="s">
        <v>112</v>
      </c>
      <c r="B8" t="s">
        <v>113</v>
      </c>
      <c r="C8" s="1">
        <v>45519.585798611108</v>
      </c>
      <c r="D8">
        <v>5.3393000000000003E-2</v>
      </c>
      <c r="E8">
        <v>3.2699999999999998E-4</v>
      </c>
      <c r="F8">
        <v>0.110738</v>
      </c>
      <c r="G8">
        <v>5.8E-5</v>
      </c>
      <c r="H8">
        <v>289.291292</v>
      </c>
      <c r="I8">
        <v>1.5073810000000001</v>
      </c>
      <c r="J8">
        <v>539.86670500000002</v>
      </c>
      <c r="K8">
        <v>9.5988889999999998</v>
      </c>
      <c r="L8">
        <v>0.627</v>
      </c>
      <c r="M8">
        <v>22.559578999999999</v>
      </c>
      <c r="N8">
        <v>0.117549</v>
      </c>
      <c r="O8">
        <v>18.073284000000001</v>
      </c>
      <c r="P8">
        <v>0.110624</v>
      </c>
      <c r="Q8">
        <v>0.66647599999999996</v>
      </c>
      <c r="R8">
        <v>3.5E-4</v>
      </c>
      <c r="S8">
        <f t="shared" si="0"/>
        <v>0.11201191963597036</v>
      </c>
      <c r="T8">
        <f t="shared" si="1"/>
        <v>6.0140291818394302E-2</v>
      </c>
      <c r="V8" s="17">
        <f>2*SQRT(
(R5 * (-$X$5 / L8))^2 +
(R6 * (-$X$5 / L7))^2 +
(R7 * ($X$5 / L7))^2 +
(R8 * ($X$5 / L8))^2 +
($X$6 * ((Q7 - Q6) / L7 + (Q8 - Q5) / L8))^2
)</f>
        <v>1.1001273148073354</v>
      </c>
      <c r="W8" s="38">
        <f>2*SQRT(
(P5 * (-$Y$5 / L8))^2 +
(P6 * (-$Y$5 / L7))^2 +
(P7 * ($Y$5 / L7))^2 +
(P8 * ($Y$5 / L8))^2 +
($Y$6 * ((O7 - O6) / L7 + (O8 - O5) / L8))^2
)</f>
        <v>1.0730577113002813</v>
      </c>
      <c r="X8" s="38"/>
      <c r="Y8" s="38"/>
      <c r="Z8" s="38" t="s">
        <v>153</v>
      </c>
      <c r="AA8" s="38"/>
      <c r="AB8" s="18"/>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66AB4C-07F0-4F56-9D9B-38457899B652}">
  <dimension ref="A20:G220"/>
  <sheetViews>
    <sheetView zoomScale="66" workbookViewId="0">
      <selection activeCell="Q36" sqref="Q36"/>
    </sheetView>
  </sheetViews>
  <sheetFormatPr defaultRowHeight="14.4" x14ac:dyDescent="0.3"/>
  <sheetData>
    <row r="20" spans="1:7" x14ac:dyDescent="0.3">
      <c r="E20" t="s">
        <v>66</v>
      </c>
      <c r="G20" t="s">
        <v>68</v>
      </c>
    </row>
    <row r="21" spans="1:7" x14ac:dyDescent="0.3">
      <c r="A21" t="s">
        <v>179</v>
      </c>
      <c r="B21" t="s">
        <v>180</v>
      </c>
      <c r="C21" s="1">
        <v>45292.204861111109</v>
      </c>
      <c r="D21">
        <v>0</v>
      </c>
      <c r="E21" s="2">
        <v>603</v>
      </c>
      <c r="F21" s="2">
        <v>0</v>
      </c>
      <c r="G21" s="2">
        <v>6300</v>
      </c>
    </row>
    <row r="22" spans="1:7" x14ac:dyDescent="0.3">
      <c r="A22" t="s">
        <v>181</v>
      </c>
      <c r="B22" t="s">
        <v>180</v>
      </c>
      <c r="C22" s="1">
        <v>45292.462500000001</v>
      </c>
      <c r="D22">
        <v>0</v>
      </c>
      <c r="E22" s="2">
        <v>607</v>
      </c>
      <c r="F22" s="2">
        <v>0</v>
      </c>
      <c r="G22" s="2">
        <v>6310</v>
      </c>
    </row>
    <row r="23" spans="1:7" x14ac:dyDescent="0.3">
      <c r="A23" t="s">
        <v>182</v>
      </c>
      <c r="B23" t="s">
        <v>180</v>
      </c>
      <c r="C23" s="1">
        <v>45292.731944444444</v>
      </c>
      <c r="D23">
        <v>0</v>
      </c>
      <c r="E23" s="2">
        <v>606</v>
      </c>
      <c r="F23" s="2">
        <v>0</v>
      </c>
      <c r="G23" s="2">
        <v>6300</v>
      </c>
    </row>
    <row r="24" spans="1:7" x14ac:dyDescent="0.3">
      <c r="A24" t="s">
        <v>183</v>
      </c>
      <c r="B24" t="s">
        <v>180</v>
      </c>
      <c r="C24" s="1">
        <v>45293.009722222225</v>
      </c>
      <c r="D24">
        <v>0</v>
      </c>
      <c r="E24" s="2">
        <v>608</v>
      </c>
      <c r="F24" s="2">
        <v>0</v>
      </c>
      <c r="G24" s="2">
        <v>6300</v>
      </c>
    </row>
    <row r="25" spans="1:7" x14ac:dyDescent="0.3">
      <c r="A25" t="s">
        <v>184</v>
      </c>
      <c r="B25" t="s">
        <v>180</v>
      </c>
      <c r="C25" s="1">
        <v>45293.273611111108</v>
      </c>
      <c r="D25">
        <v>0</v>
      </c>
      <c r="E25" s="2">
        <v>605</v>
      </c>
      <c r="F25" s="2">
        <v>0</v>
      </c>
      <c r="G25" s="2">
        <v>6290</v>
      </c>
    </row>
    <row r="26" spans="1:7" x14ac:dyDescent="0.3">
      <c r="A26" t="s">
        <v>185</v>
      </c>
      <c r="B26" t="s">
        <v>180</v>
      </c>
      <c r="C26" s="1">
        <v>45293.567361111112</v>
      </c>
      <c r="D26">
        <v>0</v>
      </c>
      <c r="E26" s="2">
        <v>604</v>
      </c>
      <c r="F26" s="2">
        <v>0</v>
      </c>
      <c r="G26" s="2">
        <v>6300</v>
      </c>
    </row>
    <row r="27" spans="1:7" x14ac:dyDescent="0.3">
      <c r="A27" t="s">
        <v>186</v>
      </c>
      <c r="B27" t="s">
        <v>180</v>
      </c>
      <c r="C27" s="1">
        <v>45293.856249999997</v>
      </c>
      <c r="D27">
        <v>0</v>
      </c>
      <c r="E27" s="2">
        <v>608</v>
      </c>
      <c r="F27" s="2">
        <v>0</v>
      </c>
      <c r="G27" s="2">
        <v>6300</v>
      </c>
    </row>
    <row r="28" spans="1:7" x14ac:dyDescent="0.3">
      <c r="A28" t="s">
        <v>187</v>
      </c>
      <c r="B28" t="s">
        <v>180</v>
      </c>
      <c r="C28" s="1">
        <v>45294.12777777778</v>
      </c>
      <c r="D28">
        <v>0</v>
      </c>
      <c r="E28" s="2">
        <v>607</v>
      </c>
      <c r="F28" s="2">
        <v>0</v>
      </c>
      <c r="G28" s="2">
        <v>6290</v>
      </c>
    </row>
    <row r="29" spans="1:7" x14ac:dyDescent="0.3">
      <c r="A29" t="s">
        <v>188</v>
      </c>
      <c r="B29" t="s">
        <v>180</v>
      </c>
      <c r="C29" s="1">
        <v>45294.419444444444</v>
      </c>
      <c r="D29">
        <v>0</v>
      </c>
      <c r="E29" s="2">
        <v>607</v>
      </c>
      <c r="F29" s="2">
        <v>0</v>
      </c>
      <c r="G29" s="2">
        <v>6290</v>
      </c>
    </row>
    <row r="30" spans="1:7" x14ac:dyDescent="0.3">
      <c r="A30" t="s">
        <v>189</v>
      </c>
      <c r="B30" t="s">
        <v>180</v>
      </c>
      <c r="C30" s="1">
        <v>45294.731944444444</v>
      </c>
      <c r="D30">
        <v>0</v>
      </c>
      <c r="E30" s="2">
        <v>605</v>
      </c>
      <c r="F30" s="2">
        <v>2.6099999999999999E-3</v>
      </c>
      <c r="G30" s="2">
        <v>6280</v>
      </c>
    </row>
    <row r="31" spans="1:7" x14ac:dyDescent="0.3">
      <c r="A31" t="s">
        <v>190</v>
      </c>
      <c r="B31" t="s">
        <v>180</v>
      </c>
      <c r="C31" s="1">
        <v>45295.054166666669</v>
      </c>
      <c r="D31">
        <v>0</v>
      </c>
      <c r="E31" s="2">
        <v>606</v>
      </c>
      <c r="F31" s="2">
        <v>1.57E-3</v>
      </c>
      <c r="G31" s="2">
        <v>6290</v>
      </c>
    </row>
    <row r="32" spans="1:7" x14ac:dyDescent="0.3">
      <c r="A32" t="s">
        <v>191</v>
      </c>
      <c r="B32" t="s">
        <v>180</v>
      </c>
      <c r="C32" s="1">
        <v>45295.356944444444</v>
      </c>
      <c r="D32">
        <v>0</v>
      </c>
      <c r="E32" s="2">
        <v>606</v>
      </c>
      <c r="F32" s="2">
        <v>0</v>
      </c>
      <c r="G32" s="2">
        <v>6270</v>
      </c>
    </row>
    <row r="33" spans="1:7" x14ac:dyDescent="0.3">
      <c r="A33" t="s">
        <v>192</v>
      </c>
      <c r="B33" t="s">
        <v>180</v>
      </c>
      <c r="C33" s="1">
        <v>45295.669444444444</v>
      </c>
      <c r="D33">
        <v>0</v>
      </c>
      <c r="E33" s="2">
        <v>598</v>
      </c>
      <c r="F33" s="2">
        <v>0</v>
      </c>
      <c r="G33" s="2">
        <v>6260</v>
      </c>
    </row>
    <row r="34" spans="1:7" x14ac:dyDescent="0.3">
      <c r="A34" t="s">
        <v>193</v>
      </c>
      <c r="B34" t="s">
        <v>180</v>
      </c>
      <c r="C34" s="1">
        <v>45295.981944444444</v>
      </c>
      <c r="D34">
        <v>0</v>
      </c>
      <c r="E34" s="2">
        <v>604</v>
      </c>
      <c r="F34" s="2">
        <v>0</v>
      </c>
      <c r="G34" s="2">
        <v>6270</v>
      </c>
    </row>
    <row r="35" spans="1:7" x14ac:dyDescent="0.3">
      <c r="A35" t="s">
        <v>194</v>
      </c>
      <c r="B35" t="s">
        <v>180</v>
      </c>
      <c r="C35" s="1">
        <v>45296.294444444444</v>
      </c>
      <c r="D35">
        <v>0</v>
      </c>
      <c r="E35" s="2">
        <v>605</v>
      </c>
      <c r="F35" s="2">
        <v>0</v>
      </c>
      <c r="G35" s="2">
        <v>6270</v>
      </c>
    </row>
    <row r="36" spans="1:7" x14ac:dyDescent="0.3">
      <c r="A36" t="s">
        <v>195</v>
      </c>
      <c r="B36" t="s">
        <v>180</v>
      </c>
      <c r="C36" s="1">
        <v>45296.62777777778</v>
      </c>
      <c r="D36">
        <v>0</v>
      </c>
      <c r="E36" s="2">
        <v>602</v>
      </c>
      <c r="F36" s="2">
        <v>0</v>
      </c>
      <c r="G36" s="2">
        <v>6260</v>
      </c>
    </row>
    <row r="37" spans="1:7" x14ac:dyDescent="0.3">
      <c r="A37" t="s">
        <v>196</v>
      </c>
      <c r="B37" t="s">
        <v>180</v>
      </c>
      <c r="C37" s="1">
        <v>45296.961111111108</v>
      </c>
      <c r="D37">
        <v>0</v>
      </c>
      <c r="E37" s="2">
        <v>591</v>
      </c>
      <c r="F37" s="2">
        <v>5.8700000000000002E-3</v>
      </c>
      <c r="G37" s="2">
        <v>6240</v>
      </c>
    </row>
    <row r="38" spans="1:7" x14ac:dyDescent="0.3">
      <c r="A38" t="s">
        <v>197</v>
      </c>
      <c r="B38" t="s">
        <v>180</v>
      </c>
      <c r="C38" s="1">
        <v>45297.294444444444</v>
      </c>
      <c r="D38">
        <v>0</v>
      </c>
      <c r="E38" s="2">
        <v>601</v>
      </c>
      <c r="F38" s="2">
        <v>0</v>
      </c>
      <c r="G38" s="2">
        <v>6250</v>
      </c>
    </row>
    <row r="39" spans="1:7" x14ac:dyDescent="0.3">
      <c r="A39" t="s">
        <v>198</v>
      </c>
      <c r="B39" t="s">
        <v>180</v>
      </c>
      <c r="C39" s="1">
        <v>45297.62777777778</v>
      </c>
      <c r="D39">
        <v>0</v>
      </c>
      <c r="E39" s="2">
        <v>596</v>
      </c>
      <c r="F39" s="2">
        <v>0</v>
      </c>
      <c r="G39" s="2">
        <v>6230</v>
      </c>
    </row>
    <row r="40" spans="1:7" x14ac:dyDescent="0.3">
      <c r="A40" t="s">
        <v>199</v>
      </c>
      <c r="B40" t="s">
        <v>180</v>
      </c>
      <c r="C40" s="1">
        <v>45297.961111111108</v>
      </c>
      <c r="D40">
        <v>0</v>
      </c>
      <c r="E40" s="2">
        <v>593</v>
      </c>
      <c r="F40" s="2">
        <v>0</v>
      </c>
      <c r="G40" s="2">
        <v>6240</v>
      </c>
    </row>
    <row r="41" spans="1:7" x14ac:dyDescent="0.3">
      <c r="A41" t="s">
        <v>200</v>
      </c>
      <c r="B41" t="s">
        <v>180</v>
      </c>
      <c r="C41" s="1">
        <v>45298.29791666667</v>
      </c>
      <c r="D41">
        <v>0</v>
      </c>
      <c r="E41" s="2">
        <v>602</v>
      </c>
      <c r="F41" s="2">
        <v>0</v>
      </c>
      <c r="G41" s="2">
        <v>6250</v>
      </c>
    </row>
    <row r="42" spans="1:7" x14ac:dyDescent="0.3">
      <c r="A42" t="s">
        <v>201</v>
      </c>
      <c r="B42" t="s">
        <v>180</v>
      </c>
      <c r="C42" s="1">
        <v>45298.62777777778</v>
      </c>
      <c r="D42">
        <v>0</v>
      </c>
      <c r="E42" s="2">
        <v>592</v>
      </c>
      <c r="F42" s="2">
        <v>0</v>
      </c>
      <c r="G42" s="2">
        <v>6220</v>
      </c>
    </row>
    <row r="43" spans="1:7" x14ac:dyDescent="0.3">
      <c r="A43" t="s">
        <v>202</v>
      </c>
      <c r="B43" t="s">
        <v>180</v>
      </c>
      <c r="C43" s="1">
        <v>45298.961111111108</v>
      </c>
      <c r="D43">
        <v>0</v>
      </c>
      <c r="E43" s="2">
        <v>603</v>
      </c>
      <c r="F43" s="2">
        <v>0</v>
      </c>
      <c r="G43" s="2">
        <v>6250</v>
      </c>
    </row>
    <row r="44" spans="1:7" x14ac:dyDescent="0.3">
      <c r="A44" t="s">
        <v>203</v>
      </c>
      <c r="B44" t="s">
        <v>180</v>
      </c>
      <c r="C44" s="1">
        <v>45299.294444444444</v>
      </c>
      <c r="D44">
        <v>0</v>
      </c>
      <c r="E44" s="2">
        <v>604</v>
      </c>
      <c r="F44" s="2">
        <v>0</v>
      </c>
      <c r="G44" s="2">
        <v>6240</v>
      </c>
    </row>
    <row r="45" spans="1:7" x14ac:dyDescent="0.3">
      <c r="A45" t="s">
        <v>204</v>
      </c>
      <c r="B45" t="s">
        <v>180</v>
      </c>
      <c r="C45" s="1">
        <v>45299.709722222222</v>
      </c>
      <c r="D45">
        <v>0</v>
      </c>
      <c r="E45" s="2">
        <v>602</v>
      </c>
      <c r="F45" s="2">
        <v>0</v>
      </c>
      <c r="G45" s="2">
        <v>6240</v>
      </c>
    </row>
    <row r="46" spans="1:7" x14ac:dyDescent="0.3">
      <c r="A46" t="s">
        <v>205</v>
      </c>
      <c r="B46" t="s">
        <v>180</v>
      </c>
      <c r="C46" s="1">
        <v>45300.043055555558</v>
      </c>
      <c r="D46">
        <v>0</v>
      </c>
      <c r="E46" s="2">
        <v>602</v>
      </c>
      <c r="F46" s="2">
        <v>0</v>
      </c>
      <c r="G46" s="2">
        <v>6250</v>
      </c>
    </row>
    <row r="47" spans="1:7" x14ac:dyDescent="0.3">
      <c r="A47" t="s">
        <v>206</v>
      </c>
      <c r="B47" t="s">
        <v>180</v>
      </c>
      <c r="C47" s="1">
        <v>45300.376388888886</v>
      </c>
      <c r="D47">
        <v>0</v>
      </c>
      <c r="E47" s="2">
        <v>603</v>
      </c>
      <c r="F47" s="2">
        <v>0</v>
      </c>
      <c r="G47" s="2">
        <v>6240</v>
      </c>
    </row>
    <row r="48" spans="1:7" x14ac:dyDescent="0.3">
      <c r="A48" t="s">
        <v>207</v>
      </c>
      <c r="B48" t="s">
        <v>180</v>
      </c>
      <c r="C48" s="1">
        <v>45300.709722222222</v>
      </c>
      <c r="D48">
        <v>0</v>
      </c>
      <c r="E48" s="2">
        <v>610</v>
      </c>
      <c r="F48" s="2">
        <v>0</v>
      </c>
      <c r="G48" s="2">
        <v>6260</v>
      </c>
    </row>
    <row r="49" spans="1:7" x14ac:dyDescent="0.3">
      <c r="A49" t="s">
        <v>208</v>
      </c>
      <c r="B49" t="s">
        <v>180</v>
      </c>
      <c r="C49" s="1">
        <v>45301.043055555558</v>
      </c>
      <c r="D49">
        <v>0</v>
      </c>
      <c r="E49" s="2">
        <v>607</v>
      </c>
      <c r="F49" s="2">
        <v>0</v>
      </c>
      <c r="G49" s="2">
        <v>6260</v>
      </c>
    </row>
    <row r="50" spans="1:7" x14ac:dyDescent="0.3">
      <c r="A50" t="s">
        <v>209</v>
      </c>
      <c r="B50" t="s">
        <v>180</v>
      </c>
      <c r="C50" s="1">
        <v>45301.376388888886</v>
      </c>
      <c r="D50">
        <v>0</v>
      </c>
      <c r="E50" s="2">
        <v>602</v>
      </c>
      <c r="F50" s="2">
        <v>4.45E-3</v>
      </c>
      <c r="G50" s="2">
        <v>6240</v>
      </c>
    </row>
    <row r="51" spans="1:7" x14ac:dyDescent="0.3">
      <c r="A51" t="s">
        <v>210</v>
      </c>
      <c r="B51" t="s">
        <v>180</v>
      </c>
      <c r="C51" s="1">
        <v>45301.87222222222</v>
      </c>
      <c r="D51">
        <v>0</v>
      </c>
      <c r="E51" s="2">
        <v>606</v>
      </c>
      <c r="F51" s="2">
        <v>0</v>
      </c>
      <c r="G51" s="2">
        <v>6250</v>
      </c>
    </row>
    <row r="52" spans="1:7" x14ac:dyDescent="0.3">
      <c r="A52" t="s">
        <v>211</v>
      </c>
      <c r="B52" t="s">
        <v>180</v>
      </c>
      <c r="C52" s="1">
        <v>45302.209722222222</v>
      </c>
      <c r="D52">
        <v>0</v>
      </c>
      <c r="E52" s="2">
        <v>605</v>
      </c>
      <c r="F52" s="2">
        <v>0</v>
      </c>
      <c r="G52" s="2">
        <v>6230</v>
      </c>
    </row>
    <row r="53" spans="1:7" x14ac:dyDescent="0.3">
      <c r="A53" t="s">
        <v>212</v>
      </c>
      <c r="B53" t="s">
        <v>180</v>
      </c>
      <c r="C53" s="1">
        <v>45302.555555555555</v>
      </c>
      <c r="D53">
        <v>0</v>
      </c>
      <c r="E53" s="2">
        <v>602</v>
      </c>
      <c r="F53" s="2">
        <v>4.5199999999999997E-3</v>
      </c>
      <c r="G53" s="2">
        <v>6230</v>
      </c>
    </row>
    <row r="54" spans="1:7" x14ac:dyDescent="0.3">
      <c r="A54" t="s">
        <v>213</v>
      </c>
      <c r="B54" t="s">
        <v>180</v>
      </c>
      <c r="C54" s="1">
        <v>45302.87222222222</v>
      </c>
      <c r="D54">
        <v>0</v>
      </c>
      <c r="E54" s="2">
        <v>602</v>
      </c>
      <c r="F54" s="2">
        <v>0</v>
      </c>
      <c r="G54" s="2">
        <v>6230</v>
      </c>
    </row>
    <row r="55" spans="1:7" x14ac:dyDescent="0.3">
      <c r="A55" t="s">
        <v>214</v>
      </c>
      <c r="B55" t="s">
        <v>180</v>
      </c>
      <c r="C55" s="1">
        <v>45303.205555555556</v>
      </c>
      <c r="D55">
        <v>0</v>
      </c>
      <c r="E55" s="2">
        <v>601</v>
      </c>
      <c r="F55" s="2">
        <v>0</v>
      </c>
      <c r="G55" s="2">
        <v>6210</v>
      </c>
    </row>
    <row r="56" spans="1:7" x14ac:dyDescent="0.3">
      <c r="A56" t="s">
        <v>215</v>
      </c>
      <c r="B56" t="s">
        <v>180</v>
      </c>
      <c r="C56" s="1">
        <v>45303.538888888892</v>
      </c>
      <c r="D56">
        <v>0</v>
      </c>
      <c r="E56" s="2">
        <v>599</v>
      </c>
      <c r="F56" s="2">
        <v>0</v>
      </c>
      <c r="G56" s="2">
        <v>6210</v>
      </c>
    </row>
    <row r="57" spans="1:7" x14ac:dyDescent="0.3">
      <c r="A57" t="s">
        <v>216</v>
      </c>
      <c r="B57" t="s">
        <v>180</v>
      </c>
      <c r="C57" s="1">
        <v>45303.917361111111</v>
      </c>
      <c r="D57">
        <v>0</v>
      </c>
      <c r="E57" s="2">
        <v>598</v>
      </c>
      <c r="F57" s="2">
        <v>0</v>
      </c>
      <c r="G57" s="2">
        <v>6190</v>
      </c>
    </row>
    <row r="58" spans="1:7" x14ac:dyDescent="0.3">
      <c r="A58" t="s">
        <v>217</v>
      </c>
      <c r="B58" t="s">
        <v>180</v>
      </c>
      <c r="C58" s="1">
        <v>45304.250694444447</v>
      </c>
      <c r="D58">
        <v>0</v>
      </c>
      <c r="E58" s="2">
        <v>600</v>
      </c>
      <c r="F58" s="2">
        <v>0</v>
      </c>
      <c r="G58" s="2">
        <v>6190</v>
      </c>
    </row>
    <row r="59" spans="1:7" x14ac:dyDescent="0.3">
      <c r="A59" t="s">
        <v>218</v>
      </c>
      <c r="B59" t="s">
        <v>180</v>
      </c>
      <c r="C59" s="1">
        <v>45304.584027777775</v>
      </c>
      <c r="D59">
        <v>0</v>
      </c>
      <c r="E59" s="2">
        <v>598</v>
      </c>
      <c r="F59" s="2">
        <v>0</v>
      </c>
      <c r="G59" s="2">
        <v>6190</v>
      </c>
    </row>
    <row r="60" spans="1:7" x14ac:dyDescent="0.3">
      <c r="A60" t="s">
        <v>219</v>
      </c>
      <c r="B60" t="s">
        <v>180</v>
      </c>
      <c r="C60" s="1">
        <v>45304.917361111111</v>
      </c>
      <c r="D60">
        <v>0</v>
      </c>
      <c r="E60" s="2">
        <v>604</v>
      </c>
      <c r="F60" s="2">
        <v>0</v>
      </c>
      <c r="G60" s="2">
        <v>6190</v>
      </c>
    </row>
    <row r="61" spans="1:7" x14ac:dyDescent="0.3">
      <c r="A61" t="s">
        <v>220</v>
      </c>
      <c r="B61" t="s">
        <v>180</v>
      </c>
      <c r="C61" s="1">
        <v>45305.250694444447</v>
      </c>
      <c r="D61">
        <v>0</v>
      </c>
      <c r="E61" s="2">
        <v>605</v>
      </c>
      <c r="F61" s="2">
        <v>0</v>
      </c>
      <c r="G61" s="2">
        <v>6190</v>
      </c>
    </row>
    <row r="62" spans="1:7" x14ac:dyDescent="0.3">
      <c r="A62" t="s">
        <v>221</v>
      </c>
      <c r="B62" t="s">
        <v>180</v>
      </c>
      <c r="C62" s="1">
        <v>45305.584027777775</v>
      </c>
      <c r="D62">
        <v>0</v>
      </c>
      <c r="E62" s="2">
        <v>603</v>
      </c>
      <c r="F62" s="2">
        <v>0</v>
      </c>
      <c r="G62" s="2">
        <v>6190</v>
      </c>
    </row>
    <row r="63" spans="1:7" x14ac:dyDescent="0.3">
      <c r="A63" t="s">
        <v>222</v>
      </c>
      <c r="B63" t="s">
        <v>180</v>
      </c>
      <c r="C63" s="1">
        <v>45305.934027777781</v>
      </c>
      <c r="D63">
        <v>0</v>
      </c>
      <c r="E63" s="2">
        <v>599</v>
      </c>
      <c r="F63" s="2">
        <v>0</v>
      </c>
      <c r="G63" s="2">
        <v>6190</v>
      </c>
    </row>
    <row r="64" spans="1:7" x14ac:dyDescent="0.3">
      <c r="A64" t="s">
        <v>223</v>
      </c>
      <c r="B64" t="s">
        <v>180</v>
      </c>
      <c r="C64" s="1">
        <v>45306.250694444447</v>
      </c>
      <c r="D64">
        <v>0</v>
      </c>
      <c r="E64" s="2">
        <v>598</v>
      </c>
      <c r="F64" s="2">
        <v>0</v>
      </c>
      <c r="G64" s="2">
        <v>6180</v>
      </c>
    </row>
    <row r="65" spans="1:7" x14ac:dyDescent="0.3">
      <c r="A65" t="s">
        <v>224</v>
      </c>
      <c r="B65" t="s">
        <v>180</v>
      </c>
      <c r="C65" s="1">
        <v>45306.584027777775</v>
      </c>
      <c r="D65">
        <v>0</v>
      </c>
      <c r="E65" s="2">
        <v>599</v>
      </c>
      <c r="F65" s="2">
        <v>0</v>
      </c>
      <c r="G65" s="2">
        <v>6180</v>
      </c>
    </row>
    <row r="66" spans="1:7" x14ac:dyDescent="0.3">
      <c r="A66" t="s">
        <v>225</v>
      </c>
      <c r="B66" t="s">
        <v>180</v>
      </c>
      <c r="C66" s="1">
        <v>45306.917361111111</v>
      </c>
      <c r="D66">
        <v>0</v>
      </c>
      <c r="E66" s="2">
        <v>600</v>
      </c>
      <c r="F66" s="2">
        <v>0</v>
      </c>
      <c r="G66" s="2">
        <v>6180</v>
      </c>
    </row>
    <row r="67" spans="1:7" x14ac:dyDescent="0.3">
      <c r="A67" t="s">
        <v>226</v>
      </c>
      <c r="B67" t="s">
        <v>180</v>
      </c>
      <c r="C67" s="1">
        <v>45307.250694444447</v>
      </c>
      <c r="D67">
        <v>0</v>
      </c>
      <c r="E67" s="2">
        <v>602</v>
      </c>
      <c r="F67" s="2">
        <v>0</v>
      </c>
      <c r="G67" s="2">
        <v>6170</v>
      </c>
    </row>
    <row r="68" spans="1:7" x14ac:dyDescent="0.3">
      <c r="A68" t="s">
        <v>227</v>
      </c>
      <c r="B68" t="s">
        <v>180</v>
      </c>
      <c r="C68" s="1">
        <v>45307.584027777775</v>
      </c>
      <c r="D68">
        <v>0</v>
      </c>
      <c r="E68" s="2">
        <v>598</v>
      </c>
      <c r="F68" s="2">
        <v>0</v>
      </c>
      <c r="G68" s="2">
        <v>6180</v>
      </c>
    </row>
    <row r="69" spans="1:7" x14ac:dyDescent="0.3">
      <c r="A69" t="s">
        <v>228</v>
      </c>
      <c r="B69" t="s">
        <v>180</v>
      </c>
      <c r="C69" s="1">
        <v>45307.917361111111</v>
      </c>
      <c r="D69">
        <v>0</v>
      </c>
      <c r="E69" s="2">
        <v>601</v>
      </c>
      <c r="F69" s="2">
        <v>4.1700000000000001E-3</v>
      </c>
      <c r="G69" s="2">
        <v>6180</v>
      </c>
    </row>
    <row r="70" spans="1:7" x14ac:dyDescent="0.3">
      <c r="A70" t="s">
        <v>229</v>
      </c>
      <c r="B70" t="s">
        <v>180</v>
      </c>
      <c r="C70" s="1">
        <v>45308.250694444447</v>
      </c>
      <c r="D70">
        <v>0</v>
      </c>
      <c r="E70" s="2">
        <v>599</v>
      </c>
      <c r="F70" s="2">
        <v>0</v>
      </c>
      <c r="G70" s="2">
        <v>6170</v>
      </c>
    </row>
    <row r="71" spans="1:7" x14ac:dyDescent="0.3">
      <c r="A71" t="s">
        <v>230</v>
      </c>
      <c r="B71" t="s">
        <v>180</v>
      </c>
      <c r="C71" s="1">
        <v>45308.584027777775</v>
      </c>
      <c r="D71">
        <v>0</v>
      </c>
      <c r="E71" s="2">
        <v>598</v>
      </c>
      <c r="F71" s="2">
        <v>0</v>
      </c>
      <c r="G71" s="2">
        <v>6170</v>
      </c>
    </row>
    <row r="72" spans="1:7" x14ac:dyDescent="0.3">
      <c r="A72" t="s">
        <v>231</v>
      </c>
      <c r="B72" t="s">
        <v>180</v>
      </c>
      <c r="C72" s="1">
        <v>45308.917361111111</v>
      </c>
      <c r="D72">
        <v>0</v>
      </c>
      <c r="E72" s="2">
        <v>599</v>
      </c>
      <c r="F72" s="2">
        <v>0</v>
      </c>
      <c r="G72" s="2">
        <v>6170</v>
      </c>
    </row>
    <row r="73" spans="1:7" x14ac:dyDescent="0.3">
      <c r="A73" t="s">
        <v>232</v>
      </c>
      <c r="B73" t="s">
        <v>180</v>
      </c>
      <c r="C73" s="1">
        <v>45309.250694444447</v>
      </c>
      <c r="D73">
        <v>0</v>
      </c>
      <c r="E73" s="2">
        <v>601</v>
      </c>
      <c r="F73" s="2">
        <v>0</v>
      </c>
      <c r="G73" s="2">
        <v>6160</v>
      </c>
    </row>
    <row r="74" spans="1:7" x14ac:dyDescent="0.3">
      <c r="A74" t="s">
        <v>233</v>
      </c>
      <c r="B74" t="s">
        <v>180</v>
      </c>
      <c r="C74" s="1">
        <v>45309.598611111112</v>
      </c>
      <c r="D74">
        <v>0</v>
      </c>
      <c r="E74" s="2">
        <v>601</v>
      </c>
      <c r="F74" s="2">
        <v>0</v>
      </c>
      <c r="G74" s="2">
        <v>6170</v>
      </c>
    </row>
    <row r="75" spans="1:7" x14ac:dyDescent="0.3">
      <c r="A75" t="s">
        <v>234</v>
      </c>
      <c r="B75" t="s">
        <v>180</v>
      </c>
      <c r="C75" s="1">
        <v>45310.250694444447</v>
      </c>
      <c r="D75">
        <v>0</v>
      </c>
      <c r="E75" s="2">
        <v>602</v>
      </c>
      <c r="F75" s="2">
        <v>0</v>
      </c>
      <c r="G75" s="2">
        <v>6170</v>
      </c>
    </row>
    <row r="76" spans="1:7" x14ac:dyDescent="0.3">
      <c r="A76" t="s">
        <v>235</v>
      </c>
      <c r="B76" t="s">
        <v>180</v>
      </c>
      <c r="C76" s="1">
        <v>45310.584027777775</v>
      </c>
      <c r="D76">
        <v>0</v>
      </c>
      <c r="E76" s="2">
        <v>598</v>
      </c>
      <c r="F76" s="2">
        <v>3.2000000000000002E-3</v>
      </c>
      <c r="G76" s="2">
        <v>6160</v>
      </c>
    </row>
    <row r="77" spans="1:7" x14ac:dyDescent="0.3">
      <c r="A77" t="s">
        <v>236</v>
      </c>
      <c r="B77" t="s">
        <v>180</v>
      </c>
      <c r="C77" s="1">
        <v>45310.917361111111</v>
      </c>
      <c r="D77">
        <v>0</v>
      </c>
      <c r="E77" s="2">
        <v>602</v>
      </c>
      <c r="F77" s="2">
        <v>0</v>
      </c>
      <c r="G77" s="2">
        <v>6150</v>
      </c>
    </row>
    <row r="78" spans="1:7" x14ac:dyDescent="0.3">
      <c r="A78" t="s">
        <v>237</v>
      </c>
      <c r="B78" t="s">
        <v>180</v>
      </c>
      <c r="C78" s="1">
        <v>45314.855555555558</v>
      </c>
      <c r="D78">
        <v>0</v>
      </c>
      <c r="E78" s="2">
        <v>599</v>
      </c>
      <c r="F78" s="2">
        <v>0</v>
      </c>
      <c r="G78" s="2">
        <v>6150</v>
      </c>
    </row>
    <row r="79" spans="1:7" x14ac:dyDescent="0.3">
      <c r="A79" t="s">
        <v>238</v>
      </c>
      <c r="B79" t="s">
        <v>180</v>
      </c>
      <c r="C79" s="1">
        <v>45315.186805555553</v>
      </c>
      <c r="D79">
        <v>0</v>
      </c>
      <c r="E79" s="2">
        <v>603</v>
      </c>
      <c r="F79" s="2">
        <v>0</v>
      </c>
      <c r="G79" s="2">
        <v>6140</v>
      </c>
    </row>
    <row r="80" spans="1:7" x14ac:dyDescent="0.3">
      <c r="A80" t="s">
        <v>239</v>
      </c>
      <c r="B80" t="s">
        <v>180</v>
      </c>
      <c r="C80" s="1">
        <v>45317.613194444442</v>
      </c>
      <c r="D80">
        <v>0</v>
      </c>
      <c r="E80" s="2">
        <v>598</v>
      </c>
      <c r="F80" s="2">
        <v>0</v>
      </c>
      <c r="G80" s="2">
        <v>6130</v>
      </c>
    </row>
    <row r="81" spans="1:7" x14ac:dyDescent="0.3">
      <c r="A81" t="s">
        <v>240</v>
      </c>
      <c r="B81" t="s">
        <v>180</v>
      </c>
      <c r="C81" s="1">
        <v>45317.754166666666</v>
      </c>
      <c r="D81">
        <v>0</v>
      </c>
      <c r="E81" s="2">
        <v>586</v>
      </c>
      <c r="F81" s="2">
        <v>0</v>
      </c>
      <c r="G81" s="2">
        <v>6150</v>
      </c>
    </row>
    <row r="82" spans="1:7" x14ac:dyDescent="0.3">
      <c r="A82" t="s">
        <v>241</v>
      </c>
      <c r="B82" t="s">
        <v>180</v>
      </c>
      <c r="C82" s="1">
        <v>45317.872916666667</v>
      </c>
      <c r="D82">
        <v>0</v>
      </c>
      <c r="E82" s="2">
        <v>587</v>
      </c>
      <c r="F82" s="2">
        <v>0</v>
      </c>
      <c r="G82" s="2">
        <v>6140</v>
      </c>
    </row>
    <row r="83" spans="1:7" x14ac:dyDescent="0.3">
      <c r="A83" t="s">
        <v>242</v>
      </c>
      <c r="B83" t="s">
        <v>180</v>
      </c>
      <c r="C83" s="1">
        <v>45317.956250000003</v>
      </c>
      <c r="D83">
        <v>0</v>
      </c>
      <c r="E83" s="2">
        <v>582</v>
      </c>
      <c r="F83" s="2">
        <v>0</v>
      </c>
      <c r="G83" s="2">
        <v>6120</v>
      </c>
    </row>
    <row r="84" spans="1:7" x14ac:dyDescent="0.3">
      <c r="A84" t="s">
        <v>243</v>
      </c>
      <c r="B84" t="s">
        <v>180</v>
      </c>
      <c r="C84" s="1">
        <v>45318.039583333331</v>
      </c>
      <c r="D84">
        <v>0</v>
      </c>
      <c r="E84" s="2">
        <v>579</v>
      </c>
      <c r="F84" s="2">
        <v>0</v>
      </c>
      <c r="G84" s="2">
        <v>6060</v>
      </c>
    </row>
    <row r="85" spans="1:7" x14ac:dyDescent="0.3">
      <c r="A85" t="s">
        <v>244</v>
      </c>
      <c r="B85" t="s">
        <v>180</v>
      </c>
      <c r="C85" s="1">
        <v>45318.122916666667</v>
      </c>
      <c r="D85">
        <v>0</v>
      </c>
      <c r="E85" s="2">
        <v>579</v>
      </c>
      <c r="F85" s="2">
        <v>0</v>
      </c>
      <c r="G85" s="2">
        <v>6000</v>
      </c>
    </row>
    <row r="86" spans="1:7" x14ac:dyDescent="0.3">
      <c r="A86" t="s">
        <v>245</v>
      </c>
      <c r="B86" t="s">
        <v>180</v>
      </c>
      <c r="C86" s="1">
        <v>45318.206250000003</v>
      </c>
      <c r="D86">
        <v>0</v>
      </c>
      <c r="E86" s="2">
        <v>580</v>
      </c>
      <c r="F86" s="2">
        <v>0</v>
      </c>
      <c r="G86" s="2">
        <v>5990</v>
      </c>
    </row>
    <row r="87" spans="1:7" x14ac:dyDescent="0.3">
      <c r="A87" t="s">
        <v>246</v>
      </c>
      <c r="B87" t="s">
        <v>180</v>
      </c>
      <c r="C87" s="1">
        <v>45318.289583333331</v>
      </c>
      <c r="D87">
        <v>0</v>
      </c>
      <c r="E87" s="2">
        <v>580</v>
      </c>
      <c r="F87" s="2">
        <v>0</v>
      </c>
      <c r="G87" s="2">
        <v>5900</v>
      </c>
    </row>
    <row r="88" spans="1:7" x14ac:dyDescent="0.3">
      <c r="A88" t="s">
        <v>247</v>
      </c>
      <c r="B88" t="s">
        <v>180</v>
      </c>
      <c r="C88" s="1">
        <v>45318.372916666667</v>
      </c>
      <c r="D88">
        <v>0</v>
      </c>
      <c r="E88" s="2">
        <v>578</v>
      </c>
      <c r="F88" s="2">
        <v>0</v>
      </c>
      <c r="G88" s="2">
        <v>5880</v>
      </c>
    </row>
    <row r="89" spans="1:7" x14ac:dyDescent="0.3">
      <c r="A89" t="s">
        <v>248</v>
      </c>
      <c r="B89" t="s">
        <v>180</v>
      </c>
      <c r="C89" s="1">
        <v>45318.456250000003</v>
      </c>
      <c r="D89">
        <v>0</v>
      </c>
      <c r="E89" s="2">
        <v>574</v>
      </c>
      <c r="F89" s="2">
        <v>2.4299999999999999E-3</v>
      </c>
      <c r="G89" s="2">
        <v>5750</v>
      </c>
    </row>
    <row r="90" spans="1:7" x14ac:dyDescent="0.3">
      <c r="A90" t="s">
        <v>249</v>
      </c>
      <c r="B90" t="s">
        <v>180</v>
      </c>
      <c r="C90" s="1">
        <v>45318.984722222223</v>
      </c>
      <c r="D90">
        <v>0</v>
      </c>
      <c r="E90" s="2">
        <v>580</v>
      </c>
      <c r="F90" s="2">
        <v>0</v>
      </c>
      <c r="G90" s="2">
        <v>5840</v>
      </c>
    </row>
    <row r="91" spans="1:7" x14ac:dyDescent="0.3">
      <c r="A91" t="s">
        <v>250</v>
      </c>
      <c r="B91" t="s">
        <v>180</v>
      </c>
      <c r="C91" s="1">
        <v>45319.151388888888</v>
      </c>
      <c r="D91">
        <v>0</v>
      </c>
      <c r="E91" s="2">
        <v>580</v>
      </c>
      <c r="F91" s="2">
        <v>0</v>
      </c>
      <c r="G91" s="2">
        <v>5910</v>
      </c>
    </row>
    <row r="92" spans="1:7" x14ac:dyDescent="0.3">
      <c r="A92" t="s">
        <v>251</v>
      </c>
      <c r="B92" t="s">
        <v>180</v>
      </c>
      <c r="C92" s="1">
        <v>45319.318055555559</v>
      </c>
      <c r="D92">
        <v>0</v>
      </c>
      <c r="E92" s="2">
        <v>584</v>
      </c>
      <c r="F92" s="2">
        <v>0</v>
      </c>
      <c r="G92" s="2">
        <v>5930</v>
      </c>
    </row>
    <row r="93" spans="1:7" x14ac:dyDescent="0.3">
      <c r="A93" t="s">
        <v>252</v>
      </c>
      <c r="B93" t="s">
        <v>180</v>
      </c>
      <c r="C93" s="1">
        <v>45319.484722222223</v>
      </c>
      <c r="D93">
        <v>0</v>
      </c>
      <c r="E93" s="2">
        <v>580</v>
      </c>
      <c r="F93" s="2">
        <v>1.8E-3</v>
      </c>
      <c r="G93" s="2">
        <v>5810</v>
      </c>
    </row>
    <row r="94" spans="1:7" x14ac:dyDescent="0.3">
      <c r="A94" t="s">
        <v>253</v>
      </c>
      <c r="B94" t="s">
        <v>180</v>
      </c>
      <c r="C94" s="1">
        <v>45319.651388888888</v>
      </c>
      <c r="D94">
        <v>0</v>
      </c>
      <c r="E94" s="2">
        <v>578</v>
      </c>
      <c r="F94" s="2">
        <v>0</v>
      </c>
      <c r="G94" s="2">
        <v>5810</v>
      </c>
    </row>
    <row r="95" spans="1:7" x14ac:dyDescent="0.3">
      <c r="A95" t="s">
        <v>254</v>
      </c>
      <c r="B95" t="s">
        <v>180</v>
      </c>
      <c r="C95" s="1">
        <v>45319.818055555559</v>
      </c>
      <c r="D95">
        <v>0</v>
      </c>
      <c r="E95" s="2">
        <v>582</v>
      </c>
      <c r="F95" s="2">
        <v>0</v>
      </c>
      <c r="G95" s="2">
        <v>5850</v>
      </c>
    </row>
    <row r="96" spans="1:7" x14ac:dyDescent="0.3">
      <c r="A96" t="s">
        <v>255</v>
      </c>
      <c r="B96" t="s">
        <v>180</v>
      </c>
      <c r="C96" s="1">
        <v>45319.984722222223</v>
      </c>
      <c r="D96">
        <v>0</v>
      </c>
      <c r="E96" s="2">
        <v>579</v>
      </c>
      <c r="F96" s="2">
        <v>0</v>
      </c>
      <c r="G96" s="2">
        <v>5880</v>
      </c>
    </row>
    <row r="97" spans="1:7" x14ac:dyDescent="0.3">
      <c r="A97" t="s">
        <v>256</v>
      </c>
      <c r="B97" t="s">
        <v>180</v>
      </c>
      <c r="C97" s="1">
        <v>45320.802083333336</v>
      </c>
      <c r="D97">
        <v>0</v>
      </c>
      <c r="E97" s="2">
        <v>552</v>
      </c>
      <c r="F97" s="2">
        <v>0</v>
      </c>
      <c r="G97" s="2">
        <v>6100</v>
      </c>
    </row>
    <row r="98" spans="1:7" x14ac:dyDescent="0.3">
      <c r="A98" t="s">
        <v>257</v>
      </c>
      <c r="B98" t="s">
        <v>180</v>
      </c>
      <c r="C98" s="1">
        <v>45321.09375</v>
      </c>
      <c r="D98">
        <v>0</v>
      </c>
      <c r="E98" s="2">
        <v>556</v>
      </c>
      <c r="F98" s="2">
        <v>1.5499999999999999E-3</v>
      </c>
      <c r="G98" s="2">
        <v>6100</v>
      </c>
    </row>
    <row r="99" spans="1:7" x14ac:dyDescent="0.3">
      <c r="A99" t="s">
        <v>258</v>
      </c>
      <c r="B99" t="s">
        <v>180</v>
      </c>
      <c r="C99" s="1">
        <v>45321.385416666664</v>
      </c>
      <c r="D99">
        <v>0</v>
      </c>
      <c r="E99" s="2">
        <v>554</v>
      </c>
      <c r="F99" s="2">
        <v>0</v>
      </c>
      <c r="G99" s="2">
        <v>6100</v>
      </c>
    </row>
    <row r="100" spans="1:7" x14ac:dyDescent="0.3">
      <c r="A100" t="s">
        <v>259</v>
      </c>
      <c r="B100" t="s">
        <v>180</v>
      </c>
      <c r="C100" s="1">
        <v>45321.604861111111</v>
      </c>
      <c r="D100">
        <v>0</v>
      </c>
      <c r="E100" s="2">
        <v>571</v>
      </c>
      <c r="F100" s="2">
        <v>2.0100000000000001E-3</v>
      </c>
      <c r="G100" s="2">
        <v>6110</v>
      </c>
    </row>
    <row r="101" spans="1:7" x14ac:dyDescent="0.3">
      <c r="A101" t="s">
        <v>260</v>
      </c>
      <c r="B101" t="s">
        <v>180</v>
      </c>
      <c r="C101" s="1">
        <v>45322.547222222223</v>
      </c>
      <c r="D101">
        <v>0</v>
      </c>
      <c r="E101" s="2">
        <v>572</v>
      </c>
      <c r="F101" s="2">
        <v>0</v>
      </c>
      <c r="G101" s="2">
        <v>6130</v>
      </c>
    </row>
    <row r="102" spans="1:7" x14ac:dyDescent="0.3">
      <c r="A102" t="s">
        <v>261</v>
      </c>
      <c r="B102" t="s">
        <v>180</v>
      </c>
      <c r="C102" s="1">
        <v>45322.681250000001</v>
      </c>
      <c r="D102">
        <v>0</v>
      </c>
      <c r="E102" s="2">
        <v>573</v>
      </c>
      <c r="F102" s="2">
        <v>0</v>
      </c>
      <c r="G102" s="2">
        <v>6120</v>
      </c>
    </row>
    <row r="103" spans="1:7" x14ac:dyDescent="0.3">
      <c r="A103" t="s">
        <v>262</v>
      </c>
      <c r="B103" t="s">
        <v>180</v>
      </c>
      <c r="C103" s="1">
        <v>45322.847916666666</v>
      </c>
      <c r="D103">
        <v>0</v>
      </c>
      <c r="E103" s="2">
        <v>570</v>
      </c>
      <c r="F103" s="2">
        <v>0</v>
      </c>
      <c r="G103" s="2">
        <v>6120</v>
      </c>
    </row>
    <row r="104" spans="1:7" x14ac:dyDescent="0.3">
      <c r="A104" t="s">
        <v>263</v>
      </c>
      <c r="B104" t="s">
        <v>180</v>
      </c>
      <c r="C104" s="1">
        <v>45323.036111111112</v>
      </c>
      <c r="D104">
        <v>0</v>
      </c>
      <c r="E104" s="2">
        <v>571</v>
      </c>
      <c r="F104" s="2">
        <v>0</v>
      </c>
      <c r="G104" s="2">
        <v>6110</v>
      </c>
    </row>
    <row r="105" spans="1:7" x14ac:dyDescent="0.3">
      <c r="A105" t="s">
        <v>264</v>
      </c>
      <c r="B105" t="s">
        <v>180</v>
      </c>
      <c r="C105" s="1">
        <v>45323.181250000001</v>
      </c>
      <c r="D105">
        <v>0</v>
      </c>
      <c r="E105" s="2">
        <v>571</v>
      </c>
      <c r="F105" s="2">
        <v>0</v>
      </c>
      <c r="G105" s="2">
        <v>6110</v>
      </c>
    </row>
    <row r="106" spans="1:7" x14ac:dyDescent="0.3">
      <c r="A106" t="s">
        <v>265</v>
      </c>
      <c r="B106" t="s">
        <v>180</v>
      </c>
      <c r="C106" s="1">
        <v>45323.356249999997</v>
      </c>
      <c r="D106">
        <v>0</v>
      </c>
      <c r="E106" s="2">
        <v>571</v>
      </c>
      <c r="F106" s="2">
        <v>0</v>
      </c>
      <c r="G106" s="2">
        <v>6110</v>
      </c>
    </row>
    <row r="107" spans="1:7" x14ac:dyDescent="0.3">
      <c r="A107" t="s">
        <v>266</v>
      </c>
      <c r="B107" t="s">
        <v>180</v>
      </c>
      <c r="C107" s="1">
        <v>45323.63958333333</v>
      </c>
      <c r="D107">
        <v>0</v>
      </c>
      <c r="E107" s="2">
        <v>572</v>
      </c>
      <c r="F107" s="2">
        <v>0</v>
      </c>
      <c r="G107" s="2">
        <v>6100</v>
      </c>
    </row>
    <row r="108" spans="1:7" x14ac:dyDescent="0.3">
      <c r="A108" t="s">
        <v>267</v>
      </c>
      <c r="B108" t="s">
        <v>180</v>
      </c>
      <c r="C108" s="1">
        <v>45323.940972222219</v>
      </c>
      <c r="D108">
        <v>0</v>
      </c>
      <c r="E108" s="2">
        <v>573</v>
      </c>
      <c r="F108" s="2">
        <v>0</v>
      </c>
      <c r="G108" s="2">
        <v>6100</v>
      </c>
    </row>
    <row r="109" spans="1:7" x14ac:dyDescent="0.3">
      <c r="A109" t="s">
        <v>268</v>
      </c>
      <c r="B109" t="s">
        <v>180</v>
      </c>
      <c r="C109" s="1">
        <v>45324.222916666666</v>
      </c>
      <c r="D109">
        <v>0</v>
      </c>
      <c r="E109" s="2">
        <v>570</v>
      </c>
      <c r="F109" s="2">
        <v>0</v>
      </c>
      <c r="G109" s="2">
        <v>6100</v>
      </c>
    </row>
    <row r="110" spans="1:7" x14ac:dyDescent="0.3">
      <c r="A110" t="s">
        <v>269</v>
      </c>
      <c r="B110" t="s">
        <v>180</v>
      </c>
      <c r="C110" s="1">
        <v>45324.521527777775</v>
      </c>
      <c r="D110">
        <v>0</v>
      </c>
      <c r="E110" s="2">
        <v>573</v>
      </c>
      <c r="F110" s="2">
        <v>0</v>
      </c>
      <c r="G110" s="2">
        <v>6100</v>
      </c>
    </row>
    <row r="111" spans="1:7" x14ac:dyDescent="0.3">
      <c r="A111" t="s">
        <v>270</v>
      </c>
      <c r="B111" t="s">
        <v>180</v>
      </c>
      <c r="C111" s="1">
        <v>45324.806250000001</v>
      </c>
      <c r="D111">
        <v>0</v>
      </c>
      <c r="E111" s="2">
        <v>571</v>
      </c>
      <c r="F111" s="2">
        <v>0</v>
      </c>
      <c r="G111" s="2">
        <v>6090</v>
      </c>
    </row>
    <row r="112" spans="1:7" x14ac:dyDescent="0.3">
      <c r="A112" t="s">
        <v>271</v>
      </c>
      <c r="B112" t="s">
        <v>180</v>
      </c>
      <c r="C112" s="1">
        <v>45325.097916666666</v>
      </c>
      <c r="D112">
        <v>0</v>
      </c>
      <c r="E112" s="2">
        <v>576</v>
      </c>
      <c r="F112" s="2">
        <v>0</v>
      </c>
      <c r="G112" s="2">
        <v>6100</v>
      </c>
    </row>
    <row r="113" spans="1:7" x14ac:dyDescent="0.3">
      <c r="A113" t="s">
        <v>272</v>
      </c>
      <c r="B113" t="s">
        <v>180</v>
      </c>
      <c r="C113" s="1">
        <v>45325.390277777777</v>
      </c>
      <c r="D113">
        <v>0</v>
      </c>
      <c r="E113" s="2">
        <v>572</v>
      </c>
      <c r="F113" s="2">
        <v>3.16E-3</v>
      </c>
      <c r="G113" s="2">
        <v>6100</v>
      </c>
    </row>
    <row r="114" spans="1:7" x14ac:dyDescent="0.3">
      <c r="A114" t="s">
        <v>273</v>
      </c>
      <c r="B114" t="s">
        <v>180</v>
      </c>
      <c r="C114" s="1">
        <v>45325.681250000001</v>
      </c>
      <c r="D114">
        <v>0</v>
      </c>
      <c r="E114" s="2">
        <v>576</v>
      </c>
      <c r="F114" s="2">
        <v>0</v>
      </c>
      <c r="G114" s="2">
        <v>6090</v>
      </c>
    </row>
    <row r="115" spans="1:7" x14ac:dyDescent="0.3">
      <c r="A115" t="s">
        <v>274</v>
      </c>
      <c r="B115" t="s">
        <v>180</v>
      </c>
      <c r="C115" s="1">
        <v>45325.972916666666</v>
      </c>
      <c r="D115">
        <v>0</v>
      </c>
      <c r="E115" s="2">
        <v>573</v>
      </c>
      <c r="F115" s="2">
        <v>0</v>
      </c>
      <c r="G115" s="2">
        <v>6090</v>
      </c>
    </row>
    <row r="116" spans="1:7" x14ac:dyDescent="0.3">
      <c r="A116" t="s">
        <v>275</v>
      </c>
      <c r="B116" t="s">
        <v>180</v>
      </c>
      <c r="C116" s="1">
        <v>45326.269444444442</v>
      </c>
      <c r="D116">
        <v>0</v>
      </c>
      <c r="E116" s="2">
        <v>574</v>
      </c>
      <c r="F116" s="2">
        <v>0</v>
      </c>
      <c r="G116" s="2">
        <v>6090</v>
      </c>
    </row>
    <row r="117" spans="1:7" x14ac:dyDescent="0.3">
      <c r="A117" t="s">
        <v>276</v>
      </c>
      <c r="B117" t="s">
        <v>180</v>
      </c>
      <c r="C117" s="1">
        <v>45326.556250000001</v>
      </c>
      <c r="D117">
        <v>0</v>
      </c>
      <c r="E117" s="2">
        <v>573</v>
      </c>
      <c r="F117" s="2">
        <v>0</v>
      </c>
      <c r="G117" s="2">
        <v>6080</v>
      </c>
    </row>
    <row r="118" spans="1:7" x14ac:dyDescent="0.3">
      <c r="A118" t="s">
        <v>277</v>
      </c>
      <c r="B118" t="s">
        <v>180</v>
      </c>
      <c r="C118" s="1">
        <v>45326.861805555556</v>
      </c>
      <c r="D118">
        <v>0</v>
      </c>
      <c r="E118" s="2">
        <v>578</v>
      </c>
      <c r="F118" s="2">
        <v>0</v>
      </c>
      <c r="G118" s="2">
        <v>6090</v>
      </c>
    </row>
    <row r="119" spans="1:7" x14ac:dyDescent="0.3">
      <c r="A119" t="s">
        <v>278</v>
      </c>
      <c r="B119" t="s">
        <v>180</v>
      </c>
      <c r="C119" s="1">
        <v>45327.13958333333</v>
      </c>
      <c r="D119">
        <v>0</v>
      </c>
      <c r="E119" s="2">
        <v>574</v>
      </c>
      <c r="F119" s="2">
        <v>3.16E-3</v>
      </c>
      <c r="G119" s="2">
        <v>6080</v>
      </c>
    </row>
    <row r="120" spans="1:7" x14ac:dyDescent="0.3">
      <c r="A120" t="s">
        <v>279</v>
      </c>
      <c r="B120" t="s">
        <v>180</v>
      </c>
      <c r="C120" s="1">
        <v>45327.436805555553</v>
      </c>
      <c r="D120">
        <v>0</v>
      </c>
      <c r="E120" s="2">
        <v>575</v>
      </c>
      <c r="F120" s="2">
        <v>0</v>
      </c>
      <c r="G120" s="2">
        <v>6080</v>
      </c>
    </row>
    <row r="121" spans="1:7" x14ac:dyDescent="0.3">
      <c r="A121" t="s">
        <v>280</v>
      </c>
      <c r="B121" t="s">
        <v>180</v>
      </c>
      <c r="C121" s="1">
        <v>45327.722916666666</v>
      </c>
      <c r="D121">
        <v>0</v>
      </c>
      <c r="E121" s="2">
        <v>572</v>
      </c>
      <c r="F121" s="2">
        <v>0</v>
      </c>
      <c r="G121" s="2">
        <v>6080</v>
      </c>
    </row>
    <row r="122" spans="1:7" x14ac:dyDescent="0.3">
      <c r="A122" t="s">
        <v>281</v>
      </c>
      <c r="B122" t="s">
        <v>180</v>
      </c>
      <c r="C122" s="1">
        <v>45328.01458333333</v>
      </c>
      <c r="D122">
        <v>0</v>
      </c>
      <c r="E122" s="2">
        <v>574</v>
      </c>
      <c r="F122" s="2">
        <v>0</v>
      </c>
      <c r="G122" s="2">
        <v>6070</v>
      </c>
    </row>
    <row r="123" spans="1:7" x14ac:dyDescent="0.3">
      <c r="A123" t="s">
        <v>282</v>
      </c>
      <c r="B123" t="s">
        <v>180</v>
      </c>
      <c r="C123" s="1">
        <v>45328.306250000001</v>
      </c>
      <c r="D123">
        <v>0</v>
      </c>
      <c r="E123" s="2">
        <v>574</v>
      </c>
      <c r="F123" s="2">
        <v>0</v>
      </c>
      <c r="G123" s="2">
        <v>6070</v>
      </c>
    </row>
    <row r="124" spans="1:7" x14ac:dyDescent="0.3">
      <c r="A124" t="s">
        <v>283</v>
      </c>
      <c r="B124" t="s">
        <v>180</v>
      </c>
      <c r="C124" s="1">
        <v>45328.597916666666</v>
      </c>
      <c r="D124">
        <v>0</v>
      </c>
      <c r="E124" s="2">
        <v>575</v>
      </c>
      <c r="F124" s="2">
        <v>2.48E-3</v>
      </c>
      <c r="G124" s="2">
        <v>6070</v>
      </c>
    </row>
    <row r="125" spans="1:7" x14ac:dyDescent="0.3">
      <c r="A125" t="s">
        <v>284</v>
      </c>
      <c r="B125" t="s">
        <v>180</v>
      </c>
      <c r="C125" s="1">
        <v>45328.88958333333</v>
      </c>
      <c r="D125">
        <v>0</v>
      </c>
      <c r="E125" s="2">
        <v>575</v>
      </c>
      <c r="F125" s="2">
        <v>0</v>
      </c>
      <c r="G125" s="2">
        <v>6070</v>
      </c>
    </row>
    <row r="126" spans="1:7" x14ac:dyDescent="0.3">
      <c r="A126" t="s">
        <v>285</v>
      </c>
      <c r="B126" t="s">
        <v>180</v>
      </c>
      <c r="C126" s="1">
        <v>45329.181250000001</v>
      </c>
      <c r="D126">
        <v>0</v>
      </c>
      <c r="E126" s="2">
        <v>573</v>
      </c>
      <c r="F126" s="2">
        <v>2.7599999999999999E-3</v>
      </c>
      <c r="G126" s="2">
        <v>6060</v>
      </c>
    </row>
    <row r="127" spans="1:7" x14ac:dyDescent="0.3">
      <c r="A127" t="s">
        <v>286</v>
      </c>
      <c r="B127" t="s">
        <v>180</v>
      </c>
      <c r="C127" s="1">
        <v>45329.472916666666</v>
      </c>
      <c r="D127">
        <v>0</v>
      </c>
      <c r="E127" s="2">
        <v>570</v>
      </c>
      <c r="F127" s="2">
        <v>0</v>
      </c>
      <c r="G127" s="2">
        <v>6060</v>
      </c>
    </row>
    <row r="128" spans="1:7" x14ac:dyDescent="0.3">
      <c r="A128" t="s">
        <v>287</v>
      </c>
      <c r="B128" t="s">
        <v>180</v>
      </c>
      <c r="C128" s="1">
        <v>45329.773611111108</v>
      </c>
      <c r="D128">
        <v>0</v>
      </c>
      <c r="E128" s="2">
        <v>571</v>
      </c>
      <c r="F128" s="2">
        <v>0</v>
      </c>
      <c r="G128" s="2">
        <v>6060</v>
      </c>
    </row>
    <row r="129" spans="1:7" x14ac:dyDescent="0.3">
      <c r="A129" t="s">
        <v>288</v>
      </c>
      <c r="B129" t="s">
        <v>180</v>
      </c>
      <c r="C129" s="1">
        <v>45330.056250000001</v>
      </c>
      <c r="D129">
        <v>0</v>
      </c>
      <c r="E129" s="2">
        <v>572</v>
      </c>
      <c r="F129" s="2">
        <v>0</v>
      </c>
      <c r="G129" s="2">
        <v>6050</v>
      </c>
    </row>
    <row r="130" spans="1:7" x14ac:dyDescent="0.3">
      <c r="A130" t="s">
        <v>289</v>
      </c>
      <c r="B130" t="s">
        <v>180</v>
      </c>
      <c r="C130" s="1">
        <v>45330.347916666666</v>
      </c>
      <c r="D130">
        <v>0</v>
      </c>
      <c r="E130" s="2">
        <v>574</v>
      </c>
      <c r="F130" s="2">
        <v>0</v>
      </c>
      <c r="G130" s="2">
        <v>6050</v>
      </c>
    </row>
    <row r="131" spans="1:7" x14ac:dyDescent="0.3">
      <c r="A131" t="s">
        <v>290</v>
      </c>
      <c r="B131" t="s">
        <v>180</v>
      </c>
      <c r="C131" s="1">
        <v>45330.63958333333</v>
      </c>
      <c r="D131">
        <v>0</v>
      </c>
      <c r="E131" s="2">
        <v>571</v>
      </c>
      <c r="F131" s="2">
        <v>0</v>
      </c>
      <c r="G131" s="2">
        <v>6050</v>
      </c>
    </row>
    <row r="132" spans="1:7" x14ac:dyDescent="0.3">
      <c r="A132" t="s">
        <v>291</v>
      </c>
      <c r="B132" t="s">
        <v>180</v>
      </c>
      <c r="C132" s="1">
        <v>45330.931250000001</v>
      </c>
      <c r="D132">
        <v>0</v>
      </c>
      <c r="E132" s="2">
        <v>513</v>
      </c>
      <c r="F132" s="2">
        <v>0</v>
      </c>
      <c r="G132" s="2">
        <v>5280</v>
      </c>
    </row>
    <row r="133" spans="1:7" x14ac:dyDescent="0.3">
      <c r="A133" t="s">
        <v>292</v>
      </c>
      <c r="B133" t="s">
        <v>180</v>
      </c>
      <c r="C133" s="1">
        <v>45331.222916666666</v>
      </c>
      <c r="D133">
        <v>0</v>
      </c>
      <c r="E133" s="2">
        <v>572</v>
      </c>
      <c r="F133" s="2">
        <v>0</v>
      </c>
      <c r="G133" s="2">
        <v>6040</v>
      </c>
    </row>
    <row r="134" spans="1:7" x14ac:dyDescent="0.3">
      <c r="A134" t="s">
        <v>293</v>
      </c>
      <c r="B134" t="s">
        <v>180</v>
      </c>
      <c r="C134" s="1">
        <v>45331.51458333333</v>
      </c>
      <c r="D134">
        <v>0</v>
      </c>
      <c r="E134" s="2">
        <v>577</v>
      </c>
      <c r="F134" s="2">
        <v>0</v>
      </c>
      <c r="G134" s="2">
        <v>6050</v>
      </c>
    </row>
    <row r="135" spans="1:7" x14ac:dyDescent="0.3">
      <c r="A135" t="s">
        <v>294</v>
      </c>
      <c r="B135" t="s">
        <v>180</v>
      </c>
      <c r="C135" s="1">
        <v>45331.806250000001</v>
      </c>
      <c r="D135">
        <v>0</v>
      </c>
      <c r="E135" s="2">
        <v>573</v>
      </c>
      <c r="F135" s="2">
        <v>0</v>
      </c>
      <c r="G135" s="2">
        <v>6030</v>
      </c>
    </row>
    <row r="136" spans="1:7" x14ac:dyDescent="0.3">
      <c r="A136" t="s">
        <v>295</v>
      </c>
      <c r="B136" t="s">
        <v>180</v>
      </c>
      <c r="C136" s="1">
        <v>45332.097916666666</v>
      </c>
      <c r="D136">
        <v>0</v>
      </c>
      <c r="E136" s="2">
        <v>581</v>
      </c>
      <c r="F136" s="2">
        <v>3.14E-3</v>
      </c>
      <c r="G136" s="2">
        <v>6050</v>
      </c>
    </row>
    <row r="137" spans="1:7" x14ac:dyDescent="0.3">
      <c r="A137" t="s">
        <v>296</v>
      </c>
      <c r="B137" t="s">
        <v>180</v>
      </c>
      <c r="C137" s="1">
        <v>45333.114583333336</v>
      </c>
      <c r="D137">
        <v>0</v>
      </c>
      <c r="E137" s="2">
        <v>575</v>
      </c>
      <c r="F137" s="2">
        <v>0</v>
      </c>
      <c r="G137" s="2">
        <v>6050</v>
      </c>
    </row>
    <row r="138" spans="1:7" x14ac:dyDescent="0.3">
      <c r="A138" t="s">
        <v>297</v>
      </c>
      <c r="B138" t="s">
        <v>180</v>
      </c>
      <c r="C138" s="1">
        <v>45333.40625</v>
      </c>
      <c r="D138">
        <v>0</v>
      </c>
      <c r="E138" s="2">
        <v>573</v>
      </c>
      <c r="F138" s="2">
        <v>2.9499999999999999E-3</v>
      </c>
      <c r="G138" s="2">
        <v>6040</v>
      </c>
    </row>
    <row r="139" spans="1:7" x14ac:dyDescent="0.3">
      <c r="A139" t="s">
        <v>298</v>
      </c>
      <c r="B139" t="s">
        <v>180</v>
      </c>
      <c r="C139" s="1">
        <v>45333.698611111111</v>
      </c>
      <c r="D139">
        <v>0</v>
      </c>
      <c r="E139" s="2">
        <v>573</v>
      </c>
      <c r="F139" s="2">
        <v>0</v>
      </c>
      <c r="G139" s="2">
        <v>6030</v>
      </c>
    </row>
    <row r="140" spans="1:7" x14ac:dyDescent="0.3">
      <c r="A140" t="s">
        <v>299</v>
      </c>
      <c r="B140" t="s">
        <v>180</v>
      </c>
      <c r="C140" s="1">
        <v>45333.989583333336</v>
      </c>
      <c r="D140">
        <v>0</v>
      </c>
      <c r="E140" s="2">
        <v>570</v>
      </c>
      <c r="F140" s="2">
        <v>5.2399999999999999E-3</v>
      </c>
      <c r="G140" s="2">
        <v>6030</v>
      </c>
    </row>
    <row r="141" spans="1:7" x14ac:dyDescent="0.3">
      <c r="A141" t="s">
        <v>300</v>
      </c>
      <c r="B141" t="s">
        <v>180</v>
      </c>
      <c r="C141" s="1">
        <v>45334.28125</v>
      </c>
      <c r="D141">
        <v>0</v>
      </c>
      <c r="E141" s="2">
        <v>570</v>
      </c>
      <c r="F141" s="2">
        <v>1.5900000000000001E-3</v>
      </c>
      <c r="G141" s="2">
        <v>6030</v>
      </c>
    </row>
    <row r="142" spans="1:7" x14ac:dyDescent="0.3">
      <c r="A142" t="s">
        <v>301</v>
      </c>
      <c r="B142" t="s">
        <v>180</v>
      </c>
      <c r="C142" s="1">
        <v>45334.572916666664</v>
      </c>
      <c r="D142">
        <v>0</v>
      </c>
      <c r="E142" s="2">
        <v>571</v>
      </c>
      <c r="F142" s="2">
        <v>0</v>
      </c>
      <c r="G142" s="2">
        <v>6020</v>
      </c>
    </row>
    <row r="143" spans="1:7" x14ac:dyDescent="0.3">
      <c r="A143" t="s">
        <v>302</v>
      </c>
      <c r="B143" t="s">
        <v>180</v>
      </c>
      <c r="C143" s="1">
        <v>45334.864583333336</v>
      </c>
      <c r="D143">
        <v>0</v>
      </c>
      <c r="E143" s="2">
        <v>575</v>
      </c>
      <c r="F143" s="2">
        <v>0</v>
      </c>
      <c r="G143" s="2">
        <v>6030</v>
      </c>
    </row>
    <row r="144" spans="1:7" x14ac:dyDescent="0.3">
      <c r="A144" t="s">
        <v>303</v>
      </c>
      <c r="B144" t="s">
        <v>180</v>
      </c>
      <c r="C144" s="1">
        <v>45335.15625</v>
      </c>
      <c r="D144">
        <v>0</v>
      </c>
      <c r="E144" s="2">
        <v>570</v>
      </c>
      <c r="F144" s="2">
        <v>0</v>
      </c>
      <c r="G144" s="2">
        <v>6020</v>
      </c>
    </row>
    <row r="145" spans="1:7" x14ac:dyDescent="0.3">
      <c r="A145" t="s">
        <v>304</v>
      </c>
      <c r="B145" t="s">
        <v>180</v>
      </c>
      <c r="C145" s="1">
        <v>45335.447916666664</v>
      </c>
      <c r="D145">
        <v>0</v>
      </c>
      <c r="E145" s="2">
        <v>572</v>
      </c>
      <c r="F145" s="2">
        <v>0</v>
      </c>
      <c r="G145" s="2">
        <v>6020</v>
      </c>
    </row>
    <row r="146" spans="1:7" x14ac:dyDescent="0.3">
      <c r="A146" t="s">
        <v>305</v>
      </c>
      <c r="B146" t="s">
        <v>180</v>
      </c>
      <c r="C146" s="1">
        <v>45335.84652777778</v>
      </c>
      <c r="D146">
        <v>0</v>
      </c>
      <c r="E146" s="2">
        <v>587</v>
      </c>
      <c r="F146" s="2">
        <v>0</v>
      </c>
      <c r="G146" s="2">
        <v>6040</v>
      </c>
    </row>
    <row r="147" spans="1:7" x14ac:dyDescent="0.3">
      <c r="A147" t="s">
        <v>306</v>
      </c>
      <c r="B147" t="s">
        <v>180</v>
      </c>
      <c r="C147" s="1">
        <v>45336.138888888891</v>
      </c>
      <c r="D147">
        <v>0</v>
      </c>
      <c r="E147" s="2">
        <v>598</v>
      </c>
      <c r="F147" s="2">
        <v>3.8300000000000001E-3</v>
      </c>
      <c r="G147" s="2">
        <v>6020</v>
      </c>
    </row>
    <row r="148" spans="1:7" x14ac:dyDescent="0.3">
      <c r="A148" t="s">
        <v>307</v>
      </c>
      <c r="B148" t="s">
        <v>180</v>
      </c>
      <c r="C148" s="1">
        <v>45336.443055555559</v>
      </c>
      <c r="D148">
        <v>0</v>
      </c>
      <c r="E148" s="2">
        <v>595</v>
      </c>
      <c r="F148" s="2">
        <v>0</v>
      </c>
      <c r="G148" s="2">
        <v>6010</v>
      </c>
    </row>
    <row r="149" spans="1:7" x14ac:dyDescent="0.3">
      <c r="A149" t="s">
        <v>308</v>
      </c>
      <c r="B149" t="s">
        <v>180</v>
      </c>
      <c r="C149" s="1">
        <v>45336.719444444447</v>
      </c>
      <c r="D149">
        <v>0</v>
      </c>
      <c r="E149" s="2">
        <v>588</v>
      </c>
      <c r="F149" s="2">
        <v>0</v>
      </c>
      <c r="G149" s="2">
        <v>6010</v>
      </c>
    </row>
    <row r="150" spans="1:7" x14ac:dyDescent="0.3">
      <c r="A150" t="s">
        <v>309</v>
      </c>
      <c r="B150" t="s">
        <v>180</v>
      </c>
      <c r="C150" s="1">
        <v>45337.001388888886</v>
      </c>
      <c r="D150">
        <v>0</v>
      </c>
      <c r="E150" s="2">
        <v>566</v>
      </c>
      <c r="F150" s="2">
        <v>0</v>
      </c>
      <c r="G150" s="2">
        <v>5990</v>
      </c>
    </row>
    <row r="151" spans="1:7" x14ac:dyDescent="0.3">
      <c r="A151" t="s">
        <v>310</v>
      </c>
      <c r="B151" t="s">
        <v>180</v>
      </c>
      <c r="C151" s="1">
        <v>45337.293055555558</v>
      </c>
      <c r="D151">
        <v>0</v>
      </c>
      <c r="E151" s="2">
        <v>565</v>
      </c>
      <c r="F151" s="2">
        <v>4.1700000000000001E-3</v>
      </c>
      <c r="G151" s="2">
        <v>5980</v>
      </c>
    </row>
    <row r="152" spans="1:7" x14ac:dyDescent="0.3">
      <c r="A152" t="s">
        <v>311</v>
      </c>
      <c r="B152" t="s">
        <v>180</v>
      </c>
      <c r="C152" s="1">
        <v>45337.591666666667</v>
      </c>
      <c r="D152">
        <v>0</v>
      </c>
      <c r="E152" s="2">
        <v>562</v>
      </c>
      <c r="F152" s="2">
        <v>5.5199999999999997E-3</v>
      </c>
      <c r="G152" s="2">
        <v>5980</v>
      </c>
    </row>
    <row r="153" spans="1:7" x14ac:dyDescent="0.3">
      <c r="A153" t="s">
        <v>312</v>
      </c>
      <c r="B153" t="s">
        <v>180</v>
      </c>
      <c r="C153" s="1">
        <v>45337.876388888886</v>
      </c>
      <c r="D153">
        <v>0</v>
      </c>
      <c r="E153" s="2">
        <v>584</v>
      </c>
      <c r="F153" s="2">
        <v>1.9300000000000001E-3</v>
      </c>
      <c r="G153" s="2">
        <v>6010</v>
      </c>
    </row>
    <row r="154" spans="1:7" x14ac:dyDescent="0.3">
      <c r="A154" t="s">
        <v>313</v>
      </c>
      <c r="B154" t="s">
        <v>180</v>
      </c>
      <c r="C154" s="1">
        <v>45338.168055555558</v>
      </c>
      <c r="D154">
        <v>0</v>
      </c>
      <c r="E154" s="2">
        <v>567</v>
      </c>
      <c r="F154" s="2">
        <v>3.65E-3</v>
      </c>
      <c r="G154" s="2">
        <v>5990</v>
      </c>
    </row>
    <row r="155" spans="1:7" x14ac:dyDescent="0.3">
      <c r="A155" t="s">
        <v>314</v>
      </c>
      <c r="B155" t="s">
        <v>180</v>
      </c>
      <c r="C155" s="1">
        <v>45338.459722222222</v>
      </c>
      <c r="D155">
        <v>0</v>
      </c>
      <c r="E155" s="2">
        <v>566</v>
      </c>
      <c r="F155" s="2">
        <v>0</v>
      </c>
      <c r="G155" s="2">
        <v>5980</v>
      </c>
    </row>
    <row r="156" spans="1:7" x14ac:dyDescent="0.3">
      <c r="A156" t="s">
        <v>315</v>
      </c>
      <c r="B156" t="s">
        <v>180</v>
      </c>
      <c r="C156" s="1">
        <v>45338.759722222225</v>
      </c>
      <c r="D156">
        <v>0</v>
      </c>
      <c r="E156" s="2">
        <v>570</v>
      </c>
      <c r="F156" s="2">
        <v>0</v>
      </c>
      <c r="G156" s="2">
        <v>5990</v>
      </c>
    </row>
    <row r="157" spans="1:7" x14ac:dyDescent="0.3">
      <c r="A157" t="s">
        <v>316</v>
      </c>
      <c r="B157" t="s">
        <v>180</v>
      </c>
      <c r="C157" s="1">
        <v>45339.051388888889</v>
      </c>
      <c r="D157">
        <v>0</v>
      </c>
      <c r="E157" s="2">
        <v>566</v>
      </c>
      <c r="F157" s="2">
        <v>0</v>
      </c>
      <c r="G157" s="2">
        <v>5980</v>
      </c>
    </row>
    <row r="158" spans="1:7" x14ac:dyDescent="0.3">
      <c r="A158" t="s">
        <v>317</v>
      </c>
      <c r="B158" t="s">
        <v>180</v>
      </c>
      <c r="C158" s="1">
        <v>45339.343055555553</v>
      </c>
      <c r="D158">
        <v>0</v>
      </c>
      <c r="E158" s="2">
        <v>566</v>
      </c>
      <c r="F158" s="2">
        <v>0</v>
      </c>
      <c r="G158" s="2">
        <v>5970</v>
      </c>
    </row>
    <row r="159" spans="1:7" x14ac:dyDescent="0.3">
      <c r="A159" t="s">
        <v>318</v>
      </c>
      <c r="B159" t="s">
        <v>180</v>
      </c>
      <c r="C159" s="1">
        <v>45339.634722222225</v>
      </c>
      <c r="D159">
        <v>0</v>
      </c>
      <c r="E159" s="2">
        <v>567</v>
      </c>
      <c r="F159" s="2">
        <v>3.0400000000000002E-3</v>
      </c>
      <c r="G159" s="2">
        <v>5970</v>
      </c>
    </row>
    <row r="160" spans="1:7" x14ac:dyDescent="0.3">
      <c r="A160" t="s">
        <v>319</v>
      </c>
      <c r="B160" t="s">
        <v>180</v>
      </c>
      <c r="C160" s="1">
        <v>45339.926388888889</v>
      </c>
      <c r="D160">
        <v>0</v>
      </c>
      <c r="E160" s="2">
        <v>565</v>
      </c>
      <c r="F160" s="2">
        <v>0</v>
      </c>
      <c r="G160" s="2">
        <v>5970</v>
      </c>
    </row>
    <row r="161" spans="1:7" x14ac:dyDescent="0.3">
      <c r="A161" t="s">
        <v>320</v>
      </c>
      <c r="B161" t="s">
        <v>180</v>
      </c>
      <c r="C161" s="1">
        <v>45340.218055555553</v>
      </c>
      <c r="D161">
        <v>0</v>
      </c>
      <c r="E161" s="2">
        <v>561</v>
      </c>
      <c r="F161" s="2">
        <v>0</v>
      </c>
      <c r="G161" s="2">
        <v>5960</v>
      </c>
    </row>
    <row r="162" spans="1:7" x14ac:dyDescent="0.3">
      <c r="A162" t="s">
        <v>321</v>
      </c>
      <c r="B162" t="s">
        <v>180</v>
      </c>
      <c r="C162" s="1">
        <v>45340.509722222225</v>
      </c>
      <c r="D162">
        <v>0</v>
      </c>
      <c r="E162" s="2">
        <v>563</v>
      </c>
      <c r="F162" s="2">
        <v>0</v>
      </c>
      <c r="G162" s="2">
        <v>5970</v>
      </c>
    </row>
    <row r="163" spans="1:7" x14ac:dyDescent="0.3">
      <c r="A163" t="s">
        <v>322</v>
      </c>
      <c r="B163" t="s">
        <v>180</v>
      </c>
      <c r="C163" s="1">
        <v>45340.801388888889</v>
      </c>
      <c r="D163">
        <v>0</v>
      </c>
      <c r="E163" s="2">
        <v>562</v>
      </c>
      <c r="F163" s="2">
        <v>0</v>
      </c>
      <c r="G163" s="2">
        <v>5960</v>
      </c>
    </row>
    <row r="164" spans="1:7" x14ac:dyDescent="0.3">
      <c r="A164" t="s">
        <v>323</v>
      </c>
      <c r="B164" t="s">
        <v>180</v>
      </c>
      <c r="C164" s="1">
        <v>45341.093055555553</v>
      </c>
      <c r="D164">
        <v>0</v>
      </c>
      <c r="E164" s="2">
        <v>561</v>
      </c>
      <c r="F164" s="2">
        <v>0</v>
      </c>
      <c r="G164" s="2">
        <v>5960</v>
      </c>
    </row>
    <row r="165" spans="1:7" x14ac:dyDescent="0.3">
      <c r="A165" t="s">
        <v>324</v>
      </c>
      <c r="B165" t="s">
        <v>180</v>
      </c>
      <c r="C165" s="1">
        <v>45341.390277777777</v>
      </c>
      <c r="D165">
        <v>0</v>
      </c>
      <c r="E165" s="2">
        <v>564</v>
      </c>
      <c r="F165" s="2">
        <v>2.5100000000000001E-3</v>
      </c>
      <c r="G165" s="2">
        <v>5960</v>
      </c>
    </row>
    <row r="166" spans="1:7" x14ac:dyDescent="0.3">
      <c r="A166" t="s">
        <v>325</v>
      </c>
      <c r="B166" t="s">
        <v>180</v>
      </c>
      <c r="C166" s="1">
        <v>45341.676388888889</v>
      </c>
      <c r="D166">
        <v>0</v>
      </c>
      <c r="E166" s="2">
        <v>564</v>
      </c>
      <c r="F166" s="2">
        <v>0</v>
      </c>
      <c r="G166" s="2">
        <v>5950</v>
      </c>
    </row>
    <row r="167" spans="1:7" x14ac:dyDescent="0.3">
      <c r="A167" t="s">
        <v>326</v>
      </c>
      <c r="B167" t="s">
        <v>180</v>
      </c>
      <c r="C167" s="1">
        <v>45341.974305555559</v>
      </c>
      <c r="D167">
        <v>0</v>
      </c>
      <c r="E167" s="2">
        <v>563</v>
      </c>
      <c r="F167" s="2">
        <v>0</v>
      </c>
      <c r="G167" s="2">
        <v>5960</v>
      </c>
    </row>
    <row r="168" spans="1:7" x14ac:dyDescent="0.3">
      <c r="A168" t="s">
        <v>327</v>
      </c>
      <c r="B168" t="s">
        <v>180</v>
      </c>
      <c r="C168" s="1">
        <v>45342.259722222225</v>
      </c>
      <c r="D168">
        <v>0</v>
      </c>
      <c r="E168" s="2">
        <v>565</v>
      </c>
      <c r="F168" s="2">
        <v>0</v>
      </c>
      <c r="G168" s="2">
        <v>5950</v>
      </c>
    </row>
    <row r="169" spans="1:7" x14ac:dyDescent="0.3">
      <c r="A169" t="s">
        <v>328</v>
      </c>
      <c r="B169" t="s">
        <v>180</v>
      </c>
      <c r="C169" s="1">
        <v>45342.551388888889</v>
      </c>
      <c r="D169">
        <v>0</v>
      </c>
      <c r="E169" s="2">
        <v>565</v>
      </c>
      <c r="F169" s="2">
        <v>0</v>
      </c>
      <c r="G169" s="2">
        <v>5950</v>
      </c>
    </row>
    <row r="170" spans="1:7" x14ac:dyDescent="0.3">
      <c r="A170" t="s">
        <v>329</v>
      </c>
      <c r="B170" t="s">
        <v>180</v>
      </c>
      <c r="C170" s="1">
        <v>45342.968055555553</v>
      </c>
      <c r="D170">
        <v>0</v>
      </c>
      <c r="E170" s="2">
        <v>562</v>
      </c>
      <c r="F170" s="2">
        <v>0</v>
      </c>
      <c r="G170" s="2">
        <v>5950</v>
      </c>
    </row>
    <row r="171" spans="1:7" x14ac:dyDescent="0.3">
      <c r="A171" t="s">
        <v>330</v>
      </c>
      <c r="B171" t="s">
        <v>180</v>
      </c>
      <c r="C171" s="1">
        <v>45343.178472222222</v>
      </c>
      <c r="D171">
        <v>0</v>
      </c>
      <c r="E171" s="2">
        <v>564</v>
      </c>
      <c r="F171" s="2">
        <v>0</v>
      </c>
      <c r="G171" s="2">
        <v>5950</v>
      </c>
    </row>
    <row r="172" spans="1:7" x14ac:dyDescent="0.3">
      <c r="A172" t="s">
        <v>331</v>
      </c>
      <c r="B172" t="s">
        <v>180</v>
      </c>
      <c r="C172" s="1">
        <v>45343.399305555555</v>
      </c>
      <c r="D172">
        <v>0</v>
      </c>
      <c r="E172" s="2">
        <v>566</v>
      </c>
      <c r="F172" s="2">
        <v>0</v>
      </c>
      <c r="G172" s="2">
        <v>5960</v>
      </c>
    </row>
    <row r="173" spans="1:7" x14ac:dyDescent="0.3">
      <c r="A173" t="s">
        <v>332</v>
      </c>
      <c r="B173" t="s">
        <v>180</v>
      </c>
      <c r="C173" s="1">
        <v>45343.684027777781</v>
      </c>
      <c r="D173">
        <v>0</v>
      </c>
      <c r="E173" s="2">
        <v>566</v>
      </c>
      <c r="F173" s="2">
        <v>0</v>
      </c>
      <c r="G173" s="2">
        <v>5950</v>
      </c>
    </row>
    <row r="174" spans="1:7" x14ac:dyDescent="0.3">
      <c r="A174" t="s">
        <v>333</v>
      </c>
      <c r="B174" t="s">
        <v>180</v>
      </c>
      <c r="C174" s="1">
        <v>45343.867361111108</v>
      </c>
      <c r="D174">
        <v>0</v>
      </c>
      <c r="E174" s="2">
        <v>568</v>
      </c>
      <c r="F174" s="2">
        <v>0</v>
      </c>
      <c r="G174" s="2">
        <v>5950</v>
      </c>
    </row>
    <row r="175" spans="1:7" x14ac:dyDescent="0.3">
      <c r="A175" t="s">
        <v>334</v>
      </c>
      <c r="B175" t="s">
        <v>180</v>
      </c>
      <c r="C175" s="1">
        <v>45344.072222222225</v>
      </c>
      <c r="D175">
        <v>0</v>
      </c>
      <c r="E175" s="2">
        <v>563</v>
      </c>
      <c r="F175" s="2">
        <v>0</v>
      </c>
      <c r="G175" s="2">
        <v>5940</v>
      </c>
    </row>
    <row r="176" spans="1:7" x14ac:dyDescent="0.3">
      <c r="A176" t="s">
        <v>335</v>
      </c>
      <c r="B176" t="s">
        <v>180</v>
      </c>
      <c r="C176" s="1">
        <v>45344.301388888889</v>
      </c>
      <c r="D176">
        <v>0</v>
      </c>
      <c r="E176" s="2">
        <v>566</v>
      </c>
      <c r="F176" s="2">
        <v>2.5799999999999998E-3</v>
      </c>
      <c r="G176" s="2">
        <v>5930</v>
      </c>
    </row>
    <row r="177" spans="1:7" x14ac:dyDescent="0.3">
      <c r="A177" t="s">
        <v>336</v>
      </c>
      <c r="B177" t="s">
        <v>180</v>
      </c>
      <c r="C177" s="1">
        <v>45344.546527777777</v>
      </c>
      <c r="D177">
        <v>0</v>
      </c>
      <c r="E177" s="2">
        <v>567</v>
      </c>
      <c r="F177" s="2">
        <v>0</v>
      </c>
      <c r="G177" s="2">
        <v>5940</v>
      </c>
    </row>
    <row r="178" spans="1:7" x14ac:dyDescent="0.3">
      <c r="A178" t="s">
        <v>337</v>
      </c>
      <c r="B178" t="s">
        <v>180</v>
      </c>
      <c r="C178" s="1">
        <v>45344.759722222225</v>
      </c>
      <c r="D178">
        <v>0</v>
      </c>
      <c r="E178" s="2">
        <v>568</v>
      </c>
      <c r="F178" s="2">
        <v>0</v>
      </c>
      <c r="G178" s="2">
        <v>5930</v>
      </c>
    </row>
    <row r="179" spans="1:7" x14ac:dyDescent="0.3">
      <c r="A179" t="s">
        <v>338</v>
      </c>
      <c r="B179" t="s">
        <v>180</v>
      </c>
      <c r="C179" s="1">
        <v>45344.988888888889</v>
      </c>
      <c r="D179">
        <v>0</v>
      </c>
      <c r="E179" s="2">
        <v>567</v>
      </c>
      <c r="F179" s="2">
        <v>0</v>
      </c>
      <c r="G179" s="2">
        <v>5920</v>
      </c>
    </row>
    <row r="180" spans="1:7" x14ac:dyDescent="0.3">
      <c r="A180" t="s">
        <v>339</v>
      </c>
      <c r="B180" t="s">
        <v>180</v>
      </c>
      <c r="C180" s="1">
        <v>45345.218055555553</v>
      </c>
      <c r="D180">
        <v>0</v>
      </c>
      <c r="E180" s="2">
        <v>564</v>
      </c>
      <c r="F180" s="2">
        <v>0</v>
      </c>
      <c r="G180" s="2">
        <v>5920</v>
      </c>
    </row>
    <row r="181" spans="1:7" x14ac:dyDescent="0.3">
      <c r="A181" t="s">
        <v>340</v>
      </c>
      <c r="B181" t="s">
        <v>180</v>
      </c>
      <c r="C181" s="1">
        <v>45345.449305555558</v>
      </c>
      <c r="D181">
        <v>0</v>
      </c>
      <c r="E181" s="2">
        <v>564</v>
      </c>
      <c r="F181" s="2">
        <v>0</v>
      </c>
      <c r="G181" s="2">
        <v>5930</v>
      </c>
    </row>
    <row r="182" spans="1:7" x14ac:dyDescent="0.3">
      <c r="A182" t="s">
        <v>341</v>
      </c>
      <c r="B182" t="s">
        <v>180</v>
      </c>
      <c r="C182" s="1">
        <v>45345.719444444447</v>
      </c>
      <c r="D182">
        <v>0</v>
      </c>
      <c r="E182" s="2">
        <v>566</v>
      </c>
      <c r="F182" s="2">
        <v>0</v>
      </c>
      <c r="G182" s="2">
        <v>5920</v>
      </c>
    </row>
    <row r="183" spans="1:7" x14ac:dyDescent="0.3">
      <c r="A183" t="s">
        <v>342</v>
      </c>
      <c r="B183" t="s">
        <v>180</v>
      </c>
      <c r="C183" s="1">
        <v>45345.947222222225</v>
      </c>
      <c r="D183">
        <v>0</v>
      </c>
      <c r="E183" s="2">
        <v>565</v>
      </c>
      <c r="F183" s="2">
        <v>0</v>
      </c>
      <c r="G183" s="2">
        <v>5910</v>
      </c>
    </row>
    <row r="184" spans="1:7" x14ac:dyDescent="0.3">
      <c r="A184" t="s">
        <v>343</v>
      </c>
      <c r="B184" t="s">
        <v>180</v>
      </c>
      <c r="C184" s="1">
        <v>45346.197222222225</v>
      </c>
      <c r="D184">
        <v>0</v>
      </c>
      <c r="E184" s="2">
        <v>565</v>
      </c>
      <c r="F184" s="2">
        <v>0</v>
      </c>
      <c r="G184" s="2">
        <v>5910</v>
      </c>
    </row>
    <row r="185" spans="1:7" x14ac:dyDescent="0.3">
      <c r="A185" t="s">
        <v>344</v>
      </c>
      <c r="B185" t="s">
        <v>180</v>
      </c>
      <c r="C185" s="1">
        <v>45346.447222222225</v>
      </c>
      <c r="D185">
        <v>0</v>
      </c>
      <c r="E185" s="2">
        <v>566</v>
      </c>
      <c r="F185" s="2">
        <v>0</v>
      </c>
      <c r="G185" s="2">
        <v>5910</v>
      </c>
    </row>
    <row r="186" spans="1:7" x14ac:dyDescent="0.3">
      <c r="A186" t="s">
        <v>345</v>
      </c>
      <c r="B186" t="s">
        <v>180</v>
      </c>
      <c r="C186" s="1">
        <v>45346.697222222225</v>
      </c>
      <c r="D186">
        <v>0</v>
      </c>
      <c r="E186" s="2">
        <v>567</v>
      </c>
      <c r="F186" s="2">
        <v>0</v>
      </c>
      <c r="G186" s="2">
        <v>5910</v>
      </c>
    </row>
    <row r="187" spans="1:7" x14ac:dyDescent="0.3">
      <c r="A187" t="s">
        <v>346</v>
      </c>
      <c r="B187" t="s">
        <v>180</v>
      </c>
      <c r="C187" s="1">
        <v>45346.947222222225</v>
      </c>
      <c r="D187">
        <v>0</v>
      </c>
      <c r="E187" s="2">
        <v>560</v>
      </c>
      <c r="F187" s="2">
        <v>3.3899999999999998E-3</v>
      </c>
      <c r="G187" s="2">
        <v>5910</v>
      </c>
    </row>
    <row r="188" spans="1:7" x14ac:dyDescent="0.3">
      <c r="A188" t="s">
        <v>347</v>
      </c>
      <c r="B188" t="s">
        <v>180</v>
      </c>
      <c r="C188" s="1">
        <v>45347.197916666664</v>
      </c>
      <c r="D188">
        <v>0</v>
      </c>
      <c r="E188" s="2">
        <v>567</v>
      </c>
      <c r="F188" s="2">
        <v>0</v>
      </c>
      <c r="G188" s="2">
        <v>5920</v>
      </c>
    </row>
    <row r="189" spans="1:7" x14ac:dyDescent="0.3">
      <c r="A189" t="s">
        <v>348</v>
      </c>
      <c r="B189" t="s">
        <v>180</v>
      </c>
      <c r="C189" s="1">
        <v>45347.447916666664</v>
      </c>
      <c r="D189">
        <v>0</v>
      </c>
      <c r="E189" s="2">
        <v>592</v>
      </c>
      <c r="F189" s="2">
        <v>0</v>
      </c>
      <c r="G189" s="2">
        <v>5960</v>
      </c>
    </row>
    <row r="190" spans="1:7" x14ac:dyDescent="0.3">
      <c r="A190" t="s">
        <v>349</v>
      </c>
      <c r="B190" t="s">
        <v>180</v>
      </c>
      <c r="C190" s="1">
        <v>45347.697222222225</v>
      </c>
      <c r="D190">
        <v>0</v>
      </c>
      <c r="E190" s="2">
        <v>571</v>
      </c>
      <c r="F190" s="2">
        <v>3.3400000000000001E-3</v>
      </c>
      <c r="G190" s="2">
        <v>5930</v>
      </c>
    </row>
    <row r="191" spans="1:7" x14ac:dyDescent="0.3">
      <c r="A191" t="s">
        <v>350</v>
      </c>
      <c r="B191" t="s">
        <v>180</v>
      </c>
      <c r="C191" s="1">
        <v>45347.947916666664</v>
      </c>
      <c r="D191">
        <v>0</v>
      </c>
      <c r="E191" s="2">
        <v>570</v>
      </c>
      <c r="F191" s="2">
        <v>0</v>
      </c>
      <c r="G191" s="2">
        <v>5930</v>
      </c>
    </row>
    <row r="192" spans="1:7" x14ac:dyDescent="0.3">
      <c r="A192" t="s">
        <v>351</v>
      </c>
      <c r="B192" t="s">
        <v>180</v>
      </c>
      <c r="C192" s="1">
        <v>45348.20208333333</v>
      </c>
      <c r="D192">
        <v>0</v>
      </c>
      <c r="E192" s="2">
        <v>572</v>
      </c>
      <c r="F192" s="2">
        <v>0</v>
      </c>
      <c r="G192" s="2">
        <v>5930</v>
      </c>
    </row>
    <row r="193" spans="1:7" x14ac:dyDescent="0.3">
      <c r="A193" t="s">
        <v>352</v>
      </c>
      <c r="B193" t="s">
        <v>180</v>
      </c>
      <c r="C193" s="1">
        <v>45348.447916666664</v>
      </c>
      <c r="D193">
        <v>0</v>
      </c>
      <c r="E193" s="2">
        <v>571</v>
      </c>
      <c r="F193" s="2">
        <v>0</v>
      </c>
      <c r="G193" s="2">
        <v>5910</v>
      </c>
    </row>
    <row r="194" spans="1:7" x14ac:dyDescent="0.3">
      <c r="A194" t="s">
        <v>353</v>
      </c>
      <c r="B194" t="s">
        <v>180</v>
      </c>
      <c r="C194" s="1">
        <v>45348.697916666664</v>
      </c>
      <c r="D194">
        <v>0</v>
      </c>
      <c r="E194" s="2">
        <v>567</v>
      </c>
      <c r="F194" s="2">
        <v>0</v>
      </c>
      <c r="G194" s="2">
        <v>5900</v>
      </c>
    </row>
    <row r="195" spans="1:7" x14ac:dyDescent="0.3">
      <c r="A195" t="s">
        <v>354</v>
      </c>
      <c r="B195" t="s">
        <v>180</v>
      </c>
      <c r="C195" s="1">
        <v>45349.132638888892</v>
      </c>
      <c r="D195">
        <v>0</v>
      </c>
      <c r="E195" s="2">
        <v>566</v>
      </c>
      <c r="F195" s="2">
        <v>0</v>
      </c>
      <c r="G195" s="2">
        <v>5890</v>
      </c>
    </row>
    <row r="196" spans="1:7" x14ac:dyDescent="0.3">
      <c r="A196" t="s">
        <v>355</v>
      </c>
      <c r="B196" t="s">
        <v>180</v>
      </c>
      <c r="C196" s="1">
        <v>45349.384027777778</v>
      </c>
      <c r="D196">
        <v>0</v>
      </c>
      <c r="E196" s="2">
        <v>565</v>
      </c>
      <c r="F196" s="2">
        <v>0</v>
      </c>
      <c r="G196" s="2">
        <v>5890</v>
      </c>
    </row>
    <row r="197" spans="1:7" x14ac:dyDescent="0.3">
      <c r="A197" t="s">
        <v>356</v>
      </c>
      <c r="B197" t="s">
        <v>180</v>
      </c>
      <c r="C197" s="1">
        <v>45349.632638888892</v>
      </c>
      <c r="D197">
        <v>0</v>
      </c>
      <c r="E197" s="2">
        <v>566</v>
      </c>
      <c r="F197" s="2">
        <v>0</v>
      </c>
      <c r="G197" s="2">
        <v>5880</v>
      </c>
    </row>
    <row r="198" spans="1:7" x14ac:dyDescent="0.3">
      <c r="A198" t="s">
        <v>357</v>
      </c>
      <c r="B198" t="s">
        <v>180</v>
      </c>
      <c r="C198" s="1">
        <v>45349.974999999999</v>
      </c>
      <c r="D198">
        <v>0</v>
      </c>
      <c r="E198" s="2">
        <v>563</v>
      </c>
      <c r="F198" s="2">
        <v>0</v>
      </c>
      <c r="G198" s="2">
        <v>5880</v>
      </c>
    </row>
    <row r="199" spans="1:7" x14ac:dyDescent="0.3">
      <c r="A199" t="s">
        <v>358</v>
      </c>
      <c r="B199" t="s">
        <v>180</v>
      </c>
      <c r="C199" s="1">
        <v>45350.299305555556</v>
      </c>
      <c r="D199">
        <v>0</v>
      </c>
      <c r="E199" s="2">
        <v>565</v>
      </c>
      <c r="F199" s="2">
        <v>0</v>
      </c>
      <c r="G199" s="2">
        <v>5870</v>
      </c>
    </row>
    <row r="200" spans="1:7" x14ac:dyDescent="0.3">
      <c r="A200" t="s">
        <v>359</v>
      </c>
      <c r="B200" t="s">
        <v>180</v>
      </c>
      <c r="C200" s="1">
        <v>45355.494444444441</v>
      </c>
      <c r="D200">
        <v>0</v>
      </c>
      <c r="E200" s="2">
        <v>561</v>
      </c>
      <c r="F200" s="2">
        <v>0</v>
      </c>
      <c r="G200" s="2">
        <v>5830</v>
      </c>
    </row>
    <row r="201" spans="1:7" x14ac:dyDescent="0.3">
      <c r="A201" t="s">
        <v>360</v>
      </c>
      <c r="B201" t="s">
        <v>180</v>
      </c>
      <c r="C201" s="1">
        <v>45355.543055555558</v>
      </c>
      <c r="D201">
        <v>0</v>
      </c>
      <c r="E201" s="2">
        <v>561</v>
      </c>
      <c r="F201" s="2">
        <v>0</v>
      </c>
      <c r="G201" s="2">
        <v>5820</v>
      </c>
    </row>
    <row r="202" spans="1:7" x14ac:dyDescent="0.3">
      <c r="A202" t="s">
        <v>361</v>
      </c>
      <c r="B202" t="s">
        <v>180</v>
      </c>
      <c r="C202" s="1">
        <v>45355.65625</v>
      </c>
      <c r="D202">
        <v>0</v>
      </c>
      <c r="E202" s="2">
        <v>563</v>
      </c>
      <c r="F202" s="2">
        <v>0</v>
      </c>
      <c r="G202" s="2">
        <v>5820</v>
      </c>
    </row>
    <row r="203" spans="1:7" x14ac:dyDescent="0.3">
      <c r="A203" t="s">
        <v>362</v>
      </c>
      <c r="B203" t="s">
        <v>180</v>
      </c>
      <c r="C203" s="1">
        <v>45355.947916666664</v>
      </c>
      <c r="D203">
        <v>0</v>
      </c>
      <c r="E203" s="2">
        <v>563</v>
      </c>
      <c r="F203" s="2">
        <v>0</v>
      </c>
      <c r="G203" s="2">
        <v>5810</v>
      </c>
    </row>
    <row r="204" spans="1:7" x14ac:dyDescent="0.3">
      <c r="A204" t="s">
        <v>363</v>
      </c>
      <c r="B204" t="s">
        <v>180</v>
      </c>
      <c r="C204" s="1">
        <v>45356.239583333336</v>
      </c>
      <c r="D204">
        <v>0</v>
      </c>
      <c r="E204" s="2">
        <v>562</v>
      </c>
      <c r="F204" s="2">
        <v>0</v>
      </c>
      <c r="G204" s="2">
        <v>5810</v>
      </c>
    </row>
    <row r="205" spans="1:7" x14ac:dyDescent="0.3">
      <c r="A205" t="s">
        <v>364</v>
      </c>
      <c r="B205" t="s">
        <v>180</v>
      </c>
      <c r="C205" s="1">
        <v>45356.53125</v>
      </c>
      <c r="D205">
        <v>0</v>
      </c>
      <c r="E205" s="2">
        <v>564</v>
      </c>
      <c r="F205" s="2">
        <v>0</v>
      </c>
      <c r="G205" s="2">
        <v>5810</v>
      </c>
    </row>
    <row r="206" spans="1:7" x14ac:dyDescent="0.3">
      <c r="A206" t="s">
        <v>365</v>
      </c>
      <c r="B206" t="s">
        <v>180</v>
      </c>
      <c r="C206" s="1">
        <v>45356.822916666664</v>
      </c>
      <c r="D206">
        <v>0</v>
      </c>
      <c r="E206" s="2">
        <v>562</v>
      </c>
      <c r="F206" s="2">
        <v>0</v>
      </c>
      <c r="G206" s="2">
        <v>5820</v>
      </c>
    </row>
    <row r="207" spans="1:7" x14ac:dyDescent="0.3">
      <c r="A207" t="s">
        <v>366</v>
      </c>
      <c r="B207" t="s">
        <v>180</v>
      </c>
      <c r="C207" s="1">
        <v>45357.114583333336</v>
      </c>
      <c r="D207">
        <v>0</v>
      </c>
      <c r="E207" s="2">
        <v>563</v>
      </c>
      <c r="F207" s="2">
        <v>0</v>
      </c>
      <c r="G207" s="2">
        <v>5810</v>
      </c>
    </row>
    <row r="208" spans="1:7" x14ac:dyDescent="0.3">
      <c r="A208" t="s">
        <v>367</v>
      </c>
      <c r="B208" t="s">
        <v>180</v>
      </c>
      <c r="C208" s="1">
        <v>45357.40625</v>
      </c>
      <c r="D208">
        <v>0</v>
      </c>
      <c r="E208" s="2">
        <v>563</v>
      </c>
      <c r="F208" s="2">
        <v>0</v>
      </c>
      <c r="G208" s="2">
        <v>5810</v>
      </c>
    </row>
    <row r="209" spans="1:7" x14ac:dyDescent="0.3">
      <c r="A209" t="s">
        <v>368</v>
      </c>
      <c r="B209" t="s">
        <v>180</v>
      </c>
      <c r="C209" s="1">
        <v>45358.072222222225</v>
      </c>
      <c r="D209">
        <v>0</v>
      </c>
      <c r="E209" s="2">
        <v>565</v>
      </c>
      <c r="F209" s="2">
        <v>0</v>
      </c>
      <c r="G209" s="2">
        <v>5810</v>
      </c>
    </row>
    <row r="210" spans="1:7" x14ac:dyDescent="0.3">
      <c r="A210" t="s">
        <v>369</v>
      </c>
      <c r="B210" t="s">
        <v>180</v>
      </c>
      <c r="C210" s="1">
        <v>45358.363888888889</v>
      </c>
      <c r="D210">
        <v>0</v>
      </c>
      <c r="E210" s="2">
        <v>565</v>
      </c>
      <c r="F210" s="2">
        <v>3.1900000000000001E-3</v>
      </c>
      <c r="G210" s="2">
        <v>5800</v>
      </c>
    </row>
    <row r="211" spans="1:7" x14ac:dyDescent="0.3">
      <c r="A211" t="s">
        <v>370</v>
      </c>
      <c r="B211" t="s">
        <v>180</v>
      </c>
      <c r="C211" s="1">
        <v>45358.655555555553</v>
      </c>
      <c r="D211">
        <v>0</v>
      </c>
      <c r="E211" s="2">
        <v>563</v>
      </c>
      <c r="F211" s="2">
        <v>0</v>
      </c>
      <c r="G211" s="2">
        <v>5800</v>
      </c>
    </row>
    <row r="212" spans="1:7" x14ac:dyDescent="0.3">
      <c r="A212" t="s">
        <v>371</v>
      </c>
      <c r="B212" t="s">
        <v>180</v>
      </c>
      <c r="C212" s="1">
        <v>45362.784722222219</v>
      </c>
      <c r="D212">
        <v>0</v>
      </c>
      <c r="E212" s="2">
        <v>560</v>
      </c>
      <c r="F212" s="2">
        <v>0</v>
      </c>
      <c r="G212" s="2">
        <v>5800</v>
      </c>
    </row>
    <row r="213" spans="1:7" x14ac:dyDescent="0.3">
      <c r="A213" t="s">
        <v>372</v>
      </c>
      <c r="B213" t="s">
        <v>180</v>
      </c>
      <c r="C213" s="1">
        <v>45362.969444444447</v>
      </c>
      <c r="D213">
        <v>0</v>
      </c>
      <c r="E213" s="2">
        <v>556</v>
      </c>
      <c r="F213" s="2">
        <v>0</v>
      </c>
      <c r="G213" s="2">
        <v>5790</v>
      </c>
    </row>
    <row r="214" spans="1:7" x14ac:dyDescent="0.3">
      <c r="A214" t="s">
        <v>373</v>
      </c>
      <c r="B214" t="s">
        <v>380</v>
      </c>
      <c r="C214" s="1">
        <v>45363.261111111111</v>
      </c>
      <c r="D214">
        <v>0</v>
      </c>
      <c r="E214" s="2">
        <v>557</v>
      </c>
      <c r="F214" s="2">
        <v>5.7200000000000003E-3</v>
      </c>
      <c r="G214" s="2">
        <v>5800</v>
      </c>
    </row>
    <row r="215" spans="1:7" x14ac:dyDescent="0.3">
      <c r="A215" t="s">
        <v>374</v>
      </c>
      <c r="B215" t="s">
        <v>380</v>
      </c>
      <c r="C215" s="1">
        <v>45363.785416666666</v>
      </c>
      <c r="D215">
        <v>0</v>
      </c>
      <c r="E215" s="2">
        <v>508</v>
      </c>
      <c r="F215" s="2">
        <v>0</v>
      </c>
      <c r="G215" s="2">
        <v>5790</v>
      </c>
    </row>
    <row r="216" spans="1:7" x14ac:dyDescent="0.3">
      <c r="A216" t="s">
        <v>375</v>
      </c>
      <c r="B216" t="s">
        <v>180</v>
      </c>
      <c r="C216" s="1">
        <v>45364.431250000001</v>
      </c>
      <c r="D216">
        <v>0</v>
      </c>
      <c r="E216" s="2">
        <v>570</v>
      </c>
      <c r="F216" s="2">
        <v>0</v>
      </c>
      <c r="G216" s="2">
        <v>5800</v>
      </c>
    </row>
    <row r="217" spans="1:7" x14ac:dyDescent="0.3">
      <c r="A217" t="s">
        <v>376</v>
      </c>
      <c r="B217" t="s">
        <v>180</v>
      </c>
      <c r="C217" s="1">
        <v>45364.548611111109</v>
      </c>
      <c r="D217">
        <v>0</v>
      </c>
      <c r="E217" s="2">
        <v>579</v>
      </c>
      <c r="F217" s="2">
        <v>0</v>
      </c>
      <c r="G217" s="2">
        <v>5830</v>
      </c>
    </row>
    <row r="218" spans="1:7" x14ac:dyDescent="0.3">
      <c r="A218" t="s">
        <v>377</v>
      </c>
      <c r="B218" t="s">
        <v>180</v>
      </c>
      <c r="C218" s="1">
        <v>45364.831250000003</v>
      </c>
      <c r="D218">
        <v>0</v>
      </c>
      <c r="E218" s="2">
        <v>567</v>
      </c>
      <c r="F218" s="2">
        <v>0</v>
      </c>
      <c r="G218" s="2">
        <v>5800</v>
      </c>
    </row>
    <row r="219" spans="1:7" x14ac:dyDescent="0.3">
      <c r="A219" t="s">
        <v>378</v>
      </c>
      <c r="B219" t="s">
        <v>180</v>
      </c>
      <c r="C219" s="1">
        <v>45365.123611111114</v>
      </c>
      <c r="D219">
        <v>0</v>
      </c>
      <c r="E219" s="2">
        <v>566</v>
      </c>
      <c r="F219" s="2">
        <v>0</v>
      </c>
      <c r="G219" s="2">
        <v>5790</v>
      </c>
    </row>
    <row r="220" spans="1:7" x14ac:dyDescent="0.3">
      <c r="A220" t="s">
        <v>379</v>
      </c>
      <c r="B220" t="s">
        <v>180</v>
      </c>
      <c r="C220" s="1">
        <v>45365.415972222225</v>
      </c>
      <c r="D220">
        <v>0</v>
      </c>
      <c r="E220" s="2">
        <v>565</v>
      </c>
      <c r="F220" s="2">
        <v>0</v>
      </c>
      <c r="G220" s="2">
        <v>5790</v>
      </c>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39D05-73EB-47EC-A035-5BA9F773CB91}">
  <dimension ref="A1:D728"/>
  <sheetViews>
    <sheetView topLeftCell="A9" zoomScale="115" zoomScaleNormal="115" workbookViewId="0">
      <selection activeCell="D13" sqref="D13"/>
    </sheetView>
  </sheetViews>
  <sheetFormatPr defaultRowHeight="14.4" x14ac:dyDescent="0.3"/>
  <sheetData>
    <row r="1" spans="1:4" x14ac:dyDescent="0.3">
      <c r="B1" t="s">
        <v>441</v>
      </c>
      <c r="C1" t="s">
        <v>440</v>
      </c>
      <c r="D1" t="s">
        <v>439</v>
      </c>
    </row>
    <row r="2" spans="1:4" x14ac:dyDescent="0.3">
      <c r="A2">
        <v>0</v>
      </c>
      <c r="B2">
        <v>95</v>
      </c>
      <c r="C2">
        <v>71</v>
      </c>
      <c r="D2">
        <v>-0.16117983599999999</v>
      </c>
    </row>
    <row r="3" spans="1:4" x14ac:dyDescent="0.3">
      <c r="A3">
        <v>1</v>
      </c>
      <c r="B3">
        <v>94.5</v>
      </c>
      <c r="C3">
        <v>70.5</v>
      </c>
      <c r="D3">
        <v>-0.120870266</v>
      </c>
    </row>
    <row r="4" spans="1:4" x14ac:dyDescent="0.3">
      <c r="A4">
        <v>2</v>
      </c>
      <c r="B4">
        <v>93.5</v>
      </c>
      <c r="C4">
        <v>69.5</v>
      </c>
      <c r="D4">
        <v>-0.120865396</v>
      </c>
    </row>
    <row r="5" spans="1:4" x14ac:dyDescent="0.3">
      <c r="A5">
        <v>3</v>
      </c>
      <c r="B5">
        <v>92.5</v>
      </c>
      <c r="C5">
        <v>68.5</v>
      </c>
      <c r="D5">
        <v>-0.120860527</v>
      </c>
    </row>
    <row r="6" spans="1:4" x14ac:dyDescent="0.3">
      <c r="A6">
        <v>4</v>
      </c>
      <c r="B6">
        <v>86</v>
      </c>
      <c r="C6">
        <v>62</v>
      </c>
      <c r="D6">
        <v>-8.0580177000000003E-2</v>
      </c>
    </row>
    <row r="7" spans="1:4" x14ac:dyDescent="0.3">
      <c r="A7">
        <v>5</v>
      </c>
      <c r="B7">
        <v>85.5</v>
      </c>
      <c r="C7">
        <v>61.5</v>
      </c>
      <c r="D7">
        <v>-0.120860527</v>
      </c>
    </row>
    <row r="8" spans="1:4" x14ac:dyDescent="0.3">
      <c r="A8">
        <v>6</v>
      </c>
      <c r="B8">
        <v>85</v>
      </c>
      <c r="C8">
        <v>61</v>
      </c>
      <c r="D8">
        <v>-8.0573685000000006E-2</v>
      </c>
    </row>
    <row r="9" spans="1:4" x14ac:dyDescent="0.3">
      <c r="A9">
        <v>7</v>
      </c>
      <c r="B9">
        <v>86</v>
      </c>
      <c r="C9">
        <v>62</v>
      </c>
      <c r="D9">
        <v>-8.0593165999999994E-2</v>
      </c>
    </row>
    <row r="10" spans="1:4" x14ac:dyDescent="0.3">
      <c r="A10">
        <v>8</v>
      </c>
      <c r="B10">
        <v>85.5</v>
      </c>
      <c r="C10">
        <v>61.5</v>
      </c>
      <c r="D10">
        <v>-0.120870266</v>
      </c>
    </row>
    <row r="11" spans="1:4" x14ac:dyDescent="0.3">
      <c r="A11">
        <v>9</v>
      </c>
      <c r="B11">
        <v>85</v>
      </c>
      <c r="C11">
        <v>61</v>
      </c>
      <c r="D11">
        <v>-8.0586670999999999E-2</v>
      </c>
    </row>
    <row r="12" spans="1:4" x14ac:dyDescent="0.3">
      <c r="A12">
        <v>10</v>
      </c>
      <c r="B12">
        <v>84.5</v>
      </c>
      <c r="C12">
        <v>60.5</v>
      </c>
      <c r="D12">
        <v>-0.120884877</v>
      </c>
    </row>
    <row r="13" spans="1:4" x14ac:dyDescent="0.3">
      <c r="A13">
        <v>11</v>
      </c>
      <c r="B13">
        <v>84</v>
      </c>
      <c r="C13">
        <v>60</v>
      </c>
      <c r="D13">
        <v>-8.0576931000000004E-2</v>
      </c>
    </row>
    <row r="14" spans="1:4" x14ac:dyDescent="0.3">
      <c r="A14">
        <v>12</v>
      </c>
      <c r="B14">
        <v>85.5</v>
      </c>
      <c r="C14">
        <v>61.5</v>
      </c>
      <c r="D14">
        <v>-9.6689979999999995E-2</v>
      </c>
    </row>
    <row r="15" spans="1:4" x14ac:dyDescent="0.3">
      <c r="A15">
        <v>13</v>
      </c>
      <c r="B15">
        <v>85.5</v>
      </c>
      <c r="C15">
        <v>61.5</v>
      </c>
      <c r="D15">
        <v>-9.6693096000000006E-2</v>
      </c>
    </row>
    <row r="16" spans="1:4" x14ac:dyDescent="0.3">
      <c r="A16">
        <v>14</v>
      </c>
      <c r="B16">
        <v>85</v>
      </c>
      <c r="C16">
        <v>61</v>
      </c>
      <c r="D16">
        <v>-8.0576931000000004E-2</v>
      </c>
    </row>
    <row r="17" spans="1:4" x14ac:dyDescent="0.3">
      <c r="A17">
        <v>15</v>
      </c>
      <c r="B17">
        <v>84</v>
      </c>
      <c r="C17">
        <v>60</v>
      </c>
      <c r="D17">
        <v>-8.0576931000000004E-2</v>
      </c>
    </row>
    <row r="18" spans="1:4" x14ac:dyDescent="0.3">
      <c r="A18">
        <v>16</v>
      </c>
      <c r="B18">
        <v>83.5</v>
      </c>
      <c r="C18">
        <v>59.5</v>
      </c>
      <c r="D18">
        <v>-4.0286842000000003E-2</v>
      </c>
    </row>
    <row r="19" spans="1:4" x14ac:dyDescent="0.3">
      <c r="A19">
        <v>17</v>
      </c>
      <c r="B19">
        <v>180.5</v>
      </c>
      <c r="C19">
        <v>156.5</v>
      </c>
      <c r="D19">
        <v>-0.354529926</v>
      </c>
    </row>
    <row r="20" spans="1:4" x14ac:dyDescent="0.3">
      <c r="A20">
        <v>18</v>
      </c>
      <c r="B20">
        <v>178.5</v>
      </c>
      <c r="C20">
        <v>154.5</v>
      </c>
      <c r="D20">
        <v>-0.354575637</v>
      </c>
    </row>
    <row r="21" spans="1:4" x14ac:dyDescent="0.3">
      <c r="A21">
        <v>19</v>
      </c>
      <c r="B21">
        <v>177</v>
      </c>
      <c r="C21">
        <v>153</v>
      </c>
      <c r="D21">
        <v>-0.32232070899999998</v>
      </c>
    </row>
    <row r="22" spans="1:4" x14ac:dyDescent="0.3">
      <c r="A22">
        <v>20</v>
      </c>
      <c r="B22">
        <v>100.5</v>
      </c>
      <c r="C22">
        <v>76.5</v>
      </c>
      <c r="D22">
        <v>-0.12085079</v>
      </c>
    </row>
    <row r="23" spans="1:4" x14ac:dyDescent="0.3">
      <c r="A23">
        <v>21</v>
      </c>
      <c r="B23">
        <v>99.5</v>
      </c>
      <c r="C23">
        <v>75.5</v>
      </c>
      <c r="D23">
        <v>-0.120841054</v>
      </c>
    </row>
    <row r="24" spans="1:4" x14ac:dyDescent="0.3">
      <c r="A24">
        <v>22</v>
      </c>
      <c r="B24">
        <v>98.5</v>
      </c>
      <c r="C24">
        <v>74.5</v>
      </c>
      <c r="D24">
        <v>-0.120836186</v>
      </c>
    </row>
    <row r="25" spans="1:4" x14ac:dyDescent="0.3">
      <c r="A25">
        <v>23</v>
      </c>
      <c r="B25">
        <v>98</v>
      </c>
      <c r="C25">
        <v>74</v>
      </c>
      <c r="D25">
        <v>-8.0570438999999994E-2</v>
      </c>
    </row>
    <row r="26" spans="1:4" x14ac:dyDescent="0.3">
      <c r="A26">
        <v>24</v>
      </c>
      <c r="B26">
        <v>97.5</v>
      </c>
      <c r="C26">
        <v>73.5</v>
      </c>
      <c r="D26">
        <v>-0.120865396</v>
      </c>
    </row>
    <row r="27" spans="1:4" x14ac:dyDescent="0.3">
      <c r="A27">
        <v>25</v>
      </c>
      <c r="B27">
        <v>96.5</v>
      </c>
      <c r="C27">
        <v>72.5</v>
      </c>
      <c r="D27">
        <v>-0.120884877</v>
      </c>
    </row>
    <row r="28" spans="1:4" x14ac:dyDescent="0.3">
      <c r="A28">
        <v>26</v>
      </c>
      <c r="B28">
        <v>95.5</v>
      </c>
      <c r="C28">
        <v>71.5</v>
      </c>
      <c r="D28">
        <v>-0.12089461999999999</v>
      </c>
    </row>
    <row r="29" spans="1:4" x14ac:dyDescent="0.3">
      <c r="A29">
        <v>27</v>
      </c>
      <c r="B29">
        <v>95.5</v>
      </c>
      <c r="C29">
        <v>71.5</v>
      </c>
      <c r="D29">
        <v>-0.120889749</v>
      </c>
    </row>
    <row r="30" spans="1:4" x14ac:dyDescent="0.3">
      <c r="A30">
        <v>28</v>
      </c>
      <c r="B30">
        <v>100.5</v>
      </c>
      <c r="C30">
        <v>76.5</v>
      </c>
      <c r="D30">
        <v>-0.120880006</v>
      </c>
    </row>
    <row r="31" spans="1:4" x14ac:dyDescent="0.3">
      <c r="A31">
        <v>29</v>
      </c>
      <c r="B31">
        <v>99.5</v>
      </c>
      <c r="C31">
        <v>75.5</v>
      </c>
      <c r="D31">
        <v>-0.12087513599999999</v>
      </c>
    </row>
    <row r="32" spans="1:4" x14ac:dyDescent="0.3">
      <c r="A32">
        <v>30</v>
      </c>
      <c r="B32">
        <v>98.5</v>
      </c>
      <c r="C32">
        <v>74.5</v>
      </c>
      <c r="D32">
        <v>-0.12089461999999999</v>
      </c>
    </row>
    <row r="33" spans="1:4" x14ac:dyDescent="0.3">
      <c r="A33">
        <v>31</v>
      </c>
      <c r="B33">
        <v>98</v>
      </c>
      <c r="C33">
        <v>74</v>
      </c>
      <c r="D33">
        <v>-8.0596413000000006E-2</v>
      </c>
    </row>
    <row r="34" spans="1:4" x14ac:dyDescent="0.3">
      <c r="A34">
        <v>32</v>
      </c>
      <c r="B34">
        <v>97.5</v>
      </c>
      <c r="C34">
        <v>73.5</v>
      </c>
      <c r="D34">
        <v>-0.120899492</v>
      </c>
    </row>
    <row r="35" spans="1:4" x14ac:dyDescent="0.3">
      <c r="A35">
        <v>33</v>
      </c>
      <c r="B35">
        <v>96.5</v>
      </c>
      <c r="C35">
        <v>72.5</v>
      </c>
      <c r="D35">
        <v>-0.120899492</v>
      </c>
    </row>
    <row r="36" spans="1:4" x14ac:dyDescent="0.3">
      <c r="A36">
        <v>34</v>
      </c>
      <c r="B36">
        <v>100</v>
      </c>
      <c r="C36">
        <v>76</v>
      </c>
      <c r="D36">
        <v>-8.0576931000000004E-2</v>
      </c>
    </row>
    <row r="37" spans="1:4" x14ac:dyDescent="0.3">
      <c r="A37">
        <v>35</v>
      </c>
      <c r="B37">
        <v>99.5</v>
      </c>
      <c r="C37">
        <v>75.5</v>
      </c>
      <c r="D37">
        <v>-0.120860527</v>
      </c>
    </row>
    <row r="38" spans="1:4" x14ac:dyDescent="0.3">
      <c r="A38">
        <v>36</v>
      </c>
      <c r="B38">
        <v>98.5</v>
      </c>
      <c r="C38">
        <v>74.5</v>
      </c>
      <c r="D38">
        <v>-0.12085079</v>
      </c>
    </row>
    <row r="39" spans="1:4" x14ac:dyDescent="0.3">
      <c r="A39">
        <v>37</v>
      </c>
      <c r="B39">
        <v>98</v>
      </c>
      <c r="C39">
        <v>74</v>
      </c>
      <c r="D39">
        <v>-8.0554213E-2</v>
      </c>
    </row>
    <row r="40" spans="1:4" x14ac:dyDescent="0.3">
      <c r="A40">
        <v>38</v>
      </c>
      <c r="B40">
        <v>97.5</v>
      </c>
      <c r="C40">
        <v>73.5</v>
      </c>
      <c r="D40">
        <v>-0.120841054</v>
      </c>
    </row>
    <row r="41" spans="1:4" x14ac:dyDescent="0.3">
      <c r="A41">
        <v>39</v>
      </c>
      <c r="B41">
        <v>97</v>
      </c>
      <c r="C41">
        <v>73</v>
      </c>
      <c r="D41">
        <v>-8.0567192999999995E-2</v>
      </c>
    </row>
    <row r="42" spans="1:4" x14ac:dyDescent="0.3">
      <c r="A42">
        <v>40</v>
      </c>
      <c r="B42">
        <v>96</v>
      </c>
      <c r="C42">
        <v>72</v>
      </c>
      <c r="D42">
        <v>-8.0576931000000004E-2</v>
      </c>
    </row>
    <row r="43" spans="1:4" x14ac:dyDescent="0.3">
      <c r="A43">
        <v>41</v>
      </c>
      <c r="B43">
        <v>95.5</v>
      </c>
      <c r="C43">
        <v>71.5</v>
      </c>
      <c r="D43">
        <v>-0.120889749</v>
      </c>
    </row>
    <row r="44" spans="1:4" x14ac:dyDescent="0.3">
      <c r="A44">
        <v>42</v>
      </c>
      <c r="B44">
        <v>94.5</v>
      </c>
      <c r="C44">
        <v>70.5</v>
      </c>
      <c r="D44">
        <v>-0.12089461999999999</v>
      </c>
    </row>
    <row r="45" spans="1:4" x14ac:dyDescent="0.3">
      <c r="A45">
        <v>43</v>
      </c>
      <c r="B45">
        <v>190</v>
      </c>
      <c r="C45">
        <v>166</v>
      </c>
      <c r="D45">
        <v>-0.322294739</v>
      </c>
    </row>
    <row r="46" spans="1:4" x14ac:dyDescent="0.3">
      <c r="A46">
        <v>44</v>
      </c>
      <c r="B46">
        <v>187.5</v>
      </c>
      <c r="C46">
        <v>163.5</v>
      </c>
      <c r="D46">
        <v>-0.36262540799999998</v>
      </c>
    </row>
    <row r="47" spans="1:4" x14ac:dyDescent="0.3">
      <c r="A47">
        <v>45</v>
      </c>
      <c r="B47">
        <v>185.5</v>
      </c>
      <c r="C47">
        <v>161.5</v>
      </c>
      <c r="D47">
        <v>-0.36255236899999999</v>
      </c>
    </row>
    <row r="48" spans="1:4" x14ac:dyDescent="0.3">
      <c r="A48">
        <v>46</v>
      </c>
      <c r="B48">
        <v>104.5</v>
      </c>
      <c r="C48">
        <v>80.5</v>
      </c>
      <c r="D48">
        <v>-0.12087513599999999</v>
      </c>
    </row>
    <row r="49" spans="1:4" x14ac:dyDescent="0.3">
      <c r="A49">
        <v>47</v>
      </c>
      <c r="B49">
        <v>104</v>
      </c>
      <c r="C49">
        <v>80</v>
      </c>
      <c r="D49">
        <v>-0.161173342</v>
      </c>
    </row>
    <row r="50" spans="1:4" x14ac:dyDescent="0.3">
      <c r="A50">
        <v>48</v>
      </c>
      <c r="B50">
        <v>103</v>
      </c>
      <c r="C50">
        <v>79</v>
      </c>
      <c r="D50">
        <v>-8.0596413000000006E-2</v>
      </c>
    </row>
    <row r="51" spans="1:4" x14ac:dyDescent="0.3">
      <c r="A51">
        <v>49</v>
      </c>
      <c r="B51">
        <v>102.5</v>
      </c>
      <c r="C51">
        <v>78.5</v>
      </c>
      <c r="D51">
        <v>-0.120904365</v>
      </c>
    </row>
    <row r="52" spans="1:4" x14ac:dyDescent="0.3">
      <c r="A52">
        <v>50</v>
      </c>
      <c r="B52">
        <v>101.5</v>
      </c>
      <c r="C52">
        <v>77.5</v>
      </c>
      <c r="D52">
        <v>-0.120889749</v>
      </c>
    </row>
    <row r="53" spans="1:4" x14ac:dyDescent="0.3">
      <c r="A53">
        <v>51</v>
      </c>
      <c r="B53">
        <v>100.5</v>
      </c>
      <c r="C53">
        <v>76.5</v>
      </c>
      <c r="D53">
        <v>-0.120880006</v>
      </c>
    </row>
    <row r="54" spans="1:4" x14ac:dyDescent="0.3">
      <c r="A54">
        <v>52</v>
      </c>
      <c r="B54">
        <v>100.5</v>
      </c>
      <c r="C54">
        <v>76.5</v>
      </c>
      <c r="D54">
        <v>-0.120880006</v>
      </c>
    </row>
    <row r="55" spans="1:4" x14ac:dyDescent="0.3">
      <c r="A55">
        <v>53</v>
      </c>
      <c r="B55">
        <v>99.5</v>
      </c>
      <c r="C55">
        <v>75.5</v>
      </c>
      <c r="D55">
        <v>-0.120860527</v>
      </c>
    </row>
    <row r="56" spans="1:4" x14ac:dyDescent="0.3">
      <c r="A56">
        <v>54</v>
      </c>
      <c r="B56">
        <v>98.5</v>
      </c>
      <c r="C56">
        <v>74.5</v>
      </c>
      <c r="D56">
        <v>-0.120860527</v>
      </c>
    </row>
    <row r="57" spans="1:4" x14ac:dyDescent="0.3">
      <c r="A57">
        <v>55</v>
      </c>
      <c r="B57">
        <v>104.5</v>
      </c>
      <c r="C57">
        <v>80.5</v>
      </c>
      <c r="D57">
        <v>-0.120860527</v>
      </c>
    </row>
    <row r="58" spans="1:4" x14ac:dyDescent="0.3">
      <c r="A58">
        <v>56</v>
      </c>
      <c r="B58">
        <v>104</v>
      </c>
      <c r="C58">
        <v>80</v>
      </c>
      <c r="D58">
        <v>-0.161166848</v>
      </c>
    </row>
    <row r="59" spans="1:4" x14ac:dyDescent="0.3">
      <c r="A59">
        <v>57</v>
      </c>
      <c r="B59">
        <v>103</v>
      </c>
      <c r="C59">
        <v>79</v>
      </c>
      <c r="D59">
        <v>-8.0573685000000006E-2</v>
      </c>
    </row>
    <row r="60" spans="1:4" x14ac:dyDescent="0.3">
      <c r="A60">
        <v>58</v>
      </c>
      <c r="B60">
        <v>102.5</v>
      </c>
      <c r="C60">
        <v>78.5</v>
      </c>
      <c r="D60">
        <v>-0.120870266</v>
      </c>
    </row>
    <row r="61" spans="1:4" x14ac:dyDescent="0.3">
      <c r="A61">
        <v>59</v>
      </c>
      <c r="B61">
        <v>102</v>
      </c>
      <c r="C61">
        <v>78</v>
      </c>
      <c r="D61">
        <v>-8.0586670999999999E-2</v>
      </c>
    </row>
    <row r="62" spans="1:4" x14ac:dyDescent="0.3">
      <c r="A62">
        <v>60</v>
      </c>
      <c r="B62">
        <v>100.5</v>
      </c>
      <c r="C62">
        <v>76.5</v>
      </c>
      <c r="D62">
        <v>-0.120880006</v>
      </c>
    </row>
    <row r="63" spans="1:4" x14ac:dyDescent="0.3">
      <c r="A63">
        <v>61</v>
      </c>
      <c r="B63">
        <v>100.5</v>
      </c>
      <c r="C63">
        <v>76.5</v>
      </c>
      <c r="D63">
        <v>-0.120899492</v>
      </c>
    </row>
    <row r="64" spans="1:4" x14ac:dyDescent="0.3">
      <c r="A64">
        <v>62</v>
      </c>
      <c r="B64">
        <v>104</v>
      </c>
      <c r="C64">
        <v>80</v>
      </c>
      <c r="D64">
        <v>-0.12891581799999999</v>
      </c>
    </row>
    <row r="65" spans="1:4" x14ac:dyDescent="0.3">
      <c r="A65">
        <v>63</v>
      </c>
      <c r="B65">
        <v>104</v>
      </c>
      <c r="C65">
        <v>80</v>
      </c>
      <c r="D65">
        <v>-0.128924128</v>
      </c>
    </row>
    <row r="66" spans="1:4" x14ac:dyDescent="0.3">
      <c r="A66">
        <v>64</v>
      </c>
      <c r="B66">
        <v>102.5</v>
      </c>
      <c r="C66">
        <v>78.5</v>
      </c>
      <c r="D66">
        <v>-9.6702446999999997E-2</v>
      </c>
    </row>
    <row r="67" spans="1:4" x14ac:dyDescent="0.3">
      <c r="A67">
        <v>65</v>
      </c>
      <c r="B67">
        <v>101.5</v>
      </c>
      <c r="C67">
        <v>77.5</v>
      </c>
      <c r="D67">
        <v>-0.120889749</v>
      </c>
    </row>
    <row r="68" spans="1:4" x14ac:dyDescent="0.3">
      <c r="A68">
        <v>66</v>
      </c>
      <c r="B68">
        <v>100.5</v>
      </c>
      <c r="C68">
        <v>76.5</v>
      </c>
      <c r="D68">
        <v>-0.120889749</v>
      </c>
    </row>
    <row r="69" spans="1:4" x14ac:dyDescent="0.3">
      <c r="A69">
        <v>67</v>
      </c>
      <c r="B69">
        <v>100.5</v>
      </c>
      <c r="C69">
        <v>76.5</v>
      </c>
      <c r="D69">
        <v>-0.120884877</v>
      </c>
    </row>
    <row r="70" spans="1:4" x14ac:dyDescent="0.3">
      <c r="A70">
        <v>68</v>
      </c>
      <c r="B70">
        <v>197</v>
      </c>
      <c r="C70">
        <v>173</v>
      </c>
      <c r="D70">
        <v>-0.38648587699999998</v>
      </c>
    </row>
    <row r="71" spans="1:4" x14ac:dyDescent="0.3">
      <c r="A71">
        <v>69</v>
      </c>
      <c r="B71">
        <v>195</v>
      </c>
      <c r="C71">
        <v>171</v>
      </c>
      <c r="D71">
        <v>-0.38644853800000001</v>
      </c>
    </row>
    <row r="72" spans="1:4" x14ac:dyDescent="0.3">
      <c r="A72">
        <v>70</v>
      </c>
      <c r="B72">
        <v>192</v>
      </c>
      <c r="C72">
        <v>168</v>
      </c>
      <c r="D72">
        <v>-0.38647343000000001</v>
      </c>
    </row>
    <row r="73" spans="1:4" x14ac:dyDescent="0.3">
      <c r="A73">
        <v>71</v>
      </c>
      <c r="B73">
        <v>109.5</v>
      </c>
      <c r="C73">
        <v>85.5</v>
      </c>
      <c r="D73">
        <v>-0.120855658</v>
      </c>
    </row>
    <row r="74" spans="1:4" x14ac:dyDescent="0.3">
      <c r="A74">
        <v>72</v>
      </c>
      <c r="B74">
        <v>108</v>
      </c>
      <c r="C74">
        <v>84</v>
      </c>
      <c r="D74">
        <v>-0.12891997299999999</v>
      </c>
    </row>
    <row r="75" spans="1:4" x14ac:dyDescent="0.3">
      <c r="A75">
        <v>73</v>
      </c>
      <c r="B75">
        <v>107</v>
      </c>
      <c r="C75">
        <v>83</v>
      </c>
      <c r="D75">
        <v>-0.12889089400000001</v>
      </c>
    </row>
    <row r="76" spans="1:4" x14ac:dyDescent="0.3">
      <c r="A76">
        <v>74</v>
      </c>
      <c r="B76">
        <v>106</v>
      </c>
      <c r="C76">
        <v>82</v>
      </c>
      <c r="D76">
        <v>-0.12889920099999999</v>
      </c>
    </row>
    <row r="77" spans="1:4" x14ac:dyDescent="0.3">
      <c r="A77">
        <v>75</v>
      </c>
      <c r="B77">
        <v>106</v>
      </c>
      <c r="C77">
        <v>82</v>
      </c>
      <c r="D77">
        <v>-0.12889920099999999</v>
      </c>
    </row>
    <row r="78" spans="1:4" x14ac:dyDescent="0.3">
      <c r="A78">
        <v>76</v>
      </c>
      <c r="B78">
        <v>109.5</v>
      </c>
      <c r="C78">
        <v>85.5</v>
      </c>
      <c r="D78">
        <v>-0.12087513599999999</v>
      </c>
    </row>
    <row r="79" spans="1:4" x14ac:dyDescent="0.3">
      <c r="A79">
        <v>77</v>
      </c>
      <c r="B79">
        <v>108.5</v>
      </c>
      <c r="C79">
        <v>84.5</v>
      </c>
      <c r="D79">
        <v>-0.120865396</v>
      </c>
    </row>
    <row r="80" spans="1:4" x14ac:dyDescent="0.3">
      <c r="A80">
        <v>78</v>
      </c>
      <c r="B80">
        <v>107.5</v>
      </c>
      <c r="C80">
        <v>83.5</v>
      </c>
      <c r="D80">
        <v>-0.12087513599999999</v>
      </c>
    </row>
    <row r="81" spans="1:4" x14ac:dyDescent="0.3">
      <c r="A81">
        <v>79</v>
      </c>
      <c r="B81">
        <v>107</v>
      </c>
      <c r="C81">
        <v>83</v>
      </c>
      <c r="D81">
        <v>-8.0573685000000006E-2</v>
      </c>
    </row>
    <row r="82" spans="1:4" x14ac:dyDescent="0.3">
      <c r="A82">
        <v>80</v>
      </c>
      <c r="B82">
        <v>106</v>
      </c>
      <c r="C82">
        <v>82</v>
      </c>
      <c r="D82">
        <v>-0.161088961</v>
      </c>
    </row>
    <row r="83" spans="1:4" x14ac:dyDescent="0.3">
      <c r="A83">
        <v>81</v>
      </c>
      <c r="B83">
        <v>109.5</v>
      </c>
      <c r="C83">
        <v>85.5</v>
      </c>
      <c r="D83">
        <v>-0.120860527</v>
      </c>
    </row>
    <row r="84" spans="1:4" x14ac:dyDescent="0.3">
      <c r="A84">
        <v>82</v>
      </c>
      <c r="B84">
        <v>108.5</v>
      </c>
      <c r="C84">
        <v>84.5</v>
      </c>
      <c r="D84">
        <v>-0.120860527</v>
      </c>
    </row>
    <row r="85" spans="1:4" x14ac:dyDescent="0.3">
      <c r="A85">
        <v>83</v>
      </c>
      <c r="B85">
        <v>107.5</v>
      </c>
      <c r="C85">
        <v>83.5</v>
      </c>
      <c r="D85">
        <v>-0.120865396</v>
      </c>
    </row>
    <row r="86" spans="1:4" x14ac:dyDescent="0.3">
      <c r="A86">
        <v>84</v>
      </c>
      <c r="B86">
        <v>107</v>
      </c>
      <c r="C86">
        <v>83</v>
      </c>
      <c r="D86">
        <v>-8.0580177000000003E-2</v>
      </c>
    </row>
    <row r="87" spans="1:4" x14ac:dyDescent="0.3">
      <c r="A87">
        <v>85</v>
      </c>
      <c r="B87">
        <v>106.5</v>
      </c>
      <c r="C87">
        <v>82.5</v>
      </c>
      <c r="D87">
        <v>-0.12087513599999999</v>
      </c>
    </row>
    <row r="88" spans="1:4" x14ac:dyDescent="0.3">
      <c r="A88">
        <v>86</v>
      </c>
      <c r="B88">
        <v>105.5</v>
      </c>
      <c r="C88">
        <v>81.5</v>
      </c>
      <c r="D88">
        <v>-0.120884877</v>
      </c>
    </row>
    <row r="89" spans="1:4" x14ac:dyDescent="0.3">
      <c r="A89">
        <v>87</v>
      </c>
      <c r="B89">
        <v>104.5</v>
      </c>
      <c r="C89">
        <v>80.5</v>
      </c>
      <c r="D89">
        <v>-0.12089461999999999</v>
      </c>
    </row>
    <row r="90" spans="1:4" x14ac:dyDescent="0.3">
      <c r="A90">
        <v>88</v>
      </c>
      <c r="B90">
        <v>104</v>
      </c>
      <c r="C90">
        <v>80</v>
      </c>
      <c r="D90">
        <v>-0.161173342</v>
      </c>
    </row>
    <row r="91" spans="1:4" x14ac:dyDescent="0.3">
      <c r="A91">
        <v>89</v>
      </c>
      <c r="B91">
        <v>103.5</v>
      </c>
      <c r="C91">
        <v>79.5</v>
      </c>
      <c r="D91">
        <v>-0.12087513599999999</v>
      </c>
    </row>
    <row r="92" spans="1:4" x14ac:dyDescent="0.3">
      <c r="A92">
        <v>90</v>
      </c>
      <c r="B92">
        <v>202.5</v>
      </c>
      <c r="C92">
        <v>178.5</v>
      </c>
      <c r="D92">
        <v>-0.44310171199999998</v>
      </c>
    </row>
    <row r="93" spans="1:4" x14ac:dyDescent="0.3">
      <c r="A93">
        <v>91</v>
      </c>
      <c r="B93">
        <v>200</v>
      </c>
      <c r="C93">
        <v>176</v>
      </c>
      <c r="D93">
        <v>-0.402852194</v>
      </c>
    </row>
    <row r="94" spans="1:4" x14ac:dyDescent="0.3">
      <c r="A94">
        <v>92</v>
      </c>
      <c r="B94">
        <v>82</v>
      </c>
      <c r="C94">
        <v>58</v>
      </c>
      <c r="D94">
        <v>-8.0563947999999996E-2</v>
      </c>
    </row>
    <row r="95" spans="1:4" x14ac:dyDescent="0.3">
      <c r="A95">
        <v>93</v>
      </c>
      <c r="B95">
        <v>81</v>
      </c>
      <c r="C95">
        <v>57</v>
      </c>
      <c r="D95">
        <v>-8.0573685000000006E-2</v>
      </c>
    </row>
    <row r="96" spans="1:4" x14ac:dyDescent="0.3">
      <c r="A96">
        <v>94</v>
      </c>
      <c r="B96">
        <v>80.5</v>
      </c>
      <c r="C96">
        <v>56.5</v>
      </c>
      <c r="D96">
        <v>-0.120865396</v>
      </c>
    </row>
    <row r="97" spans="1:4" x14ac:dyDescent="0.3">
      <c r="A97">
        <v>95</v>
      </c>
      <c r="B97">
        <v>80</v>
      </c>
      <c r="C97">
        <v>56</v>
      </c>
      <c r="D97">
        <v>-8.0589917999999997E-2</v>
      </c>
    </row>
    <row r="98" spans="1:4" x14ac:dyDescent="0.3">
      <c r="A98">
        <v>96</v>
      </c>
      <c r="B98">
        <v>80</v>
      </c>
      <c r="C98">
        <v>56</v>
      </c>
      <c r="D98">
        <v>-8.0583424000000001E-2</v>
      </c>
    </row>
    <row r="99" spans="1:4" x14ac:dyDescent="0.3">
      <c r="A99">
        <v>97</v>
      </c>
      <c r="B99">
        <v>79</v>
      </c>
      <c r="C99">
        <v>55</v>
      </c>
      <c r="D99">
        <v>-8.0580177000000003E-2</v>
      </c>
    </row>
    <row r="100" spans="1:4" x14ac:dyDescent="0.3">
      <c r="A100">
        <v>98</v>
      </c>
      <c r="B100">
        <v>78.5</v>
      </c>
      <c r="C100">
        <v>54.5</v>
      </c>
      <c r="D100">
        <v>-4.0291712E-2</v>
      </c>
    </row>
    <row r="101" spans="1:4" x14ac:dyDescent="0.3">
      <c r="A101">
        <v>99</v>
      </c>
      <c r="B101">
        <v>78</v>
      </c>
      <c r="C101">
        <v>54</v>
      </c>
      <c r="D101">
        <v>-8.0573685000000006E-2</v>
      </c>
    </row>
    <row r="102" spans="1:4" x14ac:dyDescent="0.3">
      <c r="A102">
        <v>100</v>
      </c>
      <c r="B102">
        <v>78</v>
      </c>
      <c r="C102">
        <v>54</v>
      </c>
      <c r="D102">
        <v>-8.0580177000000003E-2</v>
      </c>
    </row>
    <row r="103" spans="1:4" x14ac:dyDescent="0.3">
      <c r="A103">
        <v>101</v>
      </c>
      <c r="B103">
        <v>82</v>
      </c>
      <c r="C103">
        <v>58</v>
      </c>
      <c r="D103">
        <v>-8.0576931000000004E-2</v>
      </c>
    </row>
    <row r="104" spans="1:4" x14ac:dyDescent="0.3">
      <c r="A104">
        <v>102</v>
      </c>
      <c r="B104">
        <v>81.5</v>
      </c>
      <c r="C104">
        <v>57.5</v>
      </c>
      <c r="D104">
        <v>-4.0291712E-2</v>
      </c>
    </row>
    <row r="105" spans="1:4" x14ac:dyDescent="0.3">
      <c r="A105">
        <v>103</v>
      </c>
      <c r="B105">
        <v>81</v>
      </c>
      <c r="C105">
        <v>57</v>
      </c>
      <c r="D105">
        <v>-8.0576931000000004E-2</v>
      </c>
    </row>
    <row r="106" spans="1:4" x14ac:dyDescent="0.3">
      <c r="A106">
        <v>104</v>
      </c>
      <c r="B106">
        <v>80</v>
      </c>
      <c r="C106">
        <v>56</v>
      </c>
      <c r="D106">
        <v>-8.0580177000000003E-2</v>
      </c>
    </row>
    <row r="107" spans="1:4" x14ac:dyDescent="0.3">
      <c r="A107">
        <v>105</v>
      </c>
      <c r="B107">
        <v>80</v>
      </c>
      <c r="C107">
        <v>56</v>
      </c>
      <c r="D107">
        <v>-8.0586670999999999E-2</v>
      </c>
    </row>
    <row r="108" spans="1:4" x14ac:dyDescent="0.3">
      <c r="A108">
        <v>106</v>
      </c>
      <c r="B108">
        <v>79.5</v>
      </c>
      <c r="C108">
        <v>55.5</v>
      </c>
      <c r="D108">
        <v>-0.120870266</v>
      </c>
    </row>
    <row r="109" spans="1:4" x14ac:dyDescent="0.3">
      <c r="A109">
        <v>107</v>
      </c>
      <c r="B109">
        <v>79</v>
      </c>
      <c r="C109">
        <v>55</v>
      </c>
      <c r="D109">
        <v>-8.0583424000000001E-2</v>
      </c>
    </row>
    <row r="110" spans="1:4" x14ac:dyDescent="0.3">
      <c r="A110">
        <v>108</v>
      </c>
      <c r="B110">
        <v>78.5</v>
      </c>
      <c r="C110">
        <v>54.5</v>
      </c>
      <c r="D110">
        <v>-4.0290089000000001E-2</v>
      </c>
    </row>
    <row r="111" spans="1:4" x14ac:dyDescent="0.3">
      <c r="A111">
        <v>109</v>
      </c>
      <c r="B111">
        <v>95.5</v>
      </c>
      <c r="C111">
        <v>71.5</v>
      </c>
      <c r="D111">
        <v>-0.12087513599999999</v>
      </c>
    </row>
    <row r="112" spans="1:4" x14ac:dyDescent="0.3">
      <c r="A112">
        <v>110</v>
      </c>
      <c r="B112">
        <v>95.5</v>
      </c>
      <c r="C112">
        <v>71.5</v>
      </c>
      <c r="D112">
        <v>-0.12087513599999999</v>
      </c>
    </row>
    <row r="113" spans="1:4" x14ac:dyDescent="0.3">
      <c r="A113">
        <v>111</v>
      </c>
      <c r="B113">
        <v>94.5</v>
      </c>
      <c r="C113">
        <v>70.5</v>
      </c>
      <c r="D113">
        <v>-0.120855658</v>
      </c>
    </row>
    <row r="114" spans="1:4" x14ac:dyDescent="0.3">
      <c r="A114">
        <v>112</v>
      </c>
      <c r="B114">
        <v>94</v>
      </c>
      <c r="C114">
        <v>70</v>
      </c>
      <c r="D114">
        <v>-8.0576931000000004E-2</v>
      </c>
    </row>
    <row r="115" spans="1:4" x14ac:dyDescent="0.3">
      <c r="A115">
        <v>113</v>
      </c>
      <c r="B115">
        <v>93</v>
      </c>
      <c r="C115">
        <v>69</v>
      </c>
      <c r="D115">
        <v>-8.0583424000000001E-2</v>
      </c>
    </row>
    <row r="116" spans="1:4" x14ac:dyDescent="0.3">
      <c r="A116">
        <v>114</v>
      </c>
      <c r="B116">
        <v>93</v>
      </c>
      <c r="C116">
        <v>69</v>
      </c>
      <c r="D116">
        <v>-8.0586670999999999E-2</v>
      </c>
    </row>
    <row r="117" spans="1:4" x14ac:dyDescent="0.3">
      <c r="A117">
        <v>115</v>
      </c>
      <c r="B117">
        <v>95.5</v>
      </c>
      <c r="C117">
        <v>71.5</v>
      </c>
      <c r="D117">
        <v>-0.12087513599999999</v>
      </c>
    </row>
    <row r="118" spans="1:4" x14ac:dyDescent="0.3">
      <c r="A118">
        <v>116</v>
      </c>
      <c r="B118">
        <v>94.5</v>
      </c>
      <c r="C118">
        <v>70.5</v>
      </c>
      <c r="D118">
        <v>-0.120841054</v>
      </c>
    </row>
    <row r="119" spans="1:4" x14ac:dyDescent="0.3">
      <c r="A119">
        <v>117</v>
      </c>
      <c r="B119">
        <v>94.5</v>
      </c>
      <c r="C119">
        <v>70.5</v>
      </c>
      <c r="D119">
        <v>-0.120860527</v>
      </c>
    </row>
    <row r="120" spans="1:4" x14ac:dyDescent="0.3">
      <c r="A120">
        <v>118</v>
      </c>
      <c r="B120">
        <v>93</v>
      </c>
      <c r="C120">
        <v>69</v>
      </c>
      <c r="D120">
        <v>-8.0563947999999996E-2</v>
      </c>
    </row>
    <row r="121" spans="1:4" x14ac:dyDescent="0.3">
      <c r="A121">
        <v>119</v>
      </c>
      <c r="B121">
        <v>93</v>
      </c>
      <c r="C121">
        <v>69</v>
      </c>
      <c r="D121">
        <v>-8.0557457999999998E-2</v>
      </c>
    </row>
    <row r="122" spans="1:4" x14ac:dyDescent="0.3">
      <c r="A122">
        <v>120</v>
      </c>
      <c r="B122">
        <v>95.5</v>
      </c>
      <c r="C122">
        <v>71.5</v>
      </c>
      <c r="D122">
        <v>-0.120865396</v>
      </c>
    </row>
    <row r="123" spans="1:4" x14ac:dyDescent="0.3">
      <c r="A123">
        <v>121</v>
      </c>
      <c r="B123">
        <v>94.5</v>
      </c>
      <c r="C123">
        <v>70.5</v>
      </c>
      <c r="D123">
        <v>-0.120860527</v>
      </c>
    </row>
    <row r="124" spans="1:4" x14ac:dyDescent="0.3">
      <c r="A124">
        <v>122</v>
      </c>
      <c r="B124">
        <v>94.5</v>
      </c>
      <c r="C124">
        <v>70.5</v>
      </c>
      <c r="D124">
        <v>-0.120860527</v>
      </c>
    </row>
    <row r="125" spans="1:4" x14ac:dyDescent="0.3">
      <c r="A125">
        <v>123</v>
      </c>
      <c r="B125">
        <v>93</v>
      </c>
      <c r="C125">
        <v>69</v>
      </c>
      <c r="D125">
        <v>-8.0580177000000003E-2</v>
      </c>
    </row>
    <row r="126" spans="1:4" x14ac:dyDescent="0.3">
      <c r="A126">
        <v>124</v>
      </c>
      <c r="B126">
        <v>93</v>
      </c>
      <c r="C126">
        <v>69</v>
      </c>
      <c r="D126">
        <v>-8.0583424000000001E-2</v>
      </c>
    </row>
    <row r="127" spans="1:4" x14ac:dyDescent="0.3">
      <c r="A127">
        <v>125</v>
      </c>
      <c r="B127">
        <v>92</v>
      </c>
      <c r="C127">
        <v>68</v>
      </c>
      <c r="D127">
        <v>-8.0576931000000004E-2</v>
      </c>
    </row>
    <row r="128" spans="1:4" x14ac:dyDescent="0.3">
      <c r="A128">
        <v>126</v>
      </c>
      <c r="B128">
        <v>91.5</v>
      </c>
      <c r="C128">
        <v>67.5</v>
      </c>
      <c r="D128">
        <v>-9.6702446999999997E-2</v>
      </c>
    </row>
    <row r="129" spans="1:4" x14ac:dyDescent="0.3">
      <c r="A129">
        <v>127</v>
      </c>
      <c r="B129">
        <v>95.5</v>
      </c>
      <c r="C129">
        <v>71.5</v>
      </c>
      <c r="D129">
        <v>-0.120889749</v>
      </c>
    </row>
    <row r="130" spans="1:4" x14ac:dyDescent="0.3">
      <c r="A130">
        <v>128</v>
      </c>
      <c r="B130">
        <v>94.5</v>
      </c>
      <c r="C130">
        <v>70.5</v>
      </c>
      <c r="D130">
        <v>-0.120899492</v>
      </c>
    </row>
    <row r="131" spans="1:4" x14ac:dyDescent="0.3">
      <c r="A131">
        <v>129</v>
      </c>
      <c r="B131">
        <v>94.5</v>
      </c>
      <c r="C131">
        <v>70.5</v>
      </c>
      <c r="D131">
        <v>-0.120899492</v>
      </c>
    </row>
    <row r="132" spans="1:4" x14ac:dyDescent="0.3">
      <c r="A132">
        <v>130</v>
      </c>
      <c r="B132">
        <v>93.5</v>
      </c>
      <c r="C132">
        <v>69.5</v>
      </c>
      <c r="D132">
        <v>-0.12089461999999999</v>
      </c>
    </row>
    <row r="133" spans="1:4" x14ac:dyDescent="0.3">
      <c r="A133">
        <v>131</v>
      </c>
      <c r="B133">
        <v>93</v>
      </c>
      <c r="C133">
        <v>69</v>
      </c>
      <c r="D133">
        <v>-8.0596413000000006E-2</v>
      </c>
    </row>
    <row r="134" spans="1:4" x14ac:dyDescent="0.3">
      <c r="A134">
        <v>132</v>
      </c>
      <c r="B134">
        <v>92</v>
      </c>
      <c r="C134">
        <v>68</v>
      </c>
      <c r="D134">
        <v>-8.0589917999999997E-2</v>
      </c>
    </row>
    <row r="135" spans="1:4" x14ac:dyDescent="0.3">
      <c r="A135">
        <v>133</v>
      </c>
      <c r="B135">
        <v>92</v>
      </c>
      <c r="C135">
        <v>68</v>
      </c>
      <c r="D135">
        <v>-8.0586670999999999E-2</v>
      </c>
    </row>
    <row r="136" spans="1:4" x14ac:dyDescent="0.3">
      <c r="A136">
        <v>134</v>
      </c>
      <c r="B136">
        <v>91</v>
      </c>
      <c r="C136">
        <v>67</v>
      </c>
      <c r="D136">
        <v>-8.0589917999999997E-2</v>
      </c>
    </row>
    <row r="137" spans="1:4" x14ac:dyDescent="0.3">
      <c r="A137">
        <v>135</v>
      </c>
      <c r="B137">
        <v>195</v>
      </c>
      <c r="C137">
        <v>171</v>
      </c>
      <c r="D137">
        <v>-0.40288465400000001</v>
      </c>
    </row>
    <row r="138" spans="1:4" x14ac:dyDescent="0.3">
      <c r="A138">
        <v>136</v>
      </c>
      <c r="B138">
        <v>192</v>
      </c>
      <c r="C138">
        <v>168</v>
      </c>
      <c r="D138">
        <v>-0.40286842299999998</v>
      </c>
    </row>
    <row r="139" spans="1:4" x14ac:dyDescent="0.3">
      <c r="A139">
        <v>137</v>
      </c>
      <c r="B139">
        <v>190</v>
      </c>
      <c r="C139">
        <v>166</v>
      </c>
      <c r="D139">
        <v>-0.40286842299999998</v>
      </c>
    </row>
    <row r="140" spans="1:4" x14ac:dyDescent="0.3">
      <c r="A140">
        <v>138</v>
      </c>
      <c r="B140">
        <v>104</v>
      </c>
      <c r="C140">
        <v>80</v>
      </c>
      <c r="D140">
        <v>-0.16119932300000001</v>
      </c>
    </row>
    <row r="141" spans="1:4" x14ac:dyDescent="0.3">
      <c r="A141">
        <v>139</v>
      </c>
      <c r="B141">
        <v>103</v>
      </c>
      <c r="C141">
        <v>79</v>
      </c>
      <c r="D141">
        <v>-8.0596413000000006E-2</v>
      </c>
    </row>
    <row r="142" spans="1:4" x14ac:dyDescent="0.3">
      <c r="A142">
        <v>140</v>
      </c>
      <c r="B142">
        <v>102.5</v>
      </c>
      <c r="C142">
        <v>78.5</v>
      </c>
      <c r="D142">
        <v>-0.120899492</v>
      </c>
    </row>
    <row r="143" spans="1:4" x14ac:dyDescent="0.3">
      <c r="A143">
        <v>141</v>
      </c>
      <c r="B143">
        <v>102</v>
      </c>
      <c r="C143">
        <v>78</v>
      </c>
      <c r="D143">
        <v>-8.0589917999999997E-2</v>
      </c>
    </row>
    <row r="144" spans="1:4" x14ac:dyDescent="0.3">
      <c r="A144">
        <v>142</v>
      </c>
      <c r="B144">
        <v>100.5</v>
      </c>
      <c r="C144">
        <v>76.5</v>
      </c>
      <c r="D144">
        <v>-0.12087513599999999</v>
      </c>
    </row>
    <row r="145" spans="1:4" x14ac:dyDescent="0.3">
      <c r="A145">
        <v>143</v>
      </c>
      <c r="B145">
        <v>103.5</v>
      </c>
      <c r="C145">
        <v>79.5</v>
      </c>
      <c r="D145">
        <v>-0.120841054</v>
      </c>
    </row>
    <row r="146" spans="1:4" x14ac:dyDescent="0.3">
      <c r="A146">
        <v>144</v>
      </c>
      <c r="B146">
        <v>103</v>
      </c>
      <c r="C146">
        <v>79</v>
      </c>
      <c r="D146">
        <v>-8.0550969E-2</v>
      </c>
    </row>
    <row r="147" spans="1:4" x14ac:dyDescent="0.3">
      <c r="A147">
        <v>145</v>
      </c>
      <c r="B147">
        <v>102.5</v>
      </c>
      <c r="C147">
        <v>78.5</v>
      </c>
      <c r="D147">
        <v>-0.12083131900000001</v>
      </c>
    </row>
    <row r="148" spans="1:4" x14ac:dyDescent="0.3">
      <c r="A148">
        <v>146</v>
      </c>
      <c r="B148">
        <v>101.5</v>
      </c>
      <c r="C148">
        <v>77.5</v>
      </c>
      <c r="D148">
        <v>-0.120841054</v>
      </c>
    </row>
    <row r="149" spans="1:4" x14ac:dyDescent="0.3">
      <c r="A149">
        <v>147</v>
      </c>
      <c r="B149">
        <v>100.5</v>
      </c>
      <c r="C149">
        <v>76.5</v>
      </c>
      <c r="D149">
        <v>-0.12085079</v>
      </c>
    </row>
    <row r="150" spans="1:4" x14ac:dyDescent="0.3">
      <c r="A150">
        <v>148</v>
      </c>
      <c r="B150">
        <v>100.5</v>
      </c>
      <c r="C150">
        <v>76.5</v>
      </c>
      <c r="D150">
        <v>-0.12085079</v>
      </c>
    </row>
    <row r="151" spans="1:4" x14ac:dyDescent="0.3">
      <c r="A151">
        <v>149</v>
      </c>
      <c r="B151">
        <v>104.5</v>
      </c>
      <c r="C151">
        <v>80.5</v>
      </c>
      <c r="D151">
        <v>-0.116786048</v>
      </c>
    </row>
    <row r="152" spans="1:4" x14ac:dyDescent="0.3">
      <c r="A152">
        <v>150</v>
      </c>
      <c r="B152">
        <v>103.5</v>
      </c>
      <c r="C152">
        <v>79.5</v>
      </c>
      <c r="D152">
        <v>-0.120884877</v>
      </c>
    </row>
    <row r="153" spans="1:4" x14ac:dyDescent="0.3">
      <c r="A153">
        <v>151</v>
      </c>
      <c r="B153">
        <v>103</v>
      </c>
      <c r="C153">
        <v>79</v>
      </c>
      <c r="D153">
        <v>-8.0586670999999999E-2</v>
      </c>
    </row>
    <row r="154" spans="1:4" x14ac:dyDescent="0.3">
      <c r="A154">
        <v>152</v>
      </c>
      <c r="B154">
        <v>102.5</v>
      </c>
      <c r="C154">
        <v>78.5</v>
      </c>
      <c r="D154">
        <v>-0.120865396</v>
      </c>
    </row>
    <row r="155" spans="1:4" x14ac:dyDescent="0.3">
      <c r="A155">
        <v>153</v>
      </c>
      <c r="B155">
        <v>104.5</v>
      </c>
      <c r="C155">
        <v>80.5</v>
      </c>
      <c r="D155">
        <v>-0.12087513599999999</v>
      </c>
    </row>
    <row r="156" spans="1:4" x14ac:dyDescent="0.3">
      <c r="A156">
        <v>154</v>
      </c>
      <c r="B156">
        <v>104</v>
      </c>
      <c r="C156">
        <v>80</v>
      </c>
      <c r="D156">
        <v>-0.16114736900000001</v>
      </c>
    </row>
    <row r="157" spans="1:4" x14ac:dyDescent="0.3">
      <c r="A157">
        <v>155</v>
      </c>
      <c r="B157">
        <v>103.5</v>
      </c>
      <c r="C157">
        <v>79.5</v>
      </c>
      <c r="D157">
        <v>-0.120870266</v>
      </c>
    </row>
    <row r="158" spans="1:4" x14ac:dyDescent="0.3">
      <c r="A158">
        <v>156</v>
      </c>
      <c r="B158">
        <v>102.5</v>
      </c>
      <c r="C158">
        <v>78.5</v>
      </c>
      <c r="D158">
        <v>-0.120880006</v>
      </c>
    </row>
    <row r="159" spans="1:4" x14ac:dyDescent="0.3">
      <c r="A159">
        <v>157</v>
      </c>
      <c r="B159">
        <v>101.5</v>
      </c>
      <c r="C159">
        <v>77.5</v>
      </c>
      <c r="D159">
        <v>-0.120865396</v>
      </c>
    </row>
    <row r="160" spans="1:4" x14ac:dyDescent="0.3">
      <c r="A160">
        <v>158</v>
      </c>
      <c r="B160">
        <v>100.5</v>
      </c>
      <c r="C160">
        <v>76.5</v>
      </c>
      <c r="D160">
        <v>-0.120865396</v>
      </c>
    </row>
    <row r="161" spans="1:4" x14ac:dyDescent="0.3">
      <c r="A161">
        <v>159</v>
      </c>
      <c r="B161">
        <v>100.5</v>
      </c>
      <c r="C161">
        <v>76.5</v>
      </c>
      <c r="D161">
        <v>-0.120870266</v>
      </c>
    </row>
    <row r="162" spans="1:4" x14ac:dyDescent="0.3">
      <c r="A162">
        <v>160</v>
      </c>
      <c r="B162">
        <v>99.5</v>
      </c>
      <c r="C162">
        <v>75.5</v>
      </c>
      <c r="D162">
        <v>-0.120855658</v>
      </c>
    </row>
    <row r="163" spans="1:4" x14ac:dyDescent="0.3">
      <c r="A163">
        <v>161</v>
      </c>
      <c r="B163">
        <v>188.5</v>
      </c>
      <c r="C163">
        <v>164.5</v>
      </c>
      <c r="D163">
        <v>-0.36269847700000002</v>
      </c>
    </row>
    <row r="164" spans="1:4" x14ac:dyDescent="0.3">
      <c r="A164">
        <v>162</v>
      </c>
      <c r="B164">
        <v>186</v>
      </c>
      <c r="C164">
        <v>162</v>
      </c>
      <c r="D164">
        <v>-0.322333696</v>
      </c>
    </row>
    <row r="165" spans="1:4" x14ac:dyDescent="0.3">
      <c r="A165">
        <v>163</v>
      </c>
      <c r="B165">
        <v>109.5</v>
      </c>
      <c r="C165">
        <v>85.5</v>
      </c>
      <c r="D165">
        <v>-0.120855658</v>
      </c>
    </row>
    <row r="166" spans="1:4" x14ac:dyDescent="0.3">
      <c r="A166">
        <v>164</v>
      </c>
      <c r="B166">
        <v>108.5</v>
      </c>
      <c r="C166">
        <v>84.5</v>
      </c>
      <c r="D166">
        <v>-0.12085079</v>
      </c>
    </row>
    <row r="167" spans="1:4" x14ac:dyDescent="0.3">
      <c r="A167">
        <v>165</v>
      </c>
      <c r="B167">
        <v>108</v>
      </c>
      <c r="C167">
        <v>84</v>
      </c>
      <c r="D167">
        <v>-8.0576931000000004E-2</v>
      </c>
    </row>
    <row r="168" spans="1:4" x14ac:dyDescent="0.3">
      <c r="A168">
        <v>166</v>
      </c>
      <c r="B168">
        <v>107.5</v>
      </c>
      <c r="C168">
        <v>83.5</v>
      </c>
      <c r="D168">
        <v>-0.120884877</v>
      </c>
    </row>
    <row r="169" spans="1:4" x14ac:dyDescent="0.3">
      <c r="A169">
        <v>167</v>
      </c>
      <c r="B169">
        <v>106.5</v>
      </c>
      <c r="C169">
        <v>82.5</v>
      </c>
      <c r="D169">
        <v>-0.120880006</v>
      </c>
    </row>
    <row r="170" spans="1:4" x14ac:dyDescent="0.3">
      <c r="A170">
        <v>168</v>
      </c>
      <c r="B170">
        <v>105.5</v>
      </c>
      <c r="C170">
        <v>81.5</v>
      </c>
      <c r="D170">
        <v>-0.12089461999999999</v>
      </c>
    </row>
    <row r="171" spans="1:4" x14ac:dyDescent="0.3">
      <c r="A171">
        <v>169</v>
      </c>
      <c r="B171">
        <v>105.5</v>
      </c>
      <c r="C171">
        <v>81.5</v>
      </c>
      <c r="D171">
        <v>-0.120880006</v>
      </c>
    </row>
    <row r="172" spans="1:4" x14ac:dyDescent="0.3">
      <c r="A172">
        <v>170</v>
      </c>
      <c r="B172">
        <v>104.5</v>
      </c>
      <c r="C172">
        <v>80.5</v>
      </c>
      <c r="D172">
        <v>-0.120870266</v>
      </c>
    </row>
    <row r="173" spans="1:4" x14ac:dyDescent="0.3">
      <c r="A173">
        <v>171</v>
      </c>
      <c r="B173">
        <v>109.5</v>
      </c>
      <c r="C173">
        <v>85.5</v>
      </c>
      <c r="D173">
        <v>-0.120899492</v>
      </c>
    </row>
    <row r="174" spans="1:4" x14ac:dyDescent="0.3">
      <c r="A174">
        <v>172</v>
      </c>
      <c r="B174">
        <v>109</v>
      </c>
      <c r="C174">
        <v>85</v>
      </c>
      <c r="D174">
        <v>-0.16119282700000001</v>
      </c>
    </row>
    <row r="175" spans="1:4" x14ac:dyDescent="0.3">
      <c r="A175">
        <v>173</v>
      </c>
      <c r="B175">
        <v>108</v>
      </c>
      <c r="C175">
        <v>84</v>
      </c>
      <c r="D175">
        <v>-8.0580177000000003E-2</v>
      </c>
    </row>
    <row r="176" spans="1:4" x14ac:dyDescent="0.3">
      <c r="A176">
        <v>174</v>
      </c>
      <c r="B176">
        <v>107.5</v>
      </c>
      <c r="C176">
        <v>83.5</v>
      </c>
      <c r="D176">
        <v>-0.12087513599999999</v>
      </c>
    </row>
    <row r="177" spans="1:4" x14ac:dyDescent="0.3">
      <c r="A177">
        <v>175</v>
      </c>
      <c r="B177">
        <v>106.5</v>
      </c>
      <c r="C177">
        <v>82.5</v>
      </c>
      <c r="D177">
        <v>-0.120855658</v>
      </c>
    </row>
    <row r="178" spans="1:4" x14ac:dyDescent="0.3">
      <c r="A178">
        <v>176</v>
      </c>
      <c r="B178">
        <v>105.5</v>
      </c>
      <c r="C178">
        <v>81.5</v>
      </c>
      <c r="D178">
        <v>-0.120855658</v>
      </c>
    </row>
    <row r="179" spans="1:4" x14ac:dyDescent="0.3">
      <c r="A179">
        <v>177</v>
      </c>
      <c r="B179">
        <v>105.5</v>
      </c>
      <c r="C179">
        <v>81.5</v>
      </c>
      <c r="D179">
        <v>-0.12085079</v>
      </c>
    </row>
    <row r="180" spans="1:4" x14ac:dyDescent="0.3">
      <c r="A180">
        <v>178</v>
      </c>
      <c r="B180">
        <v>109.5</v>
      </c>
      <c r="C180">
        <v>85.5</v>
      </c>
      <c r="D180">
        <v>-0.12087513599999999</v>
      </c>
    </row>
    <row r="181" spans="1:4" x14ac:dyDescent="0.3">
      <c r="A181">
        <v>179</v>
      </c>
      <c r="B181">
        <v>109</v>
      </c>
      <c r="C181">
        <v>85</v>
      </c>
      <c r="D181">
        <v>-0.161166848</v>
      </c>
    </row>
    <row r="182" spans="1:4" x14ac:dyDescent="0.3">
      <c r="A182">
        <v>180</v>
      </c>
      <c r="B182">
        <v>108.5</v>
      </c>
      <c r="C182">
        <v>84.5</v>
      </c>
      <c r="D182">
        <v>-0.120870266</v>
      </c>
    </row>
    <row r="183" spans="1:4" x14ac:dyDescent="0.3">
      <c r="A183">
        <v>181</v>
      </c>
      <c r="B183">
        <v>107.5</v>
      </c>
      <c r="C183">
        <v>83.5</v>
      </c>
      <c r="D183">
        <v>-0.120865396</v>
      </c>
    </row>
    <row r="184" spans="1:4" x14ac:dyDescent="0.3">
      <c r="A184">
        <v>182</v>
      </c>
      <c r="B184">
        <v>107</v>
      </c>
      <c r="C184">
        <v>83</v>
      </c>
      <c r="D184">
        <v>-8.0576931000000004E-2</v>
      </c>
    </row>
    <row r="185" spans="1:4" x14ac:dyDescent="0.3">
      <c r="A185">
        <v>183</v>
      </c>
      <c r="B185">
        <v>105.5</v>
      </c>
      <c r="C185">
        <v>81.5</v>
      </c>
      <c r="D185">
        <v>-0.12085079</v>
      </c>
    </row>
    <row r="186" spans="1:4" x14ac:dyDescent="0.3">
      <c r="A186">
        <v>184</v>
      </c>
      <c r="B186">
        <v>105.5</v>
      </c>
      <c r="C186">
        <v>81.5</v>
      </c>
      <c r="D186">
        <v>-0.120855658</v>
      </c>
    </row>
    <row r="187" spans="1:4" x14ac:dyDescent="0.3">
      <c r="A187">
        <v>185</v>
      </c>
      <c r="B187">
        <v>104.5</v>
      </c>
      <c r="C187">
        <v>80.5</v>
      </c>
      <c r="D187">
        <v>-0.120860527</v>
      </c>
    </row>
    <row r="188" spans="1:4" x14ac:dyDescent="0.3">
      <c r="A188">
        <v>186</v>
      </c>
      <c r="B188">
        <v>104</v>
      </c>
      <c r="C188">
        <v>80</v>
      </c>
      <c r="D188">
        <v>-0.16116035500000001</v>
      </c>
    </row>
    <row r="189" spans="1:4" x14ac:dyDescent="0.3">
      <c r="A189">
        <v>187</v>
      </c>
      <c r="B189">
        <v>90.5</v>
      </c>
      <c r="C189">
        <v>66.5</v>
      </c>
      <c r="D189">
        <v>-0.120855658</v>
      </c>
    </row>
    <row r="190" spans="1:4" x14ac:dyDescent="0.3">
      <c r="A190">
        <v>188</v>
      </c>
      <c r="B190">
        <v>90</v>
      </c>
      <c r="C190">
        <v>66</v>
      </c>
      <c r="D190">
        <v>-8.0576931000000004E-2</v>
      </c>
    </row>
    <row r="191" spans="1:4" x14ac:dyDescent="0.3">
      <c r="A191">
        <v>189</v>
      </c>
      <c r="B191">
        <v>89.5</v>
      </c>
      <c r="C191">
        <v>65.5</v>
      </c>
      <c r="D191">
        <v>-0.120880006</v>
      </c>
    </row>
    <row r="192" spans="1:4" x14ac:dyDescent="0.3">
      <c r="A192">
        <v>190</v>
      </c>
      <c r="B192">
        <v>89</v>
      </c>
      <c r="C192">
        <v>65</v>
      </c>
      <c r="D192">
        <v>-8.0589917999999997E-2</v>
      </c>
    </row>
    <row r="193" spans="1:4" x14ac:dyDescent="0.3">
      <c r="A193">
        <v>191</v>
      </c>
      <c r="B193">
        <v>88</v>
      </c>
      <c r="C193">
        <v>64</v>
      </c>
      <c r="D193">
        <v>-8.0583424000000001E-2</v>
      </c>
    </row>
    <row r="194" spans="1:4" x14ac:dyDescent="0.3">
      <c r="A194">
        <v>192</v>
      </c>
      <c r="B194">
        <v>88</v>
      </c>
      <c r="C194">
        <v>64</v>
      </c>
      <c r="D194">
        <v>-8.0573685000000006E-2</v>
      </c>
    </row>
    <row r="195" spans="1:4" x14ac:dyDescent="0.3">
      <c r="A195">
        <v>193</v>
      </c>
      <c r="B195">
        <v>91</v>
      </c>
      <c r="C195">
        <v>67</v>
      </c>
      <c r="D195">
        <v>-8.0599661000000003E-2</v>
      </c>
    </row>
    <row r="196" spans="1:4" x14ac:dyDescent="0.3">
      <c r="A196">
        <v>194</v>
      </c>
      <c r="B196">
        <v>90.5</v>
      </c>
      <c r="C196">
        <v>66.5</v>
      </c>
      <c r="D196">
        <v>-0.120889749</v>
      </c>
    </row>
    <row r="197" spans="1:4" x14ac:dyDescent="0.3">
      <c r="A197">
        <v>195</v>
      </c>
      <c r="B197">
        <v>90</v>
      </c>
      <c r="C197">
        <v>66</v>
      </c>
      <c r="D197">
        <v>-8.0589917999999997E-2</v>
      </c>
    </row>
    <row r="198" spans="1:4" x14ac:dyDescent="0.3">
      <c r="A198">
        <v>196</v>
      </c>
      <c r="B198">
        <v>89.5</v>
      </c>
      <c r="C198">
        <v>65.5</v>
      </c>
      <c r="D198">
        <v>-0.12087513599999999</v>
      </c>
    </row>
    <row r="199" spans="1:4" x14ac:dyDescent="0.3">
      <c r="A199">
        <v>197</v>
      </c>
      <c r="B199">
        <v>89</v>
      </c>
      <c r="C199">
        <v>65</v>
      </c>
      <c r="D199">
        <v>-8.0580177000000003E-2</v>
      </c>
    </row>
    <row r="200" spans="1:4" x14ac:dyDescent="0.3">
      <c r="A200">
        <v>198</v>
      </c>
      <c r="B200">
        <v>88</v>
      </c>
      <c r="C200">
        <v>64</v>
      </c>
      <c r="D200">
        <v>-8.0580177000000003E-2</v>
      </c>
    </row>
    <row r="201" spans="1:4" x14ac:dyDescent="0.3">
      <c r="A201">
        <v>199</v>
      </c>
      <c r="B201">
        <v>88</v>
      </c>
      <c r="C201">
        <v>64</v>
      </c>
      <c r="D201">
        <v>-8.0583424000000001E-2</v>
      </c>
    </row>
    <row r="202" spans="1:4" x14ac:dyDescent="0.3">
      <c r="A202">
        <v>200</v>
      </c>
      <c r="B202">
        <v>87</v>
      </c>
      <c r="C202">
        <v>63</v>
      </c>
      <c r="D202">
        <v>-8.0576931000000004E-2</v>
      </c>
    </row>
    <row r="203" spans="1:4" x14ac:dyDescent="0.3">
      <c r="A203">
        <v>201</v>
      </c>
      <c r="B203">
        <v>172</v>
      </c>
      <c r="C203">
        <v>148</v>
      </c>
      <c r="D203">
        <v>-0.32235967300000001</v>
      </c>
    </row>
    <row r="204" spans="1:4" x14ac:dyDescent="0.3">
      <c r="A204">
        <v>202</v>
      </c>
      <c r="B204">
        <v>169.5</v>
      </c>
      <c r="C204">
        <v>145.5</v>
      </c>
      <c r="D204">
        <v>-0.28206471399999999</v>
      </c>
    </row>
    <row r="205" spans="1:4" x14ac:dyDescent="0.3">
      <c r="A205">
        <v>203</v>
      </c>
      <c r="B205">
        <v>168</v>
      </c>
      <c r="C205">
        <v>144</v>
      </c>
      <c r="D205">
        <v>-0.32234668399999999</v>
      </c>
    </row>
    <row r="206" spans="1:4" x14ac:dyDescent="0.3">
      <c r="A206">
        <v>204</v>
      </c>
      <c r="B206">
        <v>90.5</v>
      </c>
      <c r="C206">
        <v>66.5</v>
      </c>
      <c r="D206">
        <v>-0.120880006</v>
      </c>
    </row>
    <row r="207" spans="1:4" x14ac:dyDescent="0.3">
      <c r="A207">
        <v>205</v>
      </c>
      <c r="B207">
        <v>90</v>
      </c>
      <c r="C207">
        <v>66</v>
      </c>
      <c r="D207">
        <v>-8.0599661000000003E-2</v>
      </c>
    </row>
    <row r="208" spans="1:4" x14ac:dyDescent="0.3">
      <c r="A208">
        <v>206</v>
      </c>
      <c r="B208">
        <v>89.5</v>
      </c>
      <c r="C208">
        <v>65.5</v>
      </c>
      <c r="D208">
        <v>-0.120889749</v>
      </c>
    </row>
    <row r="209" spans="1:4" x14ac:dyDescent="0.3">
      <c r="A209">
        <v>207</v>
      </c>
      <c r="B209">
        <v>89</v>
      </c>
      <c r="C209">
        <v>65</v>
      </c>
      <c r="D209">
        <v>-8.0586670999999999E-2</v>
      </c>
    </row>
    <row r="210" spans="1:4" x14ac:dyDescent="0.3">
      <c r="A210">
        <v>208</v>
      </c>
      <c r="B210">
        <v>88</v>
      </c>
      <c r="C210">
        <v>64</v>
      </c>
      <c r="D210">
        <v>-8.0583424000000001E-2</v>
      </c>
    </row>
    <row r="211" spans="1:4" x14ac:dyDescent="0.3">
      <c r="A211">
        <v>209</v>
      </c>
      <c r="B211">
        <v>88</v>
      </c>
      <c r="C211">
        <v>64</v>
      </c>
      <c r="D211">
        <v>-8.0573685000000006E-2</v>
      </c>
    </row>
    <row r="212" spans="1:4" x14ac:dyDescent="0.3">
      <c r="A212">
        <v>210</v>
      </c>
      <c r="B212">
        <v>90.5</v>
      </c>
      <c r="C212">
        <v>66.5</v>
      </c>
      <c r="D212">
        <v>-9.6711799000000001E-2</v>
      </c>
    </row>
    <row r="213" spans="1:4" x14ac:dyDescent="0.3">
      <c r="A213">
        <v>211</v>
      </c>
      <c r="B213">
        <v>90.5</v>
      </c>
      <c r="C213">
        <v>66.5</v>
      </c>
      <c r="D213">
        <v>-9.6711799000000001E-2</v>
      </c>
    </row>
    <row r="214" spans="1:4" x14ac:dyDescent="0.3">
      <c r="A214">
        <v>212</v>
      </c>
      <c r="B214">
        <v>89.5</v>
      </c>
      <c r="C214">
        <v>65.5</v>
      </c>
      <c r="D214">
        <v>-9.6693096000000006E-2</v>
      </c>
    </row>
    <row r="215" spans="1:4" x14ac:dyDescent="0.3">
      <c r="A215">
        <v>213</v>
      </c>
      <c r="B215">
        <v>89</v>
      </c>
      <c r="C215">
        <v>65</v>
      </c>
      <c r="D215">
        <v>-8.0583424000000001E-2</v>
      </c>
    </row>
    <row r="216" spans="1:4" x14ac:dyDescent="0.3">
      <c r="A216">
        <v>214</v>
      </c>
      <c r="B216">
        <v>88</v>
      </c>
      <c r="C216">
        <v>64</v>
      </c>
      <c r="D216">
        <v>-8.0586670999999999E-2</v>
      </c>
    </row>
    <row r="217" spans="1:4" x14ac:dyDescent="0.3">
      <c r="A217">
        <v>215</v>
      </c>
      <c r="B217">
        <v>88</v>
      </c>
      <c r="C217">
        <v>64</v>
      </c>
      <c r="D217">
        <v>-8.0589917999999997E-2</v>
      </c>
    </row>
    <row r="218" spans="1:4" x14ac:dyDescent="0.3">
      <c r="A218">
        <v>216</v>
      </c>
      <c r="B218">
        <v>91</v>
      </c>
      <c r="C218">
        <v>67</v>
      </c>
      <c r="D218">
        <v>-8.0560701999999998E-2</v>
      </c>
    </row>
    <row r="219" spans="1:4" x14ac:dyDescent="0.3">
      <c r="A219">
        <v>217</v>
      </c>
      <c r="B219">
        <v>90.5</v>
      </c>
      <c r="C219">
        <v>66.5</v>
      </c>
      <c r="D219">
        <v>-0.120860527</v>
      </c>
    </row>
    <row r="220" spans="1:4" x14ac:dyDescent="0.3">
      <c r="A220">
        <v>218</v>
      </c>
      <c r="B220">
        <v>90</v>
      </c>
      <c r="C220">
        <v>66</v>
      </c>
      <c r="D220">
        <v>-8.0573685000000006E-2</v>
      </c>
    </row>
    <row r="221" spans="1:4" x14ac:dyDescent="0.3">
      <c r="A221">
        <v>219</v>
      </c>
      <c r="B221">
        <v>89.5</v>
      </c>
      <c r="C221">
        <v>65.5</v>
      </c>
      <c r="D221">
        <v>-0.120865396</v>
      </c>
    </row>
    <row r="222" spans="1:4" x14ac:dyDescent="0.3">
      <c r="A222">
        <v>220</v>
      </c>
      <c r="B222">
        <v>89</v>
      </c>
      <c r="C222">
        <v>65</v>
      </c>
      <c r="D222">
        <v>-8.0576931000000004E-2</v>
      </c>
    </row>
    <row r="223" spans="1:4" x14ac:dyDescent="0.3">
      <c r="A223">
        <v>221</v>
      </c>
      <c r="B223">
        <v>88</v>
      </c>
      <c r="C223">
        <v>64</v>
      </c>
      <c r="D223">
        <v>-8.0570438999999994E-2</v>
      </c>
    </row>
    <row r="224" spans="1:4" x14ac:dyDescent="0.3">
      <c r="A224">
        <v>222</v>
      </c>
      <c r="B224">
        <v>88</v>
      </c>
      <c r="C224">
        <v>64</v>
      </c>
      <c r="D224">
        <v>-8.0573685000000006E-2</v>
      </c>
    </row>
    <row r="225" spans="1:4" x14ac:dyDescent="0.3">
      <c r="A225">
        <v>223</v>
      </c>
      <c r="B225">
        <v>87</v>
      </c>
      <c r="C225">
        <v>63</v>
      </c>
      <c r="D225">
        <v>-8.0576931000000004E-2</v>
      </c>
    </row>
    <row r="226" spans="1:4" x14ac:dyDescent="0.3">
      <c r="A226">
        <v>224</v>
      </c>
      <c r="B226">
        <v>160</v>
      </c>
      <c r="C226">
        <v>136</v>
      </c>
      <c r="D226">
        <v>-0.241769755</v>
      </c>
    </row>
    <row r="227" spans="1:4" x14ac:dyDescent="0.3">
      <c r="A227">
        <v>225</v>
      </c>
      <c r="B227">
        <v>158.5</v>
      </c>
      <c r="C227">
        <v>134.5</v>
      </c>
      <c r="D227">
        <v>-0.28201925799999999</v>
      </c>
    </row>
    <row r="228" spans="1:4" x14ac:dyDescent="0.3">
      <c r="A228">
        <v>226</v>
      </c>
      <c r="B228">
        <v>156.5</v>
      </c>
      <c r="C228">
        <v>132.5</v>
      </c>
      <c r="D228">
        <v>-0.28203062000000001</v>
      </c>
    </row>
    <row r="229" spans="1:4" x14ac:dyDescent="0.3">
      <c r="A229">
        <v>227</v>
      </c>
      <c r="B229">
        <v>108.5</v>
      </c>
      <c r="C229">
        <v>84.5</v>
      </c>
      <c r="D229">
        <v>-0.120884877</v>
      </c>
    </row>
    <row r="230" spans="1:4" x14ac:dyDescent="0.3">
      <c r="A230">
        <v>228</v>
      </c>
      <c r="B230">
        <v>107.5</v>
      </c>
      <c r="C230">
        <v>83.5</v>
      </c>
      <c r="D230">
        <v>-0.120880006</v>
      </c>
    </row>
    <row r="231" spans="1:4" x14ac:dyDescent="0.3">
      <c r="A231">
        <v>229</v>
      </c>
      <c r="B231">
        <v>107</v>
      </c>
      <c r="C231">
        <v>83</v>
      </c>
      <c r="D231">
        <v>-8.0596413000000006E-2</v>
      </c>
    </row>
    <row r="232" spans="1:4" x14ac:dyDescent="0.3">
      <c r="A232">
        <v>230</v>
      </c>
      <c r="B232">
        <v>106</v>
      </c>
      <c r="C232">
        <v>82</v>
      </c>
      <c r="D232">
        <v>-0.16118633099999999</v>
      </c>
    </row>
    <row r="233" spans="1:4" x14ac:dyDescent="0.3">
      <c r="A233">
        <v>231</v>
      </c>
      <c r="B233">
        <v>105.5</v>
      </c>
      <c r="C233">
        <v>81.5</v>
      </c>
      <c r="D233">
        <v>-0.12087513599999999</v>
      </c>
    </row>
    <row r="234" spans="1:4" x14ac:dyDescent="0.3">
      <c r="A234">
        <v>232</v>
      </c>
      <c r="B234">
        <v>104.5</v>
      </c>
      <c r="C234">
        <v>80.5</v>
      </c>
      <c r="D234">
        <v>-0.12087513599999999</v>
      </c>
    </row>
    <row r="235" spans="1:4" x14ac:dyDescent="0.3">
      <c r="A235">
        <v>233</v>
      </c>
      <c r="B235">
        <v>104</v>
      </c>
      <c r="C235">
        <v>80</v>
      </c>
      <c r="D235">
        <v>-0.16116035500000001</v>
      </c>
    </row>
    <row r="236" spans="1:4" x14ac:dyDescent="0.3">
      <c r="A236">
        <v>234</v>
      </c>
      <c r="B236">
        <v>109.5</v>
      </c>
      <c r="C236">
        <v>85.5</v>
      </c>
      <c r="D236">
        <v>-0.120880006</v>
      </c>
    </row>
    <row r="237" spans="1:4" x14ac:dyDescent="0.3">
      <c r="A237">
        <v>235</v>
      </c>
      <c r="B237">
        <v>108.5</v>
      </c>
      <c r="C237">
        <v>84.5</v>
      </c>
      <c r="D237">
        <v>-0.120884877</v>
      </c>
    </row>
    <row r="238" spans="1:4" x14ac:dyDescent="0.3">
      <c r="A238">
        <v>236</v>
      </c>
      <c r="B238">
        <v>107.5</v>
      </c>
      <c r="C238">
        <v>83.5</v>
      </c>
      <c r="D238">
        <v>-0.120865396</v>
      </c>
    </row>
    <row r="239" spans="1:4" x14ac:dyDescent="0.3">
      <c r="A239">
        <v>237</v>
      </c>
      <c r="B239">
        <v>106.5</v>
      </c>
      <c r="C239">
        <v>82.5</v>
      </c>
      <c r="D239">
        <v>-0.120860527</v>
      </c>
    </row>
    <row r="240" spans="1:4" x14ac:dyDescent="0.3">
      <c r="A240">
        <v>238</v>
      </c>
      <c r="B240">
        <v>106</v>
      </c>
      <c r="C240">
        <v>82</v>
      </c>
      <c r="D240">
        <v>-0.16113438599999999</v>
      </c>
    </row>
    <row r="241" spans="1:4" x14ac:dyDescent="0.3">
      <c r="A241">
        <v>239</v>
      </c>
      <c r="B241">
        <v>105.5</v>
      </c>
      <c r="C241">
        <v>81.5</v>
      </c>
      <c r="D241">
        <v>-0.12085079</v>
      </c>
    </row>
    <row r="242" spans="1:4" x14ac:dyDescent="0.3">
      <c r="A242">
        <v>240</v>
      </c>
      <c r="B242">
        <v>104.5</v>
      </c>
      <c r="C242">
        <v>80.5</v>
      </c>
      <c r="D242">
        <v>-0.120855658</v>
      </c>
    </row>
    <row r="243" spans="1:4" x14ac:dyDescent="0.3">
      <c r="A243">
        <v>241</v>
      </c>
      <c r="B243">
        <v>109.5</v>
      </c>
      <c r="C243">
        <v>85.5</v>
      </c>
      <c r="D243">
        <v>-0.120855658</v>
      </c>
    </row>
    <row r="244" spans="1:4" x14ac:dyDescent="0.3">
      <c r="A244">
        <v>242</v>
      </c>
      <c r="B244">
        <v>108.5</v>
      </c>
      <c r="C244">
        <v>84.5</v>
      </c>
      <c r="D244">
        <v>-0.120870266</v>
      </c>
    </row>
    <row r="245" spans="1:4" x14ac:dyDescent="0.3">
      <c r="A245">
        <v>243</v>
      </c>
      <c r="B245">
        <v>107.5</v>
      </c>
      <c r="C245">
        <v>83.5</v>
      </c>
      <c r="D245">
        <v>-0.120870266</v>
      </c>
    </row>
    <row r="246" spans="1:4" x14ac:dyDescent="0.3">
      <c r="A246">
        <v>244</v>
      </c>
      <c r="B246">
        <v>107</v>
      </c>
      <c r="C246">
        <v>83</v>
      </c>
      <c r="D246">
        <v>-8.0589917999999997E-2</v>
      </c>
    </row>
    <row r="247" spans="1:4" x14ac:dyDescent="0.3">
      <c r="A247">
        <v>245</v>
      </c>
      <c r="B247">
        <v>106</v>
      </c>
      <c r="C247">
        <v>82</v>
      </c>
      <c r="D247">
        <v>-0.16117983599999999</v>
      </c>
    </row>
    <row r="248" spans="1:4" x14ac:dyDescent="0.3">
      <c r="A248">
        <v>246</v>
      </c>
      <c r="B248">
        <v>86</v>
      </c>
      <c r="C248">
        <v>62</v>
      </c>
      <c r="D248">
        <v>-7.9872204000000002E-2</v>
      </c>
    </row>
    <row r="249" spans="1:4" x14ac:dyDescent="0.3">
      <c r="A249">
        <v>247</v>
      </c>
      <c r="B249">
        <v>85.5</v>
      </c>
      <c r="C249">
        <v>61.5</v>
      </c>
      <c r="D249">
        <v>-0.119808307</v>
      </c>
    </row>
    <row r="250" spans="1:4" x14ac:dyDescent="0.3">
      <c r="A250">
        <v>248</v>
      </c>
      <c r="B250">
        <v>85</v>
      </c>
      <c r="C250">
        <v>61</v>
      </c>
      <c r="D250">
        <v>-7.6248570000000002E-2</v>
      </c>
    </row>
    <row r="251" spans="1:4" x14ac:dyDescent="0.3">
      <c r="A251">
        <v>249</v>
      </c>
      <c r="B251">
        <v>84.5</v>
      </c>
      <c r="C251">
        <v>60.5</v>
      </c>
      <c r="D251">
        <v>-0.11437285599999999</v>
      </c>
    </row>
    <row r="252" spans="1:4" x14ac:dyDescent="0.3">
      <c r="A252">
        <v>250</v>
      </c>
      <c r="B252">
        <v>84</v>
      </c>
      <c r="C252">
        <v>60</v>
      </c>
      <c r="D252">
        <v>-7.6896459E-2</v>
      </c>
    </row>
    <row r="253" spans="1:4" x14ac:dyDescent="0.3">
      <c r="A253">
        <v>251</v>
      </c>
      <c r="B253">
        <v>83</v>
      </c>
      <c r="C253">
        <v>59</v>
      </c>
      <c r="D253">
        <v>-7.6899415999999998E-2</v>
      </c>
    </row>
    <row r="254" spans="1:4" x14ac:dyDescent="0.3">
      <c r="A254">
        <v>252</v>
      </c>
      <c r="B254">
        <v>83</v>
      </c>
      <c r="C254">
        <v>59</v>
      </c>
      <c r="D254">
        <v>-8.0596413000000006E-2</v>
      </c>
    </row>
    <row r="255" spans="1:4" x14ac:dyDescent="0.3">
      <c r="A255">
        <v>253</v>
      </c>
      <c r="B255">
        <v>190</v>
      </c>
      <c r="C255">
        <v>166</v>
      </c>
      <c r="D255">
        <v>-0.38677238400000002</v>
      </c>
    </row>
    <row r="256" spans="1:4" x14ac:dyDescent="0.3">
      <c r="A256">
        <v>254</v>
      </c>
      <c r="B256">
        <v>187.5</v>
      </c>
      <c r="C256">
        <v>163.5</v>
      </c>
      <c r="D256">
        <v>-0.35449564900000002</v>
      </c>
    </row>
    <row r="257" spans="1:4" x14ac:dyDescent="0.3">
      <c r="A257">
        <v>255</v>
      </c>
      <c r="B257">
        <v>99.5</v>
      </c>
      <c r="C257">
        <v>75.5</v>
      </c>
      <c r="D257">
        <v>-0.12087513599999999</v>
      </c>
    </row>
    <row r="258" spans="1:4" x14ac:dyDescent="0.3">
      <c r="A258">
        <v>256</v>
      </c>
      <c r="B258">
        <v>99.5</v>
      </c>
      <c r="C258">
        <v>75.5</v>
      </c>
      <c r="D258">
        <v>-0.120884877</v>
      </c>
    </row>
    <row r="259" spans="1:4" x14ac:dyDescent="0.3">
      <c r="A259">
        <v>257</v>
      </c>
      <c r="B259">
        <v>98.5</v>
      </c>
      <c r="C259">
        <v>74.5</v>
      </c>
      <c r="D259">
        <v>-0.12087513599999999</v>
      </c>
    </row>
    <row r="260" spans="1:4" x14ac:dyDescent="0.3">
      <c r="A260">
        <v>258</v>
      </c>
      <c r="B260">
        <v>98</v>
      </c>
      <c r="C260">
        <v>74</v>
      </c>
      <c r="D260">
        <v>-8.0586670999999999E-2</v>
      </c>
    </row>
    <row r="261" spans="1:4" x14ac:dyDescent="0.3">
      <c r="A261">
        <v>259</v>
      </c>
      <c r="B261">
        <v>97</v>
      </c>
      <c r="C261">
        <v>73</v>
      </c>
      <c r="D261">
        <v>-8.0586670999999999E-2</v>
      </c>
    </row>
    <row r="262" spans="1:4" x14ac:dyDescent="0.3">
      <c r="A262">
        <v>260</v>
      </c>
      <c r="B262">
        <v>97</v>
      </c>
      <c r="C262">
        <v>73</v>
      </c>
      <c r="D262">
        <v>-8.0583424000000001E-2</v>
      </c>
    </row>
    <row r="263" spans="1:4" x14ac:dyDescent="0.3">
      <c r="A263">
        <v>261</v>
      </c>
      <c r="B263">
        <v>95.5</v>
      </c>
      <c r="C263">
        <v>71.5</v>
      </c>
      <c r="D263">
        <v>-0.120870266</v>
      </c>
    </row>
    <row r="264" spans="1:4" x14ac:dyDescent="0.3">
      <c r="A264">
        <v>262</v>
      </c>
      <c r="B264">
        <v>95.5</v>
      </c>
      <c r="C264">
        <v>71.5</v>
      </c>
      <c r="D264">
        <v>-0.120865396</v>
      </c>
    </row>
    <row r="265" spans="1:4" x14ac:dyDescent="0.3">
      <c r="A265">
        <v>263</v>
      </c>
      <c r="B265">
        <v>100</v>
      </c>
      <c r="C265">
        <v>76</v>
      </c>
      <c r="D265">
        <v>-0.12893659499999999</v>
      </c>
    </row>
    <row r="266" spans="1:4" x14ac:dyDescent="0.3">
      <c r="A266">
        <v>264</v>
      </c>
      <c r="B266">
        <v>99</v>
      </c>
      <c r="C266">
        <v>75</v>
      </c>
      <c r="D266">
        <v>-0.12893659499999999</v>
      </c>
    </row>
    <row r="267" spans="1:4" x14ac:dyDescent="0.3">
      <c r="A267">
        <v>265</v>
      </c>
      <c r="B267">
        <v>98</v>
      </c>
      <c r="C267">
        <v>74</v>
      </c>
      <c r="D267">
        <v>-8.0596413000000006E-2</v>
      </c>
    </row>
    <row r="268" spans="1:4" x14ac:dyDescent="0.3">
      <c r="A268">
        <v>266</v>
      </c>
      <c r="B268">
        <v>97</v>
      </c>
      <c r="C268">
        <v>73</v>
      </c>
      <c r="D268">
        <v>-8.0583424000000001E-2</v>
      </c>
    </row>
    <row r="269" spans="1:4" x14ac:dyDescent="0.3">
      <c r="A269">
        <v>267</v>
      </c>
      <c r="B269">
        <v>97</v>
      </c>
      <c r="C269">
        <v>73</v>
      </c>
      <c r="D269">
        <v>-8.0589917999999997E-2</v>
      </c>
    </row>
    <row r="270" spans="1:4" x14ac:dyDescent="0.3">
      <c r="A270">
        <v>268</v>
      </c>
      <c r="B270">
        <v>96</v>
      </c>
      <c r="C270">
        <v>72</v>
      </c>
      <c r="D270">
        <v>-8.0580177000000003E-2</v>
      </c>
    </row>
    <row r="271" spans="1:4" x14ac:dyDescent="0.3">
      <c r="A271">
        <v>269</v>
      </c>
      <c r="B271">
        <v>95.5</v>
      </c>
      <c r="C271">
        <v>71.5</v>
      </c>
      <c r="D271">
        <v>-0.120880006</v>
      </c>
    </row>
    <row r="272" spans="1:4" x14ac:dyDescent="0.3">
      <c r="A272">
        <v>270</v>
      </c>
      <c r="B272">
        <v>100</v>
      </c>
      <c r="C272">
        <v>76</v>
      </c>
      <c r="D272">
        <v>-0.161166848</v>
      </c>
    </row>
    <row r="273" spans="1:4" x14ac:dyDescent="0.3">
      <c r="A273">
        <v>271</v>
      </c>
      <c r="B273">
        <v>99</v>
      </c>
      <c r="C273">
        <v>75</v>
      </c>
      <c r="D273">
        <v>-0.12893659499999999</v>
      </c>
    </row>
    <row r="274" spans="1:4" x14ac:dyDescent="0.3">
      <c r="A274">
        <v>272</v>
      </c>
      <c r="B274">
        <v>98.5</v>
      </c>
      <c r="C274">
        <v>74.5</v>
      </c>
      <c r="D274">
        <v>-9.6702446999999997E-2</v>
      </c>
    </row>
    <row r="275" spans="1:4" x14ac:dyDescent="0.3">
      <c r="A275">
        <v>273</v>
      </c>
      <c r="B275">
        <v>97.5</v>
      </c>
      <c r="C275">
        <v>73.5</v>
      </c>
      <c r="D275">
        <v>-9.6696213000000003E-2</v>
      </c>
    </row>
    <row r="276" spans="1:4" x14ac:dyDescent="0.3">
      <c r="A276">
        <v>274</v>
      </c>
      <c r="B276">
        <v>97</v>
      </c>
      <c r="C276">
        <v>73</v>
      </c>
      <c r="D276">
        <v>-6.4459985999999997E-2</v>
      </c>
    </row>
    <row r="277" spans="1:4" x14ac:dyDescent="0.3">
      <c r="A277">
        <v>275</v>
      </c>
      <c r="B277">
        <v>95.5</v>
      </c>
      <c r="C277">
        <v>71.5</v>
      </c>
      <c r="D277">
        <v>-0.120865396</v>
      </c>
    </row>
    <row r="278" spans="1:4" x14ac:dyDescent="0.3">
      <c r="A278">
        <v>276</v>
      </c>
      <c r="B278">
        <v>96</v>
      </c>
      <c r="C278">
        <v>72</v>
      </c>
      <c r="D278">
        <v>-8.0570438999999994E-2</v>
      </c>
    </row>
    <row r="279" spans="1:4" x14ac:dyDescent="0.3">
      <c r="A279">
        <v>277</v>
      </c>
      <c r="B279">
        <v>95.5</v>
      </c>
      <c r="C279">
        <v>71.5</v>
      </c>
      <c r="D279">
        <v>-0.120841054</v>
      </c>
    </row>
    <row r="280" spans="1:4" x14ac:dyDescent="0.3">
      <c r="A280">
        <v>278</v>
      </c>
      <c r="B280">
        <v>95</v>
      </c>
      <c r="C280">
        <v>71</v>
      </c>
      <c r="D280">
        <v>-8.0563947999999996E-2</v>
      </c>
    </row>
    <row r="281" spans="1:4" x14ac:dyDescent="0.3">
      <c r="A281">
        <v>279</v>
      </c>
      <c r="B281">
        <v>94.5</v>
      </c>
      <c r="C281">
        <v>70.5</v>
      </c>
      <c r="D281">
        <v>-0.12085079</v>
      </c>
    </row>
    <row r="282" spans="1:4" x14ac:dyDescent="0.3">
      <c r="A282">
        <v>280</v>
      </c>
      <c r="B282">
        <v>93.5</v>
      </c>
      <c r="C282">
        <v>69.5</v>
      </c>
      <c r="D282">
        <v>-0.12087513599999999</v>
      </c>
    </row>
    <row r="283" spans="1:4" x14ac:dyDescent="0.3">
      <c r="A283">
        <v>281</v>
      </c>
      <c r="B283">
        <v>95.5</v>
      </c>
      <c r="C283">
        <v>71.5</v>
      </c>
      <c r="D283">
        <v>-0.120865396</v>
      </c>
    </row>
    <row r="284" spans="1:4" x14ac:dyDescent="0.3">
      <c r="A284">
        <v>282</v>
      </c>
      <c r="B284">
        <v>95</v>
      </c>
      <c r="C284">
        <v>71</v>
      </c>
      <c r="D284">
        <v>-8.0586670999999999E-2</v>
      </c>
    </row>
    <row r="285" spans="1:4" x14ac:dyDescent="0.3">
      <c r="A285">
        <v>283</v>
      </c>
      <c r="B285">
        <v>94.5</v>
      </c>
      <c r="C285">
        <v>70.5</v>
      </c>
      <c r="D285">
        <v>-0.12087513599999999</v>
      </c>
    </row>
    <row r="286" spans="1:4" x14ac:dyDescent="0.3">
      <c r="A286">
        <v>284</v>
      </c>
      <c r="B286">
        <v>94</v>
      </c>
      <c r="C286">
        <v>70</v>
      </c>
      <c r="D286">
        <v>-8.0580177000000003E-2</v>
      </c>
    </row>
    <row r="287" spans="1:4" x14ac:dyDescent="0.3">
      <c r="A287">
        <v>285</v>
      </c>
      <c r="B287">
        <v>93</v>
      </c>
      <c r="C287">
        <v>69</v>
      </c>
      <c r="D287">
        <v>-8.0589917999999997E-2</v>
      </c>
    </row>
    <row r="288" spans="1:4" x14ac:dyDescent="0.3">
      <c r="A288">
        <v>286</v>
      </c>
      <c r="B288">
        <v>93</v>
      </c>
      <c r="C288">
        <v>69</v>
      </c>
      <c r="D288">
        <v>-8.0589917999999997E-2</v>
      </c>
    </row>
    <row r="289" spans="1:4" x14ac:dyDescent="0.3">
      <c r="A289">
        <v>287</v>
      </c>
      <c r="B289">
        <v>92</v>
      </c>
      <c r="C289">
        <v>68</v>
      </c>
      <c r="D289">
        <v>-8.0593165999999994E-2</v>
      </c>
    </row>
    <row r="290" spans="1:4" x14ac:dyDescent="0.3">
      <c r="A290">
        <v>288</v>
      </c>
      <c r="B290">
        <v>92</v>
      </c>
      <c r="C290">
        <v>68</v>
      </c>
      <c r="D290">
        <v>-8.0589917999999997E-2</v>
      </c>
    </row>
    <row r="291" spans="1:4" x14ac:dyDescent="0.3">
      <c r="A291">
        <v>289</v>
      </c>
      <c r="B291">
        <v>95.5</v>
      </c>
      <c r="C291">
        <v>71.5</v>
      </c>
      <c r="D291">
        <v>-0.120880006</v>
      </c>
    </row>
    <row r="292" spans="1:4" x14ac:dyDescent="0.3">
      <c r="A292">
        <v>290</v>
      </c>
      <c r="B292">
        <v>95</v>
      </c>
      <c r="C292">
        <v>71</v>
      </c>
      <c r="D292">
        <v>-8.0567192999999995E-2</v>
      </c>
    </row>
    <row r="293" spans="1:4" x14ac:dyDescent="0.3">
      <c r="A293">
        <v>291</v>
      </c>
      <c r="B293">
        <v>94.5</v>
      </c>
      <c r="C293">
        <v>70.5</v>
      </c>
      <c r="D293">
        <v>-0.120855658</v>
      </c>
    </row>
    <row r="294" spans="1:4" x14ac:dyDescent="0.3">
      <c r="A294">
        <v>292</v>
      </c>
      <c r="B294">
        <v>94</v>
      </c>
      <c r="C294">
        <v>70</v>
      </c>
      <c r="D294">
        <v>-8.0567192999999995E-2</v>
      </c>
    </row>
    <row r="295" spans="1:4" x14ac:dyDescent="0.3">
      <c r="A295">
        <v>293</v>
      </c>
      <c r="B295">
        <v>93</v>
      </c>
      <c r="C295">
        <v>69</v>
      </c>
      <c r="D295">
        <v>-8.0563947999999996E-2</v>
      </c>
    </row>
    <row r="296" spans="1:4" x14ac:dyDescent="0.3">
      <c r="A296">
        <v>294</v>
      </c>
      <c r="B296">
        <v>93</v>
      </c>
      <c r="C296">
        <v>69</v>
      </c>
      <c r="D296">
        <v>-8.0586670999999999E-2</v>
      </c>
    </row>
    <row r="297" spans="1:4" x14ac:dyDescent="0.3">
      <c r="A297">
        <v>295</v>
      </c>
      <c r="B297">
        <v>92</v>
      </c>
      <c r="C297">
        <v>68</v>
      </c>
      <c r="D297">
        <v>-8.0583424000000001E-2</v>
      </c>
    </row>
    <row r="298" spans="1:4" x14ac:dyDescent="0.3">
      <c r="A298">
        <v>296</v>
      </c>
      <c r="B298">
        <v>218</v>
      </c>
      <c r="C298">
        <v>194</v>
      </c>
      <c r="D298">
        <v>-0.48353950899999998</v>
      </c>
    </row>
    <row r="299" spans="1:4" x14ac:dyDescent="0.3">
      <c r="A299">
        <v>297</v>
      </c>
      <c r="B299">
        <v>214.5</v>
      </c>
      <c r="C299">
        <v>190.5</v>
      </c>
      <c r="D299">
        <v>-0.52381336099999998</v>
      </c>
    </row>
    <row r="300" spans="1:4" x14ac:dyDescent="0.3">
      <c r="A300">
        <v>298</v>
      </c>
      <c r="B300">
        <v>211.5</v>
      </c>
      <c r="C300">
        <v>187.5</v>
      </c>
      <c r="D300">
        <v>-0.52379225600000001</v>
      </c>
    </row>
    <row r="301" spans="1:4" x14ac:dyDescent="0.3">
      <c r="A301">
        <v>299</v>
      </c>
      <c r="B301">
        <v>208.5</v>
      </c>
      <c r="C301">
        <v>184.5</v>
      </c>
      <c r="D301">
        <v>-0.52381336099999998</v>
      </c>
    </row>
    <row r="302" spans="1:4" x14ac:dyDescent="0.3">
      <c r="A302">
        <v>300</v>
      </c>
      <c r="B302">
        <v>206</v>
      </c>
      <c r="C302">
        <v>182</v>
      </c>
      <c r="D302">
        <v>-0.48348106400000002</v>
      </c>
    </row>
    <row r="303" spans="1:4" x14ac:dyDescent="0.3">
      <c r="A303">
        <v>301</v>
      </c>
      <c r="B303">
        <v>91</v>
      </c>
      <c r="C303">
        <v>67</v>
      </c>
      <c r="D303">
        <v>-8.0557457999999998E-2</v>
      </c>
    </row>
    <row r="304" spans="1:4" x14ac:dyDescent="0.3">
      <c r="A304">
        <v>302</v>
      </c>
      <c r="B304">
        <v>90.5</v>
      </c>
      <c r="C304">
        <v>66.5</v>
      </c>
      <c r="D304">
        <v>-0.120826453</v>
      </c>
    </row>
    <row r="305" spans="1:4" x14ac:dyDescent="0.3">
      <c r="A305">
        <v>303</v>
      </c>
      <c r="B305">
        <v>90</v>
      </c>
      <c r="C305">
        <v>66</v>
      </c>
      <c r="D305">
        <v>-8.0554213E-2</v>
      </c>
    </row>
    <row r="306" spans="1:4" x14ac:dyDescent="0.3">
      <c r="A306">
        <v>304</v>
      </c>
      <c r="B306">
        <v>89.5</v>
      </c>
      <c r="C306">
        <v>65.5</v>
      </c>
      <c r="D306">
        <v>-0.12085079</v>
      </c>
    </row>
    <row r="307" spans="1:4" x14ac:dyDescent="0.3">
      <c r="A307">
        <v>305</v>
      </c>
      <c r="B307">
        <v>89</v>
      </c>
      <c r="C307">
        <v>65</v>
      </c>
      <c r="D307">
        <v>-8.0586670999999999E-2</v>
      </c>
    </row>
    <row r="308" spans="1:4" x14ac:dyDescent="0.3">
      <c r="A308">
        <v>306</v>
      </c>
      <c r="B308">
        <v>88</v>
      </c>
      <c r="C308">
        <v>64</v>
      </c>
      <c r="D308">
        <v>-8.0593165999999994E-2</v>
      </c>
    </row>
    <row r="309" spans="1:4" x14ac:dyDescent="0.3">
      <c r="A309">
        <v>307</v>
      </c>
      <c r="B309">
        <v>88</v>
      </c>
      <c r="C309">
        <v>64</v>
      </c>
      <c r="D309">
        <v>-8.0593165999999994E-2</v>
      </c>
    </row>
    <row r="310" spans="1:4" x14ac:dyDescent="0.3">
      <c r="A310">
        <v>308</v>
      </c>
      <c r="B310">
        <v>91</v>
      </c>
      <c r="C310">
        <v>67</v>
      </c>
      <c r="D310">
        <v>-8.0583424000000001E-2</v>
      </c>
    </row>
    <row r="311" spans="1:4" x14ac:dyDescent="0.3">
      <c r="A311">
        <v>309</v>
      </c>
      <c r="B311">
        <v>90.5</v>
      </c>
      <c r="C311">
        <v>66.5</v>
      </c>
      <c r="D311">
        <v>-0.120865396</v>
      </c>
    </row>
    <row r="312" spans="1:4" x14ac:dyDescent="0.3">
      <c r="A312">
        <v>310</v>
      </c>
      <c r="B312">
        <v>90</v>
      </c>
      <c r="C312">
        <v>66</v>
      </c>
      <c r="D312">
        <v>-8.0570438999999994E-2</v>
      </c>
    </row>
    <row r="313" spans="1:4" x14ac:dyDescent="0.3">
      <c r="A313">
        <v>311</v>
      </c>
      <c r="B313">
        <v>89.5</v>
      </c>
      <c r="C313">
        <v>65.5</v>
      </c>
      <c r="D313">
        <v>-0.120841054</v>
      </c>
    </row>
    <row r="314" spans="1:4" x14ac:dyDescent="0.3">
      <c r="A314">
        <v>312</v>
      </c>
      <c r="B314">
        <v>89</v>
      </c>
      <c r="C314">
        <v>65</v>
      </c>
      <c r="D314">
        <v>-8.0563947999999996E-2</v>
      </c>
    </row>
    <row r="315" spans="1:4" x14ac:dyDescent="0.3">
      <c r="A315">
        <v>313</v>
      </c>
      <c r="B315">
        <v>88</v>
      </c>
      <c r="C315">
        <v>64</v>
      </c>
      <c r="D315">
        <v>-8.0570438999999994E-2</v>
      </c>
    </row>
    <row r="316" spans="1:4" x14ac:dyDescent="0.3">
      <c r="A316">
        <v>314</v>
      </c>
      <c r="B316">
        <v>88</v>
      </c>
      <c r="C316">
        <v>64</v>
      </c>
      <c r="D316">
        <v>-8.0570438999999994E-2</v>
      </c>
    </row>
    <row r="317" spans="1:4" x14ac:dyDescent="0.3">
      <c r="A317">
        <v>315</v>
      </c>
      <c r="B317">
        <v>91</v>
      </c>
      <c r="C317">
        <v>67</v>
      </c>
      <c r="D317">
        <v>-8.0589917999999997E-2</v>
      </c>
    </row>
    <row r="318" spans="1:4" x14ac:dyDescent="0.3">
      <c r="A318">
        <v>316</v>
      </c>
      <c r="B318">
        <v>90.5</v>
      </c>
      <c r="C318">
        <v>66.5</v>
      </c>
      <c r="D318">
        <v>-0.120884877</v>
      </c>
    </row>
    <row r="319" spans="1:4" x14ac:dyDescent="0.3">
      <c r="A319">
        <v>317</v>
      </c>
      <c r="B319">
        <v>90</v>
      </c>
      <c r="C319">
        <v>66</v>
      </c>
      <c r="D319">
        <v>-8.0583424000000001E-2</v>
      </c>
    </row>
    <row r="320" spans="1:4" x14ac:dyDescent="0.3">
      <c r="A320">
        <v>318</v>
      </c>
      <c r="B320">
        <v>89.5</v>
      </c>
      <c r="C320">
        <v>65.5</v>
      </c>
      <c r="D320">
        <v>-0.12087513599999999</v>
      </c>
    </row>
    <row r="321" spans="1:4" x14ac:dyDescent="0.3">
      <c r="A321">
        <v>319</v>
      </c>
      <c r="B321">
        <v>89</v>
      </c>
      <c r="C321">
        <v>65</v>
      </c>
      <c r="D321">
        <v>-8.0580177000000003E-2</v>
      </c>
    </row>
    <row r="322" spans="1:4" x14ac:dyDescent="0.3">
      <c r="A322">
        <v>320</v>
      </c>
      <c r="B322">
        <v>88</v>
      </c>
      <c r="C322">
        <v>64</v>
      </c>
      <c r="D322">
        <v>-8.0573685000000006E-2</v>
      </c>
    </row>
    <row r="323" spans="1:4" x14ac:dyDescent="0.3">
      <c r="A323">
        <v>321</v>
      </c>
      <c r="B323">
        <v>88</v>
      </c>
      <c r="C323">
        <v>64</v>
      </c>
      <c r="D323">
        <v>-8.0576931000000004E-2</v>
      </c>
    </row>
    <row r="324" spans="1:4" x14ac:dyDescent="0.3">
      <c r="A324">
        <v>322</v>
      </c>
      <c r="B324">
        <v>86.5</v>
      </c>
      <c r="C324">
        <v>62.5</v>
      </c>
      <c r="D324">
        <v>-4.0277106E-2</v>
      </c>
    </row>
    <row r="325" spans="1:4" x14ac:dyDescent="0.3">
      <c r="A325">
        <v>323</v>
      </c>
      <c r="B325">
        <v>86</v>
      </c>
      <c r="C325">
        <v>62</v>
      </c>
      <c r="D325">
        <v>-8.0567192999999995E-2</v>
      </c>
    </row>
    <row r="326" spans="1:4" x14ac:dyDescent="0.3">
      <c r="A326">
        <v>324</v>
      </c>
      <c r="B326">
        <v>85.5</v>
      </c>
      <c r="C326">
        <v>61.5</v>
      </c>
      <c r="D326">
        <v>-0.120865396</v>
      </c>
    </row>
    <row r="327" spans="1:4" x14ac:dyDescent="0.3">
      <c r="A327">
        <v>325</v>
      </c>
      <c r="B327">
        <v>85</v>
      </c>
      <c r="C327">
        <v>61</v>
      </c>
      <c r="D327">
        <v>-8.0589917999999997E-2</v>
      </c>
    </row>
    <row r="328" spans="1:4" x14ac:dyDescent="0.3">
      <c r="A328">
        <v>326</v>
      </c>
      <c r="B328">
        <v>85.5</v>
      </c>
      <c r="C328">
        <v>61.5</v>
      </c>
      <c r="D328">
        <v>-0.120865396</v>
      </c>
    </row>
    <row r="329" spans="1:4" x14ac:dyDescent="0.3">
      <c r="A329">
        <v>327</v>
      </c>
      <c r="B329">
        <v>85</v>
      </c>
      <c r="C329">
        <v>61</v>
      </c>
      <c r="D329">
        <v>-8.0576931000000004E-2</v>
      </c>
    </row>
    <row r="330" spans="1:4" x14ac:dyDescent="0.3">
      <c r="A330">
        <v>328</v>
      </c>
      <c r="B330">
        <v>85</v>
      </c>
      <c r="C330">
        <v>61</v>
      </c>
      <c r="D330">
        <v>-8.0580177000000003E-2</v>
      </c>
    </row>
    <row r="331" spans="1:4" x14ac:dyDescent="0.3">
      <c r="A331">
        <v>329</v>
      </c>
      <c r="B331">
        <v>84</v>
      </c>
      <c r="C331">
        <v>60</v>
      </c>
      <c r="D331">
        <v>-8.0593165999999994E-2</v>
      </c>
    </row>
    <row r="332" spans="1:4" x14ac:dyDescent="0.3">
      <c r="A332">
        <v>330</v>
      </c>
      <c r="B332">
        <v>83.5</v>
      </c>
      <c r="C332">
        <v>59.5</v>
      </c>
      <c r="D332">
        <v>-4.0291712E-2</v>
      </c>
    </row>
    <row r="333" spans="1:4" x14ac:dyDescent="0.3">
      <c r="A333">
        <v>331</v>
      </c>
      <c r="B333">
        <v>84.5</v>
      </c>
      <c r="C333">
        <v>60.5</v>
      </c>
      <c r="D333">
        <v>-0.120899492</v>
      </c>
    </row>
    <row r="334" spans="1:4" x14ac:dyDescent="0.3">
      <c r="A334">
        <v>332</v>
      </c>
      <c r="B334">
        <v>84.5</v>
      </c>
      <c r="C334">
        <v>60.5</v>
      </c>
      <c r="D334">
        <v>-0.12087513599999999</v>
      </c>
    </row>
    <row r="335" spans="1:4" x14ac:dyDescent="0.3">
      <c r="A335">
        <v>333</v>
      </c>
      <c r="B335">
        <v>83.5</v>
      </c>
      <c r="C335">
        <v>59.5</v>
      </c>
      <c r="D335">
        <v>-0.120865396</v>
      </c>
    </row>
    <row r="336" spans="1:4" x14ac:dyDescent="0.3">
      <c r="A336">
        <v>334</v>
      </c>
      <c r="B336">
        <v>83</v>
      </c>
      <c r="C336">
        <v>59</v>
      </c>
      <c r="D336">
        <v>-8.0573685000000006E-2</v>
      </c>
    </row>
    <row r="337" spans="1:4" x14ac:dyDescent="0.3">
      <c r="A337">
        <v>335</v>
      </c>
      <c r="B337">
        <v>82</v>
      </c>
      <c r="C337">
        <v>58</v>
      </c>
      <c r="D337">
        <v>-8.0563947999999996E-2</v>
      </c>
    </row>
    <row r="338" spans="1:4" x14ac:dyDescent="0.3">
      <c r="A338">
        <v>336</v>
      </c>
      <c r="B338">
        <v>82</v>
      </c>
      <c r="C338">
        <v>58</v>
      </c>
      <c r="D338">
        <v>-8.0573685000000006E-2</v>
      </c>
    </row>
    <row r="339" spans="1:4" x14ac:dyDescent="0.3">
      <c r="A339">
        <v>337</v>
      </c>
      <c r="B339">
        <v>81.5</v>
      </c>
      <c r="C339">
        <v>57.5</v>
      </c>
      <c r="D339">
        <v>-4.0293335E-2</v>
      </c>
    </row>
    <row r="340" spans="1:4" x14ac:dyDescent="0.3">
      <c r="A340">
        <v>338</v>
      </c>
      <c r="B340">
        <v>220</v>
      </c>
      <c r="C340">
        <v>196</v>
      </c>
      <c r="D340">
        <v>-0.48346158500000003</v>
      </c>
    </row>
    <row r="341" spans="1:4" x14ac:dyDescent="0.3">
      <c r="A341">
        <v>339</v>
      </c>
      <c r="B341">
        <v>217</v>
      </c>
      <c r="C341">
        <v>193</v>
      </c>
      <c r="D341">
        <v>-0.48346158500000003</v>
      </c>
    </row>
    <row r="342" spans="1:4" x14ac:dyDescent="0.3">
      <c r="A342">
        <v>340</v>
      </c>
      <c r="B342">
        <v>214.5</v>
      </c>
      <c r="C342">
        <v>190.5</v>
      </c>
      <c r="D342">
        <v>-0.52372894999999997</v>
      </c>
    </row>
    <row r="343" spans="1:4" x14ac:dyDescent="0.3">
      <c r="A343">
        <v>341</v>
      </c>
      <c r="B343">
        <v>104.5</v>
      </c>
      <c r="C343">
        <v>80.5</v>
      </c>
      <c r="D343">
        <v>-0.120880006</v>
      </c>
    </row>
    <row r="344" spans="1:4" x14ac:dyDescent="0.3">
      <c r="A344">
        <v>342</v>
      </c>
      <c r="B344">
        <v>104</v>
      </c>
      <c r="C344">
        <v>80</v>
      </c>
      <c r="D344">
        <v>-0.16119282700000001</v>
      </c>
    </row>
    <row r="345" spans="1:4" x14ac:dyDescent="0.3">
      <c r="A345">
        <v>343</v>
      </c>
      <c r="B345">
        <v>103</v>
      </c>
      <c r="C345">
        <v>79</v>
      </c>
      <c r="D345">
        <v>-8.0609406999999994E-2</v>
      </c>
    </row>
    <row r="346" spans="1:4" x14ac:dyDescent="0.3">
      <c r="A346">
        <v>344</v>
      </c>
      <c r="B346">
        <v>102.5</v>
      </c>
      <c r="C346">
        <v>78.5</v>
      </c>
      <c r="D346">
        <v>-0.120909237</v>
      </c>
    </row>
    <row r="347" spans="1:4" x14ac:dyDescent="0.3">
      <c r="A347">
        <v>345</v>
      </c>
      <c r="B347">
        <v>102</v>
      </c>
      <c r="C347">
        <v>78</v>
      </c>
      <c r="D347">
        <v>-8.0606157999999997E-2</v>
      </c>
    </row>
    <row r="348" spans="1:4" x14ac:dyDescent="0.3">
      <c r="A348">
        <v>346</v>
      </c>
      <c r="B348">
        <v>100.5</v>
      </c>
      <c r="C348">
        <v>76.5</v>
      </c>
      <c r="D348">
        <v>-0.12089461999999999</v>
      </c>
    </row>
    <row r="349" spans="1:4" x14ac:dyDescent="0.3">
      <c r="A349">
        <v>347</v>
      </c>
      <c r="B349">
        <v>100.5</v>
      </c>
      <c r="C349">
        <v>76.5</v>
      </c>
      <c r="D349">
        <v>-0.12087513599999999</v>
      </c>
    </row>
    <row r="350" spans="1:4" x14ac:dyDescent="0.3">
      <c r="A350">
        <v>348</v>
      </c>
      <c r="B350">
        <v>104.5</v>
      </c>
      <c r="C350">
        <v>80.5</v>
      </c>
      <c r="D350">
        <v>-0.120870266</v>
      </c>
    </row>
    <row r="351" spans="1:4" x14ac:dyDescent="0.3">
      <c r="A351">
        <v>349</v>
      </c>
      <c r="B351">
        <v>104</v>
      </c>
      <c r="C351">
        <v>80</v>
      </c>
      <c r="D351">
        <v>-0.161166848</v>
      </c>
    </row>
    <row r="352" spans="1:4" x14ac:dyDescent="0.3">
      <c r="A352">
        <v>350</v>
      </c>
      <c r="B352">
        <v>103</v>
      </c>
      <c r="C352">
        <v>79</v>
      </c>
      <c r="D352">
        <v>-8.0583424000000001E-2</v>
      </c>
    </row>
    <row r="353" spans="1:4" x14ac:dyDescent="0.3">
      <c r="A353">
        <v>351</v>
      </c>
      <c r="B353">
        <v>102.5</v>
      </c>
      <c r="C353">
        <v>78.5</v>
      </c>
      <c r="D353">
        <v>-0.12087513599999999</v>
      </c>
    </row>
    <row r="354" spans="1:4" x14ac:dyDescent="0.3">
      <c r="A354">
        <v>352</v>
      </c>
      <c r="B354">
        <v>102</v>
      </c>
      <c r="C354">
        <v>78</v>
      </c>
      <c r="D354">
        <v>-8.0586670999999999E-2</v>
      </c>
    </row>
    <row r="355" spans="1:4" x14ac:dyDescent="0.3">
      <c r="A355">
        <v>353</v>
      </c>
      <c r="B355">
        <v>100.5</v>
      </c>
      <c r="C355">
        <v>76.5</v>
      </c>
      <c r="D355">
        <v>-0.120865396</v>
      </c>
    </row>
    <row r="356" spans="1:4" x14ac:dyDescent="0.3">
      <c r="A356">
        <v>354</v>
      </c>
      <c r="B356">
        <v>100.5</v>
      </c>
      <c r="C356">
        <v>76.5</v>
      </c>
      <c r="D356">
        <v>-0.12087513599999999</v>
      </c>
    </row>
    <row r="357" spans="1:4" x14ac:dyDescent="0.3">
      <c r="A357">
        <v>355</v>
      </c>
      <c r="B357">
        <v>99.5</v>
      </c>
      <c r="C357">
        <v>75.5</v>
      </c>
      <c r="D357">
        <v>-0.12087513599999999</v>
      </c>
    </row>
    <row r="358" spans="1:4" x14ac:dyDescent="0.3">
      <c r="A358">
        <v>356</v>
      </c>
      <c r="B358">
        <v>104</v>
      </c>
      <c r="C358">
        <v>80</v>
      </c>
      <c r="D358">
        <v>-0.16113438599999999</v>
      </c>
    </row>
    <row r="359" spans="1:4" x14ac:dyDescent="0.3">
      <c r="A359">
        <v>357</v>
      </c>
      <c r="B359">
        <v>102.5</v>
      </c>
      <c r="C359">
        <v>78.5</v>
      </c>
      <c r="D359">
        <v>-0.120841054</v>
      </c>
    </row>
    <row r="360" spans="1:4" x14ac:dyDescent="0.3">
      <c r="A360">
        <v>358</v>
      </c>
      <c r="B360">
        <v>102.5</v>
      </c>
      <c r="C360">
        <v>78.5</v>
      </c>
      <c r="D360">
        <v>-0.12082158699999999</v>
      </c>
    </row>
    <row r="361" spans="1:4" x14ac:dyDescent="0.3">
      <c r="A361">
        <v>359</v>
      </c>
      <c r="B361">
        <v>101.5</v>
      </c>
      <c r="C361">
        <v>77.5</v>
      </c>
      <c r="D361">
        <v>-0.12085079</v>
      </c>
    </row>
    <row r="362" spans="1:4" x14ac:dyDescent="0.3">
      <c r="A362">
        <v>360</v>
      </c>
      <c r="B362">
        <v>100.5</v>
      </c>
      <c r="C362">
        <v>76.5</v>
      </c>
      <c r="D362">
        <v>-0.120860527</v>
      </c>
    </row>
    <row r="363" spans="1:4" x14ac:dyDescent="0.3">
      <c r="A363">
        <v>361</v>
      </c>
      <c r="B363">
        <v>229</v>
      </c>
      <c r="C363">
        <v>205</v>
      </c>
      <c r="D363">
        <v>-0.56408396800000005</v>
      </c>
    </row>
    <row r="364" spans="1:4" x14ac:dyDescent="0.3">
      <c r="A364">
        <v>362</v>
      </c>
      <c r="B364">
        <v>223.5</v>
      </c>
      <c r="C364">
        <v>199.5</v>
      </c>
      <c r="D364">
        <v>-0.48354340600000001</v>
      </c>
    </row>
    <row r="365" spans="1:4" x14ac:dyDescent="0.3">
      <c r="A365">
        <v>363</v>
      </c>
      <c r="B365">
        <v>220.5</v>
      </c>
      <c r="C365">
        <v>196.5</v>
      </c>
      <c r="D365">
        <v>-0.48348106400000002</v>
      </c>
    </row>
    <row r="366" spans="1:4" x14ac:dyDescent="0.3">
      <c r="A366">
        <v>364</v>
      </c>
      <c r="B366">
        <v>100</v>
      </c>
      <c r="C366">
        <v>76</v>
      </c>
      <c r="D366">
        <v>-8.0599661000000003E-2</v>
      </c>
    </row>
    <row r="367" spans="1:4" x14ac:dyDescent="0.3">
      <c r="A367">
        <v>365</v>
      </c>
      <c r="B367">
        <v>99.5</v>
      </c>
      <c r="C367">
        <v>75.5</v>
      </c>
      <c r="D367">
        <v>-0.120880006</v>
      </c>
    </row>
    <row r="368" spans="1:4" x14ac:dyDescent="0.3">
      <c r="A368">
        <v>366</v>
      </c>
      <c r="B368">
        <v>98.5</v>
      </c>
      <c r="C368">
        <v>74.5</v>
      </c>
      <c r="D368">
        <v>-0.120860527</v>
      </c>
    </row>
    <row r="369" spans="1:4" x14ac:dyDescent="0.3">
      <c r="A369">
        <v>367</v>
      </c>
      <c r="B369">
        <v>98</v>
      </c>
      <c r="C369">
        <v>74</v>
      </c>
      <c r="D369">
        <v>-8.0573685000000006E-2</v>
      </c>
    </row>
    <row r="370" spans="1:4" x14ac:dyDescent="0.3">
      <c r="A370">
        <v>368</v>
      </c>
      <c r="B370">
        <v>97.5</v>
      </c>
      <c r="C370">
        <v>73.5</v>
      </c>
      <c r="D370">
        <v>-0.120860527</v>
      </c>
    </row>
    <row r="371" spans="1:4" x14ac:dyDescent="0.3">
      <c r="A371">
        <v>369</v>
      </c>
      <c r="B371">
        <v>97</v>
      </c>
      <c r="C371">
        <v>73</v>
      </c>
      <c r="D371">
        <v>-8.0573685000000006E-2</v>
      </c>
    </row>
    <row r="372" spans="1:4" x14ac:dyDescent="0.3">
      <c r="A372">
        <v>370</v>
      </c>
      <c r="B372">
        <v>96</v>
      </c>
      <c r="C372">
        <v>72</v>
      </c>
      <c r="D372">
        <v>-8.0576931000000004E-2</v>
      </c>
    </row>
    <row r="373" spans="1:4" x14ac:dyDescent="0.3">
      <c r="A373">
        <v>371</v>
      </c>
      <c r="B373">
        <v>95.5</v>
      </c>
      <c r="C373">
        <v>71.5</v>
      </c>
      <c r="D373">
        <v>-0.120860527</v>
      </c>
    </row>
    <row r="374" spans="1:4" x14ac:dyDescent="0.3">
      <c r="A374">
        <v>372</v>
      </c>
      <c r="B374">
        <v>100.5</v>
      </c>
      <c r="C374">
        <v>76.5</v>
      </c>
      <c r="D374">
        <v>-0.120870266</v>
      </c>
    </row>
    <row r="375" spans="1:4" x14ac:dyDescent="0.3">
      <c r="A375">
        <v>373</v>
      </c>
      <c r="B375">
        <v>99.5</v>
      </c>
      <c r="C375">
        <v>75.5</v>
      </c>
      <c r="D375">
        <v>-0.120870266</v>
      </c>
    </row>
    <row r="376" spans="1:4" x14ac:dyDescent="0.3">
      <c r="A376">
        <v>374</v>
      </c>
      <c r="B376">
        <v>99</v>
      </c>
      <c r="C376">
        <v>75</v>
      </c>
      <c r="D376">
        <v>-8.0580177000000003E-2</v>
      </c>
    </row>
    <row r="377" spans="1:4" x14ac:dyDescent="0.3">
      <c r="A377">
        <v>375</v>
      </c>
      <c r="B377">
        <v>98</v>
      </c>
      <c r="C377">
        <v>74</v>
      </c>
      <c r="D377">
        <v>-8.0567192999999995E-2</v>
      </c>
    </row>
    <row r="378" spans="1:4" x14ac:dyDescent="0.3">
      <c r="A378">
        <v>376</v>
      </c>
      <c r="B378">
        <v>97.5</v>
      </c>
      <c r="C378">
        <v>73.5</v>
      </c>
      <c r="D378">
        <v>-0.120870266</v>
      </c>
    </row>
    <row r="379" spans="1:4" x14ac:dyDescent="0.3">
      <c r="A379">
        <v>377</v>
      </c>
      <c r="B379">
        <v>96.5</v>
      </c>
      <c r="C379">
        <v>72.5</v>
      </c>
      <c r="D379">
        <v>-9.6680632000000002E-2</v>
      </c>
    </row>
    <row r="380" spans="1:4" x14ac:dyDescent="0.3">
      <c r="A380">
        <v>378</v>
      </c>
      <c r="B380">
        <v>96</v>
      </c>
      <c r="C380">
        <v>72</v>
      </c>
      <c r="D380">
        <v>-0.12891166300000001</v>
      </c>
    </row>
    <row r="381" spans="1:4" x14ac:dyDescent="0.3">
      <c r="A381">
        <v>379</v>
      </c>
      <c r="B381">
        <v>95.5</v>
      </c>
      <c r="C381">
        <v>71.5</v>
      </c>
      <c r="D381">
        <v>-9.6680632000000002E-2</v>
      </c>
    </row>
    <row r="382" spans="1:4" x14ac:dyDescent="0.3">
      <c r="A382">
        <v>380</v>
      </c>
      <c r="B382">
        <v>100.5</v>
      </c>
      <c r="C382">
        <v>76.5</v>
      </c>
      <c r="D382">
        <v>-0.120880006</v>
      </c>
    </row>
    <row r="383" spans="1:4" x14ac:dyDescent="0.3">
      <c r="A383">
        <v>381</v>
      </c>
      <c r="B383">
        <v>99.5</v>
      </c>
      <c r="C383">
        <v>75.5</v>
      </c>
      <c r="D383">
        <v>-0.120880006</v>
      </c>
    </row>
    <row r="384" spans="1:4" x14ac:dyDescent="0.3">
      <c r="A384">
        <v>382</v>
      </c>
      <c r="B384">
        <v>99</v>
      </c>
      <c r="C384">
        <v>75</v>
      </c>
      <c r="D384">
        <v>-8.0596413000000006E-2</v>
      </c>
    </row>
    <row r="385" spans="1:4" x14ac:dyDescent="0.3">
      <c r="A385">
        <v>383</v>
      </c>
      <c r="B385">
        <v>98</v>
      </c>
      <c r="C385">
        <v>74</v>
      </c>
      <c r="D385">
        <v>-8.0593165999999994E-2</v>
      </c>
    </row>
    <row r="386" spans="1:4" x14ac:dyDescent="0.3">
      <c r="A386">
        <v>384</v>
      </c>
      <c r="B386">
        <v>97.5</v>
      </c>
      <c r="C386">
        <v>73.5</v>
      </c>
      <c r="D386">
        <v>-0.120899492</v>
      </c>
    </row>
    <row r="387" spans="1:4" x14ac:dyDescent="0.3">
      <c r="A387">
        <v>385</v>
      </c>
      <c r="B387">
        <v>97</v>
      </c>
      <c r="C387">
        <v>73</v>
      </c>
      <c r="D387">
        <v>-8.0583424000000001E-2</v>
      </c>
    </row>
    <row r="388" spans="1:4" x14ac:dyDescent="0.3">
      <c r="A388">
        <v>386</v>
      </c>
      <c r="B388">
        <v>96.5</v>
      </c>
      <c r="C388">
        <v>72.5</v>
      </c>
      <c r="D388">
        <v>-0.120880006</v>
      </c>
    </row>
    <row r="389" spans="1:4" x14ac:dyDescent="0.3">
      <c r="A389">
        <v>387</v>
      </c>
      <c r="B389">
        <v>95.5</v>
      </c>
      <c r="C389">
        <v>71.5</v>
      </c>
      <c r="D389">
        <v>-0.120889749</v>
      </c>
    </row>
    <row r="390" spans="1:4" x14ac:dyDescent="0.3">
      <c r="A390">
        <v>388</v>
      </c>
      <c r="B390">
        <v>95.5</v>
      </c>
      <c r="C390">
        <v>71.5</v>
      </c>
      <c r="D390">
        <v>-0.120855658</v>
      </c>
    </row>
    <row r="391" spans="1:4" x14ac:dyDescent="0.3">
      <c r="A391">
        <v>389</v>
      </c>
      <c r="B391">
        <v>95</v>
      </c>
      <c r="C391">
        <v>71</v>
      </c>
      <c r="D391">
        <v>-8.0576931000000004E-2</v>
      </c>
    </row>
    <row r="392" spans="1:4" x14ac:dyDescent="0.3">
      <c r="A392">
        <v>390</v>
      </c>
      <c r="B392">
        <v>94.5</v>
      </c>
      <c r="C392">
        <v>70.5</v>
      </c>
      <c r="D392">
        <v>-0.120860527</v>
      </c>
    </row>
    <row r="393" spans="1:4" x14ac:dyDescent="0.3">
      <c r="A393">
        <v>391</v>
      </c>
      <c r="B393">
        <v>93.5</v>
      </c>
      <c r="C393">
        <v>69.5</v>
      </c>
      <c r="D393">
        <v>-0.120884877</v>
      </c>
    </row>
    <row r="394" spans="1:4" x14ac:dyDescent="0.3">
      <c r="A394">
        <v>392</v>
      </c>
      <c r="B394">
        <v>93</v>
      </c>
      <c r="C394">
        <v>69</v>
      </c>
      <c r="D394">
        <v>-8.0596413000000006E-2</v>
      </c>
    </row>
    <row r="395" spans="1:4" x14ac:dyDescent="0.3">
      <c r="A395">
        <v>393</v>
      </c>
      <c r="B395">
        <v>92.5</v>
      </c>
      <c r="C395">
        <v>68.5</v>
      </c>
      <c r="D395">
        <v>-0.120889749</v>
      </c>
    </row>
    <row r="396" spans="1:4" x14ac:dyDescent="0.3">
      <c r="A396">
        <v>394</v>
      </c>
      <c r="B396">
        <v>95.5</v>
      </c>
      <c r="C396">
        <v>71.5</v>
      </c>
      <c r="D396">
        <v>-0.120855658</v>
      </c>
    </row>
    <row r="397" spans="1:4" x14ac:dyDescent="0.3">
      <c r="A397">
        <v>395</v>
      </c>
      <c r="B397">
        <v>95</v>
      </c>
      <c r="C397">
        <v>71</v>
      </c>
      <c r="D397">
        <v>-8.0596413000000006E-2</v>
      </c>
    </row>
    <row r="398" spans="1:4" x14ac:dyDescent="0.3">
      <c r="A398">
        <v>396</v>
      </c>
      <c r="B398">
        <v>94.5</v>
      </c>
      <c r="C398">
        <v>70.5</v>
      </c>
      <c r="D398">
        <v>-0.12089461999999999</v>
      </c>
    </row>
    <row r="399" spans="1:4" x14ac:dyDescent="0.3">
      <c r="A399">
        <v>397</v>
      </c>
      <c r="B399">
        <v>94</v>
      </c>
      <c r="C399">
        <v>70</v>
      </c>
      <c r="D399">
        <v>-8.0606157999999997E-2</v>
      </c>
    </row>
    <row r="400" spans="1:4" x14ac:dyDescent="0.3">
      <c r="A400">
        <v>398</v>
      </c>
      <c r="B400">
        <v>93</v>
      </c>
      <c r="C400">
        <v>69</v>
      </c>
      <c r="D400">
        <v>-8.0593165999999994E-2</v>
      </c>
    </row>
    <row r="401" spans="1:4" x14ac:dyDescent="0.3">
      <c r="A401">
        <v>399</v>
      </c>
      <c r="B401">
        <v>93</v>
      </c>
      <c r="C401">
        <v>69</v>
      </c>
      <c r="D401">
        <v>-8.0583424000000001E-2</v>
      </c>
    </row>
    <row r="402" spans="1:4" x14ac:dyDescent="0.3">
      <c r="A402">
        <v>400</v>
      </c>
      <c r="B402">
        <v>92</v>
      </c>
      <c r="C402">
        <v>68</v>
      </c>
      <c r="D402">
        <v>-8.0586670999999999E-2</v>
      </c>
    </row>
    <row r="403" spans="1:4" x14ac:dyDescent="0.3">
      <c r="A403">
        <v>401</v>
      </c>
      <c r="B403">
        <v>95.5</v>
      </c>
      <c r="C403">
        <v>71.5</v>
      </c>
      <c r="D403">
        <v>-0.120806991</v>
      </c>
    </row>
    <row r="404" spans="1:4" x14ac:dyDescent="0.3">
      <c r="A404">
        <v>402</v>
      </c>
      <c r="B404">
        <v>95</v>
      </c>
      <c r="C404">
        <v>71</v>
      </c>
      <c r="D404">
        <v>-8.0541237000000002E-2</v>
      </c>
    </row>
    <row r="405" spans="1:4" x14ac:dyDescent="0.3">
      <c r="A405">
        <v>403</v>
      </c>
      <c r="B405">
        <v>94.5</v>
      </c>
      <c r="C405">
        <v>70.5</v>
      </c>
      <c r="D405">
        <v>-0.120816721</v>
      </c>
    </row>
    <row r="406" spans="1:4" x14ac:dyDescent="0.3">
      <c r="A406">
        <v>404</v>
      </c>
      <c r="B406">
        <v>94</v>
      </c>
      <c r="C406">
        <v>70</v>
      </c>
      <c r="D406">
        <v>-8.0541237000000002E-2</v>
      </c>
    </row>
    <row r="407" spans="1:4" x14ac:dyDescent="0.3">
      <c r="A407">
        <v>405</v>
      </c>
      <c r="B407">
        <v>93</v>
      </c>
      <c r="C407">
        <v>69</v>
      </c>
      <c r="D407">
        <v>-8.0541237000000002E-2</v>
      </c>
    </row>
    <row r="408" spans="1:4" x14ac:dyDescent="0.3">
      <c r="A408">
        <v>406</v>
      </c>
      <c r="B408">
        <v>93</v>
      </c>
      <c r="C408">
        <v>69</v>
      </c>
      <c r="D408">
        <v>-8.0544481000000001E-2</v>
      </c>
    </row>
    <row r="409" spans="1:4" x14ac:dyDescent="0.3">
      <c r="A409">
        <v>407</v>
      </c>
      <c r="B409">
        <v>92</v>
      </c>
      <c r="C409">
        <v>68</v>
      </c>
      <c r="D409">
        <v>-8.0547725000000001E-2</v>
      </c>
    </row>
    <row r="410" spans="1:4" x14ac:dyDescent="0.3">
      <c r="A410">
        <v>408</v>
      </c>
      <c r="B410">
        <v>92</v>
      </c>
      <c r="C410">
        <v>68</v>
      </c>
      <c r="D410">
        <v>-8.0554213E-2</v>
      </c>
    </row>
    <row r="411" spans="1:4" x14ac:dyDescent="0.3">
      <c r="A411">
        <v>409</v>
      </c>
      <c r="B411">
        <v>216</v>
      </c>
      <c r="C411">
        <v>192</v>
      </c>
      <c r="D411">
        <v>-0.48355899400000002</v>
      </c>
    </row>
    <row r="412" spans="1:4" x14ac:dyDescent="0.3">
      <c r="A412">
        <v>410</v>
      </c>
      <c r="B412">
        <v>213</v>
      </c>
      <c r="C412">
        <v>189</v>
      </c>
      <c r="D412">
        <v>-0.48353950899999998</v>
      </c>
    </row>
    <row r="413" spans="1:4" x14ac:dyDescent="0.3">
      <c r="A413">
        <v>411</v>
      </c>
      <c r="B413">
        <v>211.5</v>
      </c>
      <c r="C413">
        <v>187.5</v>
      </c>
      <c r="D413">
        <v>-0.52379225600000001</v>
      </c>
    </row>
    <row r="414" spans="1:4" x14ac:dyDescent="0.3">
      <c r="A414">
        <v>412</v>
      </c>
      <c r="B414">
        <v>208</v>
      </c>
      <c r="C414">
        <v>184</v>
      </c>
      <c r="D414">
        <v>-0.48350054399999998</v>
      </c>
    </row>
    <row r="415" spans="1:4" x14ac:dyDescent="0.3">
      <c r="A415">
        <v>413</v>
      </c>
      <c r="B415">
        <v>91</v>
      </c>
      <c r="C415">
        <v>67</v>
      </c>
      <c r="D415">
        <v>-8.0573685000000006E-2</v>
      </c>
    </row>
    <row r="416" spans="1:4" x14ac:dyDescent="0.3">
      <c r="A416">
        <v>414</v>
      </c>
      <c r="B416">
        <v>90.5</v>
      </c>
      <c r="C416">
        <v>66.5</v>
      </c>
      <c r="D416">
        <v>-0.120870266</v>
      </c>
    </row>
    <row r="417" spans="1:4" x14ac:dyDescent="0.3">
      <c r="A417">
        <v>415</v>
      </c>
      <c r="B417">
        <v>90</v>
      </c>
      <c r="C417">
        <v>66</v>
      </c>
      <c r="D417">
        <v>-8.0563947999999996E-2</v>
      </c>
    </row>
    <row r="418" spans="1:4" x14ac:dyDescent="0.3">
      <c r="A418">
        <v>416</v>
      </c>
      <c r="B418">
        <v>89.5</v>
      </c>
      <c r="C418">
        <v>65.5</v>
      </c>
      <c r="D418">
        <v>-0.120865396</v>
      </c>
    </row>
    <row r="419" spans="1:4" x14ac:dyDescent="0.3">
      <c r="A419">
        <v>417</v>
      </c>
      <c r="B419">
        <v>89</v>
      </c>
      <c r="C419">
        <v>65</v>
      </c>
      <c r="D419">
        <v>-8.0576931000000004E-2</v>
      </c>
    </row>
    <row r="420" spans="1:4" x14ac:dyDescent="0.3">
      <c r="A420">
        <v>418</v>
      </c>
      <c r="B420">
        <v>91</v>
      </c>
      <c r="C420">
        <v>67</v>
      </c>
      <c r="D420">
        <v>-8.0544481000000001E-2</v>
      </c>
    </row>
    <row r="421" spans="1:4" x14ac:dyDescent="0.3">
      <c r="A421">
        <v>419</v>
      </c>
      <c r="B421">
        <v>90.5</v>
      </c>
      <c r="C421">
        <v>66.5</v>
      </c>
      <c r="D421">
        <v>-0.12082158699999999</v>
      </c>
    </row>
    <row r="422" spans="1:4" x14ac:dyDescent="0.3">
      <c r="A422">
        <v>420</v>
      </c>
      <c r="B422">
        <v>90</v>
      </c>
      <c r="C422">
        <v>66</v>
      </c>
      <c r="D422">
        <v>-8.0554213E-2</v>
      </c>
    </row>
    <row r="423" spans="1:4" x14ac:dyDescent="0.3">
      <c r="A423">
        <v>421</v>
      </c>
      <c r="B423">
        <v>89.5</v>
      </c>
      <c r="C423">
        <v>65.5</v>
      </c>
      <c r="D423">
        <v>-0.120826453</v>
      </c>
    </row>
    <row r="424" spans="1:4" x14ac:dyDescent="0.3">
      <c r="A424">
        <v>422</v>
      </c>
      <c r="B424">
        <v>89</v>
      </c>
      <c r="C424">
        <v>65</v>
      </c>
      <c r="D424">
        <v>-8.0557457999999998E-2</v>
      </c>
    </row>
    <row r="425" spans="1:4" x14ac:dyDescent="0.3">
      <c r="A425">
        <v>423</v>
      </c>
      <c r="B425">
        <v>88</v>
      </c>
      <c r="C425">
        <v>64</v>
      </c>
      <c r="D425">
        <v>-8.0557457999999998E-2</v>
      </c>
    </row>
    <row r="426" spans="1:4" x14ac:dyDescent="0.3">
      <c r="A426">
        <v>424</v>
      </c>
      <c r="B426">
        <v>88</v>
      </c>
      <c r="C426">
        <v>64</v>
      </c>
      <c r="D426">
        <v>-8.0550969E-2</v>
      </c>
    </row>
    <row r="427" spans="1:4" x14ac:dyDescent="0.3">
      <c r="A427">
        <v>425</v>
      </c>
      <c r="B427">
        <v>87</v>
      </c>
      <c r="C427">
        <v>63</v>
      </c>
      <c r="D427">
        <v>-8.0531508000000002E-2</v>
      </c>
    </row>
    <row r="428" spans="1:4" x14ac:dyDescent="0.3">
      <c r="A428">
        <v>426</v>
      </c>
      <c r="B428">
        <v>91</v>
      </c>
      <c r="C428">
        <v>67</v>
      </c>
      <c r="D428">
        <v>-8.0576931000000004E-2</v>
      </c>
    </row>
    <row r="429" spans="1:4" x14ac:dyDescent="0.3">
      <c r="A429">
        <v>427</v>
      </c>
      <c r="B429">
        <v>90.5</v>
      </c>
      <c r="C429">
        <v>66.5</v>
      </c>
      <c r="D429">
        <v>-0.120860527</v>
      </c>
    </row>
    <row r="430" spans="1:4" x14ac:dyDescent="0.3">
      <c r="A430">
        <v>428</v>
      </c>
      <c r="B430">
        <v>90</v>
      </c>
      <c r="C430">
        <v>66</v>
      </c>
      <c r="D430">
        <v>-8.0570438999999994E-2</v>
      </c>
    </row>
    <row r="431" spans="1:4" x14ac:dyDescent="0.3">
      <c r="A431">
        <v>429</v>
      </c>
      <c r="B431">
        <v>89.5</v>
      </c>
      <c r="C431">
        <v>65.5</v>
      </c>
      <c r="D431">
        <v>-0.12085079</v>
      </c>
    </row>
    <row r="432" spans="1:4" x14ac:dyDescent="0.3">
      <c r="A432">
        <v>430</v>
      </c>
      <c r="B432">
        <v>89</v>
      </c>
      <c r="C432">
        <v>65</v>
      </c>
      <c r="D432">
        <v>-8.0567192999999995E-2</v>
      </c>
    </row>
    <row r="433" spans="1:4" x14ac:dyDescent="0.3">
      <c r="A433">
        <v>431</v>
      </c>
      <c r="B433">
        <v>88</v>
      </c>
      <c r="C433">
        <v>64</v>
      </c>
      <c r="D433">
        <v>-8.0567192999999995E-2</v>
      </c>
    </row>
    <row r="434" spans="1:4" x14ac:dyDescent="0.3">
      <c r="A434">
        <v>432</v>
      </c>
      <c r="B434">
        <v>88</v>
      </c>
      <c r="C434">
        <v>64</v>
      </c>
      <c r="D434">
        <v>-8.0567192999999995E-2</v>
      </c>
    </row>
    <row r="435" spans="1:4" x14ac:dyDescent="0.3">
      <c r="A435">
        <v>433</v>
      </c>
      <c r="B435">
        <v>87</v>
      </c>
      <c r="C435">
        <v>63</v>
      </c>
      <c r="D435">
        <v>-8.0570438999999994E-2</v>
      </c>
    </row>
    <row r="436" spans="1:4" x14ac:dyDescent="0.3">
      <c r="A436">
        <v>434</v>
      </c>
      <c r="B436">
        <v>212</v>
      </c>
      <c r="C436">
        <v>188</v>
      </c>
      <c r="D436">
        <v>-0.48338368599999998</v>
      </c>
    </row>
    <row r="437" spans="1:4" x14ac:dyDescent="0.3">
      <c r="A437">
        <v>435</v>
      </c>
      <c r="B437">
        <v>208.5</v>
      </c>
      <c r="C437">
        <v>184.5</v>
      </c>
      <c r="D437">
        <v>-0.44310171199999998</v>
      </c>
    </row>
    <row r="438" spans="1:4" x14ac:dyDescent="0.3">
      <c r="A438">
        <v>436</v>
      </c>
      <c r="B438">
        <v>206</v>
      </c>
      <c r="C438">
        <v>182</v>
      </c>
      <c r="D438">
        <v>-0.40281973799999998</v>
      </c>
    </row>
    <row r="439" spans="1:4" x14ac:dyDescent="0.3">
      <c r="A439">
        <v>437</v>
      </c>
      <c r="B439">
        <v>203</v>
      </c>
      <c r="C439">
        <v>179</v>
      </c>
      <c r="D439">
        <v>-0.402852194</v>
      </c>
    </row>
    <row r="440" spans="1:4" x14ac:dyDescent="0.3">
      <c r="A440">
        <v>438</v>
      </c>
      <c r="B440">
        <v>201</v>
      </c>
      <c r="C440">
        <v>177</v>
      </c>
      <c r="D440">
        <v>-0.402852194</v>
      </c>
    </row>
    <row r="441" spans="1:4" x14ac:dyDescent="0.3">
      <c r="A441">
        <v>439</v>
      </c>
      <c r="B441">
        <v>86</v>
      </c>
      <c r="C441">
        <v>62</v>
      </c>
      <c r="D441">
        <v>-8.0550969E-2</v>
      </c>
    </row>
    <row r="442" spans="1:4" x14ac:dyDescent="0.3">
      <c r="A442">
        <v>440</v>
      </c>
      <c r="B442">
        <v>85</v>
      </c>
      <c r="C442">
        <v>61</v>
      </c>
      <c r="D442">
        <v>-8.0541237000000002E-2</v>
      </c>
    </row>
    <row r="443" spans="1:4" x14ac:dyDescent="0.3">
      <c r="A443">
        <v>441</v>
      </c>
      <c r="B443">
        <v>85</v>
      </c>
      <c r="C443">
        <v>61</v>
      </c>
      <c r="D443">
        <v>-8.0550969E-2</v>
      </c>
    </row>
    <row r="444" spans="1:4" x14ac:dyDescent="0.3">
      <c r="A444">
        <v>442</v>
      </c>
      <c r="B444">
        <v>84.5</v>
      </c>
      <c r="C444">
        <v>60.5</v>
      </c>
      <c r="D444">
        <v>-0.120816721</v>
      </c>
    </row>
    <row r="445" spans="1:4" x14ac:dyDescent="0.3">
      <c r="A445">
        <v>443</v>
      </c>
      <c r="B445">
        <v>84</v>
      </c>
      <c r="C445">
        <v>60</v>
      </c>
      <c r="D445">
        <v>-8.0544481000000001E-2</v>
      </c>
    </row>
    <row r="446" spans="1:4" x14ac:dyDescent="0.3">
      <c r="A446">
        <v>444</v>
      </c>
      <c r="B446">
        <v>83</v>
      </c>
      <c r="C446">
        <v>59</v>
      </c>
      <c r="D446">
        <v>-8.0544481000000001E-2</v>
      </c>
    </row>
    <row r="447" spans="1:4" x14ac:dyDescent="0.3">
      <c r="A447">
        <v>445</v>
      </c>
      <c r="B447">
        <v>229</v>
      </c>
      <c r="C447">
        <v>205</v>
      </c>
      <c r="D447">
        <v>-0.56408396800000005</v>
      </c>
    </row>
    <row r="448" spans="1:4" x14ac:dyDescent="0.3">
      <c r="A448">
        <v>446</v>
      </c>
      <c r="B448">
        <v>223.5</v>
      </c>
      <c r="C448">
        <v>199.5</v>
      </c>
      <c r="D448">
        <v>-0.48354340600000001</v>
      </c>
    </row>
    <row r="449" spans="1:4" x14ac:dyDescent="0.3">
      <c r="A449">
        <v>447</v>
      </c>
      <c r="B449">
        <v>220.5</v>
      </c>
      <c r="C449">
        <v>196.5</v>
      </c>
      <c r="D449">
        <v>-0.48348106400000002</v>
      </c>
    </row>
    <row r="450" spans="1:4" x14ac:dyDescent="0.3">
      <c r="A450">
        <v>448</v>
      </c>
      <c r="B450">
        <v>100</v>
      </c>
      <c r="C450">
        <v>76</v>
      </c>
      <c r="D450">
        <v>-8.0599661000000003E-2</v>
      </c>
    </row>
    <row r="451" spans="1:4" x14ac:dyDescent="0.3">
      <c r="A451">
        <v>449</v>
      </c>
      <c r="B451">
        <v>99.5</v>
      </c>
      <c r="C451">
        <v>75.5</v>
      </c>
      <c r="D451">
        <v>-0.120880006</v>
      </c>
    </row>
    <row r="452" spans="1:4" x14ac:dyDescent="0.3">
      <c r="A452">
        <v>450</v>
      </c>
      <c r="B452">
        <v>98.5</v>
      </c>
      <c r="C452">
        <v>74.5</v>
      </c>
      <c r="D452">
        <v>-0.120860527</v>
      </c>
    </row>
    <row r="453" spans="1:4" x14ac:dyDescent="0.3">
      <c r="A453">
        <v>451</v>
      </c>
      <c r="B453">
        <v>98</v>
      </c>
      <c r="C453">
        <v>74</v>
      </c>
      <c r="D453">
        <v>-8.0573685000000006E-2</v>
      </c>
    </row>
    <row r="454" spans="1:4" x14ac:dyDescent="0.3">
      <c r="A454">
        <v>452</v>
      </c>
      <c r="B454">
        <v>97.5</v>
      </c>
      <c r="C454">
        <v>73.5</v>
      </c>
      <c r="D454">
        <v>-0.120860527</v>
      </c>
    </row>
    <row r="455" spans="1:4" x14ac:dyDescent="0.3">
      <c r="A455">
        <v>453</v>
      </c>
      <c r="B455">
        <v>97</v>
      </c>
      <c r="C455">
        <v>73</v>
      </c>
      <c r="D455">
        <v>-8.0573685000000006E-2</v>
      </c>
    </row>
    <row r="456" spans="1:4" x14ac:dyDescent="0.3">
      <c r="A456">
        <v>454</v>
      </c>
      <c r="B456">
        <v>96</v>
      </c>
      <c r="C456">
        <v>72</v>
      </c>
      <c r="D456">
        <v>-8.0576931000000004E-2</v>
      </c>
    </row>
    <row r="457" spans="1:4" x14ac:dyDescent="0.3">
      <c r="A457">
        <v>455</v>
      </c>
      <c r="B457">
        <v>95.5</v>
      </c>
      <c r="C457">
        <v>71.5</v>
      </c>
      <c r="D457">
        <v>-0.120860527</v>
      </c>
    </row>
    <row r="458" spans="1:4" x14ac:dyDescent="0.3">
      <c r="A458">
        <v>456</v>
      </c>
      <c r="B458">
        <v>100.5</v>
      </c>
      <c r="C458">
        <v>76.5</v>
      </c>
      <c r="D458">
        <v>-0.120870266</v>
      </c>
    </row>
    <row r="459" spans="1:4" x14ac:dyDescent="0.3">
      <c r="A459">
        <v>457</v>
      </c>
      <c r="B459">
        <v>99.5</v>
      </c>
      <c r="C459">
        <v>75.5</v>
      </c>
      <c r="D459">
        <v>-0.120870266</v>
      </c>
    </row>
    <row r="460" spans="1:4" x14ac:dyDescent="0.3">
      <c r="A460">
        <v>458</v>
      </c>
      <c r="B460">
        <v>99</v>
      </c>
      <c r="C460">
        <v>75</v>
      </c>
      <c r="D460">
        <v>-8.0580177000000003E-2</v>
      </c>
    </row>
    <row r="461" spans="1:4" x14ac:dyDescent="0.3">
      <c r="A461">
        <v>459</v>
      </c>
      <c r="B461">
        <v>98</v>
      </c>
      <c r="C461">
        <v>74</v>
      </c>
      <c r="D461">
        <v>-8.0567192999999995E-2</v>
      </c>
    </row>
    <row r="462" spans="1:4" x14ac:dyDescent="0.3">
      <c r="A462">
        <v>460</v>
      </c>
      <c r="B462">
        <v>97.5</v>
      </c>
      <c r="C462">
        <v>73.5</v>
      </c>
      <c r="D462">
        <v>-0.120870266</v>
      </c>
    </row>
    <row r="463" spans="1:4" x14ac:dyDescent="0.3">
      <c r="A463">
        <v>461</v>
      </c>
      <c r="B463">
        <v>96.5</v>
      </c>
      <c r="C463">
        <v>72.5</v>
      </c>
      <c r="D463">
        <v>-9.6680632000000002E-2</v>
      </c>
    </row>
    <row r="464" spans="1:4" x14ac:dyDescent="0.3">
      <c r="A464">
        <v>462</v>
      </c>
      <c r="B464">
        <v>96</v>
      </c>
      <c r="C464">
        <v>72</v>
      </c>
      <c r="D464">
        <v>-0.12891166300000001</v>
      </c>
    </row>
    <row r="465" spans="1:4" x14ac:dyDescent="0.3">
      <c r="A465">
        <v>463</v>
      </c>
      <c r="B465">
        <v>95.5</v>
      </c>
      <c r="C465">
        <v>71.5</v>
      </c>
      <c r="D465">
        <v>-9.6680632000000002E-2</v>
      </c>
    </row>
    <row r="466" spans="1:4" x14ac:dyDescent="0.3">
      <c r="A466">
        <v>464</v>
      </c>
      <c r="B466">
        <v>100.5</v>
      </c>
      <c r="C466">
        <v>76.5</v>
      </c>
      <c r="D466">
        <v>-0.120880006</v>
      </c>
    </row>
    <row r="467" spans="1:4" x14ac:dyDescent="0.3">
      <c r="A467">
        <v>465</v>
      </c>
      <c r="B467">
        <v>99.5</v>
      </c>
      <c r="C467">
        <v>75.5</v>
      </c>
      <c r="D467">
        <v>-0.120880006</v>
      </c>
    </row>
    <row r="468" spans="1:4" x14ac:dyDescent="0.3">
      <c r="A468">
        <v>466</v>
      </c>
      <c r="B468">
        <v>99</v>
      </c>
      <c r="C468">
        <v>75</v>
      </c>
      <c r="D468">
        <v>-8.0596413000000006E-2</v>
      </c>
    </row>
    <row r="469" spans="1:4" x14ac:dyDescent="0.3">
      <c r="A469">
        <v>467</v>
      </c>
      <c r="B469">
        <v>98</v>
      </c>
      <c r="C469">
        <v>74</v>
      </c>
      <c r="D469">
        <v>-8.0593165999999994E-2</v>
      </c>
    </row>
    <row r="470" spans="1:4" x14ac:dyDescent="0.3">
      <c r="A470">
        <v>468</v>
      </c>
      <c r="B470">
        <v>97.5</v>
      </c>
      <c r="C470">
        <v>73.5</v>
      </c>
      <c r="D470">
        <v>-0.120899492</v>
      </c>
    </row>
    <row r="471" spans="1:4" x14ac:dyDescent="0.3">
      <c r="A471">
        <v>469</v>
      </c>
      <c r="B471">
        <v>97</v>
      </c>
      <c r="C471">
        <v>73</v>
      </c>
      <c r="D471">
        <v>-8.0583424000000001E-2</v>
      </c>
    </row>
    <row r="472" spans="1:4" x14ac:dyDescent="0.3">
      <c r="A472">
        <v>470</v>
      </c>
      <c r="B472">
        <v>96.5</v>
      </c>
      <c r="C472">
        <v>72.5</v>
      </c>
      <c r="D472">
        <v>-0.120880006</v>
      </c>
    </row>
    <row r="473" spans="1:4" x14ac:dyDescent="0.3">
      <c r="A473">
        <v>471</v>
      </c>
      <c r="B473">
        <v>95.5</v>
      </c>
      <c r="C473">
        <v>71.5</v>
      </c>
      <c r="D473">
        <v>-0.120889749</v>
      </c>
    </row>
    <row r="474" spans="1:4" x14ac:dyDescent="0.3">
      <c r="A474">
        <v>472</v>
      </c>
      <c r="B474">
        <v>95.5</v>
      </c>
      <c r="C474">
        <v>71.5</v>
      </c>
      <c r="D474">
        <v>-0.120855658</v>
      </c>
    </row>
    <row r="475" spans="1:4" x14ac:dyDescent="0.3">
      <c r="A475">
        <v>473</v>
      </c>
      <c r="B475">
        <v>95</v>
      </c>
      <c r="C475">
        <v>71</v>
      </c>
      <c r="D475">
        <v>-8.0576931000000004E-2</v>
      </c>
    </row>
    <row r="476" spans="1:4" x14ac:dyDescent="0.3">
      <c r="A476">
        <v>474</v>
      </c>
      <c r="B476">
        <v>94.5</v>
      </c>
      <c r="C476">
        <v>70.5</v>
      </c>
      <c r="D476">
        <v>-0.120860527</v>
      </c>
    </row>
    <row r="477" spans="1:4" x14ac:dyDescent="0.3">
      <c r="A477">
        <v>475</v>
      </c>
      <c r="B477">
        <v>93.5</v>
      </c>
      <c r="C477">
        <v>69.5</v>
      </c>
      <c r="D477">
        <v>-0.120884877</v>
      </c>
    </row>
    <row r="478" spans="1:4" x14ac:dyDescent="0.3">
      <c r="A478">
        <v>476</v>
      </c>
      <c r="B478">
        <v>93</v>
      </c>
      <c r="C478">
        <v>69</v>
      </c>
      <c r="D478">
        <v>-8.0596413000000006E-2</v>
      </c>
    </row>
    <row r="479" spans="1:4" x14ac:dyDescent="0.3">
      <c r="A479">
        <v>477</v>
      </c>
      <c r="B479">
        <v>92.5</v>
      </c>
      <c r="C479">
        <v>68.5</v>
      </c>
      <c r="D479">
        <v>-0.120889749</v>
      </c>
    </row>
    <row r="480" spans="1:4" x14ac:dyDescent="0.3">
      <c r="A480">
        <v>478</v>
      </c>
      <c r="B480">
        <v>95.5</v>
      </c>
      <c r="C480">
        <v>71.5</v>
      </c>
      <c r="D480">
        <v>-0.120855658</v>
      </c>
    </row>
    <row r="481" spans="1:4" x14ac:dyDescent="0.3">
      <c r="A481">
        <v>479</v>
      </c>
      <c r="B481">
        <v>95</v>
      </c>
      <c r="C481">
        <v>71</v>
      </c>
      <c r="D481">
        <v>-8.0596413000000006E-2</v>
      </c>
    </row>
    <row r="482" spans="1:4" x14ac:dyDescent="0.3">
      <c r="A482">
        <v>480</v>
      </c>
      <c r="B482">
        <v>94.5</v>
      </c>
      <c r="C482">
        <v>70.5</v>
      </c>
      <c r="D482">
        <v>-0.12089461999999999</v>
      </c>
    </row>
    <row r="483" spans="1:4" x14ac:dyDescent="0.3">
      <c r="A483">
        <v>481</v>
      </c>
      <c r="B483">
        <v>94</v>
      </c>
      <c r="C483">
        <v>70</v>
      </c>
      <c r="D483">
        <v>-8.0606157999999997E-2</v>
      </c>
    </row>
    <row r="484" spans="1:4" x14ac:dyDescent="0.3">
      <c r="A484">
        <v>482</v>
      </c>
      <c r="B484">
        <v>93</v>
      </c>
      <c r="C484">
        <v>69</v>
      </c>
      <c r="D484">
        <v>-8.0593165999999994E-2</v>
      </c>
    </row>
    <row r="485" spans="1:4" x14ac:dyDescent="0.3">
      <c r="A485">
        <v>483</v>
      </c>
      <c r="B485">
        <v>93</v>
      </c>
      <c r="C485">
        <v>69</v>
      </c>
      <c r="D485">
        <v>-8.0583424000000001E-2</v>
      </c>
    </row>
    <row r="486" spans="1:4" x14ac:dyDescent="0.3">
      <c r="A486">
        <v>484</v>
      </c>
      <c r="B486">
        <v>92</v>
      </c>
      <c r="C486">
        <v>68</v>
      </c>
      <c r="D486">
        <v>-8.0586670999999999E-2</v>
      </c>
    </row>
    <row r="487" spans="1:4" x14ac:dyDescent="0.3">
      <c r="A487">
        <v>485</v>
      </c>
      <c r="B487">
        <v>95.5</v>
      </c>
      <c r="C487">
        <v>71.5</v>
      </c>
      <c r="D487">
        <v>-0.120806991</v>
      </c>
    </row>
    <row r="488" spans="1:4" x14ac:dyDescent="0.3">
      <c r="A488">
        <v>486</v>
      </c>
      <c r="B488">
        <v>95</v>
      </c>
      <c r="C488">
        <v>71</v>
      </c>
      <c r="D488">
        <v>-8.0541237000000002E-2</v>
      </c>
    </row>
    <row r="489" spans="1:4" x14ac:dyDescent="0.3">
      <c r="A489">
        <v>487</v>
      </c>
      <c r="B489">
        <v>94.5</v>
      </c>
      <c r="C489">
        <v>70.5</v>
      </c>
      <c r="D489">
        <v>-0.120816721</v>
      </c>
    </row>
    <row r="490" spans="1:4" x14ac:dyDescent="0.3">
      <c r="A490">
        <v>488</v>
      </c>
      <c r="B490">
        <v>94</v>
      </c>
      <c r="C490">
        <v>70</v>
      </c>
      <c r="D490">
        <v>-8.0541237000000002E-2</v>
      </c>
    </row>
    <row r="491" spans="1:4" x14ac:dyDescent="0.3">
      <c r="A491">
        <v>489</v>
      </c>
      <c r="B491">
        <v>93</v>
      </c>
      <c r="C491">
        <v>69</v>
      </c>
      <c r="D491">
        <v>-8.0541237000000002E-2</v>
      </c>
    </row>
    <row r="492" spans="1:4" x14ac:dyDescent="0.3">
      <c r="A492">
        <v>490</v>
      </c>
      <c r="B492">
        <v>93</v>
      </c>
      <c r="C492">
        <v>69</v>
      </c>
      <c r="D492">
        <v>-8.0544481000000001E-2</v>
      </c>
    </row>
    <row r="493" spans="1:4" x14ac:dyDescent="0.3">
      <c r="A493">
        <v>491</v>
      </c>
      <c r="B493">
        <v>92</v>
      </c>
      <c r="C493">
        <v>68</v>
      </c>
      <c r="D493">
        <v>-8.0547725000000001E-2</v>
      </c>
    </row>
    <row r="494" spans="1:4" x14ac:dyDescent="0.3">
      <c r="A494">
        <v>492</v>
      </c>
      <c r="B494">
        <v>92</v>
      </c>
      <c r="C494">
        <v>68</v>
      </c>
      <c r="D494">
        <v>-8.0554213E-2</v>
      </c>
    </row>
    <row r="495" spans="1:4" x14ac:dyDescent="0.3">
      <c r="A495">
        <v>493</v>
      </c>
      <c r="B495">
        <v>216</v>
      </c>
      <c r="C495">
        <v>192</v>
      </c>
      <c r="D495">
        <v>-0.48355899400000002</v>
      </c>
    </row>
    <row r="496" spans="1:4" x14ac:dyDescent="0.3">
      <c r="A496">
        <v>494</v>
      </c>
      <c r="B496">
        <v>213</v>
      </c>
      <c r="C496">
        <v>189</v>
      </c>
      <c r="D496">
        <v>-0.48353950899999998</v>
      </c>
    </row>
    <row r="497" spans="1:4" x14ac:dyDescent="0.3">
      <c r="A497">
        <v>495</v>
      </c>
      <c r="B497">
        <v>211.5</v>
      </c>
      <c r="C497">
        <v>187.5</v>
      </c>
      <c r="D497">
        <v>-0.52379225600000001</v>
      </c>
    </row>
    <row r="498" spans="1:4" x14ac:dyDescent="0.3">
      <c r="A498">
        <v>496</v>
      </c>
      <c r="B498">
        <v>208</v>
      </c>
      <c r="C498">
        <v>184</v>
      </c>
      <c r="D498">
        <v>-0.48350054399999998</v>
      </c>
    </row>
    <row r="499" spans="1:4" x14ac:dyDescent="0.3">
      <c r="A499">
        <v>497</v>
      </c>
      <c r="B499">
        <v>91</v>
      </c>
      <c r="C499">
        <v>67</v>
      </c>
      <c r="D499">
        <v>-8.0573685000000006E-2</v>
      </c>
    </row>
    <row r="500" spans="1:4" x14ac:dyDescent="0.3">
      <c r="A500">
        <v>498</v>
      </c>
      <c r="B500">
        <v>90.5</v>
      </c>
      <c r="C500">
        <v>66.5</v>
      </c>
      <c r="D500">
        <v>-0.120870266</v>
      </c>
    </row>
    <row r="501" spans="1:4" x14ac:dyDescent="0.3">
      <c r="A501">
        <v>499</v>
      </c>
      <c r="B501">
        <v>90</v>
      </c>
      <c r="C501">
        <v>66</v>
      </c>
      <c r="D501">
        <v>-8.0563947999999996E-2</v>
      </c>
    </row>
    <row r="502" spans="1:4" x14ac:dyDescent="0.3">
      <c r="A502">
        <v>500</v>
      </c>
      <c r="B502">
        <v>89.5</v>
      </c>
      <c r="C502">
        <v>65.5</v>
      </c>
      <c r="D502">
        <v>-0.120865396</v>
      </c>
    </row>
    <row r="503" spans="1:4" x14ac:dyDescent="0.3">
      <c r="A503">
        <v>501</v>
      </c>
      <c r="B503">
        <v>89</v>
      </c>
      <c r="C503">
        <v>65</v>
      </c>
      <c r="D503">
        <v>-8.0576931000000004E-2</v>
      </c>
    </row>
    <row r="504" spans="1:4" x14ac:dyDescent="0.3">
      <c r="A504">
        <v>502</v>
      </c>
      <c r="B504">
        <v>91</v>
      </c>
      <c r="C504">
        <v>67</v>
      </c>
      <c r="D504">
        <v>-8.0544481000000001E-2</v>
      </c>
    </row>
    <row r="505" spans="1:4" x14ac:dyDescent="0.3">
      <c r="A505">
        <v>503</v>
      </c>
      <c r="B505">
        <v>90.5</v>
      </c>
      <c r="C505">
        <v>66.5</v>
      </c>
      <c r="D505">
        <v>-0.12082158699999999</v>
      </c>
    </row>
    <row r="506" spans="1:4" x14ac:dyDescent="0.3">
      <c r="A506">
        <v>504</v>
      </c>
      <c r="B506">
        <v>90</v>
      </c>
      <c r="C506">
        <v>66</v>
      </c>
      <c r="D506">
        <v>-8.0554213E-2</v>
      </c>
    </row>
    <row r="507" spans="1:4" x14ac:dyDescent="0.3">
      <c r="A507">
        <v>505</v>
      </c>
      <c r="B507">
        <v>89.5</v>
      </c>
      <c r="C507">
        <v>65.5</v>
      </c>
      <c r="D507">
        <v>-0.120826453</v>
      </c>
    </row>
    <row r="508" spans="1:4" x14ac:dyDescent="0.3">
      <c r="A508">
        <v>506</v>
      </c>
      <c r="B508">
        <v>89</v>
      </c>
      <c r="C508">
        <v>65</v>
      </c>
      <c r="D508">
        <v>-8.0557457999999998E-2</v>
      </c>
    </row>
    <row r="509" spans="1:4" x14ac:dyDescent="0.3">
      <c r="A509">
        <v>507</v>
      </c>
      <c r="B509">
        <v>88</v>
      </c>
      <c r="C509">
        <v>64</v>
      </c>
      <c r="D509">
        <v>-8.0557457999999998E-2</v>
      </c>
    </row>
    <row r="510" spans="1:4" x14ac:dyDescent="0.3">
      <c r="A510">
        <v>508</v>
      </c>
      <c r="B510">
        <v>88</v>
      </c>
      <c r="C510">
        <v>64</v>
      </c>
      <c r="D510">
        <v>-8.0550969E-2</v>
      </c>
    </row>
    <row r="511" spans="1:4" x14ac:dyDescent="0.3">
      <c r="A511">
        <v>509</v>
      </c>
      <c r="B511">
        <v>87</v>
      </c>
      <c r="C511">
        <v>63</v>
      </c>
      <c r="D511">
        <v>-8.0531508000000002E-2</v>
      </c>
    </row>
    <row r="512" spans="1:4" x14ac:dyDescent="0.3">
      <c r="A512">
        <v>510</v>
      </c>
      <c r="B512">
        <v>91</v>
      </c>
      <c r="C512">
        <v>67</v>
      </c>
      <c r="D512">
        <v>-8.0576931000000004E-2</v>
      </c>
    </row>
    <row r="513" spans="1:4" x14ac:dyDescent="0.3">
      <c r="A513">
        <v>511</v>
      </c>
      <c r="B513">
        <v>90.5</v>
      </c>
      <c r="C513">
        <v>66.5</v>
      </c>
      <c r="D513">
        <v>-0.120860527</v>
      </c>
    </row>
    <row r="514" spans="1:4" x14ac:dyDescent="0.3">
      <c r="A514">
        <v>512</v>
      </c>
      <c r="B514">
        <v>90</v>
      </c>
      <c r="C514">
        <v>66</v>
      </c>
      <c r="D514">
        <v>-8.0570438999999994E-2</v>
      </c>
    </row>
    <row r="515" spans="1:4" x14ac:dyDescent="0.3">
      <c r="A515">
        <v>513</v>
      </c>
      <c r="B515">
        <v>89.5</v>
      </c>
      <c r="C515">
        <v>65.5</v>
      </c>
      <c r="D515">
        <v>-0.12085079</v>
      </c>
    </row>
    <row r="516" spans="1:4" x14ac:dyDescent="0.3">
      <c r="A516">
        <v>514</v>
      </c>
      <c r="B516">
        <v>89</v>
      </c>
      <c r="C516">
        <v>65</v>
      </c>
      <c r="D516">
        <v>-8.0567192999999995E-2</v>
      </c>
    </row>
    <row r="517" spans="1:4" x14ac:dyDescent="0.3">
      <c r="A517">
        <v>515</v>
      </c>
      <c r="B517">
        <v>88</v>
      </c>
      <c r="C517">
        <v>64</v>
      </c>
      <c r="D517">
        <v>-8.0567192999999995E-2</v>
      </c>
    </row>
    <row r="518" spans="1:4" x14ac:dyDescent="0.3">
      <c r="A518">
        <v>516</v>
      </c>
      <c r="B518">
        <v>88</v>
      </c>
      <c r="C518">
        <v>64</v>
      </c>
      <c r="D518">
        <v>-8.0567192999999995E-2</v>
      </c>
    </row>
    <row r="519" spans="1:4" x14ac:dyDescent="0.3">
      <c r="A519">
        <v>517</v>
      </c>
      <c r="B519">
        <v>87</v>
      </c>
      <c r="C519">
        <v>63</v>
      </c>
      <c r="D519">
        <v>-8.0570438999999994E-2</v>
      </c>
    </row>
    <row r="520" spans="1:4" x14ac:dyDescent="0.3">
      <c r="A520">
        <v>518</v>
      </c>
      <c r="B520">
        <v>212</v>
      </c>
      <c r="C520">
        <v>188</v>
      </c>
      <c r="D520">
        <v>-0.48338368599999998</v>
      </c>
    </row>
    <row r="521" spans="1:4" x14ac:dyDescent="0.3">
      <c r="A521">
        <v>519</v>
      </c>
      <c r="B521">
        <v>208.5</v>
      </c>
      <c r="C521">
        <v>184.5</v>
      </c>
      <c r="D521">
        <v>-0.44310171199999998</v>
      </c>
    </row>
    <row r="522" spans="1:4" x14ac:dyDescent="0.3">
      <c r="A522">
        <v>520</v>
      </c>
      <c r="B522">
        <v>206</v>
      </c>
      <c r="C522">
        <v>182</v>
      </c>
      <c r="D522">
        <v>-0.40281973799999998</v>
      </c>
    </row>
    <row r="523" spans="1:4" x14ac:dyDescent="0.3">
      <c r="A523">
        <v>521</v>
      </c>
      <c r="B523">
        <v>203</v>
      </c>
      <c r="C523">
        <v>179</v>
      </c>
      <c r="D523">
        <v>-0.402852194</v>
      </c>
    </row>
    <row r="524" spans="1:4" x14ac:dyDescent="0.3">
      <c r="A524">
        <v>522</v>
      </c>
      <c r="B524">
        <v>201</v>
      </c>
      <c r="C524">
        <v>177</v>
      </c>
      <c r="D524">
        <v>-0.402852194</v>
      </c>
    </row>
    <row r="525" spans="1:4" x14ac:dyDescent="0.3">
      <c r="A525">
        <v>523</v>
      </c>
      <c r="B525">
        <v>86</v>
      </c>
      <c r="C525">
        <v>62</v>
      </c>
      <c r="D525">
        <v>-8.0550969E-2</v>
      </c>
    </row>
    <row r="526" spans="1:4" x14ac:dyDescent="0.3">
      <c r="A526">
        <v>524</v>
      </c>
      <c r="B526">
        <v>85</v>
      </c>
      <c r="C526">
        <v>61</v>
      </c>
      <c r="D526">
        <v>-8.0541237000000002E-2</v>
      </c>
    </row>
    <row r="527" spans="1:4" x14ac:dyDescent="0.3">
      <c r="A527">
        <v>525</v>
      </c>
      <c r="B527">
        <v>85</v>
      </c>
      <c r="C527">
        <v>61</v>
      </c>
      <c r="D527">
        <v>-8.0550969E-2</v>
      </c>
    </row>
    <row r="528" spans="1:4" x14ac:dyDescent="0.3">
      <c r="A528">
        <v>526</v>
      </c>
      <c r="B528">
        <v>84.5</v>
      </c>
      <c r="C528">
        <v>60.5</v>
      </c>
      <c r="D528">
        <v>-0.120816721</v>
      </c>
    </row>
    <row r="529" spans="1:4" x14ac:dyDescent="0.3">
      <c r="A529">
        <v>527</v>
      </c>
      <c r="B529">
        <v>84</v>
      </c>
      <c r="C529">
        <v>60</v>
      </c>
      <c r="D529">
        <v>-8.0544481000000001E-2</v>
      </c>
    </row>
    <row r="530" spans="1:4" x14ac:dyDescent="0.3">
      <c r="A530">
        <v>528</v>
      </c>
      <c r="B530">
        <v>83</v>
      </c>
      <c r="C530">
        <v>59</v>
      </c>
      <c r="D530">
        <v>-8.0544481000000001E-2</v>
      </c>
    </row>
    <row r="531" spans="1:4" x14ac:dyDescent="0.3">
      <c r="A531">
        <v>529</v>
      </c>
      <c r="B531">
        <v>86</v>
      </c>
      <c r="C531">
        <v>62</v>
      </c>
      <c r="D531">
        <v>-8.0544481000000001E-2</v>
      </c>
    </row>
    <row r="532" spans="1:4" x14ac:dyDescent="0.3">
      <c r="A532">
        <v>530</v>
      </c>
      <c r="B532">
        <v>85.5</v>
      </c>
      <c r="C532">
        <v>61.5</v>
      </c>
      <c r="D532">
        <v>-0.120816721</v>
      </c>
    </row>
    <row r="533" spans="1:4" x14ac:dyDescent="0.3">
      <c r="A533">
        <v>531</v>
      </c>
      <c r="B533">
        <v>85</v>
      </c>
      <c r="C533">
        <v>61</v>
      </c>
      <c r="D533">
        <v>-8.0541237000000002E-2</v>
      </c>
    </row>
    <row r="534" spans="1:4" x14ac:dyDescent="0.3">
      <c r="A534">
        <v>532</v>
      </c>
      <c r="B534">
        <v>84.5</v>
      </c>
      <c r="C534">
        <v>60.5</v>
      </c>
      <c r="D534">
        <v>-0.120826453</v>
      </c>
    </row>
    <row r="535" spans="1:4" x14ac:dyDescent="0.3">
      <c r="A535">
        <v>533</v>
      </c>
      <c r="B535">
        <v>84</v>
      </c>
      <c r="C535">
        <v>60</v>
      </c>
      <c r="D535">
        <v>-8.0550969E-2</v>
      </c>
    </row>
    <row r="536" spans="1:4" x14ac:dyDescent="0.3">
      <c r="A536">
        <v>534</v>
      </c>
      <c r="B536">
        <v>83.5</v>
      </c>
      <c r="C536">
        <v>59.5</v>
      </c>
      <c r="D536">
        <v>-4.0273862000000001E-2</v>
      </c>
    </row>
    <row r="537" spans="1:4" x14ac:dyDescent="0.3">
      <c r="A537">
        <v>535</v>
      </c>
      <c r="B537">
        <v>83</v>
      </c>
      <c r="C537">
        <v>59</v>
      </c>
      <c r="D537">
        <v>-8.0557457999999998E-2</v>
      </c>
    </row>
    <row r="538" spans="1:4" x14ac:dyDescent="0.3">
      <c r="A538">
        <v>536</v>
      </c>
      <c r="B538">
        <v>86.5</v>
      </c>
      <c r="C538">
        <v>62.5</v>
      </c>
      <c r="D538">
        <v>-9.6702446999999997E-2</v>
      </c>
    </row>
    <row r="539" spans="1:4" x14ac:dyDescent="0.3">
      <c r="A539">
        <v>537</v>
      </c>
      <c r="B539">
        <v>85.5</v>
      </c>
      <c r="C539">
        <v>61.5</v>
      </c>
      <c r="D539">
        <v>-0.120860527</v>
      </c>
    </row>
    <row r="540" spans="1:4" x14ac:dyDescent="0.3">
      <c r="A540">
        <v>538</v>
      </c>
      <c r="B540">
        <v>85</v>
      </c>
      <c r="C540">
        <v>61</v>
      </c>
      <c r="D540">
        <v>-8.0567192999999995E-2</v>
      </c>
    </row>
    <row r="541" spans="1:4" x14ac:dyDescent="0.3">
      <c r="A541">
        <v>539</v>
      </c>
      <c r="B541">
        <v>84.5</v>
      </c>
      <c r="C541">
        <v>60.5</v>
      </c>
      <c r="D541">
        <v>-0.120870266</v>
      </c>
    </row>
    <row r="542" spans="1:4" x14ac:dyDescent="0.3">
      <c r="A542">
        <v>540</v>
      </c>
      <c r="B542">
        <v>84</v>
      </c>
      <c r="C542">
        <v>60</v>
      </c>
      <c r="D542">
        <v>-8.0589917999999997E-2</v>
      </c>
    </row>
    <row r="543" spans="1:4" x14ac:dyDescent="0.3">
      <c r="A543">
        <v>541</v>
      </c>
      <c r="B543">
        <v>83</v>
      </c>
      <c r="C543">
        <v>59</v>
      </c>
      <c r="D543">
        <v>-8.0593165999999994E-2</v>
      </c>
    </row>
    <row r="544" spans="1:4" x14ac:dyDescent="0.3">
      <c r="A544">
        <v>542</v>
      </c>
      <c r="B544">
        <v>207.5</v>
      </c>
      <c r="C544">
        <v>183.5</v>
      </c>
      <c r="D544">
        <v>-0.418908903</v>
      </c>
    </row>
    <row r="545" spans="1:4" x14ac:dyDescent="0.3">
      <c r="A545">
        <v>543</v>
      </c>
      <c r="B545">
        <v>203</v>
      </c>
      <c r="C545">
        <v>179</v>
      </c>
      <c r="D545">
        <v>-0.40277106499999998</v>
      </c>
    </row>
    <row r="546" spans="1:4" x14ac:dyDescent="0.3">
      <c r="A546">
        <v>544</v>
      </c>
      <c r="B546">
        <v>201</v>
      </c>
      <c r="C546">
        <v>177</v>
      </c>
      <c r="D546">
        <v>-0.40277106499999998</v>
      </c>
    </row>
    <row r="547" spans="1:4" x14ac:dyDescent="0.3">
      <c r="A547">
        <v>545</v>
      </c>
      <c r="B547">
        <v>198</v>
      </c>
      <c r="C547">
        <v>174</v>
      </c>
      <c r="D547">
        <v>-0.40278728800000002</v>
      </c>
    </row>
    <row r="548" spans="1:4" x14ac:dyDescent="0.3">
      <c r="A548">
        <v>546</v>
      </c>
      <c r="B548">
        <v>196</v>
      </c>
      <c r="C548">
        <v>172</v>
      </c>
      <c r="D548">
        <v>-0.40270618600000002</v>
      </c>
    </row>
    <row r="549" spans="1:4" x14ac:dyDescent="0.3">
      <c r="A549">
        <v>547</v>
      </c>
      <c r="B549">
        <v>82</v>
      </c>
      <c r="C549">
        <v>58</v>
      </c>
      <c r="D549">
        <v>-8.0557457999999998E-2</v>
      </c>
    </row>
    <row r="550" spans="1:4" x14ac:dyDescent="0.3">
      <c r="A550">
        <v>548</v>
      </c>
      <c r="B550">
        <v>81.5</v>
      </c>
      <c r="C550">
        <v>57.5</v>
      </c>
      <c r="D550">
        <v>-4.0277106E-2</v>
      </c>
    </row>
    <row r="551" spans="1:4" x14ac:dyDescent="0.3">
      <c r="A551">
        <v>549</v>
      </c>
      <c r="B551">
        <v>81</v>
      </c>
      <c r="C551">
        <v>57</v>
      </c>
      <c r="D551">
        <v>-8.0550969E-2</v>
      </c>
    </row>
    <row r="552" spans="1:4" x14ac:dyDescent="0.3">
      <c r="A552">
        <v>550</v>
      </c>
      <c r="B552">
        <v>80.5</v>
      </c>
      <c r="C552">
        <v>56.5</v>
      </c>
      <c r="D552">
        <v>-0.120816721</v>
      </c>
    </row>
    <row r="553" spans="1:4" x14ac:dyDescent="0.3">
      <c r="A553">
        <v>551</v>
      </c>
      <c r="B553">
        <v>80</v>
      </c>
      <c r="C553">
        <v>56</v>
      </c>
      <c r="D553">
        <v>-8.0554213E-2</v>
      </c>
    </row>
    <row r="554" spans="1:4" x14ac:dyDescent="0.3">
      <c r="A554">
        <v>552</v>
      </c>
      <c r="B554">
        <v>82</v>
      </c>
      <c r="C554">
        <v>58</v>
      </c>
      <c r="D554">
        <v>-8.0531508000000002E-2</v>
      </c>
    </row>
    <row r="555" spans="1:4" x14ac:dyDescent="0.3">
      <c r="A555">
        <v>553</v>
      </c>
      <c r="B555">
        <v>81.5</v>
      </c>
      <c r="C555">
        <v>57.5</v>
      </c>
      <c r="D555">
        <v>-4.0268997000000001E-2</v>
      </c>
    </row>
    <row r="556" spans="1:4" x14ac:dyDescent="0.3">
      <c r="A556">
        <v>554</v>
      </c>
      <c r="B556">
        <v>81</v>
      </c>
      <c r="C556">
        <v>57</v>
      </c>
      <c r="D556">
        <v>-8.0534751000000002E-2</v>
      </c>
    </row>
    <row r="557" spans="1:4" x14ac:dyDescent="0.3">
      <c r="A557">
        <v>555</v>
      </c>
      <c r="B557">
        <v>80</v>
      </c>
      <c r="C557">
        <v>56</v>
      </c>
      <c r="D557">
        <v>-8.0534751000000002E-2</v>
      </c>
    </row>
    <row r="558" spans="1:4" x14ac:dyDescent="0.3">
      <c r="A558">
        <v>556</v>
      </c>
      <c r="B558">
        <v>80</v>
      </c>
      <c r="C558">
        <v>56</v>
      </c>
      <c r="D558">
        <v>-8.0557457999999998E-2</v>
      </c>
    </row>
    <row r="559" spans="1:4" x14ac:dyDescent="0.3">
      <c r="A559">
        <v>557</v>
      </c>
      <c r="B559">
        <v>80</v>
      </c>
      <c r="C559">
        <v>56</v>
      </c>
      <c r="D559">
        <v>-8.0557457999999998E-2</v>
      </c>
    </row>
    <row r="560" spans="1:4" x14ac:dyDescent="0.3">
      <c r="A560">
        <v>558</v>
      </c>
      <c r="B560">
        <v>79</v>
      </c>
      <c r="C560">
        <v>55</v>
      </c>
      <c r="D560">
        <v>-8.0557457999999998E-2</v>
      </c>
    </row>
    <row r="561" spans="1:4" x14ac:dyDescent="0.3">
      <c r="A561">
        <v>559</v>
      </c>
      <c r="B561">
        <v>78.5</v>
      </c>
      <c r="C561">
        <v>54.5</v>
      </c>
      <c r="D561">
        <v>-4.0275484E-2</v>
      </c>
    </row>
    <row r="562" spans="1:4" x14ac:dyDescent="0.3">
      <c r="A562">
        <v>560</v>
      </c>
      <c r="B562">
        <v>78</v>
      </c>
      <c r="C562">
        <v>54</v>
      </c>
      <c r="D562">
        <v>-8.0547725000000001E-2</v>
      </c>
    </row>
    <row r="563" spans="1:4" x14ac:dyDescent="0.3">
      <c r="A563">
        <v>561</v>
      </c>
      <c r="B563">
        <v>82</v>
      </c>
      <c r="C563">
        <v>58</v>
      </c>
      <c r="D563">
        <v>-7.6822616999999996E-2</v>
      </c>
    </row>
    <row r="564" spans="1:4" x14ac:dyDescent="0.3">
      <c r="A564">
        <v>562</v>
      </c>
      <c r="B564">
        <v>81.5</v>
      </c>
      <c r="C564">
        <v>57.5</v>
      </c>
      <c r="D564">
        <v>-3.8409832999999997E-2</v>
      </c>
    </row>
    <row r="565" spans="1:4" x14ac:dyDescent="0.3">
      <c r="A565">
        <v>563</v>
      </c>
      <c r="B565">
        <v>81</v>
      </c>
      <c r="C565">
        <v>57</v>
      </c>
      <c r="D565">
        <v>-8.0547725000000001E-2</v>
      </c>
    </row>
    <row r="566" spans="1:4" x14ac:dyDescent="0.3">
      <c r="A566">
        <v>564</v>
      </c>
      <c r="B566">
        <v>80</v>
      </c>
      <c r="C566">
        <v>56</v>
      </c>
      <c r="D566">
        <v>-8.0563947999999996E-2</v>
      </c>
    </row>
    <row r="567" spans="1:4" x14ac:dyDescent="0.3">
      <c r="A567">
        <v>565</v>
      </c>
      <c r="B567">
        <v>95.5</v>
      </c>
      <c r="C567">
        <v>71.5</v>
      </c>
      <c r="D567">
        <v>-9.6658827000000003E-2</v>
      </c>
    </row>
    <row r="568" spans="1:4" x14ac:dyDescent="0.3">
      <c r="A568">
        <v>566</v>
      </c>
      <c r="B568">
        <v>95</v>
      </c>
      <c r="C568">
        <v>71</v>
      </c>
      <c r="D568">
        <v>-0.12887843500000001</v>
      </c>
    </row>
    <row r="569" spans="1:4" x14ac:dyDescent="0.3">
      <c r="A569">
        <v>567</v>
      </c>
      <c r="B569">
        <v>94</v>
      </c>
      <c r="C569">
        <v>70</v>
      </c>
      <c r="D569">
        <v>-8.0550969E-2</v>
      </c>
    </row>
    <row r="570" spans="1:4" x14ac:dyDescent="0.3">
      <c r="A570">
        <v>568</v>
      </c>
      <c r="B570">
        <v>93</v>
      </c>
      <c r="C570">
        <v>69</v>
      </c>
      <c r="D570">
        <v>-8.0554213E-2</v>
      </c>
    </row>
    <row r="571" spans="1:4" x14ac:dyDescent="0.3">
      <c r="A571">
        <v>569</v>
      </c>
      <c r="B571">
        <v>95</v>
      </c>
      <c r="C571">
        <v>71</v>
      </c>
      <c r="D571">
        <v>-8.0537994000000002E-2</v>
      </c>
    </row>
    <row r="572" spans="1:4" x14ac:dyDescent="0.3">
      <c r="A572">
        <v>570</v>
      </c>
      <c r="B572">
        <v>94.5</v>
      </c>
      <c r="C572">
        <v>70.5</v>
      </c>
      <c r="D572">
        <v>-0.12082158699999999</v>
      </c>
    </row>
    <row r="573" spans="1:4" x14ac:dyDescent="0.3">
      <c r="A573">
        <v>571</v>
      </c>
      <c r="B573">
        <v>94</v>
      </c>
      <c r="C573">
        <v>70</v>
      </c>
      <c r="D573">
        <v>-8.0570438999999994E-2</v>
      </c>
    </row>
    <row r="574" spans="1:4" x14ac:dyDescent="0.3">
      <c r="A574">
        <v>572</v>
      </c>
      <c r="B574">
        <v>93</v>
      </c>
      <c r="C574">
        <v>69</v>
      </c>
      <c r="D574">
        <v>-8.0573685000000006E-2</v>
      </c>
    </row>
    <row r="575" spans="1:4" x14ac:dyDescent="0.3">
      <c r="A575">
        <v>573</v>
      </c>
      <c r="B575">
        <v>93</v>
      </c>
      <c r="C575">
        <v>69</v>
      </c>
      <c r="D575">
        <v>-8.0560701999999998E-2</v>
      </c>
    </row>
    <row r="576" spans="1:4" x14ac:dyDescent="0.3">
      <c r="A576">
        <v>574</v>
      </c>
      <c r="B576">
        <v>92</v>
      </c>
      <c r="C576">
        <v>68</v>
      </c>
      <c r="D576">
        <v>-8.0547725000000001E-2</v>
      </c>
    </row>
    <row r="577" spans="1:4" x14ac:dyDescent="0.3">
      <c r="A577">
        <v>575</v>
      </c>
      <c r="B577">
        <v>92</v>
      </c>
      <c r="C577">
        <v>68</v>
      </c>
      <c r="D577">
        <v>-8.0541237000000002E-2</v>
      </c>
    </row>
    <row r="578" spans="1:4" x14ac:dyDescent="0.3">
      <c r="A578">
        <v>576</v>
      </c>
      <c r="B578">
        <v>208.5</v>
      </c>
      <c r="C578">
        <v>184.5</v>
      </c>
      <c r="D578">
        <v>-0.44322668999999998</v>
      </c>
    </row>
    <row r="579" spans="1:4" x14ac:dyDescent="0.3">
      <c r="A579">
        <v>577</v>
      </c>
      <c r="B579">
        <v>206</v>
      </c>
      <c r="C579">
        <v>182</v>
      </c>
      <c r="D579">
        <v>-0.402852194</v>
      </c>
    </row>
    <row r="580" spans="1:4" x14ac:dyDescent="0.3">
      <c r="A580">
        <v>578</v>
      </c>
      <c r="B580">
        <v>202</v>
      </c>
      <c r="C580">
        <v>178</v>
      </c>
      <c r="D580">
        <v>-0.38680978599999999</v>
      </c>
    </row>
    <row r="581" spans="1:4" x14ac:dyDescent="0.3">
      <c r="A581">
        <v>579</v>
      </c>
      <c r="B581">
        <v>104.5</v>
      </c>
      <c r="C581">
        <v>80.5</v>
      </c>
      <c r="D581">
        <v>-0.12087513599999999</v>
      </c>
    </row>
    <row r="582" spans="1:4" x14ac:dyDescent="0.3">
      <c r="A582">
        <v>580</v>
      </c>
      <c r="B582">
        <v>103.5</v>
      </c>
      <c r="C582">
        <v>79.5</v>
      </c>
      <c r="D582">
        <v>-0.120865396</v>
      </c>
    </row>
    <row r="583" spans="1:4" x14ac:dyDescent="0.3">
      <c r="A583">
        <v>581</v>
      </c>
      <c r="B583">
        <v>103</v>
      </c>
      <c r="C583">
        <v>79</v>
      </c>
      <c r="D583">
        <v>-8.0576931000000004E-2</v>
      </c>
    </row>
    <row r="584" spans="1:4" x14ac:dyDescent="0.3">
      <c r="A584">
        <v>582</v>
      </c>
      <c r="B584">
        <v>102</v>
      </c>
      <c r="C584">
        <v>78</v>
      </c>
      <c r="D584">
        <v>-8.0583424000000001E-2</v>
      </c>
    </row>
    <row r="585" spans="1:4" x14ac:dyDescent="0.3">
      <c r="A585">
        <v>583</v>
      </c>
      <c r="B585">
        <v>101.5</v>
      </c>
      <c r="C585">
        <v>77.5</v>
      </c>
      <c r="D585">
        <v>-0.120870266</v>
      </c>
    </row>
    <row r="586" spans="1:4" x14ac:dyDescent="0.3">
      <c r="A586">
        <v>584</v>
      </c>
      <c r="B586">
        <v>100.5</v>
      </c>
      <c r="C586">
        <v>76.5</v>
      </c>
      <c r="D586">
        <v>-0.120870266</v>
      </c>
    </row>
    <row r="587" spans="1:4" x14ac:dyDescent="0.3">
      <c r="A587">
        <v>585</v>
      </c>
      <c r="B587">
        <v>100.5</v>
      </c>
      <c r="C587">
        <v>76.5</v>
      </c>
      <c r="D587">
        <v>-0.120860527</v>
      </c>
    </row>
    <row r="588" spans="1:4" x14ac:dyDescent="0.3">
      <c r="A588">
        <v>586</v>
      </c>
      <c r="B588">
        <v>105.5</v>
      </c>
      <c r="C588">
        <v>81.5</v>
      </c>
      <c r="D588">
        <v>-0.12082158699999999</v>
      </c>
    </row>
    <row r="589" spans="1:4" x14ac:dyDescent="0.3">
      <c r="A589">
        <v>587</v>
      </c>
      <c r="B589">
        <v>104.5</v>
      </c>
      <c r="C589">
        <v>80.5</v>
      </c>
      <c r="D589">
        <v>-0.120826453</v>
      </c>
    </row>
    <row r="590" spans="1:4" x14ac:dyDescent="0.3">
      <c r="A590">
        <v>588</v>
      </c>
      <c r="B590">
        <v>103.5</v>
      </c>
      <c r="C590">
        <v>79.5</v>
      </c>
      <c r="D590">
        <v>-0.120836186</v>
      </c>
    </row>
    <row r="591" spans="1:4" x14ac:dyDescent="0.3">
      <c r="A591">
        <v>589</v>
      </c>
      <c r="B591">
        <v>103</v>
      </c>
      <c r="C591">
        <v>79</v>
      </c>
      <c r="D591">
        <v>-8.0537994000000002E-2</v>
      </c>
    </row>
    <row r="592" spans="1:4" x14ac:dyDescent="0.3">
      <c r="A592">
        <v>590</v>
      </c>
      <c r="B592">
        <v>102.5</v>
      </c>
      <c r="C592">
        <v>78.5</v>
      </c>
      <c r="D592">
        <v>-0.120806991</v>
      </c>
    </row>
    <row r="593" spans="1:4" x14ac:dyDescent="0.3">
      <c r="A593">
        <v>591</v>
      </c>
      <c r="B593">
        <v>101.5</v>
      </c>
      <c r="C593">
        <v>77.5</v>
      </c>
      <c r="D593">
        <v>-0.120816721</v>
      </c>
    </row>
    <row r="594" spans="1:4" x14ac:dyDescent="0.3">
      <c r="A594">
        <v>592</v>
      </c>
      <c r="B594">
        <v>100.5</v>
      </c>
      <c r="C594">
        <v>76.5</v>
      </c>
      <c r="D594">
        <v>-0.120811856</v>
      </c>
    </row>
    <row r="595" spans="1:4" x14ac:dyDescent="0.3">
      <c r="A595">
        <v>593</v>
      </c>
      <c r="B595">
        <v>100.5</v>
      </c>
      <c r="C595">
        <v>76.5</v>
      </c>
      <c r="D595">
        <v>-0.12083131900000001</v>
      </c>
    </row>
    <row r="596" spans="1:4" x14ac:dyDescent="0.3">
      <c r="A596">
        <v>594</v>
      </c>
      <c r="B596">
        <v>99.5</v>
      </c>
      <c r="C596">
        <v>75.5</v>
      </c>
      <c r="D596">
        <v>-0.120845921</v>
      </c>
    </row>
    <row r="597" spans="1:4" x14ac:dyDescent="0.3">
      <c r="A597">
        <v>595</v>
      </c>
      <c r="B597">
        <v>105.5</v>
      </c>
      <c r="C597">
        <v>81.5</v>
      </c>
      <c r="D597">
        <v>-0.120802126</v>
      </c>
    </row>
    <row r="598" spans="1:4" x14ac:dyDescent="0.3">
      <c r="A598">
        <v>596</v>
      </c>
      <c r="B598">
        <v>104.5</v>
      </c>
      <c r="C598">
        <v>80.5</v>
      </c>
      <c r="D598">
        <v>-0.120802126</v>
      </c>
    </row>
    <row r="599" spans="1:4" x14ac:dyDescent="0.3">
      <c r="A599">
        <v>597</v>
      </c>
      <c r="B599">
        <v>103.5</v>
      </c>
      <c r="C599">
        <v>79.5</v>
      </c>
      <c r="D599">
        <v>-0.120811856</v>
      </c>
    </row>
    <row r="600" spans="1:4" x14ac:dyDescent="0.3">
      <c r="A600">
        <v>598</v>
      </c>
      <c r="B600">
        <v>103</v>
      </c>
      <c r="C600">
        <v>79</v>
      </c>
      <c r="D600">
        <v>-8.0560701999999998E-2</v>
      </c>
    </row>
    <row r="601" spans="1:4" x14ac:dyDescent="0.3">
      <c r="A601">
        <v>599</v>
      </c>
      <c r="B601">
        <v>102.5</v>
      </c>
      <c r="C601">
        <v>78.5</v>
      </c>
      <c r="D601">
        <v>-0.12083131900000001</v>
      </c>
    </row>
    <row r="602" spans="1:4" x14ac:dyDescent="0.3">
      <c r="A602">
        <v>600</v>
      </c>
      <c r="B602">
        <v>101</v>
      </c>
      <c r="C602">
        <v>77</v>
      </c>
      <c r="D602">
        <v>-0.12888258799999999</v>
      </c>
    </row>
    <row r="603" spans="1:4" x14ac:dyDescent="0.3">
      <c r="A603">
        <v>601</v>
      </c>
      <c r="B603">
        <v>100.5</v>
      </c>
      <c r="C603">
        <v>76.5</v>
      </c>
      <c r="D603">
        <v>-0.120855658</v>
      </c>
    </row>
    <row r="604" spans="1:4" x14ac:dyDescent="0.3">
      <c r="A604">
        <v>602</v>
      </c>
      <c r="B604">
        <v>99.5</v>
      </c>
      <c r="C604">
        <v>75.5</v>
      </c>
      <c r="D604">
        <v>-0.120841054</v>
      </c>
    </row>
    <row r="605" spans="1:4" x14ac:dyDescent="0.3">
      <c r="A605">
        <v>603</v>
      </c>
      <c r="B605">
        <v>99.5</v>
      </c>
      <c r="C605">
        <v>75.5</v>
      </c>
      <c r="D605">
        <v>-0.12085079</v>
      </c>
    </row>
    <row r="606" spans="1:4" x14ac:dyDescent="0.3">
      <c r="A606">
        <v>604</v>
      </c>
      <c r="B606">
        <v>98</v>
      </c>
      <c r="C606">
        <v>74</v>
      </c>
      <c r="D606">
        <v>-8.0576931000000004E-2</v>
      </c>
    </row>
    <row r="607" spans="1:4" x14ac:dyDescent="0.3">
      <c r="A607">
        <v>605</v>
      </c>
      <c r="B607">
        <v>97.5</v>
      </c>
      <c r="C607">
        <v>73.5</v>
      </c>
      <c r="D607">
        <v>-0.120880006</v>
      </c>
    </row>
    <row r="608" spans="1:4" x14ac:dyDescent="0.3">
      <c r="A608">
        <v>606</v>
      </c>
      <c r="B608">
        <v>97</v>
      </c>
      <c r="C608">
        <v>73</v>
      </c>
      <c r="D608">
        <v>-8.0593165999999994E-2</v>
      </c>
    </row>
    <row r="609" spans="1:4" x14ac:dyDescent="0.3">
      <c r="A609">
        <v>607</v>
      </c>
      <c r="B609">
        <v>96.5</v>
      </c>
      <c r="C609">
        <v>72.5</v>
      </c>
      <c r="D609">
        <v>-0.120880006</v>
      </c>
    </row>
    <row r="610" spans="1:4" x14ac:dyDescent="0.3">
      <c r="A610">
        <v>608</v>
      </c>
      <c r="B610">
        <v>95.5</v>
      </c>
      <c r="C610">
        <v>71.5</v>
      </c>
      <c r="D610">
        <v>-0.12087513599999999</v>
      </c>
    </row>
    <row r="611" spans="1:4" x14ac:dyDescent="0.3">
      <c r="A611">
        <v>609</v>
      </c>
      <c r="B611">
        <v>100.5</v>
      </c>
      <c r="C611">
        <v>76.5</v>
      </c>
      <c r="D611">
        <v>-0.120826453</v>
      </c>
    </row>
    <row r="612" spans="1:4" x14ac:dyDescent="0.3">
      <c r="A612">
        <v>610</v>
      </c>
      <c r="B612">
        <v>99.5</v>
      </c>
      <c r="C612">
        <v>75.5</v>
      </c>
      <c r="D612">
        <v>-0.120836186</v>
      </c>
    </row>
    <row r="613" spans="1:4" x14ac:dyDescent="0.3">
      <c r="A613">
        <v>611</v>
      </c>
      <c r="B613">
        <v>99.5</v>
      </c>
      <c r="C613">
        <v>75.5</v>
      </c>
      <c r="D613">
        <v>-0.120841054</v>
      </c>
    </row>
    <row r="614" spans="1:4" x14ac:dyDescent="0.3">
      <c r="A614">
        <v>612</v>
      </c>
      <c r="B614">
        <v>98</v>
      </c>
      <c r="C614">
        <v>74</v>
      </c>
      <c r="D614">
        <v>-8.0570438999999994E-2</v>
      </c>
    </row>
    <row r="615" spans="1:4" x14ac:dyDescent="0.3">
      <c r="A615">
        <v>613</v>
      </c>
      <c r="B615">
        <v>98</v>
      </c>
      <c r="C615">
        <v>74</v>
      </c>
      <c r="D615">
        <v>-8.0573685000000006E-2</v>
      </c>
    </row>
    <row r="616" spans="1:4" x14ac:dyDescent="0.3">
      <c r="A616">
        <v>614</v>
      </c>
      <c r="B616">
        <v>97</v>
      </c>
      <c r="C616">
        <v>73</v>
      </c>
      <c r="D616">
        <v>-8.0583424000000001E-2</v>
      </c>
    </row>
    <row r="617" spans="1:4" x14ac:dyDescent="0.3">
      <c r="A617">
        <v>615</v>
      </c>
      <c r="B617">
        <v>100</v>
      </c>
      <c r="C617">
        <v>76</v>
      </c>
      <c r="D617">
        <v>-0.128903355</v>
      </c>
    </row>
    <row r="618" spans="1:4" x14ac:dyDescent="0.3">
      <c r="A618">
        <v>616</v>
      </c>
      <c r="B618">
        <v>99.5</v>
      </c>
      <c r="C618">
        <v>75.5</v>
      </c>
      <c r="D618">
        <v>-9.6680632000000002E-2</v>
      </c>
    </row>
    <row r="619" spans="1:4" x14ac:dyDescent="0.3">
      <c r="A619">
        <v>617</v>
      </c>
      <c r="B619">
        <v>99</v>
      </c>
      <c r="C619">
        <v>75</v>
      </c>
      <c r="D619">
        <v>-0.128907509</v>
      </c>
    </row>
    <row r="620" spans="1:4" x14ac:dyDescent="0.3">
      <c r="A620">
        <v>618</v>
      </c>
      <c r="B620">
        <v>98</v>
      </c>
      <c r="C620">
        <v>74</v>
      </c>
      <c r="D620">
        <v>-8.0567192999999995E-2</v>
      </c>
    </row>
    <row r="621" spans="1:4" x14ac:dyDescent="0.3">
      <c r="A621">
        <v>619</v>
      </c>
      <c r="B621">
        <v>97</v>
      </c>
      <c r="C621">
        <v>73</v>
      </c>
      <c r="D621">
        <v>-8.0563947999999996E-2</v>
      </c>
    </row>
    <row r="622" spans="1:4" x14ac:dyDescent="0.3">
      <c r="A622">
        <v>620</v>
      </c>
      <c r="B622">
        <v>96.5</v>
      </c>
      <c r="C622">
        <v>72.5</v>
      </c>
      <c r="D622">
        <v>-0.120816721</v>
      </c>
    </row>
    <row r="623" spans="1:4" x14ac:dyDescent="0.3">
      <c r="A623">
        <v>621</v>
      </c>
      <c r="B623">
        <v>95.5</v>
      </c>
      <c r="C623">
        <v>71.5</v>
      </c>
      <c r="D623">
        <v>-0.12082158699999999</v>
      </c>
    </row>
    <row r="624" spans="1:4" x14ac:dyDescent="0.3">
      <c r="A624">
        <v>622</v>
      </c>
      <c r="B624">
        <v>95.5</v>
      </c>
      <c r="C624">
        <v>71.5</v>
      </c>
      <c r="D624">
        <v>-0.120806991</v>
      </c>
    </row>
    <row r="625" spans="1:4" x14ac:dyDescent="0.3">
      <c r="A625">
        <v>623</v>
      </c>
      <c r="B625">
        <v>217</v>
      </c>
      <c r="C625">
        <v>193</v>
      </c>
      <c r="D625">
        <v>-0.48346158500000003</v>
      </c>
    </row>
    <row r="626" spans="1:4" x14ac:dyDescent="0.3">
      <c r="A626">
        <v>624</v>
      </c>
      <c r="B626">
        <v>214.5</v>
      </c>
      <c r="C626">
        <v>190.5</v>
      </c>
      <c r="D626">
        <v>-0.52381336099999998</v>
      </c>
    </row>
    <row r="627" spans="1:4" x14ac:dyDescent="0.3">
      <c r="A627">
        <v>625</v>
      </c>
      <c r="B627">
        <v>211.5</v>
      </c>
      <c r="C627">
        <v>187.5</v>
      </c>
      <c r="D627">
        <v>-0.44324455000000001</v>
      </c>
    </row>
    <row r="628" spans="1:4" x14ac:dyDescent="0.3">
      <c r="A628">
        <v>626</v>
      </c>
      <c r="B628">
        <v>91</v>
      </c>
      <c r="C628">
        <v>67</v>
      </c>
      <c r="D628">
        <v>-8.0583424000000001E-2</v>
      </c>
    </row>
    <row r="629" spans="1:4" x14ac:dyDescent="0.3">
      <c r="A629">
        <v>627</v>
      </c>
      <c r="B629">
        <v>90.5</v>
      </c>
      <c r="C629">
        <v>66.5</v>
      </c>
      <c r="D629">
        <v>-0.120836186</v>
      </c>
    </row>
    <row r="630" spans="1:4" x14ac:dyDescent="0.3">
      <c r="A630">
        <v>628</v>
      </c>
      <c r="B630">
        <v>90</v>
      </c>
      <c r="C630">
        <v>66</v>
      </c>
      <c r="D630">
        <v>-8.0554213E-2</v>
      </c>
    </row>
    <row r="631" spans="1:4" x14ac:dyDescent="0.3">
      <c r="A631">
        <v>629</v>
      </c>
      <c r="B631">
        <v>89.5</v>
      </c>
      <c r="C631">
        <v>65.5</v>
      </c>
      <c r="D631">
        <v>-0.12082158699999999</v>
      </c>
    </row>
    <row r="632" spans="1:4" x14ac:dyDescent="0.3">
      <c r="A632">
        <v>630</v>
      </c>
      <c r="B632">
        <v>89</v>
      </c>
      <c r="C632">
        <v>65</v>
      </c>
      <c r="D632">
        <v>-8.0550969E-2</v>
      </c>
    </row>
    <row r="633" spans="1:4" x14ac:dyDescent="0.3">
      <c r="A633">
        <v>631</v>
      </c>
      <c r="B633">
        <v>91</v>
      </c>
      <c r="C633">
        <v>67</v>
      </c>
      <c r="D633">
        <v>-8.0554213E-2</v>
      </c>
    </row>
    <row r="634" spans="1:4" x14ac:dyDescent="0.3">
      <c r="A634">
        <v>632</v>
      </c>
      <c r="B634">
        <v>90.5</v>
      </c>
      <c r="C634">
        <v>66.5</v>
      </c>
      <c r="D634">
        <v>-0.120826453</v>
      </c>
    </row>
    <row r="635" spans="1:4" x14ac:dyDescent="0.3">
      <c r="A635">
        <v>633</v>
      </c>
      <c r="B635">
        <v>90</v>
      </c>
      <c r="C635">
        <v>66</v>
      </c>
      <c r="D635">
        <v>-8.0544481000000001E-2</v>
      </c>
    </row>
    <row r="636" spans="1:4" x14ac:dyDescent="0.3">
      <c r="A636">
        <v>634</v>
      </c>
      <c r="B636">
        <v>89.5</v>
      </c>
      <c r="C636">
        <v>65.5</v>
      </c>
      <c r="D636">
        <v>-0.120845921</v>
      </c>
    </row>
    <row r="637" spans="1:4" x14ac:dyDescent="0.3">
      <c r="A637">
        <v>635</v>
      </c>
      <c r="B637">
        <v>89</v>
      </c>
      <c r="C637">
        <v>65</v>
      </c>
      <c r="D637">
        <v>-8.0550969E-2</v>
      </c>
    </row>
    <row r="638" spans="1:4" x14ac:dyDescent="0.3">
      <c r="A638">
        <v>636</v>
      </c>
      <c r="B638">
        <v>88</v>
      </c>
      <c r="C638">
        <v>64</v>
      </c>
      <c r="D638">
        <v>-8.0537994000000002E-2</v>
      </c>
    </row>
    <row r="639" spans="1:4" x14ac:dyDescent="0.3">
      <c r="A639">
        <v>637</v>
      </c>
      <c r="B639">
        <v>220.5</v>
      </c>
      <c r="C639">
        <v>196.5</v>
      </c>
      <c r="D639">
        <v>-0.52385557699999996</v>
      </c>
    </row>
    <row r="640" spans="1:4" x14ac:dyDescent="0.3">
      <c r="A640">
        <v>638</v>
      </c>
      <c r="B640">
        <v>217.5</v>
      </c>
      <c r="C640">
        <v>193.5</v>
      </c>
      <c r="D640">
        <v>-0.44326241100000002</v>
      </c>
    </row>
    <row r="641" spans="1:4" x14ac:dyDescent="0.3">
      <c r="A641">
        <v>639</v>
      </c>
      <c r="B641">
        <v>213.5</v>
      </c>
      <c r="C641">
        <v>189.5</v>
      </c>
      <c r="D641">
        <v>-0.44319097499999999</v>
      </c>
    </row>
    <row r="642" spans="1:4" x14ac:dyDescent="0.3">
      <c r="A642">
        <v>640</v>
      </c>
      <c r="B642">
        <v>87</v>
      </c>
      <c r="C642">
        <v>63</v>
      </c>
      <c r="D642">
        <v>-8.0576931000000004E-2</v>
      </c>
    </row>
    <row r="643" spans="1:4" x14ac:dyDescent="0.3">
      <c r="A643">
        <v>641</v>
      </c>
      <c r="B643">
        <v>86</v>
      </c>
      <c r="C643">
        <v>62</v>
      </c>
      <c r="D643">
        <v>-8.0576931000000004E-2</v>
      </c>
    </row>
    <row r="644" spans="1:4" x14ac:dyDescent="0.3">
      <c r="A644">
        <v>642</v>
      </c>
      <c r="B644">
        <v>85.5</v>
      </c>
      <c r="C644">
        <v>61.5</v>
      </c>
      <c r="D644">
        <v>-9.6693096000000006E-2</v>
      </c>
    </row>
    <row r="645" spans="1:4" x14ac:dyDescent="0.3">
      <c r="A645">
        <v>643</v>
      </c>
      <c r="B645">
        <v>84.5</v>
      </c>
      <c r="C645">
        <v>60.5</v>
      </c>
      <c r="D645">
        <v>-9.6689979999999995E-2</v>
      </c>
    </row>
    <row r="646" spans="1:4" x14ac:dyDescent="0.3">
      <c r="A646">
        <v>644</v>
      </c>
      <c r="B646">
        <v>87</v>
      </c>
      <c r="C646">
        <v>63</v>
      </c>
      <c r="D646">
        <v>-8.0567192999999995E-2</v>
      </c>
    </row>
    <row r="647" spans="1:4" x14ac:dyDescent="0.3">
      <c r="A647">
        <v>645</v>
      </c>
      <c r="B647">
        <v>86</v>
      </c>
      <c r="C647">
        <v>62</v>
      </c>
      <c r="D647">
        <v>-8.0570438999999994E-2</v>
      </c>
    </row>
    <row r="648" spans="1:4" x14ac:dyDescent="0.3">
      <c r="A648">
        <v>646</v>
      </c>
      <c r="B648">
        <v>85.5</v>
      </c>
      <c r="C648">
        <v>61.5</v>
      </c>
      <c r="D648">
        <v>-0.120845921</v>
      </c>
    </row>
    <row r="649" spans="1:4" x14ac:dyDescent="0.3">
      <c r="A649">
        <v>647</v>
      </c>
      <c r="B649">
        <v>85</v>
      </c>
      <c r="C649">
        <v>61</v>
      </c>
      <c r="D649">
        <v>-8.0554213E-2</v>
      </c>
    </row>
    <row r="650" spans="1:4" x14ac:dyDescent="0.3">
      <c r="A650">
        <v>648</v>
      </c>
      <c r="B650">
        <v>85</v>
      </c>
      <c r="C650">
        <v>61</v>
      </c>
      <c r="D650">
        <v>-8.0541237000000002E-2</v>
      </c>
    </row>
    <row r="651" spans="1:4" x14ac:dyDescent="0.3">
      <c r="A651">
        <v>649</v>
      </c>
      <c r="B651">
        <v>84</v>
      </c>
      <c r="C651">
        <v>60</v>
      </c>
      <c r="D651">
        <v>-8.0544481000000001E-2</v>
      </c>
    </row>
    <row r="652" spans="1:4" x14ac:dyDescent="0.3">
      <c r="A652">
        <v>650</v>
      </c>
      <c r="B652">
        <v>83.5</v>
      </c>
      <c r="C652">
        <v>59.5</v>
      </c>
      <c r="D652">
        <v>-4.0273862000000001E-2</v>
      </c>
    </row>
    <row r="653" spans="1:4" x14ac:dyDescent="0.3">
      <c r="A653">
        <v>651</v>
      </c>
      <c r="B653">
        <v>86.5</v>
      </c>
      <c r="C653">
        <v>62.5</v>
      </c>
      <c r="D653">
        <v>-4.0277106E-2</v>
      </c>
    </row>
    <row r="654" spans="1:4" x14ac:dyDescent="0.3">
      <c r="A654">
        <v>652</v>
      </c>
      <c r="B654">
        <v>86</v>
      </c>
      <c r="C654">
        <v>62</v>
      </c>
      <c r="D654">
        <v>-8.0557457999999998E-2</v>
      </c>
    </row>
    <row r="655" spans="1:4" x14ac:dyDescent="0.3">
      <c r="A655">
        <v>653</v>
      </c>
      <c r="B655">
        <v>85</v>
      </c>
      <c r="C655">
        <v>61</v>
      </c>
      <c r="D655">
        <v>-8.0550969E-2</v>
      </c>
    </row>
    <row r="656" spans="1:4" x14ac:dyDescent="0.3">
      <c r="A656">
        <v>654</v>
      </c>
      <c r="B656">
        <v>85</v>
      </c>
      <c r="C656">
        <v>61</v>
      </c>
      <c r="D656">
        <v>-8.0550969E-2</v>
      </c>
    </row>
    <row r="657" spans="1:4" x14ac:dyDescent="0.3">
      <c r="A657">
        <v>655</v>
      </c>
      <c r="B657">
        <v>84.5</v>
      </c>
      <c r="C657">
        <v>60.5</v>
      </c>
      <c r="D657">
        <v>-0.120806991</v>
      </c>
    </row>
    <row r="658" spans="1:4" x14ac:dyDescent="0.3">
      <c r="A658">
        <v>656</v>
      </c>
      <c r="B658">
        <v>84</v>
      </c>
      <c r="C658">
        <v>60</v>
      </c>
      <c r="D658">
        <v>-8.0537994000000002E-2</v>
      </c>
    </row>
    <row r="659" spans="1:4" x14ac:dyDescent="0.3">
      <c r="A659">
        <v>657</v>
      </c>
      <c r="B659">
        <v>224</v>
      </c>
      <c r="C659">
        <v>200</v>
      </c>
      <c r="D659">
        <v>-0.56397035100000004</v>
      </c>
    </row>
    <row r="660" spans="1:4" x14ac:dyDescent="0.3">
      <c r="A660">
        <v>658</v>
      </c>
      <c r="B660">
        <v>220.5</v>
      </c>
      <c r="C660">
        <v>196.5</v>
      </c>
      <c r="D660">
        <v>-0.52368675499999995</v>
      </c>
    </row>
    <row r="661" spans="1:4" x14ac:dyDescent="0.3">
      <c r="A661">
        <v>659</v>
      </c>
      <c r="B661">
        <v>81.5</v>
      </c>
      <c r="C661">
        <v>57.5</v>
      </c>
      <c r="D661">
        <v>-4.0275484E-2</v>
      </c>
    </row>
    <row r="662" spans="1:4" x14ac:dyDescent="0.3">
      <c r="A662">
        <v>660</v>
      </c>
      <c r="B662">
        <v>81</v>
      </c>
      <c r="C662">
        <v>57</v>
      </c>
      <c r="D662">
        <v>-8.0560701999999998E-2</v>
      </c>
    </row>
    <row r="663" spans="1:4" x14ac:dyDescent="0.3">
      <c r="A663">
        <v>661</v>
      </c>
      <c r="B663">
        <v>80</v>
      </c>
      <c r="C663">
        <v>56</v>
      </c>
      <c r="D663">
        <v>-8.0547725000000001E-2</v>
      </c>
    </row>
    <row r="664" spans="1:4" x14ac:dyDescent="0.3">
      <c r="A664">
        <v>662</v>
      </c>
      <c r="B664">
        <v>80</v>
      </c>
      <c r="C664">
        <v>56</v>
      </c>
      <c r="D664">
        <v>-8.0570438999999994E-2</v>
      </c>
    </row>
    <row r="665" spans="1:4" x14ac:dyDescent="0.3">
      <c r="A665">
        <v>663</v>
      </c>
      <c r="B665">
        <v>79.5</v>
      </c>
      <c r="C665">
        <v>55.5</v>
      </c>
      <c r="D665">
        <v>-0.120855658</v>
      </c>
    </row>
    <row r="666" spans="1:4" x14ac:dyDescent="0.3">
      <c r="A666">
        <v>664</v>
      </c>
      <c r="B666">
        <v>79</v>
      </c>
      <c r="C666">
        <v>55</v>
      </c>
      <c r="D666">
        <v>-8.0554213E-2</v>
      </c>
    </row>
    <row r="667" spans="1:4" x14ac:dyDescent="0.3">
      <c r="A667">
        <v>665</v>
      </c>
      <c r="B667">
        <v>78</v>
      </c>
      <c r="C667">
        <v>54</v>
      </c>
      <c r="D667">
        <v>-8.0563947999999996E-2</v>
      </c>
    </row>
    <row r="668" spans="1:4" x14ac:dyDescent="0.3">
      <c r="A668">
        <v>666</v>
      </c>
      <c r="B668">
        <v>82</v>
      </c>
      <c r="C668">
        <v>58</v>
      </c>
      <c r="D668">
        <v>-8.0557457999999998E-2</v>
      </c>
    </row>
    <row r="669" spans="1:4" x14ac:dyDescent="0.3">
      <c r="A669">
        <v>667</v>
      </c>
      <c r="B669">
        <v>81.5</v>
      </c>
      <c r="C669">
        <v>57.5</v>
      </c>
      <c r="D669">
        <v>-4.0278728999999999E-2</v>
      </c>
    </row>
    <row r="670" spans="1:4" x14ac:dyDescent="0.3">
      <c r="A670">
        <v>668</v>
      </c>
      <c r="B670">
        <v>81</v>
      </c>
      <c r="C670">
        <v>57</v>
      </c>
      <c r="D670">
        <v>-8.0560701999999998E-2</v>
      </c>
    </row>
    <row r="671" spans="1:4" x14ac:dyDescent="0.3">
      <c r="A671">
        <v>669</v>
      </c>
      <c r="B671">
        <v>80</v>
      </c>
      <c r="C671">
        <v>56</v>
      </c>
      <c r="D671">
        <v>-8.0557457999999998E-2</v>
      </c>
    </row>
    <row r="672" spans="1:4" x14ac:dyDescent="0.3">
      <c r="A672">
        <v>670</v>
      </c>
      <c r="B672">
        <v>80</v>
      </c>
      <c r="C672">
        <v>56</v>
      </c>
      <c r="D672">
        <v>-8.0554213E-2</v>
      </c>
    </row>
    <row r="673" spans="1:4" x14ac:dyDescent="0.3">
      <c r="A673">
        <v>671</v>
      </c>
      <c r="B673">
        <v>79.5</v>
      </c>
      <c r="C673">
        <v>55.5</v>
      </c>
      <c r="D673">
        <v>-0.12082158699999999</v>
      </c>
    </row>
    <row r="674" spans="1:4" x14ac:dyDescent="0.3">
      <c r="A674">
        <v>672</v>
      </c>
      <c r="B674">
        <v>79</v>
      </c>
      <c r="C674">
        <v>55</v>
      </c>
      <c r="D674">
        <v>-8.0550969E-2</v>
      </c>
    </row>
    <row r="675" spans="1:4" x14ac:dyDescent="0.3">
      <c r="A675">
        <v>673</v>
      </c>
      <c r="B675">
        <v>78</v>
      </c>
      <c r="C675">
        <v>54</v>
      </c>
      <c r="D675">
        <v>-8.0550969E-2</v>
      </c>
    </row>
    <row r="676" spans="1:4" x14ac:dyDescent="0.3">
      <c r="A676">
        <v>674</v>
      </c>
      <c r="B676">
        <v>224</v>
      </c>
      <c r="C676">
        <v>200</v>
      </c>
      <c r="D676">
        <v>-0.56376595699999998</v>
      </c>
    </row>
    <row r="677" spans="1:4" x14ac:dyDescent="0.3">
      <c r="A677">
        <v>675</v>
      </c>
      <c r="B677">
        <v>220.5</v>
      </c>
      <c r="C677">
        <v>196.5</v>
      </c>
      <c r="D677">
        <v>-0.52347588</v>
      </c>
    </row>
    <row r="678" spans="1:4" x14ac:dyDescent="0.3">
      <c r="A678">
        <v>676</v>
      </c>
      <c r="B678">
        <v>217.5</v>
      </c>
      <c r="C678">
        <v>193.5</v>
      </c>
      <c r="D678">
        <v>-0.52351804099999999</v>
      </c>
    </row>
    <row r="679" spans="1:4" x14ac:dyDescent="0.3">
      <c r="A679">
        <v>677</v>
      </c>
      <c r="B679">
        <v>214</v>
      </c>
      <c r="C679">
        <v>190</v>
      </c>
      <c r="D679">
        <v>-0.48326688400000001</v>
      </c>
    </row>
    <row r="680" spans="1:4" x14ac:dyDescent="0.3">
      <c r="A680">
        <v>678</v>
      </c>
      <c r="B680">
        <v>210.5</v>
      </c>
      <c r="C680">
        <v>186.5</v>
      </c>
      <c r="D680">
        <v>-0.52351804099999999</v>
      </c>
    </row>
    <row r="681" spans="1:4" x14ac:dyDescent="0.3">
      <c r="A681">
        <v>679</v>
      </c>
      <c r="B681">
        <v>95.5</v>
      </c>
      <c r="C681">
        <v>71.5</v>
      </c>
      <c r="D681">
        <v>-0.120797262</v>
      </c>
    </row>
    <row r="682" spans="1:4" x14ac:dyDescent="0.3">
      <c r="A682">
        <v>680</v>
      </c>
      <c r="B682">
        <v>95</v>
      </c>
      <c r="C682">
        <v>71</v>
      </c>
      <c r="D682">
        <v>-8.0537994000000002E-2</v>
      </c>
    </row>
    <row r="683" spans="1:4" x14ac:dyDescent="0.3">
      <c r="A683">
        <v>681</v>
      </c>
      <c r="B683">
        <v>94.5</v>
      </c>
      <c r="C683">
        <v>70.5</v>
      </c>
      <c r="D683">
        <v>-0.120845921</v>
      </c>
    </row>
    <row r="684" spans="1:4" x14ac:dyDescent="0.3">
      <c r="A684">
        <v>682</v>
      </c>
      <c r="B684">
        <v>93</v>
      </c>
      <c r="C684">
        <v>69</v>
      </c>
      <c r="D684">
        <v>-8.0560701999999998E-2</v>
      </c>
    </row>
    <row r="685" spans="1:4" x14ac:dyDescent="0.3">
      <c r="A685">
        <v>683</v>
      </c>
      <c r="B685">
        <v>93</v>
      </c>
      <c r="C685">
        <v>69</v>
      </c>
      <c r="D685">
        <v>-8.0563947999999996E-2</v>
      </c>
    </row>
    <row r="686" spans="1:4" x14ac:dyDescent="0.3">
      <c r="A686">
        <v>684</v>
      </c>
      <c r="B686">
        <v>95.5</v>
      </c>
      <c r="C686">
        <v>71.5</v>
      </c>
      <c r="D686">
        <v>-0.120811856</v>
      </c>
    </row>
    <row r="687" spans="1:4" x14ac:dyDescent="0.3">
      <c r="A687">
        <v>685</v>
      </c>
      <c r="B687">
        <v>95</v>
      </c>
      <c r="C687">
        <v>71</v>
      </c>
      <c r="D687">
        <v>-8.0541237000000002E-2</v>
      </c>
    </row>
    <row r="688" spans="1:4" x14ac:dyDescent="0.3">
      <c r="A688">
        <v>686</v>
      </c>
      <c r="B688">
        <v>94.5</v>
      </c>
      <c r="C688">
        <v>70.5</v>
      </c>
      <c r="D688">
        <v>-0.12082158699999999</v>
      </c>
    </row>
    <row r="689" spans="1:4" x14ac:dyDescent="0.3">
      <c r="A689">
        <v>687</v>
      </c>
      <c r="B689">
        <v>93.5</v>
      </c>
      <c r="C689">
        <v>69.5</v>
      </c>
      <c r="D689">
        <v>-4.0280350999999999E-2</v>
      </c>
    </row>
    <row r="690" spans="1:4" x14ac:dyDescent="0.3">
      <c r="A690">
        <v>688</v>
      </c>
      <c r="B690">
        <v>93</v>
      </c>
      <c r="C690">
        <v>69</v>
      </c>
      <c r="D690">
        <v>-8.0560701999999998E-2</v>
      </c>
    </row>
    <row r="691" spans="1:4" x14ac:dyDescent="0.3">
      <c r="A691">
        <v>689</v>
      </c>
      <c r="B691">
        <v>92.5</v>
      </c>
      <c r="C691">
        <v>68.5</v>
      </c>
      <c r="D691">
        <v>-0.120826453</v>
      </c>
    </row>
    <row r="692" spans="1:4" x14ac:dyDescent="0.3">
      <c r="A692">
        <v>690</v>
      </c>
      <c r="B692">
        <v>92</v>
      </c>
      <c r="C692">
        <v>68</v>
      </c>
      <c r="D692">
        <v>-8.0534751000000002E-2</v>
      </c>
    </row>
    <row r="693" spans="1:4" x14ac:dyDescent="0.3">
      <c r="A693">
        <v>691</v>
      </c>
      <c r="B693">
        <v>92</v>
      </c>
      <c r="C693">
        <v>68</v>
      </c>
      <c r="D693">
        <v>-8.0528265000000002E-2</v>
      </c>
    </row>
    <row r="694" spans="1:4" x14ac:dyDescent="0.3">
      <c r="A694">
        <v>692</v>
      </c>
      <c r="B694">
        <v>95.5</v>
      </c>
      <c r="C694">
        <v>71.5</v>
      </c>
      <c r="D694">
        <v>-0.120841054</v>
      </c>
    </row>
    <row r="695" spans="1:4" x14ac:dyDescent="0.3">
      <c r="A695">
        <v>693</v>
      </c>
      <c r="B695">
        <v>95</v>
      </c>
      <c r="C695">
        <v>71</v>
      </c>
      <c r="D695">
        <v>-8.0554213E-2</v>
      </c>
    </row>
    <row r="696" spans="1:4" x14ac:dyDescent="0.3">
      <c r="A696">
        <v>694</v>
      </c>
      <c r="B696">
        <v>94.5</v>
      </c>
      <c r="C696">
        <v>70.5</v>
      </c>
      <c r="D696">
        <v>-9.6671284999999996E-2</v>
      </c>
    </row>
    <row r="697" spans="1:4" x14ac:dyDescent="0.3">
      <c r="A697">
        <v>695</v>
      </c>
      <c r="B697">
        <v>93.5</v>
      </c>
      <c r="C697">
        <v>69.5</v>
      </c>
      <c r="D697">
        <v>-9.6683747E-2</v>
      </c>
    </row>
    <row r="698" spans="1:4" x14ac:dyDescent="0.3">
      <c r="A698">
        <v>696</v>
      </c>
      <c r="B698">
        <v>93</v>
      </c>
      <c r="C698">
        <v>69</v>
      </c>
      <c r="D698">
        <v>-6.4449599999999996E-2</v>
      </c>
    </row>
    <row r="699" spans="1:4" x14ac:dyDescent="0.3">
      <c r="A699">
        <v>697</v>
      </c>
      <c r="B699">
        <v>92.5</v>
      </c>
      <c r="C699">
        <v>68.5</v>
      </c>
      <c r="D699">
        <v>-9.6686862999999998E-2</v>
      </c>
    </row>
    <row r="700" spans="1:4" x14ac:dyDescent="0.3">
      <c r="A700">
        <v>698</v>
      </c>
      <c r="B700">
        <v>92</v>
      </c>
      <c r="C700">
        <v>68</v>
      </c>
      <c r="D700">
        <v>-8.0563947999999996E-2</v>
      </c>
    </row>
    <row r="701" spans="1:4" x14ac:dyDescent="0.3">
      <c r="A701">
        <v>699</v>
      </c>
      <c r="B701">
        <v>222.5</v>
      </c>
      <c r="C701">
        <v>198.5</v>
      </c>
      <c r="D701">
        <v>-0.52343372499999996</v>
      </c>
    </row>
    <row r="702" spans="1:4" x14ac:dyDescent="0.3">
      <c r="A702">
        <v>700</v>
      </c>
      <c r="B702">
        <v>219</v>
      </c>
      <c r="C702">
        <v>195</v>
      </c>
      <c r="D702">
        <v>-0.56381136499999995</v>
      </c>
    </row>
    <row r="703" spans="1:4" x14ac:dyDescent="0.3">
      <c r="A703">
        <v>701</v>
      </c>
      <c r="B703">
        <v>215.5</v>
      </c>
      <c r="C703">
        <v>191.5</v>
      </c>
      <c r="D703">
        <v>-0.523560209</v>
      </c>
    </row>
    <row r="704" spans="1:4" x14ac:dyDescent="0.3">
      <c r="A704">
        <v>702</v>
      </c>
      <c r="B704">
        <v>212</v>
      </c>
      <c r="C704">
        <v>188</v>
      </c>
      <c r="D704">
        <v>-0.48338368599999998</v>
      </c>
    </row>
    <row r="705" spans="1:4" x14ac:dyDescent="0.3">
      <c r="A705">
        <v>703</v>
      </c>
      <c r="B705">
        <v>95.5</v>
      </c>
      <c r="C705">
        <v>71.5</v>
      </c>
      <c r="D705">
        <v>-0.120816721</v>
      </c>
    </row>
    <row r="706" spans="1:4" x14ac:dyDescent="0.3">
      <c r="A706">
        <v>704</v>
      </c>
      <c r="B706">
        <v>94.5</v>
      </c>
      <c r="C706">
        <v>70.5</v>
      </c>
      <c r="D706">
        <v>-0.120836186</v>
      </c>
    </row>
    <row r="707" spans="1:4" x14ac:dyDescent="0.3">
      <c r="A707">
        <v>705</v>
      </c>
      <c r="B707">
        <v>94.5</v>
      </c>
      <c r="C707">
        <v>70.5</v>
      </c>
      <c r="D707">
        <v>-0.120836186</v>
      </c>
    </row>
    <row r="708" spans="1:4" x14ac:dyDescent="0.3">
      <c r="A708">
        <v>706</v>
      </c>
      <c r="B708">
        <v>94</v>
      </c>
      <c r="C708">
        <v>70</v>
      </c>
      <c r="D708">
        <v>-8.0557457999999998E-2</v>
      </c>
    </row>
    <row r="709" spans="1:4" x14ac:dyDescent="0.3">
      <c r="A709">
        <v>707</v>
      </c>
      <c r="B709">
        <v>93</v>
      </c>
      <c r="C709">
        <v>69</v>
      </c>
      <c r="D709">
        <v>-8.0557457999999998E-2</v>
      </c>
    </row>
    <row r="710" spans="1:4" x14ac:dyDescent="0.3">
      <c r="A710">
        <v>708</v>
      </c>
      <c r="B710">
        <v>96</v>
      </c>
      <c r="C710">
        <v>72</v>
      </c>
      <c r="D710">
        <v>-8.0557457999999998E-2</v>
      </c>
    </row>
    <row r="711" spans="1:4" x14ac:dyDescent="0.3">
      <c r="A711">
        <v>709</v>
      </c>
      <c r="B711">
        <v>95.5</v>
      </c>
      <c r="C711">
        <v>71.5</v>
      </c>
      <c r="D711">
        <v>-0.12083131900000001</v>
      </c>
    </row>
    <row r="712" spans="1:4" x14ac:dyDescent="0.3">
      <c r="A712">
        <v>710</v>
      </c>
      <c r="B712">
        <v>95</v>
      </c>
      <c r="C712">
        <v>71</v>
      </c>
      <c r="D712">
        <v>-8.0557457999999998E-2</v>
      </c>
    </row>
    <row r="713" spans="1:4" x14ac:dyDescent="0.3">
      <c r="A713">
        <v>711</v>
      </c>
      <c r="B713">
        <v>94.5</v>
      </c>
      <c r="C713">
        <v>70.5</v>
      </c>
      <c r="D713">
        <v>-0.120816721</v>
      </c>
    </row>
    <row r="714" spans="1:4" x14ac:dyDescent="0.3">
      <c r="A714">
        <v>712</v>
      </c>
      <c r="B714">
        <v>93.5</v>
      </c>
      <c r="C714">
        <v>69.5</v>
      </c>
      <c r="D714">
        <v>-0.120836186</v>
      </c>
    </row>
    <row r="715" spans="1:4" x14ac:dyDescent="0.3">
      <c r="A715">
        <v>713</v>
      </c>
      <c r="B715">
        <v>93</v>
      </c>
      <c r="C715">
        <v>69</v>
      </c>
      <c r="D715">
        <v>-8.0557457999999998E-2</v>
      </c>
    </row>
    <row r="716" spans="1:4" x14ac:dyDescent="0.3">
      <c r="A716">
        <v>714</v>
      </c>
      <c r="B716">
        <v>92.5</v>
      </c>
      <c r="C716">
        <v>68.5</v>
      </c>
      <c r="D716">
        <v>-0.120826453</v>
      </c>
    </row>
    <row r="717" spans="1:4" x14ac:dyDescent="0.3">
      <c r="A717">
        <v>715</v>
      </c>
      <c r="B717">
        <v>92</v>
      </c>
      <c r="C717">
        <v>68</v>
      </c>
      <c r="D717">
        <v>-8.0550969E-2</v>
      </c>
    </row>
    <row r="718" spans="1:4" x14ac:dyDescent="0.3">
      <c r="A718">
        <v>716</v>
      </c>
      <c r="B718">
        <v>91</v>
      </c>
      <c r="C718">
        <v>67</v>
      </c>
      <c r="D718">
        <v>-8.0547725000000001E-2</v>
      </c>
    </row>
    <row r="719" spans="1:4" x14ac:dyDescent="0.3">
      <c r="A719">
        <v>717</v>
      </c>
      <c r="B719">
        <v>96</v>
      </c>
      <c r="C719">
        <v>72</v>
      </c>
      <c r="D719">
        <v>-8.0557457999999998E-2</v>
      </c>
    </row>
    <row r="720" spans="1:4" x14ac:dyDescent="0.3">
      <c r="A720">
        <v>718</v>
      </c>
      <c r="B720">
        <v>95.5</v>
      </c>
      <c r="C720">
        <v>71.5</v>
      </c>
      <c r="D720">
        <v>-0.12083131900000001</v>
      </c>
    </row>
    <row r="721" spans="1:4" x14ac:dyDescent="0.3">
      <c r="A721">
        <v>719</v>
      </c>
      <c r="B721">
        <v>95</v>
      </c>
      <c r="C721">
        <v>71</v>
      </c>
      <c r="D721">
        <v>-8.0557457999999998E-2</v>
      </c>
    </row>
    <row r="722" spans="1:4" x14ac:dyDescent="0.3">
      <c r="A722">
        <v>720</v>
      </c>
      <c r="B722">
        <v>94.5</v>
      </c>
      <c r="C722">
        <v>70.5</v>
      </c>
      <c r="D722">
        <v>-0.120816721</v>
      </c>
    </row>
    <row r="723" spans="1:4" x14ac:dyDescent="0.3">
      <c r="A723">
        <v>721</v>
      </c>
      <c r="B723">
        <v>93.5</v>
      </c>
      <c r="C723">
        <v>69.5</v>
      </c>
      <c r="D723">
        <v>-0.120836186</v>
      </c>
    </row>
    <row r="724" spans="1:4" x14ac:dyDescent="0.3">
      <c r="A724">
        <v>722</v>
      </c>
      <c r="B724">
        <v>93</v>
      </c>
      <c r="C724">
        <v>69</v>
      </c>
      <c r="D724">
        <v>-8.0557457999999998E-2</v>
      </c>
    </row>
    <row r="725" spans="1:4" x14ac:dyDescent="0.3">
      <c r="A725">
        <v>723</v>
      </c>
      <c r="B725">
        <v>92.5</v>
      </c>
      <c r="C725">
        <v>68.5</v>
      </c>
      <c r="D725">
        <v>-0.120826453</v>
      </c>
    </row>
    <row r="726" spans="1:4" x14ac:dyDescent="0.3">
      <c r="A726">
        <v>724</v>
      </c>
      <c r="B726">
        <v>92</v>
      </c>
      <c r="C726">
        <v>68</v>
      </c>
      <c r="D726">
        <v>-8.0550969E-2</v>
      </c>
    </row>
    <row r="727" spans="1:4" x14ac:dyDescent="0.3">
      <c r="A727">
        <v>725</v>
      </c>
      <c r="B727">
        <v>91</v>
      </c>
      <c r="C727">
        <v>67</v>
      </c>
      <c r="D727">
        <v>-8.0547725000000001E-2</v>
      </c>
    </row>
    <row r="728" spans="1:4" x14ac:dyDescent="0.3">
      <c r="C728">
        <v>0</v>
      </c>
      <c r="D728">
        <v>0</v>
      </c>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DistilledBoundingMethod</vt:lpstr>
      <vt:lpstr>DistilledPermeationMethod</vt:lpstr>
      <vt:lpstr>Raw Data and Corrections</vt:lpstr>
      <vt:lpstr>diffusivitiesHTWin0601bM</vt:lpstr>
      <vt:lpstr>diffusivitiesHTWin0601bLB</vt:lpstr>
      <vt:lpstr>diffusivitiesHTWin0601bUB</vt:lpstr>
      <vt:lpstr>Perm Method 3He Diffusivities</vt:lpstr>
      <vt:lpstr>Fit Lambdas</vt:lpstr>
      <vt:lpstr>Totals</vt:lpstr>
      <vt:lpstr>STDs</vt:lpstr>
      <vt:lpstr>Cooling Rate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 Thyer</dc:creator>
  <cp:lastModifiedBy>Thyer, Benjamin J.</cp:lastModifiedBy>
  <dcterms:created xsi:type="dcterms:W3CDTF">2024-08-22T15:13:33Z</dcterms:created>
  <dcterms:modified xsi:type="dcterms:W3CDTF">2026-08-26T13:37:49Z</dcterms:modified>
</cp:coreProperties>
</file>