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2.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3.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4.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5.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6.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7.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8.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9.xml" ContentType="application/vnd.openxmlformats-officedocument.themeOverrid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6.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_Repositories\Dissertation\Chapter2\Tables\"/>
    </mc:Choice>
  </mc:AlternateContent>
  <xr:revisionPtr revIDLastSave="0" documentId="13_ncr:1_{757F99E0-8301-4BBE-A8EF-AEFB20FB06C7}" xr6:coauthVersionLast="47" xr6:coauthVersionMax="47" xr10:uidLastSave="{00000000-0000-0000-0000-000000000000}"/>
  <bookViews>
    <workbookView xWindow="28680" yWindow="-3045" windowWidth="29040" windowHeight="15720" tabRatio="601" activeTab="1" xr2:uid="{33AD0488-6D47-4A4F-A434-0713909A9BBC}"/>
  </bookViews>
  <sheets>
    <sheet name="Raw Data and Corrections" sheetId="1" r:id="rId1"/>
    <sheet name="DistilledUncertaintyTreatment" sheetId="18" r:id="rId2"/>
    <sheet name="DistilledNaiveMethod" sheetId="19" r:id="rId3"/>
    <sheet name="diffusivitiesHTWin0601bNaive" sheetId="10" r:id="rId4"/>
    <sheet name="Naive Apparent Lambdas" sheetId="13" r:id="rId5"/>
    <sheet name="DistilledNaiveLambdas" sheetId="21" r:id="rId6"/>
    <sheet name="diffusivitiesHTWin0601bM" sheetId="17" r:id="rId7"/>
    <sheet name="diffusivitiesHTWin0601bUB" sheetId="16" r:id="rId8"/>
    <sheet name="diffusivitiesHTWin0601bLB" sheetId="15" r:id="rId9"/>
    <sheet name="Totals" sheetId="9" r:id="rId10"/>
    <sheet name="STDs" sheetId="14" r:id="rId11"/>
    <sheet name="Cooling_Rate" sheetId="20" r:id="rId12"/>
  </sheets>
  <definedNames>
    <definedName name="solver_adj" localSheetId="0" hidden="1">'Raw Data and Corrections'!#REF!</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nwt" localSheetId="0" hidden="1">1</definedName>
    <definedName name="solver_opt" localSheetId="0" hidden="1">'Raw Data and Corrections'!#REF!</definedName>
    <definedName name="solver_pre" localSheetId="0" hidden="1">0.000001</definedName>
    <definedName name="solver_rbv" localSheetId="0" hidden="1">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2</definedName>
    <definedName name="solver_val" localSheetId="0" hidden="1">0</definedName>
    <definedName name="solver_ver" localSheetId="0"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7" i="15" l="1"/>
  <c r="L47" i="15"/>
  <c r="M47" i="15"/>
  <c r="K48" i="15"/>
  <c r="L48" i="15"/>
  <c r="M48" i="15"/>
  <c r="K49" i="15"/>
  <c r="L49" i="15"/>
  <c r="M49" i="15"/>
  <c r="K50" i="15"/>
  <c r="L50" i="15"/>
  <c r="M50" i="15"/>
  <c r="K51" i="15"/>
  <c r="L51" i="15"/>
  <c r="M51" i="15"/>
  <c r="K52" i="15"/>
  <c r="L52" i="15"/>
  <c r="M52" i="15"/>
  <c r="K53" i="15"/>
  <c r="L53" i="15"/>
  <c r="M53" i="15"/>
  <c r="K54" i="15"/>
  <c r="L54" i="15"/>
  <c r="M54" i="15"/>
  <c r="K55" i="15"/>
  <c r="L55" i="15"/>
  <c r="M55" i="15"/>
  <c r="K56" i="15"/>
  <c r="L56" i="15"/>
  <c r="M56" i="15"/>
  <c r="K57" i="15"/>
  <c r="L57" i="15"/>
  <c r="M57" i="15"/>
  <c r="K58" i="15"/>
  <c r="L58" i="15"/>
  <c r="M58" i="15"/>
  <c r="K59" i="15"/>
  <c r="L59" i="15"/>
  <c r="M59" i="15"/>
  <c r="K60" i="15"/>
  <c r="L60" i="15"/>
  <c r="M60" i="15"/>
  <c r="K61" i="15"/>
  <c r="L61" i="15"/>
  <c r="M61" i="15"/>
  <c r="K62" i="15"/>
  <c r="L62" i="15"/>
  <c r="M62" i="15"/>
  <c r="K63" i="15"/>
  <c r="L63" i="15"/>
  <c r="M63" i="15"/>
  <c r="K64" i="15"/>
  <c r="L64" i="15"/>
  <c r="M64" i="15"/>
  <c r="K65" i="15"/>
  <c r="L65" i="15"/>
  <c r="M65" i="15"/>
  <c r="K66" i="15"/>
  <c r="L66" i="15"/>
  <c r="M66" i="15"/>
  <c r="K67" i="15"/>
  <c r="L67" i="15"/>
  <c r="M67" i="15"/>
  <c r="K68" i="15"/>
  <c r="L68" i="15"/>
  <c r="M68" i="15"/>
  <c r="K69" i="15"/>
  <c r="L69" i="15"/>
  <c r="M69" i="15"/>
  <c r="K70" i="15"/>
  <c r="L70" i="15"/>
  <c r="M70" i="15"/>
  <c r="K71" i="15"/>
  <c r="L71" i="15"/>
  <c r="M71" i="15"/>
  <c r="K72" i="15"/>
  <c r="L72" i="15"/>
  <c r="M72" i="15"/>
  <c r="K73" i="15"/>
  <c r="L73" i="15"/>
  <c r="M73" i="15"/>
  <c r="K74" i="15"/>
  <c r="L74" i="15"/>
  <c r="M74" i="15"/>
  <c r="K75" i="15"/>
  <c r="L75" i="15"/>
  <c r="M75" i="15"/>
  <c r="K76" i="15"/>
  <c r="L76" i="15"/>
  <c r="M76" i="15"/>
  <c r="K77" i="15"/>
  <c r="L77" i="15"/>
  <c r="M77" i="15"/>
  <c r="K78" i="15"/>
  <c r="L78" i="15"/>
  <c r="M78" i="15"/>
  <c r="K79" i="15"/>
  <c r="L79" i="15"/>
  <c r="M79" i="15"/>
  <c r="M46" i="15"/>
  <c r="L46" i="15"/>
  <c r="K46" i="15"/>
  <c r="H47" i="15"/>
  <c r="I47" i="15"/>
  <c r="H48" i="15"/>
  <c r="I48" i="15"/>
  <c r="H49" i="15"/>
  <c r="I49" i="15"/>
  <c r="H50" i="15"/>
  <c r="I50" i="15"/>
  <c r="H51" i="15"/>
  <c r="I51" i="15"/>
  <c r="H52" i="15"/>
  <c r="I52" i="15"/>
  <c r="H53" i="15"/>
  <c r="I53" i="15"/>
  <c r="H54" i="15"/>
  <c r="I54" i="15"/>
  <c r="H55" i="15"/>
  <c r="I55" i="15"/>
  <c r="H56" i="15"/>
  <c r="I56" i="15"/>
  <c r="H57" i="15"/>
  <c r="I57" i="15"/>
  <c r="H58" i="15"/>
  <c r="I58" i="15"/>
  <c r="H59" i="15"/>
  <c r="I59" i="15"/>
  <c r="H60" i="15"/>
  <c r="I60" i="15"/>
  <c r="H61" i="15"/>
  <c r="I61" i="15"/>
  <c r="H62" i="15"/>
  <c r="I62" i="15"/>
  <c r="H63" i="15"/>
  <c r="I63" i="15"/>
  <c r="H64" i="15"/>
  <c r="I64" i="15"/>
  <c r="H65" i="15"/>
  <c r="I65" i="15"/>
  <c r="H66" i="15"/>
  <c r="I66" i="15"/>
  <c r="H67" i="15"/>
  <c r="I67" i="15"/>
  <c r="H68" i="15"/>
  <c r="I68" i="15"/>
  <c r="H69" i="15"/>
  <c r="I69" i="15"/>
  <c r="H70" i="15"/>
  <c r="I70" i="15"/>
  <c r="H71" i="15"/>
  <c r="I71" i="15"/>
  <c r="H72" i="15"/>
  <c r="I72" i="15"/>
  <c r="H73" i="15"/>
  <c r="I73" i="15"/>
  <c r="H74" i="15"/>
  <c r="I74" i="15"/>
  <c r="H75" i="15"/>
  <c r="I75" i="15"/>
  <c r="H76" i="15"/>
  <c r="I76" i="15"/>
  <c r="H77" i="15"/>
  <c r="I77" i="15"/>
  <c r="H78" i="15"/>
  <c r="I78" i="15"/>
  <c r="H79" i="15"/>
  <c r="I79" i="15"/>
  <c r="I46" i="15"/>
  <c r="I5" i="15"/>
  <c r="I4" i="15"/>
  <c r="H46" i="15"/>
  <c r="K5" i="15"/>
  <c r="L5" i="15"/>
  <c r="M5" i="15"/>
  <c r="K6" i="15"/>
  <c r="L6" i="15"/>
  <c r="M6" i="15"/>
  <c r="K7" i="15"/>
  <c r="L7" i="15"/>
  <c r="M7" i="15"/>
  <c r="K8" i="15"/>
  <c r="L8" i="15"/>
  <c r="M8" i="15"/>
  <c r="K9" i="15"/>
  <c r="L9" i="15"/>
  <c r="M9" i="15"/>
  <c r="K10" i="15"/>
  <c r="L10" i="15"/>
  <c r="M10" i="15"/>
  <c r="K11" i="15"/>
  <c r="L11" i="15"/>
  <c r="M11" i="15"/>
  <c r="K12" i="15"/>
  <c r="L12" i="15"/>
  <c r="M12" i="15"/>
  <c r="K13" i="15"/>
  <c r="L13" i="15"/>
  <c r="M13" i="15"/>
  <c r="K14" i="15"/>
  <c r="L14" i="15"/>
  <c r="M14" i="15"/>
  <c r="K15" i="15"/>
  <c r="L15" i="15"/>
  <c r="M15" i="15"/>
  <c r="K16" i="15"/>
  <c r="L16" i="15"/>
  <c r="M16" i="15"/>
  <c r="K17" i="15"/>
  <c r="L17" i="15"/>
  <c r="M17" i="15"/>
  <c r="K18" i="15"/>
  <c r="L18" i="15"/>
  <c r="M18" i="15"/>
  <c r="K19" i="15"/>
  <c r="L19" i="15"/>
  <c r="M19" i="15"/>
  <c r="K20" i="15"/>
  <c r="L20" i="15"/>
  <c r="M20" i="15"/>
  <c r="K21" i="15"/>
  <c r="L21" i="15"/>
  <c r="M21" i="15"/>
  <c r="K22" i="15"/>
  <c r="L22" i="15"/>
  <c r="M22" i="15"/>
  <c r="K23" i="15"/>
  <c r="L23" i="15"/>
  <c r="M23" i="15"/>
  <c r="K24" i="15"/>
  <c r="L24" i="15"/>
  <c r="M24" i="15"/>
  <c r="K25" i="15"/>
  <c r="L25" i="15"/>
  <c r="M25" i="15"/>
  <c r="K26" i="15"/>
  <c r="L26" i="15"/>
  <c r="M26" i="15"/>
  <c r="K27" i="15"/>
  <c r="L27" i="15"/>
  <c r="M27" i="15"/>
  <c r="K28" i="15"/>
  <c r="L28" i="15"/>
  <c r="M28" i="15"/>
  <c r="K29" i="15"/>
  <c r="L29" i="15"/>
  <c r="M29" i="15"/>
  <c r="K30" i="15"/>
  <c r="L30" i="15"/>
  <c r="M30" i="15"/>
  <c r="K31" i="15"/>
  <c r="L31" i="15"/>
  <c r="M31" i="15"/>
  <c r="K32" i="15"/>
  <c r="L32" i="15"/>
  <c r="M32" i="15"/>
  <c r="K33" i="15"/>
  <c r="L33" i="15"/>
  <c r="M33" i="15"/>
  <c r="K34" i="15"/>
  <c r="L34" i="15"/>
  <c r="M34" i="15"/>
  <c r="K35" i="15"/>
  <c r="L35" i="15"/>
  <c r="M35" i="15"/>
  <c r="K36" i="15"/>
  <c r="L36" i="15"/>
  <c r="M36" i="15"/>
  <c r="K37" i="15"/>
  <c r="L37" i="15"/>
  <c r="M37" i="15"/>
  <c r="M4" i="15"/>
  <c r="L4" i="15"/>
  <c r="K4" i="15"/>
  <c r="H5" i="15"/>
  <c r="H6" i="15"/>
  <c r="H7" i="15"/>
  <c r="H8" i="15"/>
  <c r="H9" i="15"/>
  <c r="I9" i="15" s="1"/>
  <c r="H10" i="15"/>
  <c r="I10" i="15" s="1"/>
  <c r="H11" i="15"/>
  <c r="I11" i="15" s="1"/>
  <c r="H12" i="15"/>
  <c r="I12" i="15" s="1"/>
  <c r="H13" i="15"/>
  <c r="H14" i="15"/>
  <c r="I14" i="15" s="1"/>
  <c r="H15" i="15"/>
  <c r="H16" i="15"/>
  <c r="H17" i="15"/>
  <c r="H18" i="15"/>
  <c r="I18" i="15" s="1"/>
  <c r="H19" i="15"/>
  <c r="H20" i="15"/>
  <c r="H21" i="15"/>
  <c r="H22" i="15"/>
  <c r="I22" i="15" s="1"/>
  <c r="H23" i="15"/>
  <c r="H24" i="15"/>
  <c r="H25" i="15"/>
  <c r="I25" i="15" s="1"/>
  <c r="H26" i="15"/>
  <c r="I26" i="15" s="1"/>
  <c r="H27" i="15"/>
  <c r="H28" i="15"/>
  <c r="H29" i="15"/>
  <c r="H30" i="15"/>
  <c r="H31" i="15"/>
  <c r="H32" i="15"/>
  <c r="H33" i="15"/>
  <c r="H34" i="15"/>
  <c r="I34" i="15" s="1"/>
  <c r="H35" i="15"/>
  <c r="H36" i="15"/>
  <c r="I36" i="15" s="1"/>
  <c r="H37" i="15"/>
  <c r="H4" i="15"/>
  <c r="I13" i="15"/>
  <c r="I17" i="15"/>
  <c r="I21" i="15"/>
  <c r="I29" i="15"/>
  <c r="I33" i="15"/>
  <c r="I37" i="15"/>
  <c r="I6" i="15"/>
  <c r="I7" i="15"/>
  <c r="I23" i="15"/>
  <c r="I30" i="15"/>
  <c r="I5" i="16"/>
  <c r="H5" i="16"/>
  <c r="I20" i="15" l="1"/>
  <c r="I28" i="15"/>
  <c r="I27" i="15"/>
  <c r="I35" i="15"/>
  <c r="I19" i="15"/>
  <c r="I32" i="15"/>
  <c r="I24" i="15"/>
  <c r="I16" i="15"/>
  <c r="I8" i="15"/>
  <c r="I31" i="15"/>
  <c r="I15" i="15"/>
  <c r="G5" i="18" l="1"/>
  <c r="Y7" i="18"/>
  <c r="Y8" i="18"/>
  <c r="Y9" i="18"/>
  <c r="Y10" i="18"/>
  <c r="Y11" i="18"/>
  <c r="Y12" i="18"/>
  <c r="Y13" i="18"/>
  <c r="Y14" i="18"/>
  <c r="Y15" i="18"/>
  <c r="Y16" i="18"/>
  <c r="Y17" i="18"/>
  <c r="Y18" i="18"/>
  <c r="Y19" i="18"/>
  <c r="Y20" i="18"/>
  <c r="Y21" i="18"/>
  <c r="Y22" i="18"/>
  <c r="Y23" i="18"/>
  <c r="Y24" i="18"/>
  <c r="Y25" i="18"/>
  <c r="Y26" i="18"/>
  <c r="Y27" i="18"/>
  <c r="Y28" i="18"/>
  <c r="Y29" i="18"/>
  <c r="Y30" i="18"/>
  <c r="Y31" i="18"/>
  <c r="Y32" i="18"/>
  <c r="Y33" i="18"/>
  <c r="Y34" i="18"/>
  <c r="Y35" i="18"/>
  <c r="Y6" i="18"/>
  <c r="AA6" i="18"/>
  <c r="AA7" i="18"/>
  <c r="AA8" i="18"/>
  <c r="AA9" i="18"/>
  <c r="AA10" i="18"/>
  <c r="AA11" i="18"/>
  <c r="AA12" i="18"/>
  <c r="AA13" i="18"/>
  <c r="AA14" i="18"/>
  <c r="AA15" i="18"/>
  <c r="AA16" i="18"/>
  <c r="AA17" i="18"/>
  <c r="AA18" i="18"/>
  <c r="AA19" i="18"/>
  <c r="AA20" i="18"/>
  <c r="AA21" i="18"/>
  <c r="AA22" i="18"/>
  <c r="AA23" i="18"/>
  <c r="AA24" i="18"/>
  <c r="AA25" i="18"/>
  <c r="AA26" i="18"/>
  <c r="AA27" i="18"/>
  <c r="AA28" i="18"/>
  <c r="AA29" i="18"/>
  <c r="AA30" i="18"/>
  <c r="AA31" i="18"/>
  <c r="AA32" i="18"/>
  <c r="AA33" i="18"/>
  <c r="AA34" i="18"/>
  <c r="AA35" i="18"/>
  <c r="V5" i="18"/>
  <c r="CM21" i="1"/>
  <c r="CM135" i="1"/>
  <c r="CM133" i="1"/>
  <c r="CM130" i="1"/>
  <c r="CM126" i="1"/>
  <c r="CM121" i="1"/>
  <c r="CM117" i="1"/>
  <c r="CM113" i="1"/>
  <c r="CM109" i="1"/>
  <c r="CM105" i="1"/>
  <c r="CM101" i="1"/>
  <c r="CM97" i="1"/>
  <c r="CM93" i="1"/>
  <c r="CM89" i="1"/>
  <c r="CM85" i="1"/>
  <c r="CM81" i="1"/>
  <c r="CM77" i="1"/>
  <c r="CM73" i="1"/>
  <c r="CM69" i="1"/>
  <c r="CM65" i="1"/>
  <c r="CM61" i="1"/>
  <c r="CM59" i="1"/>
  <c r="CM55" i="1"/>
  <c r="CM51" i="1"/>
  <c r="CM43" i="1"/>
  <c r="CM38" i="1"/>
  <c r="CM47" i="1"/>
  <c r="CM33" i="1"/>
  <c r="CM29" i="1"/>
  <c r="CM25" i="1"/>
  <c r="CM17" i="1"/>
  <c r="CM13" i="1"/>
  <c r="CM9" i="1"/>
  <c r="CM5" i="1"/>
  <c r="J3" i="19" l="1"/>
  <c r="J4" i="19"/>
  <c r="J5" i="19"/>
  <c r="J6" i="19"/>
  <c r="J7"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2" i="19"/>
  <c r="X36" i="19"/>
  <c r="S35" i="19"/>
  <c r="Z6" i="18"/>
  <c r="Z14" i="18"/>
  <c r="Z22" i="18"/>
  <c r="Z30" i="18"/>
  <c r="V36" i="18"/>
  <c r="V6" i="18"/>
  <c r="V7" i="18"/>
  <c r="Z7" i="18" s="1"/>
  <c r="V8" i="18"/>
  <c r="Z8" i="18" s="1"/>
  <c r="V9" i="18"/>
  <c r="Z9" i="18" s="1"/>
  <c r="V10" i="18"/>
  <c r="Z10" i="18" s="1"/>
  <c r="V11" i="18"/>
  <c r="Z11" i="18" s="1"/>
  <c r="V12" i="18"/>
  <c r="Z12" i="18" s="1"/>
  <c r="V13" i="18"/>
  <c r="Z13" i="18" s="1"/>
  <c r="V14" i="18"/>
  <c r="V15" i="18"/>
  <c r="Z15" i="18" s="1"/>
  <c r="V16" i="18"/>
  <c r="Z16" i="18" s="1"/>
  <c r="V17" i="18"/>
  <c r="Z17" i="18" s="1"/>
  <c r="V18" i="18"/>
  <c r="Z18" i="18" s="1"/>
  <c r="V19" i="18"/>
  <c r="Z19" i="18" s="1"/>
  <c r="V20" i="18"/>
  <c r="Z20" i="18" s="1"/>
  <c r="V21" i="18"/>
  <c r="Z21" i="18" s="1"/>
  <c r="V22" i="18"/>
  <c r="V23" i="18"/>
  <c r="Z23" i="18" s="1"/>
  <c r="V24" i="18"/>
  <c r="Z24" i="18" s="1"/>
  <c r="V25" i="18"/>
  <c r="Z25" i="18" s="1"/>
  <c r="V26" i="18"/>
  <c r="Z26" i="18" s="1"/>
  <c r="V27" i="18"/>
  <c r="Z27" i="18" s="1"/>
  <c r="V28" i="18"/>
  <c r="Z28" i="18" s="1"/>
  <c r="V29" i="18"/>
  <c r="Z29" i="18" s="1"/>
  <c r="V30" i="18"/>
  <c r="V31" i="18"/>
  <c r="Z31" i="18" s="1"/>
  <c r="V32" i="18"/>
  <c r="Z32" i="18" s="1"/>
  <c r="V33" i="18"/>
  <c r="Z33" i="18" s="1"/>
  <c r="V34" i="18"/>
  <c r="Z34" i="18" s="1"/>
  <c r="V35" i="18"/>
  <c r="Z35" i="18" s="1"/>
  <c r="X5" i="18"/>
  <c r="X6" i="18"/>
  <c r="X7" i="18"/>
  <c r="X8" i="18"/>
  <c r="X9" i="18"/>
  <c r="X10" i="18"/>
  <c r="X11" i="18"/>
  <c r="X12" i="18"/>
  <c r="X13" i="18"/>
  <c r="X14" i="18"/>
  <c r="X15" i="18"/>
  <c r="X16" i="18"/>
  <c r="X17" i="18"/>
  <c r="X18" i="18"/>
  <c r="X19" i="18"/>
  <c r="X20" i="18"/>
  <c r="X21" i="18"/>
  <c r="X22" i="18"/>
  <c r="X23" i="18"/>
  <c r="X24" i="18"/>
  <c r="X25" i="18"/>
  <c r="X26" i="18"/>
  <c r="X27" i="18"/>
  <c r="X28" i="18"/>
  <c r="X29" i="18"/>
  <c r="X30" i="18"/>
  <c r="X31" i="18"/>
  <c r="X32" i="18"/>
  <c r="X33" i="18"/>
  <c r="X34" i="18"/>
  <c r="X35" i="18"/>
  <c r="F143" i="1"/>
  <c r="F142" i="1"/>
  <c r="BF9" i="1"/>
  <c r="BF6" i="1"/>
  <c r="BG6" i="1" s="1"/>
  <c r="BF7" i="1"/>
  <c r="BG7" i="1" s="1"/>
  <c r="BF8" i="1"/>
  <c r="BG8" i="1" s="1"/>
  <c r="BF10" i="1"/>
  <c r="BG10" i="1" s="1"/>
  <c r="BF11" i="1"/>
  <c r="BG11" i="1" s="1"/>
  <c r="BF12" i="1"/>
  <c r="BG12" i="1" s="1"/>
  <c r="BF13" i="1"/>
  <c r="BG13" i="1" s="1"/>
  <c r="BF14" i="1"/>
  <c r="BG14" i="1" s="1"/>
  <c r="BF15" i="1"/>
  <c r="BG15" i="1" s="1"/>
  <c r="BF16" i="1"/>
  <c r="BG16" i="1" s="1"/>
  <c r="BF17" i="1"/>
  <c r="BG17" i="1" s="1"/>
  <c r="BF18" i="1"/>
  <c r="BG18" i="1" s="1"/>
  <c r="BF19" i="1"/>
  <c r="BG19" i="1" s="1"/>
  <c r="BF20" i="1"/>
  <c r="BG20" i="1" s="1"/>
  <c r="BF21" i="1"/>
  <c r="BG21" i="1" s="1"/>
  <c r="BF22" i="1"/>
  <c r="BG22" i="1" s="1"/>
  <c r="BF23" i="1"/>
  <c r="BG23" i="1" s="1"/>
  <c r="BF24" i="1"/>
  <c r="BG24" i="1" s="1"/>
  <c r="BF25" i="1"/>
  <c r="BG25" i="1" s="1"/>
  <c r="BF26" i="1"/>
  <c r="BG26" i="1" s="1"/>
  <c r="BF27" i="1"/>
  <c r="BG27" i="1" s="1"/>
  <c r="BF28" i="1"/>
  <c r="BG28" i="1" s="1"/>
  <c r="BF29" i="1"/>
  <c r="BG29" i="1" s="1"/>
  <c r="BF30" i="1"/>
  <c r="BG30" i="1" s="1"/>
  <c r="BF31" i="1"/>
  <c r="BG31" i="1" s="1"/>
  <c r="BF32" i="1"/>
  <c r="BG32" i="1" s="1"/>
  <c r="BF33" i="1"/>
  <c r="BG33" i="1" s="1"/>
  <c r="BF34" i="1"/>
  <c r="BG34" i="1" s="1"/>
  <c r="BF35" i="1"/>
  <c r="BG35" i="1" s="1"/>
  <c r="BF36" i="1"/>
  <c r="BG36" i="1" s="1"/>
  <c r="BF37" i="1"/>
  <c r="BG37" i="1" s="1"/>
  <c r="BF38" i="1"/>
  <c r="BG38" i="1" s="1"/>
  <c r="BF39" i="1"/>
  <c r="BG39" i="1" s="1"/>
  <c r="BF40" i="1"/>
  <c r="BG40" i="1" s="1"/>
  <c r="BF41" i="1"/>
  <c r="BG41" i="1" s="1"/>
  <c r="BF42" i="1"/>
  <c r="BG42" i="1" s="1"/>
  <c r="BF43" i="1"/>
  <c r="BG43" i="1" s="1"/>
  <c r="BF44" i="1"/>
  <c r="BG44" i="1" s="1"/>
  <c r="BF45" i="1"/>
  <c r="BG45" i="1" s="1"/>
  <c r="BF46" i="1"/>
  <c r="BG46" i="1" s="1"/>
  <c r="BF47" i="1"/>
  <c r="BG47" i="1" s="1"/>
  <c r="BF48" i="1"/>
  <c r="BG48" i="1" s="1"/>
  <c r="BF49" i="1"/>
  <c r="BG49" i="1" s="1"/>
  <c r="BF50" i="1"/>
  <c r="BG50" i="1" s="1"/>
  <c r="BF51" i="1"/>
  <c r="BG51" i="1" s="1"/>
  <c r="BF52" i="1"/>
  <c r="BG52" i="1" s="1"/>
  <c r="BF53" i="1"/>
  <c r="BG53" i="1" s="1"/>
  <c r="BF54" i="1"/>
  <c r="BG54" i="1" s="1"/>
  <c r="BF55" i="1"/>
  <c r="BG55" i="1" s="1"/>
  <c r="BF56" i="1"/>
  <c r="BG56" i="1" s="1"/>
  <c r="BF57" i="1"/>
  <c r="BG57" i="1" s="1"/>
  <c r="BF58" i="1"/>
  <c r="BG58" i="1" s="1"/>
  <c r="BF59" i="1"/>
  <c r="BG59" i="1" s="1"/>
  <c r="BF60" i="1"/>
  <c r="BG60" i="1" s="1"/>
  <c r="BF61" i="1"/>
  <c r="BG61" i="1" s="1"/>
  <c r="BF62" i="1"/>
  <c r="BG62" i="1" s="1"/>
  <c r="BF63" i="1"/>
  <c r="BG63" i="1" s="1"/>
  <c r="BF64" i="1"/>
  <c r="BG64" i="1" s="1"/>
  <c r="BF65" i="1"/>
  <c r="BG65" i="1" s="1"/>
  <c r="BF66" i="1"/>
  <c r="BG66" i="1" s="1"/>
  <c r="BF67" i="1"/>
  <c r="BG67" i="1" s="1"/>
  <c r="BF68" i="1"/>
  <c r="BG68" i="1" s="1"/>
  <c r="BF69" i="1"/>
  <c r="BG69" i="1" s="1"/>
  <c r="BF70" i="1"/>
  <c r="BG70" i="1" s="1"/>
  <c r="BF71" i="1"/>
  <c r="BG71" i="1" s="1"/>
  <c r="BF72" i="1"/>
  <c r="BG72" i="1" s="1"/>
  <c r="BF73" i="1"/>
  <c r="BG73" i="1" s="1"/>
  <c r="BF74" i="1"/>
  <c r="BG74" i="1" s="1"/>
  <c r="BF75" i="1"/>
  <c r="BG75" i="1" s="1"/>
  <c r="BF76" i="1"/>
  <c r="BG76" i="1" s="1"/>
  <c r="BF77" i="1"/>
  <c r="BG77" i="1" s="1"/>
  <c r="BF78" i="1"/>
  <c r="BG78" i="1" s="1"/>
  <c r="BF79" i="1"/>
  <c r="BG79" i="1" s="1"/>
  <c r="BF80" i="1"/>
  <c r="BG80" i="1" s="1"/>
  <c r="BF81" i="1"/>
  <c r="BG81" i="1" s="1"/>
  <c r="BF82" i="1"/>
  <c r="BG82" i="1" s="1"/>
  <c r="BF83" i="1"/>
  <c r="BG83" i="1" s="1"/>
  <c r="BF84" i="1"/>
  <c r="BG84" i="1" s="1"/>
  <c r="BF85" i="1"/>
  <c r="BG85" i="1" s="1"/>
  <c r="BF86" i="1"/>
  <c r="BG86" i="1" s="1"/>
  <c r="BF87" i="1"/>
  <c r="BG87" i="1" s="1"/>
  <c r="BF88" i="1"/>
  <c r="BG88" i="1" s="1"/>
  <c r="BF89" i="1"/>
  <c r="BG89" i="1" s="1"/>
  <c r="BF90" i="1"/>
  <c r="BG90" i="1" s="1"/>
  <c r="BF91" i="1"/>
  <c r="BG91" i="1" s="1"/>
  <c r="BF92" i="1"/>
  <c r="BG92" i="1" s="1"/>
  <c r="BF93" i="1"/>
  <c r="BG93" i="1" s="1"/>
  <c r="BF94" i="1"/>
  <c r="BG94" i="1" s="1"/>
  <c r="BF95" i="1"/>
  <c r="BG95" i="1" s="1"/>
  <c r="BF96" i="1"/>
  <c r="BG96" i="1" s="1"/>
  <c r="BF97" i="1"/>
  <c r="BG97" i="1" s="1"/>
  <c r="BF98" i="1"/>
  <c r="BG98" i="1" s="1"/>
  <c r="BF99" i="1"/>
  <c r="BG99" i="1" s="1"/>
  <c r="BF100" i="1"/>
  <c r="BG100" i="1" s="1"/>
  <c r="BF101" i="1"/>
  <c r="BG101" i="1" s="1"/>
  <c r="BF102" i="1"/>
  <c r="BG102" i="1" s="1"/>
  <c r="BF103" i="1"/>
  <c r="BG103" i="1" s="1"/>
  <c r="BF104" i="1"/>
  <c r="BG104" i="1" s="1"/>
  <c r="BF105" i="1"/>
  <c r="BG105" i="1" s="1"/>
  <c r="BF106" i="1"/>
  <c r="BG106" i="1" s="1"/>
  <c r="BF107" i="1"/>
  <c r="BG107" i="1" s="1"/>
  <c r="BF108" i="1"/>
  <c r="BG108" i="1" s="1"/>
  <c r="BF109" i="1"/>
  <c r="BG109" i="1" s="1"/>
  <c r="BF110" i="1"/>
  <c r="BG110" i="1" s="1"/>
  <c r="BF111" i="1"/>
  <c r="BG111" i="1" s="1"/>
  <c r="BF112" i="1"/>
  <c r="BG112" i="1" s="1"/>
  <c r="BF113" i="1"/>
  <c r="BG113" i="1" s="1"/>
  <c r="BF114" i="1"/>
  <c r="BG114" i="1" s="1"/>
  <c r="BF115" i="1"/>
  <c r="BG115" i="1" s="1"/>
  <c r="BF116" i="1"/>
  <c r="BG116" i="1" s="1"/>
  <c r="BF117" i="1"/>
  <c r="BG117" i="1" s="1"/>
  <c r="BF118" i="1"/>
  <c r="BG118" i="1" s="1"/>
  <c r="BF119" i="1"/>
  <c r="BG119" i="1" s="1"/>
  <c r="BF120" i="1"/>
  <c r="BG120" i="1" s="1"/>
  <c r="BF121" i="1"/>
  <c r="BG121" i="1" s="1"/>
  <c r="BF122" i="1"/>
  <c r="BG122" i="1" s="1"/>
  <c r="BF123" i="1"/>
  <c r="BG123" i="1" s="1"/>
  <c r="BF124" i="1"/>
  <c r="BG124" i="1" s="1"/>
  <c r="BF125" i="1"/>
  <c r="BG125" i="1" s="1"/>
  <c r="BF126" i="1"/>
  <c r="BG126" i="1" s="1"/>
  <c r="BF127" i="1"/>
  <c r="BG127" i="1" s="1"/>
  <c r="BF128" i="1"/>
  <c r="BG128" i="1" s="1"/>
  <c r="BF129" i="1"/>
  <c r="BG129" i="1" s="1"/>
  <c r="BF130" i="1"/>
  <c r="BG130" i="1" s="1"/>
  <c r="BF131" i="1"/>
  <c r="BG131" i="1" s="1"/>
  <c r="BF132" i="1"/>
  <c r="BG132" i="1" s="1"/>
  <c r="BF133" i="1"/>
  <c r="BG133" i="1" s="1"/>
  <c r="BF134" i="1"/>
  <c r="BG134" i="1" s="1"/>
  <c r="BF135" i="1"/>
  <c r="BG135" i="1" s="1"/>
  <c r="BF136" i="1"/>
  <c r="BG136" i="1" s="1"/>
  <c r="BF137" i="1"/>
  <c r="BG137" i="1" s="1"/>
  <c r="BF5" i="1"/>
  <c r="P6" i="18"/>
  <c r="P7" i="18"/>
  <c r="P8" i="18"/>
  <c r="P9" i="18"/>
  <c r="P10" i="18"/>
  <c r="P11" i="18"/>
  <c r="P12" i="18"/>
  <c r="P13" i="18"/>
  <c r="P14" i="18"/>
  <c r="P15" i="18"/>
  <c r="P16" i="18"/>
  <c r="P17" i="18"/>
  <c r="P18" i="18"/>
  <c r="P19" i="18"/>
  <c r="P20" i="18"/>
  <c r="P21" i="18"/>
  <c r="P22" i="18"/>
  <c r="P23" i="18"/>
  <c r="P24" i="18"/>
  <c r="P25" i="18"/>
  <c r="P26" i="18"/>
  <c r="P27" i="18"/>
  <c r="P28" i="18"/>
  <c r="P29" i="18"/>
  <c r="P30" i="18"/>
  <c r="P31" i="18"/>
  <c r="P32" i="18"/>
  <c r="P33" i="18"/>
  <c r="P34" i="18"/>
  <c r="P35" i="18"/>
  <c r="P5" i="18"/>
  <c r="Q6" i="18"/>
  <c r="Q7" i="18"/>
  <c r="Q8" i="18"/>
  <c r="Q9" i="18"/>
  <c r="Q10" i="18"/>
  <c r="Q11" i="18"/>
  <c r="Q12" i="18"/>
  <c r="Q13" i="18"/>
  <c r="Q14" i="18"/>
  <c r="Q15" i="18"/>
  <c r="Q16" i="18"/>
  <c r="Q17" i="18"/>
  <c r="Q18" i="18"/>
  <c r="Q19" i="18"/>
  <c r="Q20" i="18"/>
  <c r="Q21" i="18"/>
  <c r="Q22" i="18"/>
  <c r="Q23" i="18"/>
  <c r="Q24" i="18"/>
  <c r="Q25" i="18"/>
  <c r="Q26" i="18"/>
  <c r="Q27" i="18"/>
  <c r="Q28" i="18"/>
  <c r="Q29" i="18"/>
  <c r="Q30" i="18"/>
  <c r="Q31" i="18"/>
  <c r="Q32" i="18"/>
  <c r="Q33" i="18"/>
  <c r="Q34" i="18"/>
  <c r="Q35" i="18"/>
  <c r="Q5" i="18"/>
  <c r="H35" i="18"/>
  <c r="G35" i="18"/>
  <c r="H34" i="18"/>
  <c r="G34" i="18"/>
  <c r="H33" i="18"/>
  <c r="G33" i="18"/>
  <c r="H32" i="18"/>
  <c r="G32" i="18"/>
  <c r="H31" i="18"/>
  <c r="G31" i="18"/>
  <c r="H30" i="18"/>
  <c r="G30" i="18"/>
  <c r="H29" i="18"/>
  <c r="G29" i="18"/>
  <c r="H28" i="18"/>
  <c r="G28" i="18"/>
  <c r="H27" i="18"/>
  <c r="G27" i="18"/>
  <c r="H26" i="18"/>
  <c r="G26" i="18"/>
  <c r="H25" i="18"/>
  <c r="G25" i="18"/>
  <c r="H24" i="18"/>
  <c r="G24" i="18"/>
  <c r="H23" i="18"/>
  <c r="G23" i="18"/>
  <c r="H22" i="18"/>
  <c r="G22" i="18"/>
  <c r="H21" i="18"/>
  <c r="G21" i="18"/>
  <c r="H20" i="18"/>
  <c r="G20" i="18"/>
  <c r="H19" i="18"/>
  <c r="G19" i="18"/>
  <c r="H18" i="18"/>
  <c r="G18" i="18"/>
  <c r="H17" i="18"/>
  <c r="G17" i="18"/>
  <c r="H16" i="18"/>
  <c r="G16" i="18"/>
  <c r="H15" i="18"/>
  <c r="G15" i="18"/>
  <c r="H14" i="18"/>
  <c r="G14" i="18"/>
  <c r="H13" i="18"/>
  <c r="G13" i="18"/>
  <c r="H12" i="18"/>
  <c r="G12" i="18"/>
  <c r="H11" i="18"/>
  <c r="G11" i="18"/>
  <c r="H10" i="18"/>
  <c r="G10" i="18"/>
  <c r="H9" i="18"/>
  <c r="G9" i="18"/>
  <c r="H8" i="18"/>
  <c r="G8" i="18"/>
  <c r="H7" i="18"/>
  <c r="G7" i="18"/>
  <c r="H6" i="18"/>
  <c r="G6" i="18"/>
  <c r="H5" i="18"/>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F80" i="17"/>
  <c r="O79" i="17"/>
  <c r="O78" i="17"/>
  <c r="O77" i="17"/>
  <c r="O76" i="17"/>
  <c r="O75" i="17"/>
  <c r="O74" i="17"/>
  <c r="O73" i="17"/>
  <c r="O72" i="17"/>
  <c r="O71" i="17"/>
  <c r="O70" i="17"/>
  <c r="O69" i="17"/>
  <c r="O68" i="17"/>
  <c r="O67" i="17"/>
  <c r="O66" i="17"/>
  <c r="O65" i="17"/>
  <c r="O64" i="17"/>
  <c r="O63" i="17"/>
  <c r="O62" i="17"/>
  <c r="O61" i="17"/>
  <c r="O60" i="17"/>
  <c r="O59" i="17"/>
  <c r="O58" i="17"/>
  <c r="O57" i="17"/>
  <c r="O56" i="17"/>
  <c r="O55" i="17"/>
  <c r="O54" i="17"/>
  <c r="O53" i="17"/>
  <c r="O52" i="17"/>
  <c r="O51" i="17"/>
  <c r="O50" i="17"/>
  <c r="O49" i="17"/>
  <c r="O48" i="17"/>
  <c r="O47" i="17"/>
  <c r="O46" i="17"/>
  <c r="F38" i="17"/>
  <c r="O37" i="17"/>
  <c r="F37" i="17"/>
  <c r="O36" i="17"/>
  <c r="F36" i="17"/>
  <c r="O35" i="17"/>
  <c r="F35" i="17"/>
  <c r="O34" i="17"/>
  <c r="F34" i="17"/>
  <c r="AA33" i="17"/>
  <c r="O33" i="17"/>
  <c r="F33" i="17"/>
  <c r="O32" i="17"/>
  <c r="F32" i="17"/>
  <c r="O31" i="17"/>
  <c r="F31" i="17"/>
  <c r="O30" i="17"/>
  <c r="F30" i="17"/>
  <c r="O29" i="17"/>
  <c r="F29" i="17"/>
  <c r="O28" i="17"/>
  <c r="F28" i="17"/>
  <c r="O27" i="17"/>
  <c r="F27" i="17"/>
  <c r="O26" i="17"/>
  <c r="F26" i="17"/>
  <c r="O25" i="17"/>
  <c r="F25" i="17"/>
  <c r="O24" i="17"/>
  <c r="F24" i="17"/>
  <c r="O23" i="17"/>
  <c r="F23" i="17"/>
  <c r="O22" i="17"/>
  <c r="F22" i="17"/>
  <c r="O21" i="17"/>
  <c r="F21" i="17"/>
  <c r="O20" i="17"/>
  <c r="F20" i="17"/>
  <c r="O19" i="17"/>
  <c r="F19" i="17"/>
  <c r="O18" i="17"/>
  <c r="F18" i="17"/>
  <c r="O17" i="17"/>
  <c r="F17" i="17"/>
  <c r="O16" i="17"/>
  <c r="F16" i="17"/>
  <c r="O15" i="17"/>
  <c r="F15" i="17"/>
  <c r="O14" i="17"/>
  <c r="F14" i="17"/>
  <c r="O13" i="17"/>
  <c r="F13" i="17"/>
  <c r="O12" i="17"/>
  <c r="F12" i="17"/>
  <c r="O11" i="17"/>
  <c r="F11" i="17"/>
  <c r="O10" i="17"/>
  <c r="F10" i="17"/>
  <c r="O9" i="17"/>
  <c r="F9" i="17"/>
  <c r="O8" i="17"/>
  <c r="F8" i="17"/>
  <c r="O7" i="17"/>
  <c r="F7" i="17"/>
  <c r="O6" i="17"/>
  <c r="F6" i="17"/>
  <c r="O5" i="17"/>
  <c r="F5" i="17"/>
  <c r="O4" i="17"/>
  <c r="F4" i="17"/>
  <c r="D48" i="16"/>
  <c r="D47" i="16"/>
  <c r="D46" i="16"/>
  <c r="D6" i="16"/>
  <c r="D5" i="16"/>
  <c r="D4" i="16"/>
  <c r="F80" i="16"/>
  <c r="O79" i="16"/>
  <c r="O78" i="16"/>
  <c r="O77" i="16"/>
  <c r="O76" i="16"/>
  <c r="O75" i="16"/>
  <c r="O74" i="16"/>
  <c r="O73" i="16"/>
  <c r="O72" i="16"/>
  <c r="O71" i="16"/>
  <c r="O70" i="16"/>
  <c r="O69" i="16"/>
  <c r="O68" i="16"/>
  <c r="O67" i="16"/>
  <c r="O66" i="16"/>
  <c r="O65" i="16"/>
  <c r="O64" i="16"/>
  <c r="O63" i="16"/>
  <c r="O62" i="16"/>
  <c r="O61" i="16"/>
  <c r="O60" i="16"/>
  <c r="O59" i="16"/>
  <c r="O58" i="16"/>
  <c r="O57" i="16"/>
  <c r="O56" i="16"/>
  <c r="O55" i="16"/>
  <c r="O54" i="16"/>
  <c r="O53" i="16"/>
  <c r="O52" i="16"/>
  <c r="O51" i="16"/>
  <c r="O50" i="16"/>
  <c r="O49" i="16"/>
  <c r="O48" i="16"/>
  <c r="O47" i="16"/>
  <c r="O46" i="16"/>
  <c r="F38" i="16"/>
  <c r="O37" i="16"/>
  <c r="F37" i="16"/>
  <c r="O36" i="16"/>
  <c r="F36" i="16"/>
  <c r="O35" i="16"/>
  <c r="F35" i="16"/>
  <c r="O34" i="16"/>
  <c r="F34" i="16"/>
  <c r="AA33" i="16"/>
  <c r="O33" i="16"/>
  <c r="F33" i="16"/>
  <c r="O32" i="16"/>
  <c r="F32" i="16"/>
  <c r="O31" i="16"/>
  <c r="F31" i="16"/>
  <c r="O30" i="16"/>
  <c r="F30" i="16"/>
  <c r="O29" i="16"/>
  <c r="F29" i="16"/>
  <c r="O28" i="16"/>
  <c r="F28" i="16"/>
  <c r="O27" i="16"/>
  <c r="F27" i="16"/>
  <c r="O26" i="16"/>
  <c r="F26" i="16"/>
  <c r="O25" i="16"/>
  <c r="F25" i="16"/>
  <c r="O24" i="16"/>
  <c r="F24" i="16"/>
  <c r="O23" i="16"/>
  <c r="F23" i="16"/>
  <c r="O22" i="16"/>
  <c r="F22" i="16"/>
  <c r="O21" i="16"/>
  <c r="F21" i="16"/>
  <c r="O20" i="16"/>
  <c r="F20" i="16"/>
  <c r="O19" i="16"/>
  <c r="F19" i="16"/>
  <c r="O18" i="16"/>
  <c r="F18" i="16"/>
  <c r="O17" i="16"/>
  <c r="F17" i="16"/>
  <c r="O16" i="16"/>
  <c r="F16" i="16"/>
  <c r="O15" i="16"/>
  <c r="F15" i="16"/>
  <c r="O14" i="16"/>
  <c r="F14" i="16"/>
  <c r="O13" i="16"/>
  <c r="F13" i="16"/>
  <c r="O12" i="16"/>
  <c r="F12" i="16"/>
  <c r="O11" i="16"/>
  <c r="F11" i="16"/>
  <c r="O10" i="16"/>
  <c r="F10" i="16"/>
  <c r="O9" i="16"/>
  <c r="F9" i="16"/>
  <c r="O8" i="16"/>
  <c r="F8" i="16"/>
  <c r="O7" i="16"/>
  <c r="F7" i="16"/>
  <c r="O6" i="16"/>
  <c r="F6" i="16"/>
  <c r="O5" i="16"/>
  <c r="F5" i="16"/>
  <c r="O4" i="16"/>
  <c r="F4" i="16"/>
  <c r="AW5" i="1"/>
  <c r="AU5" i="1"/>
  <c r="G5" i="17" s="1"/>
  <c r="D48" i="15"/>
  <c r="D47" i="15"/>
  <c r="D46" i="15"/>
  <c r="D6" i="15"/>
  <c r="D5" i="15"/>
  <c r="D4" i="15"/>
  <c r="F80" i="15"/>
  <c r="O79" i="15"/>
  <c r="O78" i="15"/>
  <c r="O77" i="15"/>
  <c r="O76" i="15"/>
  <c r="O75" i="15"/>
  <c r="O74" i="15"/>
  <c r="O73" i="15"/>
  <c r="O72" i="15"/>
  <c r="O71" i="15"/>
  <c r="O70" i="15"/>
  <c r="O69" i="15"/>
  <c r="O68" i="15"/>
  <c r="O67" i="15"/>
  <c r="O66" i="15"/>
  <c r="O65" i="15"/>
  <c r="O64" i="15"/>
  <c r="O63" i="15"/>
  <c r="O62" i="15"/>
  <c r="O61" i="15"/>
  <c r="O60" i="15"/>
  <c r="O59" i="15"/>
  <c r="O58" i="15"/>
  <c r="O57" i="15"/>
  <c r="O56" i="15"/>
  <c r="O55" i="15"/>
  <c r="O54" i="15"/>
  <c r="O53" i="15"/>
  <c r="O52" i="15"/>
  <c r="O51" i="15"/>
  <c r="O50" i="15"/>
  <c r="O49" i="15"/>
  <c r="O48" i="15"/>
  <c r="O47" i="15"/>
  <c r="O46" i="15"/>
  <c r="F38" i="15"/>
  <c r="O37" i="15"/>
  <c r="F37" i="15"/>
  <c r="O36" i="15"/>
  <c r="F36" i="15"/>
  <c r="O35" i="15"/>
  <c r="F35" i="15"/>
  <c r="O34" i="15"/>
  <c r="F34" i="15"/>
  <c r="AA33" i="15"/>
  <c r="O33" i="15"/>
  <c r="F33" i="15"/>
  <c r="O32" i="15"/>
  <c r="F32" i="15"/>
  <c r="O31" i="15"/>
  <c r="F31" i="15"/>
  <c r="O30" i="15"/>
  <c r="F30" i="15"/>
  <c r="O29" i="15"/>
  <c r="F29" i="15"/>
  <c r="O28" i="15"/>
  <c r="F28" i="15"/>
  <c r="O27" i="15"/>
  <c r="F27" i="15"/>
  <c r="O26" i="15"/>
  <c r="F26" i="15"/>
  <c r="O25" i="15"/>
  <c r="F25" i="15"/>
  <c r="O24" i="15"/>
  <c r="F24" i="15"/>
  <c r="O23" i="15"/>
  <c r="F23" i="15"/>
  <c r="O22" i="15"/>
  <c r="F22" i="15"/>
  <c r="O21" i="15"/>
  <c r="F21" i="15"/>
  <c r="O20" i="15"/>
  <c r="F20" i="15"/>
  <c r="O19" i="15"/>
  <c r="F19" i="15"/>
  <c r="O18" i="15"/>
  <c r="F18" i="15"/>
  <c r="O17" i="15"/>
  <c r="F17" i="15"/>
  <c r="O16" i="15"/>
  <c r="F16" i="15"/>
  <c r="O15" i="15"/>
  <c r="F15" i="15"/>
  <c r="O14" i="15"/>
  <c r="F14" i="15"/>
  <c r="O13" i="15"/>
  <c r="F13" i="15"/>
  <c r="O12" i="15"/>
  <c r="F12" i="15"/>
  <c r="O11" i="15"/>
  <c r="F11" i="15"/>
  <c r="O10" i="15"/>
  <c r="F10" i="15"/>
  <c r="O9" i="15"/>
  <c r="F9" i="15"/>
  <c r="O8" i="15"/>
  <c r="F8" i="15"/>
  <c r="O7" i="15"/>
  <c r="F7" i="15"/>
  <c r="O6" i="15"/>
  <c r="F6" i="15"/>
  <c r="O5" i="15"/>
  <c r="F5" i="15"/>
  <c r="O4" i="15"/>
  <c r="F4" i="15"/>
  <c r="BF140" i="1"/>
  <c r="BG140" i="1" s="1"/>
  <c r="BG9" i="1" l="1"/>
  <c r="BG5" i="1"/>
  <c r="F144" i="1"/>
  <c r="BH6" i="1" s="1"/>
  <c r="AU6" i="1"/>
  <c r="AU7" i="1" s="1"/>
  <c r="AU8" i="1" s="1"/>
  <c r="AU9" i="1" s="1"/>
  <c r="G47" i="16"/>
  <c r="AW6" i="1"/>
  <c r="AW7" i="1" s="1"/>
  <c r="AW8" i="1" s="1"/>
  <c r="AW9" i="1" s="1"/>
  <c r="G5" i="16"/>
  <c r="G47" i="17"/>
  <c r="Z5" i="18"/>
  <c r="BH4" i="1" l="1"/>
  <c r="AU10" i="1"/>
  <c r="AU11" i="1" s="1"/>
  <c r="AU12" i="1" s="1"/>
  <c r="AU13" i="1" s="1"/>
  <c r="AU14" i="1" s="1"/>
  <c r="AU15" i="1" s="1"/>
  <c r="AU16" i="1" s="1"/>
  <c r="AU17" i="1" s="1"/>
  <c r="G6" i="17"/>
  <c r="G6" i="16"/>
  <c r="AW10" i="1"/>
  <c r="AW11" i="1" s="1"/>
  <c r="AW12" i="1" s="1"/>
  <c r="AW13" i="1" s="1"/>
  <c r="G48" i="17"/>
  <c r="G48" i="16"/>
  <c r="T8" i="9"/>
  <c r="T7" i="9"/>
  <c r="T6" i="9"/>
  <c r="T5" i="9"/>
  <c r="T4" i="9"/>
  <c r="T3" i="9"/>
  <c r="T2" i="9"/>
  <c r="S8" i="9"/>
  <c r="S7" i="9"/>
  <c r="S6" i="9"/>
  <c r="S5" i="9"/>
  <c r="S4" i="9"/>
  <c r="S3" i="9"/>
  <c r="S2" i="9"/>
  <c r="E103" i="1"/>
  <c r="V8" i="9"/>
  <c r="W8" i="9"/>
  <c r="W7" i="9"/>
  <c r="V7" i="9"/>
  <c r="X2" i="9"/>
  <c r="G7" i="17" l="1"/>
  <c r="G7" i="16"/>
  <c r="AU18" i="1"/>
  <c r="AU19" i="1" s="1"/>
  <c r="AU20" i="1" s="1"/>
  <c r="AU21" i="1" s="1"/>
  <c r="G8" i="16"/>
  <c r="G8" i="17"/>
  <c r="AW14" i="1"/>
  <c r="AW15" i="1" s="1"/>
  <c r="AW16" i="1" s="1"/>
  <c r="AW17" i="1" s="1"/>
  <c r="G49" i="16"/>
  <c r="G49" i="17"/>
  <c r="F11" i="13" a="1"/>
  <c r="F11" i="13" s="1"/>
  <c r="F10" i="13" a="1"/>
  <c r="F10" i="13" s="1"/>
  <c r="F9" i="13" a="1"/>
  <c r="F9" i="13" s="1"/>
  <c r="F8" i="13" a="1"/>
  <c r="F8" i="13" s="1"/>
  <c r="F7" i="13" a="1"/>
  <c r="F7" i="13" s="1"/>
  <c r="F6" i="13" a="1"/>
  <c r="F6" i="13" s="1"/>
  <c r="F5" i="13" a="1"/>
  <c r="F5" i="13" s="1"/>
  <c r="F4" i="13" a="1"/>
  <c r="F4" i="13" s="1"/>
  <c r="F3" i="13" a="1"/>
  <c r="F3" i="13" s="1"/>
  <c r="F2" i="13" a="1"/>
  <c r="F2" i="13" s="1"/>
  <c r="X81" i="13"/>
  <c r="X80" i="13"/>
  <c r="X77" i="13"/>
  <c r="X76" i="13"/>
  <c r="X73" i="13"/>
  <c r="X72" i="13"/>
  <c r="X69" i="13"/>
  <c r="X68" i="13"/>
  <c r="X65" i="13"/>
  <c r="X64" i="13"/>
  <c r="X61" i="13"/>
  <c r="X60" i="13"/>
  <c r="X57" i="13"/>
  <c r="X56" i="13"/>
  <c r="X53" i="13"/>
  <c r="X52" i="13"/>
  <c r="X51" i="13"/>
  <c r="X48" i="13"/>
  <c r="X47" i="13"/>
  <c r="X44" i="13"/>
  <c r="X43" i="13"/>
  <c r="X79" i="13"/>
  <c r="X75" i="13"/>
  <c r="X71" i="13"/>
  <c r="X67" i="13"/>
  <c r="X63" i="13"/>
  <c r="X59" i="13"/>
  <c r="X55" i="13"/>
  <c r="X50" i="13"/>
  <c r="X46" i="13"/>
  <c r="X42" i="13"/>
  <c r="S81" i="13" a="1"/>
  <c r="S81" i="13" s="1"/>
  <c r="S80" i="13" a="1"/>
  <c r="S80" i="13" s="1"/>
  <c r="S79" i="13" a="1"/>
  <c r="S79" i="13" s="1"/>
  <c r="S77" i="13" a="1"/>
  <c r="S77" i="13" s="1"/>
  <c r="S76" i="13" a="1"/>
  <c r="S76" i="13" s="1"/>
  <c r="S75" i="13" a="1"/>
  <c r="S75" i="13" s="1"/>
  <c r="S73" i="13" a="1"/>
  <c r="S73" i="13" s="1"/>
  <c r="S72" i="13" a="1"/>
  <c r="S72" i="13" s="1"/>
  <c r="S71" i="13" a="1"/>
  <c r="S71" i="13" s="1"/>
  <c r="S69" i="13" a="1"/>
  <c r="S69" i="13" s="1"/>
  <c r="S68" i="13" a="1"/>
  <c r="S68" i="13" s="1"/>
  <c r="S67" i="13" a="1"/>
  <c r="S67" i="13" s="1"/>
  <c r="S65" i="13" a="1"/>
  <c r="S65" i="13" s="1"/>
  <c r="S64" i="13" a="1"/>
  <c r="S64" i="13" s="1"/>
  <c r="S63" i="13" a="1"/>
  <c r="S63" i="13" s="1"/>
  <c r="S61" i="13" a="1"/>
  <c r="S61" i="13" s="1"/>
  <c r="S60" i="13" a="1"/>
  <c r="S60" i="13" s="1"/>
  <c r="S59" i="13" a="1"/>
  <c r="S59" i="13" s="1"/>
  <c r="S57" i="13" a="1"/>
  <c r="S57" i="13" s="1"/>
  <c r="S56" i="13" a="1"/>
  <c r="S56" i="13" s="1"/>
  <c r="S55" i="13" a="1"/>
  <c r="S55" i="13" s="1"/>
  <c r="S53" i="13" a="1"/>
  <c r="S53" i="13" s="1"/>
  <c r="S52" i="13" a="1"/>
  <c r="S52" i="13" s="1"/>
  <c r="S51" i="13" a="1"/>
  <c r="S51" i="13" s="1"/>
  <c r="S50" i="13" a="1"/>
  <c r="S50" i="13" s="1"/>
  <c r="S48" i="13" a="1"/>
  <c r="S48" i="13" s="1"/>
  <c r="S47" i="13" a="1"/>
  <c r="S47" i="13" s="1"/>
  <c r="S46" i="13" a="1"/>
  <c r="S46" i="13" s="1"/>
  <c r="S44" i="13" a="1"/>
  <c r="S44" i="13" s="1"/>
  <c r="S43" i="13" a="1"/>
  <c r="S43" i="13" s="1"/>
  <c r="S42" i="13" a="1"/>
  <c r="S42" i="13" s="1"/>
  <c r="R42" i="13"/>
  <c r="R43" i="13" s="1"/>
  <c r="R44" i="13" s="1"/>
  <c r="R46" i="13" s="1"/>
  <c r="R47" i="13" s="1"/>
  <c r="R48" i="13" s="1"/>
  <c r="R50" i="13" s="1"/>
  <c r="R51" i="13" s="1"/>
  <c r="R52" i="13" s="1"/>
  <c r="R53" i="13" s="1"/>
  <c r="R55" i="13" s="1"/>
  <c r="R56" i="13" s="1"/>
  <c r="R57" i="13" s="1"/>
  <c r="R59" i="13" s="1"/>
  <c r="R60" i="13" s="1"/>
  <c r="R61" i="13" s="1"/>
  <c r="R63" i="13" s="1"/>
  <c r="R64" i="13" s="1"/>
  <c r="R65" i="13" s="1"/>
  <c r="R67" i="13" s="1"/>
  <c r="R68" i="13" s="1"/>
  <c r="R69" i="13" s="1"/>
  <c r="R71" i="13" s="1"/>
  <c r="R72" i="13" s="1"/>
  <c r="R73" i="13" s="1"/>
  <c r="R75" i="13" s="1"/>
  <c r="R76" i="13" s="1"/>
  <c r="R77" i="13" s="1"/>
  <c r="R79" i="13" s="1"/>
  <c r="R80" i="13" s="1"/>
  <c r="R81" i="13" s="1"/>
  <c r="Q42" i="13"/>
  <c r="Q43" i="13" s="1"/>
  <c r="Q44" i="13" s="1"/>
  <c r="Q46" i="13" s="1"/>
  <c r="Q47" i="13" s="1"/>
  <c r="Q48" i="13" s="1"/>
  <c r="Q50" i="13" s="1"/>
  <c r="Q51" i="13" s="1"/>
  <c r="Q52" i="13" s="1"/>
  <c r="Q53" i="13" s="1"/>
  <c r="Q55" i="13" s="1"/>
  <c r="Q56" i="13" s="1"/>
  <c r="Q57" i="13" s="1"/>
  <c r="Q59" i="13" s="1"/>
  <c r="Q60" i="13" s="1"/>
  <c r="Q61" i="13" s="1"/>
  <c r="Q63" i="13" s="1"/>
  <c r="Q64" i="13" s="1"/>
  <c r="Q65" i="13" s="1"/>
  <c r="Q67" i="13" s="1"/>
  <c r="Q68" i="13" s="1"/>
  <c r="Q69" i="13" s="1"/>
  <c r="Q71" i="13" s="1"/>
  <c r="Q72" i="13" s="1"/>
  <c r="Q73" i="13" s="1"/>
  <c r="Q75" i="13" s="1"/>
  <c r="Q76" i="13" s="1"/>
  <c r="Q77" i="13" s="1"/>
  <c r="Q79" i="13" s="1"/>
  <c r="Q80" i="13" s="1"/>
  <c r="Q81" i="13" s="1"/>
  <c r="Y81" i="13" s="1"/>
  <c r="L137" i="1"/>
  <c r="L136" i="1"/>
  <c r="L135" i="1"/>
  <c r="L134" i="1"/>
  <c r="L133" i="1"/>
  <c r="L132" i="1"/>
  <c r="L131" i="1"/>
  <c r="L130" i="1"/>
  <c r="L129" i="1"/>
  <c r="L128" i="1"/>
  <c r="L127" i="1"/>
  <c r="L126" i="1"/>
  <c r="L125" i="1"/>
  <c r="L124" i="1"/>
  <c r="L123" i="1"/>
  <c r="L122" i="1"/>
  <c r="E122" i="1" s="1"/>
  <c r="J122" i="1" s="1"/>
  <c r="M122" i="1" s="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AG33" i="10"/>
  <c r="AW18" i="1" l="1"/>
  <c r="AW19" i="1" s="1"/>
  <c r="AW20" i="1" s="1"/>
  <c r="AW21" i="1" s="1"/>
  <c r="G50" i="17"/>
  <c r="G50" i="16"/>
  <c r="AU22" i="1"/>
  <c r="AU23" i="1" s="1"/>
  <c r="AU24" i="1" s="1"/>
  <c r="AU25" i="1" s="1"/>
  <c r="G9" i="16"/>
  <c r="G9" i="17"/>
  <c r="Y75" i="13"/>
  <c r="Y79" i="13"/>
  <c r="Y76" i="13"/>
  <c r="Y68" i="13"/>
  <c r="Y60" i="13"/>
  <c r="Y52" i="13"/>
  <c r="Y46" i="13"/>
  <c r="Y44" i="13"/>
  <c r="Y50" i="13"/>
  <c r="Y55" i="13"/>
  <c r="Y47" i="13"/>
  <c r="Y53" i="13"/>
  <c r="Y61" i="13"/>
  <c r="Y69" i="13"/>
  <c r="Y77" i="13"/>
  <c r="Y59" i="13"/>
  <c r="Y63" i="13"/>
  <c r="Y48" i="13"/>
  <c r="Y56" i="13"/>
  <c r="Y64" i="13"/>
  <c r="Y72" i="13"/>
  <c r="Y80" i="13"/>
  <c r="Y67" i="13"/>
  <c r="Y71" i="13"/>
  <c r="Y51" i="13"/>
  <c r="Y57" i="13"/>
  <c r="Y65" i="13"/>
  <c r="Y73" i="13"/>
  <c r="Y42" i="13"/>
  <c r="Y43" i="13"/>
  <c r="AW22" i="1" l="1"/>
  <c r="AW23" i="1" s="1"/>
  <c r="AW24" i="1" s="1"/>
  <c r="AW25" i="1" s="1"/>
  <c r="G51" i="17"/>
  <c r="G51" i="16"/>
  <c r="AU26" i="1"/>
  <c r="AU27" i="1" s="1"/>
  <c r="AU28" i="1" s="1"/>
  <c r="AU29" i="1" s="1"/>
  <c r="G10" i="17"/>
  <c r="G10" i="16"/>
  <c r="Y5" i="1"/>
  <c r="AB5" i="1" s="1"/>
  <c r="Z5" i="1"/>
  <c r="Z135" i="1"/>
  <c r="Y135" i="1"/>
  <c r="AB135" i="1" s="1"/>
  <c r="Z133" i="1"/>
  <c r="Y133" i="1"/>
  <c r="AB133" i="1" s="1"/>
  <c r="Z130" i="1"/>
  <c r="Y130" i="1"/>
  <c r="AB130" i="1" s="1"/>
  <c r="Z121" i="1"/>
  <c r="Y121" i="1"/>
  <c r="AB121" i="1" s="1"/>
  <c r="Z59" i="1"/>
  <c r="Y59" i="1"/>
  <c r="AB59" i="1" s="1"/>
  <c r="Z38" i="1"/>
  <c r="Y38" i="1"/>
  <c r="AB38" i="1" s="1"/>
  <c r="Z33" i="1"/>
  <c r="Y33" i="1"/>
  <c r="Z126" i="1"/>
  <c r="Y126" i="1"/>
  <c r="AB126" i="1" s="1"/>
  <c r="Z117" i="1"/>
  <c r="Y117" i="1"/>
  <c r="AB117" i="1" s="1"/>
  <c r="Z113" i="1"/>
  <c r="Y113" i="1"/>
  <c r="Z109" i="1"/>
  <c r="Y109" i="1"/>
  <c r="Z105" i="1"/>
  <c r="Y105" i="1"/>
  <c r="AB105" i="1" s="1"/>
  <c r="Z101" i="1"/>
  <c r="Y101" i="1"/>
  <c r="AB101" i="1" s="1"/>
  <c r="Z97" i="1"/>
  <c r="Y97" i="1"/>
  <c r="AB97" i="1" s="1"/>
  <c r="Z93" i="1"/>
  <c r="Y93" i="1"/>
  <c r="AB93" i="1" s="1"/>
  <c r="Z89" i="1"/>
  <c r="Y89" i="1"/>
  <c r="AB89" i="1" s="1"/>
  <c r="Z85" i="1"/>
  <c r="Y85" i="1"/>
  <c r="AB85" i="1" s="1"/>
  <c r="Z81" i="1"/>
  <c r="Y81" i="1"/>
  <c r="AB81" i="1" s="1"/>
  <c r="Z77" i="1"/>
  <c r="Y77" i="1"/>
  <c r="Z73" i="1"/>
  <c r="Y73" i="1"/>
  <c r="AB73" i="1" s="1"/>
  <c r="Z69" i="1"/>
  <c r="Y69" i="1"/>
  <c r="AB69" i="1" s="1"/>
  <c r="Z65" i="1"/>
  <c r="Y65" i="1"/>
  <c r="AB65" i="1" s="1"/>
  <c r="Z61" i="1"/>
  <c r="Y61" i="1"/>
  <c r="AB61" i="1" s="1"/>
  <c r="Z55" i="1"/>
  <c r="Y55" i="1"/>
  <c r="AB55" i="1" s="1"/>
  <c r="Z51" i="1"/>
  <c r="Y51" i="1"/>
  <c r="Z47" i="1"/>
  <c r="Y47" i="1"/>
  <c r="Z43" i="1"/>
  <c r="Y43" i="1"/>
  <c r="Z29" i="1"/>
  <c r="Y29" i="1"/>
  <c r="AB29" i="1" s="1"/>
  <c r="Z25" i="1"/>
  <c r="Y25" i="1"/>
  <c r="AB25" i="1" s="1"/>
  <c r="Z21" i="1"/>
  <c r="Y21" i="1"/>
  <c r="AB21" i="1" s="1"/>
  <c r="Z17" i="1"/>
  <c r="Y17" i="1"/>
  <c r="Z13" i="1"/>
  <c r="Y13" i="1"/>
  <c r="AB13" i="1" s="1"/>
  <c r="Z9" i="1"/>
  <c r="Y9" i="1"/>
  <c r="AB9" i="1" s="1"/>
  <c r="F80" i="10"/>
  <c r="T78" i="10"/>
  <c r="T77" i="10"/>
  <c r="T74" i="10"/>
  <c r="T73" i="10"/>
  <c r="T70" i="10"/>
  <c r="T69" i="10"/>
  <c r="T66" i="10"/>
  <c r="T65" i="10"/>
  <c r="T62" i="10"/>
  <c r="T61" i="10"/>
  <c r="T58" i="10"/>
  <c r="T57" i="10"/>
  <c r="T54" i="10"/>
  <c r="T53" i="10"/>
  <c r="T50" i="10"/>
  <c r="T48" i="10"/>
  <c r="T47" i="10"/>
  <c r="BN134" i="1" a="1"/>
  <c r="P7" i="13"/>
  <c r="E13" i="13"/>
  <c r="X4" i="9"/>
  <c r="X5" i="9" s="1"/>
  <c r="Y4" i="9"/>
  <c r="Y6" i="9"/>
  <c r="X6" i="9"/>
  <c r="E144" i="1"/>
  <c r="D144" i="1"/>
  <c r="K16" i="13"/>
  <c r="J16" i="13"/>
  <c r="E16" i="13"/>
  <c r="N6" i="13"/>
  <c r="H11" i="13"/>
  <c r="K11" i="13" s="1"/>
  <c r="H10" i="13"/>
  <c r="K10" i="13" s="1"/>
  <c r="H9" i="13"/>
  <c r="K9" i="13" s="1"/>
  <c r="H8" i="13"/>
  <c r="K8" i="13" s="1"/>
  <c r="H7" i="13"/>
  <c r="K7" i="13" s="1"/>
  <c r="H6" i="13"/>
  <c r="K6" i="13" s="1"/>
  <c r="H5" i="13"/>
  <c r="K5" i="13" s="1"/>
  <c r="H4" i="13"/>
  <c r="K4" i="13" s="1"/>
  <c r="H3" i="13"/>
  <c r="K3" i="13" s="1"/>
  <c r="H2" i="13"/>
  <c r="K2" i="13" s="1"/>
  <c r="N11" i="13"/>
  <c r="E11" i="13"/>
  <c r="N10" i="13"/>
  <c r="E10" i="13"/>
  <c r="N9" i="13"/>
  <c r="E9" i="13"/>
  <c r="N8" i="13"/>
  <c r="E8" i="13"/>
  <c r="N7" i="13"/>
  <c r="E7" i="13"/>
  <c r="E6" i="13"/>
  <c r="N5" i="13"/>
  <c r="E5" i="13"/>
  <c r="N4" i="13"/>
  <c r="E4" i="13"/>
  <c r="N3" i="13"/>
  <c r="E3" i="13"/>
  <c r="N2" i="13"/>
  <c r="E2" i="13"/>
  <c r="Y2" i="9"/>
  <c r="Y5" i="9" s="1"/>
  <c r="AG138" i="1" s="1"/>
  <c r="F38" i="10"/>
  <c r="AU30" i="1" l="1"/>
  <c r="AU31" i="1" s="1"/>
  <c r="AU32" i="1" s="1"/>
  <c r="AU33" i="1" s="1"/>
  <c r="G11" i="16"/>
  <c r="G11" i="17"/>
  <c r="AW26" i="1"/>
  <c r="AW27" i="1" s="1"/>
  <c r="AW28" i="1" s="1"/>
  <c r="AW29" i="1" s="1"/>
  <c r="G52" i="17"/>
  <c r="G52" i="16"/>
  <c r="BY138" i="1"/>
  <c r="U138" i="1"/>
  <c r="AJ138" i="1"/>
  <c r="BQ138" i="1"/>
  <c r="S138" i="1"/>
  <c r="AH138" i="1"/>
  <c r="D38" i="10" s="1" a="1"/>
  <c r="D38" i="10" s="1"/>
  <c r="T138" i="1"/>
  <c r="BX138" i="1"/>
  <c r="AL138" i="1"/>
  <c r="BP138" i="1"/>
  <c r="R138" i="1"/>
  <c r="AI138" i="1"/>
  <c r="BN134" i="1"/>
  <c r="AC13" i="1"/>
  <c r="AC29" i="1"/>
  <c r="AC105" i="1"/>
  <c r="AC73" i="1"/>
  <c r="AC89" i="1"/>
  <c r="AC126" i="1"/>
  <c r="AC65" i="1"/>
  <c r="AC55" i="1"/>
  <c r="AC51" i="1"/>
  <c r="AC43" i="1"/>
  <c r="AC61" i="1"/>
  <c r="AC77" i="1"/>
  <c r="AC93" i="1"/>
  <c r="AC109" i="1"/>
  <c r="AC21" i="1"/>
  <c r="AC47" i="1"/>
  <c r="AC81" i="1"/>
  <c r="AC97" i="1"/>
  <c r="AC113" i="1"/>
  <c r="AC38" i="1"/>
  <c r="AC133" i="1"/>
  <c r="AC9" i="1"/>
  <c r="AC25" i="1"/>
  <c r="AC69" i="1"/>
  <c r="AC85" i="1"/>
  <c r="AC101" i="1"/>
  <c r="AC117" i="1"/>
  <c r="AC59" i="1"/>
  <c r="AC135" i="1"/>
  <c r="AC5" i="1"/>
  <c r="AC121" i="1"/>
  <c r="AB43" i="1"/>
  <c r="AC33" i="1"/>
  <c r="AC130" i="1"/>
  <c r="AB47" i="1"/>
  <c r="AB77" i="1"/>
  <c r="AB109" i="1"/>
  <c r="AC17" i="1"/>
  <c r="AB17" i="1"/>
  <c r="AB33" i="1"/>
  <c r="AB51" i="1"/>
  <c r="AB113" i="1"/>
  <c r="T56" i="10"/>
  <c r="T76" i="10"/>
  <c r="T72" i="10"/>
  <c r="T46" i="10"/>
  <c r="T49" i="10"/>
  <c r="T60" i="10"/>
  <c r="T68" i="10"/>
  <c r="T64" i="10"/>
  <c r="T52" i="10"/>
  <c r="T51" i="10"/>
  <c r="T55" i="10"/>
  <c r="T59" i="10"/>
  <c r="T63" i="10"/>
  <c r="T67" i="10"/>
  <c r="T71" i="10"/>
  <c r="T75" i="10"/>
  <c r="T79" i="10"/>
  <c r="D38" i="16" l="1" a="1"/>
  <c r="D38" i="16" s="1"/>
  <c r="AW30" i="1"/>
  <c r="AW31" i="1" s="1"/>
  <c r="AW32" i="1" s="1"/>
  <c r="AW33" i="1" s="1"/>
  <c r="G53" i="16"/>
  <c r="G53" i="17"/>
  <c r="D80" i="17"/>
  <c r="D80" i="16"/>
  <c r="AU34" i="1"/>
  <c r="AU35" i="1" s="1"/>
  <c r="AU36" i="1" s="1"/>
  <c r="AU37" i="1" s="1"/>
  <c r="AU38" i="1" s="1"/>
  <c r="G12" i="17"/>
  <c r="G12" i="16"/>
  <c r="D38" i="17" a="1"/>
  <c r="D38" i="17" s="1"/>
  <c r="D39" i="17" s="1"/>
  <c r="D80" i="10"/>
  <c r="D80" i="15"/>
  <c r="D38" i="15" a="1"/>
  <c r="D38" i="15" s="1"/>
  <c r="BU134" i="1"/>
  <c r="BW134" i="1" s="1"/>
  <c r="BT134" i="1"/>
  <c r="BV134" i="1" s="1"/>
  <c r="BH138" i="1"/>
  <c r="BH130" i="1"/>
  <c r="BH122" i="1"/>
  <c r="BH114" i="1"/>
  <c r="BH106" i="1"/>
  <c r="BH98" i="1"/>
  <c r="BH90" i="1"/>
  <c r="BH82" i="1"/>
  <c r="BH74" i="1"/>
  <c r="BH66" i="1"/>
  <c r="BH58" i="1"/>
  <c r="BH50" i="1"/>
  <c r="BH42" i="1"/>
  <c r="BH34" i="1"/>
  <c r="BH26" i="1"/>
  <c r="BH18" i="1"/>
  <c r="BH10" i="1"/>
  <c r="BH132" i="1"/>
  <c r="BH100" i="1"/>
  <c r="BH68" i="1"/>
  <c r="BH137" i="1"/>
  <c r="BH129" i="1"/>
  <c r="BH121" i="1"/>
  <c r="BH113" i="1"/>
  <c r="BH105" i="1"/>
  <c r="BH97" i="1"/>
  <c r="BH89" i="1"/>
  <c r="BH81" i="1"/>
  <c r="BH73" i="1"/>
  <c r="BH65" i="1"/>
  <c r="BH57" i="1"/>
  <c r="BH49" i="1"/>
  <c r="BH41" i="1"/>
  <c r="BH33" i="1"/>
  <c r="BH25" i="1"/>
  <c r="BH17" i="1"/>
  <c r="BH9" i="1"/>
  <c r="BH92" i="1"/>
  <c r="BH44" i="1"/>
  <c r="BH136" i="1"/>
  <c r="BH128" i="1"/>
  <c r="BH120" i="1"/>
  <c r="BH112" i="1"/>
  <c r="BH104" i="1"/>
  <c r="BH96" i="1"/>
  <c r="BH88" i="1"/>
  <c r="BH80" i="1"/>
  <c r="BH72" i="1"/>
  <c r="BH64" i="1"/>
  <c r="BH56" i="1"/>
  <c r="BH48" i="1"/>
  <c r="BH40" i="1"/>
  <c r="BH32" i="1"/>
  <c r="BH24" i="1"/>
  <c r="BH16" i="1"/>
  <c r="BH8" i="1"/>
  <c r="BH108" i="1"/>
  <c r="BH60" i="1"/>
  <c r="BH12" i="1"/>
  <c r="BH135" i="1"/>
  <c r="BH127" i="1"/>
  <c r="BH119" i="1"/>
  <c r="BH111" i="1"/>
  <c r="BH103" i="1"/>
  <c r="BH95" i="1"/>
  <c r="BH87" i="1"/>
  <c r="BH79" i="1"/>
  <c r="BH71" i="1"/>
  <c r="BH63" i="1"/>
  <c r="BH55" i="1"/>
  <c r="BH47" i="1"/>
  <c r="BH39" i="1"/>
  <c r="BH31" i="1"/>
  <c r="BH23" i="1"/>
  <c r="BH15" i="1"/>
  <c r="BH7" i="1"/>
  <c r="BH116" i="1"/>
  <c r="BH36" i="1"/>
  <c r="BH134" i="1"/>
  <c r="BH126" i="1"/>
  <c r="BH118" i="1"/>
  <c r="BH110" i="1"/>
  <c r="BH102" i="1"/>
  <c r="BH94" i="1"/>
  <c r="BH86" i="1"/>
  <c r="BH78" i="1"/>
  <c r="BH70" i="1"/>
  <c r="BH62" i="1"/>
  <c r="BH54" i="1"/>
  <c r="BH46" i="1"/>
  <c r="BH38" i="1"/>
  <c r="BH30" i="1"/>
  <c r="BH22" i="1"/>
  <c r="BH14" i="1"/>
  <c r="BH84" i="1"/>
  <c r="BH28" i="1"/>
  <c r="BH133" i="1"/>
  <c r="BH125" i="1"/>
  <c r="BH117" i="1"/>
  <c r="BH109" i="1"/>
  <c r="BH101" i="1"/>
  <c r="BH93" i="1"/>
  <c r="BH85" i="1"/>
  <c r="BH77" i="1"/>
  <c r="BH69" i="1"/>
  <c r="BH61" i="1"/>
  <c r="BH53" i="1"/>
  <c r="BH45" i="1"/>
  <c r="BH37" i="1"/>
  <c r="BH29" i="1"/>
  <c r="BH21" i="1"/>
  <c r="BH13" i="1"/>
  <c r="BH5" i="1"/>
  <c r="CE5" i="1" s="1"/>
  <c r="CK5" i="1" s="1"/>
  <c r="BH124" i="1"/>
  <c r="BH76" i="1"/>
  <c r="BH52" i="1"/>
  <c r="BH20" i="1"/>
  <c r="BH75" i="1"/>
  <c r="BH11" i="1"/>
  <c r="BH131" i="1"/>
  <c r="BH67" i="1"/>
  <c r="BH51" i="1"/>
  <c r="BH43" i="1"/>
  <c r="CE43" i="1" s="1"/>
  <c r="BH123" i="1"/>
  <c r="BH59" i="1"/>
  <c r="CE59" i="1" s="1"/>
  <c r="CK59" i="1" s="1"/>
  <c r="BH115" i="1"/>
  <c r="BH107" i="1"/>
  <c r="BH99" i="1"/>
  <c r="BH35" i="1"/>
  <c r="BH91" i="1"/>
  <c r="BH27" i="1"/>
  <c r="BH83" i="1"/>
  <c r="BH19" i="1"/>
  <c r="D13" i="13"/>
  <c r="I10" i="13" s="1"/>
  <c r="CK43" i="1" l="1"/>
  <c r="CL43" i="1" s="1"/>
  <c r="CF43" i="1"/>
  <c r="CD43" i="1" s="1"/>
  <c r="CI47" i="1" s="1"/>
  <c r="D56" i="15" s="1"/>
  <c r="CF5" i="1"/>
  <c r="CD5" i="1" s="1"/>
  <c r="AU39" i="1"/>
  <c r="AU40" i="1" s="1"/>
  <c r="AU41" i="1" s="1"/>
  <c r="AU42" i="1" s="1"/>
  <c r="AU43" i="1" s="1"/>
  <c r="G13" i="17"/>
  <c r="G13" i="16"/>
  <c r="CE81" i="1"/>
  <c r="CK81" i="1" s="1"/>
  <c r="CB81" i="1"/>
  <c r="CC81" i="1" s="1"/>
  <c r="CE77" i="1"/>
  <c r="CK77" i="1" s="1"/>
  <c r="CB77" i="1"/>
  <c r="CC77" i="1" s="1"/>
  <c r="AW34" i="1"/>
  <c r="AW35" i="1" s="1"/>
  <c r="AW36" i="1" s="1"/>
  <c r="AW37" i="1" s="1"/>
  <c r="AW38" i="1" s="1"/>
  <c r="G54" i="17"/>
  <c r="G54" i="16"/>
  <c r="CB5" i="1"/>
  <c r="CC5" i="1" s="1"/>
  <c r="CA5" i="1" s="1"/>
  <c r="CE65" i="1"/>
  <c r="CK65" i="1" s="1"/>
  <c r="CB65" i="1"/>
  <c r="CC65" i="1" s="1"/>
  <c r="CA65" i="1" s="1"/>
  <c r="CB59" i="1"/>
  <c r="CC59" i="1" s="1"/>
  <c r="CF59" i="1"/>
  <c r="CE101" i="1"/>
  <c r="CK101" i="1" s="1"/>
  <c r="CB101" i="1"/>
  <c r="CC101" i="1" s="1"/>
  <c r="CA101" i="1" s="1"/>
  <c r="CE121" i="1"/>
  <c r="CK121" i="1" s="1"/>
  <c r="CB121" i="1"/>
  <c r="CC121" i="1" s="1"/>
  <c r="CA121" i="1" s="1"/>
  <c r="CE109" i="1"/>
  <c r="CK109" i="1" s="1"/>
  <c r="CB109" i="1"/>
  <c r="CC109" i="1" s="1"/>
  <c r="CA109" i="1" s="1"/>
  <c r="CB73" i="1"/>
  <c r="CC73" i="1" s="1"/>
  <c r="CA73" i="1" s="1"/>
  <c r="CE73" i="1"/>
  <c r="CK73" i="1" s="1"/>
  <c r="CE51" i="1"/>
  <c r="CK51" i="1" s="1"/>
  <c r="CB51" i="1"/>
  <c r="CC51" i="1" s="1"/>
  <c r="CA51" i="1" s="1"/>
  <c r="CE61" i="1"/>
  <c r="CK61" i="1" s="1"/>
  <c r="CB61" i="1"/>
  <c r="CC61" i="1" s="1"/>
  <c r="CA61" i="1" s="1"/>
  <c r="CE38" i="1"/>
  <c r="CB38" i="1"/>
  <c r="CC38" i="1" s="1"/>
  <c r="CA38" i="1" s="1"/>
  <c r="CE133" i="1"/>
  <c r="CK133" i="1" s="1"/>
  <c r="CB133" i="1"/>
  <c r="CC133" i="1" s="1"/>
  <c r="CA133" i="1" s="1"/>
  <c r="CB89" i="1"/>
  <c r="CC89" i="1" s="1"/>
  <c r="CA89" i="1" s="1"/>
  <c r="CE89" i="1"/>
  <c r="CK89" i="1" s="1"/>
  <c r="CE13" i="1"/>
  <c r="CK13" i="1" s="1"/>
  <c r="CB13" i="1"/>
  <c r="CC13" i="1" s="1"/>
  <c r="CA13" i="1" s="1"/>
  <c r="CE33" i="1"/>
  <c r="CK33" i="1" s="1"/>
  <c r="CB33" i="1"/>
  <c r="CC33" i="1" s="1"/>
  <c r="CA33" i="1" s="1"/>
  <c r="CE85" i="1"/>
  <c r="CK85" i="1" s="1"/>
  <c r="CB85" i="1"/>
  <c r="CC85" i="1" s="1"/>
  <c r="CA85" i="1" s="1"/>
  <c r="CE126" i="1"/>
  <c r="CK126" i="1" s="1"/>
  <c r="CB126" i="1"/>
  <c r="CC126" i="1" s="1"/>
  <c r="CA126" i="1" s="1"/>
  <c r="CB105" i="1"/>
  <c r="CC105" i="1" s="1"/>
  <c r="CA105" i="1" s="1"/>
  <c r="CE105" i="1"/>
  <c r="CK105" i="1" s="1"/>
  <c r="CE55" i="1"/>
  <c r="CK55" i="1" s="1"/>
  <c r="CB55" i="1"/>
  <c r="CC55" i="1" s="1"/>
  <c r="CA55" i="1" s="1"/>
  <c r="CB43" i="1"/>
  <c r="CE117" i="1"/>
  <c r="CK117" i="1" s="1"/>
  <c r="CB117" i="1"/>
  <c r="CC117" i="1" s="1"/>
  <c r="CA117" i="1" s="1"/>
  <c r="CE135" i="1"/>
  <c r="CK135" i="1" s="1"/>
  <c r="CB135" i="1"/>
  <c r="CC135" i="1" s="1"/>
  <c r="CA135" i="1" s="1"/>
  <c r="CE9" i="1"/>
  <c r="CK9" i="1" s="1"/>
  <c r="CB9" i="1"/>
  <c r="CC9" i="1" s="1"/>
  <c r="CA9" i="1" s="1"/>
  <c r="CE17" i="1"/>
  <c r="CK17" i="1" s="1"/>
  <c r="CB17" i="1"/>
  <c r="CC17" i="1" s="1"/>
  <c r="CA17" i="1" s="1"/>
  <c r="CE69" i="1"/>
  <c r="CK69" i="1" s="1"/>
  <c r="CB69" i="1"/>
  <c r="CC69" i="1" s="1"/>
  <c r="CA69" i="1" s="1"/>
  <c r="CE25" i="1"/>
  <c r="CK25" i="1" s="1"/>
  <c r="CB25" i="1"/>
  <c r="CC25" i="1" s="1"/>
  <c r="CA25" i="1" s="1"/>
  <c r="CB97" i="1"/>
  <c r="CC97" i="1" s="1"/>
  <c r="CA97" i="1" s="1"/>
  <c r="CE97" i="1"/>
  <c r="CK97" i="1" s="1"/>
  <c r="CE130" i="1"/>
  <c r="CK130" i="1" s="1"/>
  <c r="CB130" i="1"/>
  <c r="CC130" i="1" s="1"/>
  <c r="CA130" i="1" s="1"/>
  <c r="CE21" i="1"/>
  <c r="CK21" i="1" s="1"/>
  <c r="CB21" i="1"/>
  <c r="CC21" i="1" s="1"/>
  <c r="CA21" i="1" s="1"/>
  <c r="CE29" i="1"/>
  <c r="CK29" i="1" s="1"/>
  <c r="CB29" i="1"/>
  <c r="CC29" i="1" s="1"/>
  <c r="CA29" i="1" s="1"/>
  <c r="CE93" i="1"/>
  <c r="CK93" i="1" s="1"/>
  <c r="CB93" i="1"/>
  <c r="CC93" i="1" s="1"/>
  <c r="CA93" i="1" s="1"/>
  <c r="CE47" i="1"/>
  <c r="CK47" i="1" s="1"/>
  <c r="CB47" i="1"/>
  <c r="CC47" i="1" s="1"/>
  <c r="CA47" i="1" s="1"/>
  <c r="CE113" i="1"/>
  <c r="CK113" i="1" s="1"/>
  <c r="CB113" i="1"/>
  <c r="CC113" i="1" s="1"/>
  <c r="CA113" i="1" s="1"/>
  <c r="I7" i="13"/>
  <c r="J7" i="13" s="1"/>
  <c r="I4" i="13"/>
  <c r="J4" i="13" s="1"/>
  <c r="I8" i="13"/>
  <c r="J8" i="13" s="1"/>
  <c r="I11" i="13"/>
  <c r="J11" i="13" s="1"/>
  <c r="I6" i="13"/>
  <c r="J6" i="13" s="1"/>
  <c r="I9" i="13"/>
  <c r="J9" i="13" s="1"/>
  <c r="I3" i="13"/>
  <c r="J3" i="13" s="1"/>
  <c r="J10" i="13"/>
  <c r="I2" i="13"/>
  <c r="J2" i="13" s="1"/>
  <c r="I5" i="13"/>
  <c r="J5" i="13" s="1"/>
  <c r="CK38" i="1" l="1"/>
  <c r="CL38" i="1" s="1"/>
  <c r="CF85" i="1"/>
  <c r="CD85" i="1" s="1"/>
  <c r="CI89" i="1" s="1"/>
  <c r="D67" i="15" s="1"/>
  <c r="CL85" i="1"/>
  <c r="CF133" i="1"/>
  <c r="CD133" i="1" s="1"/>
  <c r="CL133" i="1"/>
  <c r="CF135" i="1"/>
  <c r="CD135" i="1" s="1"/>
  <c r="CJ135" i="1" s="1"/>
  <c r="D79" i="16" s="1"/>
  <c r="CL135" i="1"/>
  <c r="CF101" i="1"/>
  <c r="CD101" i="1" s="1"/>
  <c r="CJ101" i="1" s="1"/>
  <c r="D70" i="16" s="1"/>
  <c r="CL101" i="1"/>
  <c r="CF117" i="1"/>
  <c r="CD117" i="1" s="1"/>
  <c r="CJ117" i="1" s="1"/>
  <c r="D74" i="16" s="1"/>
  <c r="CL117" i="1"/>
  <c r="CF73" i="1"/>
  <c r="CD73" i="1" s="1"/>
  <c r="CL73" i="1"/>
  <c r="CL77" i="1" s="1"/>
  <c r="CF130" i="1"/>
  <c r="CD130" i="1" s="1"/>
  <c r="CI133" i="1" s="1"/>
  <c r="D78" i="15" s="1"/>
  <c r="CL130" i="1"/>
  <c r="CF97" i="1"/>
  <c r="CD97" i="1" s="1"/>
  <c r="CI101" i="1" s="1"/>
  <c r="D70" i="15" s="1"/>
  <c r="CL97" i="1"/>
  <c r="CF55" i="1"/>
  <c r="CD55" i="1" s="1"/>
  <c r="CD59" i="1" s="1"/>
  <c r="CL55" i="1"/>
  <c r="CL59" i="1" s="1"/>
  <c r="CF109" i="1"/>
  <c r="CD109" i="1" s="1"/>
  <c r="CI113" i="1" s="1"/>
  <c r="D73" i="15" s="1"/>
  <c r="CL109" i="1"/>
  <c r="CF65" i="1"/>
  <c r="CD65" i="1" s="1"/>
  <c r="CI69" i="1" s="1"/>
  <c r="D62" i="15" s="1"/>
  <c r="CL65" i="1"/>
  <c r="CF126" i="1"/>
  <c r="CD126" i="1" s="1"/>
  <c r="CJ126" i="1" s="1"/>
  <c r="D76" i="16" s="1"/>
  <c r="CL126" i="1"/>
  <c r="CF113" i="1"/>
  <c r="CD113" i="1" s="1"/>
  <c r="CJ113" i="1" s="1"/>
  <c r="D73" i="16" s="1"/>
  <c r="CL113" i="1"/>
  <c r="CF69" i="1"/>
  <c r="CD69" i="1" s="1"/>
  <c r="CJ69" i="1" s="1"/>
  <c r="D62" i="16" s="1"/>
  <c r="CL69" i="1"/>
  <c r="CF93" i="1"/>
  <c r="CD93" i="1" s="1"/>
  <c r="CJ93" i="1" s="1"/>
  <c r="D68" i="16" s="1"/>
  <c r="CL93" i="1"/>
  <c r="CF105" i="1"/>
  <c r="CD105" i="1" s="1"/>
  <c r="CI109" i="1" s="1"/>
  <c r="D72" i="15" s="1"/>
  <c r="CL105" i="1"/>
  <c r="CF77" i="1"/>
  <c r="CD77" i="1" s="1"/>
  <c r="CN43" i="1"/>
  <c r="CF89" i="1"/>
  <c r="CD89" i="1" s="1"/>
  <c r="CL89" i="1"/>
  <c r="CF81" i="1"/>
  <c r="CF51" i="1"/>
  <c r="CD51" i="1" s="1"/>
  <c r="CJ51" i="1" s="1"/>
  <c r="D57" i="16" s="1"/>
  <c r="CL51" i="1"/>
  <c r="CF61" i="1"/>
  <c r="CD61" i="1" s="1"/>
  <c r="CI65" i="1" s="1"/>
  <c r="D61" i="15" s="1"/>
  <c r="CL61" i="1"/>
  <c r="CF121" i="1"/>
  <c r="CD121" i="1" s="1"/>
  <c r="CD122" i="1" s="1"/>
  <c r="CL121" i="1"/>
  <c r="CJ43" i="1"/>
  <c r="D55" i="16" s="1"/>
  <c r="CF21" i="1"/>
  <c r="CD21" i="1" s="1"/>
  <c r="CJ21" i="1" s="1"/>
  <c r="D50" i="16" s="1"/>
  <c r="CL21" i="1"/>
  <c r="CF47" i="1"/>
  <c r="CD47" i="1" s="1"/>
  <c r="CI51" i="1" s="1"/>
  <c r="D57" i="15" s="1"/>
  <c r="CL47" i="1"/>
  <c r="CF17" i="1"/>
  <c r="CD17" i="1" s="1"/>
  <c r="CL17" i="1"/>
  <c r="CF29" i="1"/>
  <c r="CD29" i="1" s="1"/>
  <c r="CI33" i="1" s="1"/>
  <c r="D53" i="15" s="1"/>
  <c r="CL29" i="1"/>
  <c r="CF33" i="1"/>
  <c r="CD33" i="1" s="1"/>
  <c r="CI38" i="1" s="1"/>
  <c r="D54" i="15" s="1"/>
  <c r="CL33" i="1"/>
  <c r="CF38" i="1"/>
  <c r="CD38" i="1" s="1"/>
  <c r="CI43" i="1" s="1"/>
  <c r="D55" i="15" s="1"/>
  <c r="CF25" i="1"/>
  <c r="CD25" i="1" s="1"/>
  <c r="CL25" i="1"/>
  <c r="CF9" i="1"/>
  <c r="CD9" i="1" s="1"/>
  <c r="CF13" i="1"/>
  <c r="CD13" i="1" s="1"/>
  <c r="CO47" i="1"/>
  <c r="CA77" i="1"/>
  <c r="CA81" i="1" s="1"/>
  <c r="CA59" i="1"/>
  <c r="AW39" i="1"/>
  <c r="AW40" i="1" s="1"/>
  <c r="AW41" i="1" s="1"/>
  <c r="AW42" i="1" s="1"/>
  <c r="AW43" i="1" s="1"/>
  <c r="G55" i="17"/>
  <c r="G55" i="16"/>
  <c r="AU44" i="1"/>
  <c r="AU45" i="1" s="1"/>
  <c r="AU46" i="1" s="1"/>
  <c r="AU47" i="1" s="1"/>
  <c r="G14" i="17"/>
  <c r="G14" i="16"/>
  <c r="CG73" i="1"/>
  <c r="D21" i="15" s="1"/>
  <c r="CH69" i="1"/>
  <c r="D20" i="16" s="1"/>
  <c r="CJ85" i="1"/>
  <c r="D66" i="16" s="1"/>
  <c r="CG121" i="1"/>
  <c r="D33" i="15" s="1"/>
  <c r="CH117" i="1"/>
  <c r="D32" i="16" s="1"/>
  <c r="CG55" i="1"/>
  <c r="D16" i="15" s="1"/>
  <c r="CH51" i="1"/>
  <c r="D15" i="16" s="1"/>
  <c r="CH47" i="1"/>
  <c r="D14" i="16" s="1"/>
  <c r="CG51" i="1"/>
  <c r="D15" i="15" s="1"/>
  <c r="CJ133" i="1"/>
  <c r="D78" i="16" s="1"/>
  <c r="CH73" i="1"/>
  <c r="D21" i="16" s="1"/>
  <c r="CG77" i="1"/>
  <c r="D22" i="15" s="1"/>
  <c r="CH97" i="1"/>
  <c r="D27" i="16" s="1"/>
  <c r="CG101" i="1"/>
  <c r="D28" i="15" s="1"/>
  <c r="CG17" i="1"/>
  <c r="D7" i="15" s="1"/>
  <c r="CG43" i="1"/>
  <c r="D13" i="15" s="1"/>
  <c r="CH38" i="1"/>
  <c r="D12" i="16" s="1"/>
  <c r="CH109" i="1"/>
  <c r="D30" i="16" s="1"/>
  <c r="CG113" i="1"/>
  <c r="D31" i="15" s="1"/>
  <c r="CG69" i="1"/>
  <c r="D20" i="15" s="1"/>
  <c r="CH65" i="1"/>
  <c r="D19" i="16" s="1"/>
  <c r="CH113" i="1"/>
  <c r="D31" i="16" s="1"/>
  <c r="CG117" i="1"/>
  <c r="D32" i="15" s="1"/>
  <c r="CH89" i="1"/>
  <c r="D25" i="16" s="1"/>
  <c r="CG93" i="1"/>
  <c r="D26" i="15" s="1"/>
  <c r="CG135" i="1"/>
  <c r="D37" i="15" s="1"/>
  <c r="CH133" i="1"/>
  <c r="D36" i="16" s="1"/>
  <c r="CH17" i="1"/>
  <c r="D7" i="16" s="1"/>
  <c r="CG21" i="1"/>
  <c r="D8" i="15" s="1"/>
  <c r="CI21" i="1"/>
  <c r="D50" i="15" s="1"/>
  <c r="CJ17" i="1"/>
  <c r="D49" i="16" s="1"/>
  <c r="CG38" i="1"/>
  <c r="D12" i="15" s="1"/>
  <c r="CH33" i="1"/>
  <c r="D11" i="16" s="1"/>
  <c r="CH29" i="1"/>
  <c r="D10" i="16" s="1"/>
  <c r="CG33" i="1"/>
  <c r="D11" i="15" s="1"/>
  <c r="CG29" i="1"/>
  <c r="D10" i="15" s="1"/>
  <c r="CH25" i="1"/>
  <c r="D9" i="16" s="1"/>
  <c r="CH135" i="1"/>
  <c r="D37" i="16" s="1"/>
  <c r="CG109" i="1"/>
  <c r="D30" i="15" s="1"/>
  <c r="CH105" i="1"/>
  <c r="D29" i="16" s="1"/>
  <c r="CI17" i="1"/>
  <c r="D49" i="15" s="1"/>
  <c r="CJ65" i="1"/>
  <c r="D61" i="16" s="1"/>
  <c r="CH21" i="1"/>
  <c r="D8" i="16" s="1"/>
  <c r="CG25" i="1"/>
  <c r="D9" i="15" s="1"/>
  <c r="CH85" i="1"/>
  <c r="D24" i="16" s="1"/>
  <c r="CG89" i="1"/>
  <c r="D25" i="15" s="1"/>
  <c r="CG105" i="1"/>
  <c r="D29" i="15" s="1"/>
  <c r="CH101" i="1"/>
  <c r="D28" i="16" s="1"/>
  <c r="CH130" i="1"/>
  <c r="D35" i="16" s="1"/>
  <c r="CG133" i="1"/>
  <c r="D36" i="15" s="1"/>
  <c r="CC43" i="1"/>
  <c r="CA43" i="1" s="1"/>
  <c r="CG59" i="1"/>
  <c r="D17" i="15" s="1"/>
  <c r="CH55" i="1"/>
  <c r="D16" i="16" s="1"/>
  <c r="CI77" i="1"/>
  <c r="D64" i="15" s="1"/>
  <c r="CJ73" i="1"/>
  <c r="D63" i="16" s="1"/>
  <c r="CH93" i="1"/>
  <c r="D26" i="16" s="1"/>
  <c r="CG97" i="1"/>
  <c r="D27" i="15" s="1"/>
  <c r="CJ55" i="1"/>
  <c r="D58" i="16" s="1"/>
  <c r="CJ29" i="1"/>
  <c r="D52" i="16" s="1"/>
  <c r="CI29" i="1"/>
  <c r="D52" i="15" s="1"/>
  <c r="CJ25" i="1"/>
  <c r="D51" i="16" s="1"/>
  <c r="CH126" i="1"/>
  <c r="D34" i="16" s="1"/>
  <c r="CG130" i="1"/>
  <c r="D35" i="15" s="1"/>
  <c r="CI93" i="1"/>
  <c r="D68" i="15" s="1"/>
  <c r="CJ89" i="1"/>
  <c r="D67" i="16" s="1"/>
  <c r="CH61" i="1"/>
  <c r="D18" i="16" s="1"/>
  <c r="CG65" i="1"/>
  <c r="D19" i="15" s="1"/>
  <c r="CG126" i="1"/>
  <c r="D34" i="15" s="1"/>
  <c r="CH121" i="1"/>
  <c r="D33" i="16" s="1"/>
  <c r="CA122" i="1"/>
  <c r="U2" i="13" a="1"/>
  <c r="CJ33" i="1" l="1"/>
  <c r="D53" i="16" s="1"/>
  <c r="CJ130" i="1"/>
  <c r="D77" i="16" s="1"/>
  <c r="CJ47" i="1"/>
  <c r="D56" i="16" s="1"/>
  <c r="CO38" i="1"/>
  <c r="CI55" i="1"/>
  <c r="D58" i="15" s="1"/>
  <c r="CI126" i="1"/>
  <c r="D76" i="15" s="1"/>
  <c r="CH77" i="1"/>
  <c r="D22" i="16" s="1"/>
  <c r="CP43" i="1"/>
  <c r="CQ43" i="1" s="1"/>
  <c r="CO51" i="1"/>
  <c r="CL81" i="1"/>
  <c r="CJ59" i="1"/>
  <c r="D59" i="16" s="1"/>
  <c r="CO61" i="1"/>
  <c r="CP59" i="1"/>
  <c r="CN59" i="1"/>
  <c r="CO101" i="1"/>
  <c r="CP97" i="1"/>
  <c r="CN97" i="1"/>
  <c r="CJ105" i="1"/>
  <c r="D71" i="16" s="1"/>
  <c r="CD81" i="1"/>
  <c r="CO81" i="1"/>
  <c r="CP77" i="1"/>
  <c r="CN77" i="1"/>
  <c r="CO126" i="1"/>
  <c r="CP121" i="1"/>
  <c r="CN121" i="1"/>
  <c r="CO93" i="1"/>
  <c r="CP89" i="1"/>
  <c r="CN89" i="1"/>
  <c r="CO97" i="1"/>
  <c r="CP93" i="1"/>
  <c r="CN93" i="1"/>
  <c r="CI73" i="1"/>
  <c r="D63" i="15" s="1"/>
  <c r="CJ109" i="1"/>
  <c r="D72" i="16" s="1"/>
  <c r="CI25" i="1"/>
  <c r="D51" i="15" s="1"/>
  <c r="CI121" i="1"/>
  <c r="D75" i="15" s="1"/>
  <c r="CO69" i="1"/>
  <c r="CP65" i="1"/>
  <c r="CN65" i="1"/>
  <c r="CO133" i="1"/>
  <c r="CP130" i="1"/>
  <c r="CN130" i="1"/>
  <c r="CP135" i="1"/>
  <c r="CN135" i="1"/>
  <c r="CO130" i="1"/>
  <c r="CP126" i="1"/>
  <c r="CN126" i="1"/>
  <c r="CO105" i="1"/>
  <c r="CN101" i="1"/>
  <c r="CP101" i="1"/>
  <c r="CJ97" i="1"/>
  <c r="D69" i="16" s="1"/>
  <c r="CI117" i="1"/>
  <c r="D74" i="15" s="1"/>
  <c r="CI105" i="1"/>
  <c r="D71" i="15" s="1"/>
  <c r="CN61" i="1"/>
  <c r="CO65" i="1"/>
  <c r="CP61" i="1"/>
  <c r="CR43" i="1"/>
  <c r="CO109" i="1"/>
  <c r="CP105" i="1"/>
  <c r="CN105" i="1"/>
  <c r="CO43" i="1"/>
  <c r="CP38" i="1"/>
  <c r="CN38" i="1"/>
  <c r="CO73" i="1"/>
  <c r="CP69" i="1"/>
  <c r="CN69" i="1"/>
  <c r="CO113" i="1"/>
  <c r="CP109" i="1"/>
  <c r="CN109" i="1"/>
  <c r="CO77" i="1"/>
  <c r="CP73" i="1"/>
  <c r="CN73" i="1"/>
  <c r="CP133" i="1"/>
  <c r="CO135" i="1"/>
  <c r="CN133" i="1"/>
  <c r="CI130" i="1"/>
  <c r="D77" i="15" s="1"/>
  <c r="CJ38" i="1"/>
  <c r="D54" i="16" s="1"/>
  <c r="CI97" i="1"/>
  <c r="D69" i="15" s="1"/>
  <c r="CI135" i="1"/>
  <c r="D79" i="15" s="1"/>
  <c r="CJ61" i="1"/>
  <c r="D60" i="16" s="1"/>
  <c r="CJ121" i="1"/>
  <c r="D75" i="16" s="1"/>
  <c r="CO55" i="1"/>
  <c r="CP51" i="1"/>
  <c r="CN51" i="1"/>
  <c r="CO117" i="1"/>
  <c r="CN113" i="1"/>
  <c r="CP113" i="1"/>
  <c r="CI59" i="1"/>
  <c r="D59" i="15" s="1"/>
  <c r="CO59" i="1"/>
  <c r="CP55" i="1"/>
  <c r="CN55" i="1"/>
  <c r="CO121" i="1"/>
  <c r="CN117" i="1"/>
  <c r="CP117" i="1"/>
  <c r="CO89" i="1"/>
  <c r="CN85" i="1"/>
  <c r="CP29" i="1"/>
  <c r="CN29" i="1"/>
  <c r="CO33" i="1"/>
  <c r="CP25" i="1"/>
  <c r="CO29" i="1"/>
  <c r="CN25" i="1"/>
  <c r="CO21" i="1"/>
  <c r="CG81" i="1"/>
  <c r="D23" i="15" s="1"/>
  <c r="CI61" i="1"/>
  <c r="D60" i="15" s="1"/>
  <c r="CP47" i="1"/>
  <c r="CN47" i="1"/>
  <c r="CP33" i="1"/>
  <c r="CN33" i="1"/>
  <c r="CO25" i="1"/>
  <c r="CN21" i="1"/>
  <c r="CP21" i="1"/>
  <c r="CI81" i="1"/>
  <c r="D65" i="15" s="1"/>
  <c r="CJ77" i="1"/>
  <c r="D64" i="16" s="1"/>
  <c r="AU48" i="1"/>
  <c r="AU49" i="1" s="1"/>
  <c r="AU50" i="1" s="1"/>
  <c r="AU51" i="1" s="1"/>
  <c r="G15" i="17"/>
  <c r="G15" i="16"/>
  <c r="AW44" i="1"/>
  <c r="AW45" i="1" s="1"/>
  <c r="AW46" i="1" s="1"/>
  <c r="AW47" i="1" s="1"/>
  <c r="G56" i="17"/>
  <c r="G56" i="16"/>
  <c r="CI85" i="1"/>
  <c r="D66" i="15" s="1"/>
  <c r="CH43" i="1"/>
  <c r="D13" i="16" s="1"/>
  <c r="CG47" i="1"/>
  <c r="D14" i="15" s="1"/>
  <c r="CG61" i="1"/>
  <c r="D18" i="15" s="1"/>
  <c r="CH59" i="1"/>
  <c r="D17" i="16" s="1"/>
  <c r="CH81" i="1"/>
  <c r="D23" i="16" s="1"/>
  <c r="CG85" i="1"/>
  <c r="D24" i="15" s="1"/>
  <c r="U2" i="13"/>
  <c r="W2" i="13" s="1"/>
  <c r="Y4" i="13"/>
  <c r="X2" i="13"/>
  <c r="BA22" i="1"/>
  <c r="BA128" i="1"/>
  <c r="BA131" i="1"/>
  <c r="BA40" i="1"/>
  <c r="BA123" i="1"/>
  <c r="BA23" i="1"/>
  <c r="BA26" i="1"/>
  <c r="BA127" i="1"/>
  <c r="BA15" i="1"/>
  <c r="BA129" i="1"/>
  <c r="BA78" i="1"/>
  <c r="BA18" i="1"/>
  <c r="BA53" i="1"/>
  <c r="BA96" i="1"/>
  <c r="BA54" i="1"/>
  <c r="BA100" i="1"/>
  <c r="BA30" i="1"/>
  <c r="BA67" i="1"/>
  <c r="BA119" i="1"/>
  <c r="BA88" i="1"/>
  <c r="BA32" i="1"/>
  <c r="BA34" i="1"/>
  <c r="BA19" i="1"/>
  <c r="BA132" i="1"/>
  <c r="BA31" i="1"/>
  <c r="BA72" i="1"/>
  <c r="BA106" i="1"/>
  <c r="BA36" i="1"/>
  <c r="BA20" i="1"/>
  <c r="BA124" i="1"/>
  <c r="BA8" i="1"/>
  <c r="BA49" i="1"/>
  <c r="BA112" i="1"/>
  <c r="BA11" i="1"/>
  <c r="BA76" i="1"/>
  <c r="BA35" i="1"/>
  <c r="BA58" i="1"/>
  <c r="BA91" i="1"/>
  <c r="BA111" i="1"/>
  <c r="BA28" i="1"/>
  <c r="BA122" i="1"/>
  <c r="BA114" i="1"/>
  <c r="BA41" i="1"/>
  <c r="BA27" i="1"/>
  <c r="BA62" i="1"/>
  <c r="BA37" i="1"/>
  <c r="BA102" i="1"/>
  <c r="BA10" i="1"/>
  <c r="BA71" i="1"/>
  <c r="BA103" i="1"/>
  <c r="BA24" i="1"/>
  <c r="BA116" i="1"/>
  <c r="BA104" i="1"/>
  <c r="BA16" i="1"/>
  <c r="BA84" i="1"/>
  <c r="BA134" i="1"/>
  <c r="BA99" i="1"/>
  <c r="BA75" i="1"/>
  <c r="BA46" i="1"/>
  <c r="BA98" i="1"/>
  <c r="BA108" i="1"/>
  <c r="BA52" i="1"/>
  <c r="BA14" i="1"/>
  <c r="BA94" i="1"/>
  <c r="BA107" i="1"/>
  <c r="BA70" i="1"/>
  <c r="BA68" i="1"/>
  <c r="BA50" i="1"/>
  <c r="BA74" i="1"/>
  <c r="BA4" i="1"/>
  <c r="BA120" i="1"/>
  <c r="BA83" i="1"/>
  <c r="BA90" i="1"/>
  <c r="BA64" i="1"/>
  <c r="BA80" i="1"/>
  <c r="BA63" i="1"/>
  <c r="BA66" i="1"/>
  <c r="BA82" i="1"/>
  <c r="BA44" i="1"/>
  <c r="BA39" i="1"/>
  <c r="BA56" i="1"/>
  <c r="BA137" i="1"/>
  <c r="BA48" i="1"/>
  <c r="BA12" i="1"/>
  <c r="BA79" i="1"/>
  <c r="BA110" i="1"/>
  <c r="BA42" i="1"/>
  <c r="BA115" i="1"/>
  <c r="BA87" i="1"/>
  <c r="BA57" i="1"/>
  <c r="BA136" i="1"/>
  <c r="BA125" i="1"/>
  <c r="BA7" i="1"/>
  <c r="BA118" i="1"/>
  <c r="BA95" i="1"/>
  <c r="BA6" i="1"/>
  <c r="BA45" i="1"/>
  <c r="BA86" i="1"/>
  <c r="BA60" i="1"/>
  <c r="BA92" i="1"/>
  <c r="CQ47" i="1" l="1"/>
  <c r="CP85" i="1"/>
  <c r="CQ51" i="1"/>
  <c r="CQ69" i="1"/>
  <c r="CR69" i="1"/>
  <c r="CR97" i="1"/>
  <c r="CQ97" i="1"/>
  <c r="CR33" i="1"/>
  <c r="CQ33" i="1"/>
  <c r="CQ38" i="1"/>
  <c r="CR93" i="1"/>
  <c r="CQ93" i="1"/>
  <c r="CQ21" i="1"/>
  <c r="CR21" i="1"/>
  <c r="CQ25" i="1"/>
  <c r="CR25" i="1"/>
  <c r="CR73" i="1"/>
  <c r="CQ73" i="1"/>
  <c r="CR113" i="1"/>
  <c r="CQ113" i="1"/>
  <c r="CR126" i="1"/>
  <c r="CQ126" i="1"/>
  <c r="CR65" i="1"/>
  <c r="CQ65" i="1"/>
  <c r="CR59" i="1"/>
  <c r="CQ59" i="1"/>
  <c r="CR117" i="1"/>
  <c r="CQ117" i="1"/>
  <c r="CR109" i="1"/>
  <c r="CQ109" i="1"/>
  <c r="CR61" i="1"/>
  <c r="CQ61" i="1"/>
  <c r="CR47" i="1"/>
  <c r="CQ29" i="1"/>
  <c r="CR29" i="1"/>
  <c r="CR51" i="1"/>
  <c r="CQ105" i="1"/>
  <c r="CR105" i="1"/>
  <c r="CQ89" i="1"/>
  <c r="CR89" i="1"/>
  <c r="CR130" i="1"/>
  <c r="CQ130" i="1"/>
  <c r="CR121" i="1"/>
  <c r="CQ121" i="1"/>
  <c r="CR101" i="1"/>
  <c r="CQ101" i="1"/>
  <c r="CQ77" i="1"/>
  <c r="CR77" i="1"/>
  <c r="CQ55" i="1"/>
  <c r="CR55" i="1"/>
  <c r="CQ133" i="1"/>
  <c r="CR133" i="1"/>
  <c r="CR135" i="1"/>
  <c r="CQ135" i="1"/>
  <c r="CJ81" i="1"/>
  <c r="D65" i="16" s="1"/>
  <c r="CO85" i="1"/>
  <c r="CQ85" i="1" s="1"/>
  <c r="CP81" i="1"/>
  <c r="CN81" i="1"/>
  <c r="AW48" i="1"/>
  <c r="AW49" i="1" s="1"/>
  <c r="AW50" i="1" s="1"/>
  <c r="AW51" i="1" s="1"/>
  <c r="G57" i="17"/>
  <c r="G57" i="16"/>
  <c r="AU52" i="1"/>
  <c r="AU53" i="1" s="1"/>
  <c r="AU54" i="1" s="1"/>
  <c r="AU55" i="1" s="1"/>
  <c r="G16" i="16"/>
  <c r="G16" i="17"/>
  <c r="D39" i="15"/>
  <c r="D39" i="16"/>
  <c r="AZ23" i="1"/>
  <c r="BB23" i="1" s="1"/>
  <c r="BD23" i="1" s="1"/>
  <c r="AZ22" i="1"/>
  <c r="BB22" i="1" s="1"/>
  <c r="BD22" i="1" s="1"/>
  <c r="AZ42" i="1"/>
  <c r="BB42" i="1" s="1"/>
  <c r="BD42" i="1" s="1"/>
  <c r="AZ67" i="1"/>
  <c r="BB67" i="1" s="1"/>
  <c r="BD67" i="1" s="1"/>
  <c r="AZ50" i="1"/>
  <c r="BB50" i="1" s="1"/>
  <c r="BD50" i="1" s="1"/>
  <c r="AZ119" i="1"/>
  <c r="BB119" i="1" s="1"/>
  <c r="BD119" i="1" s="1"/>
  <c r="AZ131" i="1"/>
  <c r="BB131" i="1" s="1"/>
  <c r="BD131" i="1" s="1"/>
  <c r="AZ72" i="1"/>
  <c r="BB72" i="1" s="1"/>
  <c r="BD72" i="1" s="1"/>
  <c r="AZ102" i="1"/>
  <c r="BB102" i="1" s="1"/>
  <c r="BD102" i="1" s="1"/>
  <c r="AZ83" i="1"/>
  <c r="BB83" i="1" s="1"/>
  <c r="BD83" i="1" s="1"/>
  <c r="AZ41" i="1"/>
  <c r="BB41" i="1" s="1"/>
  <c r="BD41" i="1" s="1"/>
  <c r="AZ114" i="1"/>
  <c r="BB114" i="1" s="1"/>
  <c r="BD114" i="1" s="1"/>
  <c r="AZ80" i="1"/>
  <c r="BB80" i="1" s="1"/>
  <c r="BD80" i="1" s="1"/>
  <c r="AZ110" i="1"/>
  <c r="BB110" i="1" s="1"/>
  <c r="BD110" i="1" s="1"/>
  <c r="AZ46" i="1"/>
  <c r="BB46" i="1" s="1"/>
  <c r="BD46" i="1" s="1"/>
  <c r="AZ120" i="1"/>
  <c r="BB120" i="1" s="1"/>
  <c r="BD120" i="1" s="1"/>
  <c r="AZ35" i="1"/>
  <c r="BB35" i="1" s="1"/>
  <c r="BD35" i="1" s="1"/>
  <c r="AZ12" i="1"/>
  <c r="BB12" i="1" s="1"/>
  <c r="BD12" i="1" s="1"/>
  <c r="AZ26" i="1"/>
  <c r="BB26" i="1" s="1"/>
  <c r="BD26" i="1" s="1"/>
  <c r="AZ127" i="1"/>
  <c r="BB127" i="1" s="1"/>
  <c r="BD127" i="1" s="1"/>
  <c r="AZ52" i="1"/>
  <c r="BB52" i="1" s="1"/>
  <c r="BD52" i="1" s="1"/>
  <c r="AZ27" i="1"/>
  <c r="BB27" i="1" s="1"/>
  <c r="BD27" i="1" s="1"/>
  <c r="AZ31" i="1"/>
  <c r="BB31" i="1" s="1"/>
  <c r="BD31" i="1" s="1"/>
  <c r="AZ18" i="1"/>
  <c r="BB18" i="1" s="1"/>
  <c r="BD18" i="1" s="1"/>
  <c r="AZ71" i="1"/>
  <c r="BB71" i="1" s="1"/>
  <c r="BD71" i="1" s="1"/>
  <c r="AZ116" i="1"/>
  <c r="BB116" i="1" s="1"/>
  <c r="BD116" i="1" s="1"/>
  <c r="AZ39" i="1"/>
  <c r="BB39" i="1" s="1"/>
  <c r="BD39" i="1" s="1"/>
  <c r="AZ36" i="1"/>
  <c r="BB36" i="1" s="1"/>
  <c r="BD36" i="1" s="1"/>
  <c r="AZ132" i="1"/>
  <c r="BB132" i="1" s="1"/>
  <c r="BD132" i="1" s="1"/>
  <c r="U29" i="13"/>
  <c r="AZ88" i="1"/>
  <c r="BB88" i="1" s="1"/>
  <c r="BD88" i="1" s="1"/>
  <c r="AZ37" i="1"/>
  <c r="BB37" i="1" s="1"/>
  <c r="BD37" i="1" s="1"/>
  <c r="AZ19" i="1"/>
  <c r="BB19" i="1" s="1"/>
  <c r="BD19" i="1" s="1"/>
  <c r="AZ76" i="1"/>
  <c r="BB76" i="1" s="1"/>
  <c r="BD76" i="1" s="1"/>
  <c r="T25" i="13"/>
  <c r="AZ48" i="1"/>
  <c r="BB48" i="1" s="1"/>
  <c r="BD48" i="1" s="1"/>
  <c r="AZ136" i="1"/>
  <c r="BB136" i="1" s="1"/>
  <c r="BD136" i="1" s="1"/>
  <c r="AZ66" i="1"/>
  <c r="BB66" i="1" s="1"/>
  <c r="BD66" i="1" s="1"/>
  <c r="AZ53" i="1"/>
  <c r="BB53" i="1" s="1"/>
  <c r="BD53" i="1" s="1"/>
  <c r="AZ44" i="1"/>
  <c r="BB44" i="1" s="1"/>
  <c r="BD44" i="1" s="1"/>
  <c r="AZ58" i="1"/>
  <c r="BB58" i="1" s="1"/>
  <c r="BD58" i="1" s="1"/>
  <c r="AZ104" i="1"/>
  <c r="BB104" i="1" s="1"/>
  <c r="BD104" i="1" s="1"/>
  <c r="AZ7" i="1"/>
  <c r="BB7" i="1" s="1"/>
  <c r="BD7" i="1" s="1"/>
  <c r="AZ91" i="1"/>
  <c r="BB91" i="1" s="1"/>
  <c r="BD91" i="1" s="1"/>
  <c r="AZ82" i="1"/>
  <c r="BB82" i="1" s="1"/>
  <c r="BD82" i="1" s="1"/>
  <c r="AZ107" i="1"/>
  <c r="BB107" i="1" s="1"/>
  <c r="BD107" i="1" s="1"/>
  <c r="AZ20" i="1"/>
  <c r="BB20" i="1" s="1"/>
  <c r="BD20" i="1" s="1"/>
  <c r="AZ134" i="1"/>
  <c r="BB134" i="1" s="1"/>
  <c r="BD134" i="1" s="1"/>
  <c r="AZ103" i="1"/>
  <c r="BB103" i="1" s="1"/>
  <c r="BD103" i="1" s="1"/>
  <c r="AZ124" i="1"/>
  <c r="BB124" i="1" s="1"/>
  <c r="BD124" i="1" s="1"/>
  <c r="AZ4" i="1"/>
  <c r="BB4" i="1" s="1"/>
  <c r="BD4" i="1" s="1"/>
  <c r="AZ54" i="1"/>
  <c r="BB54" i="1" s="1"/>
  <c r="BD54" i="1" s="1"/>
  <c r="T24" i="13"/>
  <c r="AZ74" i="1"/>
  <c r="BB74" i="1" s="1"/>
  <c r="BD74" i="1" s="1"/>
  <c r="AZ125" i="1"/>
  <c r="BB125" i="1" s="1"/>
  <c r="BD125" i="1" s="1"/>
  <c r="AZ45" i="1"/>
  <c r="BB45" i="1" s="1"/>
  <c r="BD45" i="1" s="1"/>
  <c r="AZ16" i="1"/>
  <c r="BB16" i="1" s="1"/>
  <c r="BD16" i="1" s="1"/>
  <c r="AZ56" i="1"/>
  <c r="BB56" i="1" s="1"/>
  <c r="BD56" i="1" s="1"/>
  <c r="AZ96" i="1"/>
  <c r="BB96" i="1" s="1"/>
  <c r="BD96" i="1" s="1"/>
  <c r="AZ24" i="1"/>
  <c r="BB24" i="1" s="1"/>
  <c r="BD24" i="1" s="1"/>
  <c r="AZ108" i="1"/>
  <c r="BB108" i="1" s="1"/>
  <c r="BD108" i="1" s="1"/>
  <c r="AZ94" i="1"/>
  <c r="BB94" i="1" s="1"/>
  <c r="BD94" i="1" s="1"/>
  <c r="AZ84" i="1"/>
  <c r="BB84" i="1" s="1"/>
  <c r="BD84" i="1" s="1"/>
  <c r="AZ75" i="1"/>
  <c r="BB75" i="1" s="1"/>
  <c r="BD75" i="1" s="1"/>
  <c r="AZ60" i="1"/>
  <c r="BB60" i="1" s="1"/>
  <c r="BD60" i="1" s="1"/>
  <c r="AZ70" i="1"/>
  <c r="BB70" i="1" s="1"/>
  <c r="BD70" i="1" s="1"/>
  <c r="AZ10" i="1"/>
  <c r="BB10" i="1" s="1"/>
  <c r="BD10" i="1" s="1"/>
  <c r="AZ28" i="1"/>
  <c r="BB28" i="1" s="1"/>
  <c r="BD28" i="1" s="1"/>
  <c r="AZ137" i="1"/>
  <c r="BB137" i="1" s="1"/>
  <c r="BD137" i="1" s="1"/>
  <c r="AZ64" i="1"/>
  <c r="BB64" i="1" s="1"/>
  <c r="BD64" i="1" s="1"/>
  <c r="U25" i="13"/>
  <c r="AZ68" i="1"/>
  <c r="BB68" i="1" s="1"/>
  <c r="BD68" i="1" s="1"/>
  <c r="AZ11" i="1"/>
  <c r="BB11" i="1" s="1"/>
  <c r="BD11" i="1" s="1"/>
  <c r="AZ122" i="1"/>
  <c r="BB122" i="1" s="1"/>
  <c r="BD122" i="1" s="1"/>
  <c r="AZ49" i="1"/>
  <c r="BB49" i="1" s="1"/>
  <c r="BC49" i="1" s="1"/>
  <c r="AZ98" i="1"/>
  <c r="BB98" i="1" s="1"/>
  <c r="BD98" i="1" s="1"/>
  <c r="AZ115" i="1"/>
  <c r="BB115" i="1" s="1"/>
  <c r="BD115" i="1" s="1"/>
  <c r="AZ79" i="1"/>
  <c r="BB79" i="1" s="1"/>
  <c r="BD79" i="1" s="1"/>
  <c r="AZ8" i="1"/>
  <c r="BB8" i="1" s="1"/>
  <c r="BD8" i="1" s="1"/>
  <c r="AZ128" i="1"/>
  <c r="BB128" i="1" s="1"/>
  <c r="BD128" i="1" s="1"/>
  <c r="AZ112" i="1"/>
  <c r="BB112" i="1" s="1"/>
  <c r="BD112" i="1" s="1"/>
  <c r="AZ30" i="1"/>
  <c r="BB30" i="1" s="1"/>
  <c r="BD30" i="1" s="1"/>
  <c r="AZ63" i="1"/>
  <c r="BB63" i="1" s="1"/>
  <c r="BD63" i="1" s="1"/>
  <c r="AZ87" i="1"/>
  <c r="BB87" i="1" s="1"/>
  <c r="BD87" i="1" s="1"/>
  <c r="AZ95" i="1"/>
  <c r="BB95" i="1" s="1"/>
  <c r="BD95" i="1" s="1"/>
  <c r="AZ106" i="1"/>
  <c r="BB106" i="1" s="1"/>
  <c r="BD106" i="1" s="1"/>
  <c r="AZ118" i="1"/>
  <c r="BB118" i="1" s="1"/>
  <c r="BD118" i="1" s="1"/>
  <c r="AZ90" i="1"/>
  <c r="BB90" i="1" s="1"/>
  <c r="BD90" i="1" s="1"/>
  <c r="AZ111" i="1"/>
  <c r="BB111" i="1" s="1"/>
  <c r="BD111" i="1" s="1"/>
  <c r="AZ129" i="1"/>
  <c r="BB129" i="1" s="1"/>
  <c r="BD129" i="1" s="1"/>
  <c r="AZ32" i="1"/>
  <c r="BB32" i="1" s="1"/>
  <c r="BD32" i="1" s="1"/>
  <c r="AZ100" i="1"/>
  <c r="BB100" i="1" s="1"/>
  <c r="BD100" i="1" s="1"/>
  <c r="AZ78" i="1"/>
  <c r="BB78" i="1" s="1"/>
  <c r="BD78" i="1" s="1"/>
  <c r="AZ40" i="1"/>
  <c r="BB40" i="1" s="1"/>
  <c r="BD40" i="1" s="1"/>
  <c r="AZ86" i="1"/>
  <c r="BB86" i="1" s="1"/>
  <c r="BD86" i="1" s="1"/>
  <c r="AZ14" i="1"/>
  <c r="BB14" i="1" s="1"/>
  <c r="BD14" i="1" s="1"/>
  <c r="AZ99" i="1"/>
  <c r="BB99" i="1" s="1"/>
  <c r="BD99" i="1" s="1"/>
  <c r="AZ57" i="1"/>
  <c r="BB57" i="1" s="1"/>
  <c r="BD57" i="1" s="1"/>
  <c r="AZ15" i="1"/>
  <c r="BB15" i="1" s="1"/>
  <c r="BD15" i="1" s="1"/>
  <c r="AZ6" i="1"/>
  <c r="AZ123" i="1"/>
  <c r="BB123" i="1" s="1"/>
  <c r="BD123" i="1" s="1"/>
  <c r="AZ62" i="1"/>
  <c r="BB62" i="1" s="1"/>
  <c r="BD62" i="1" s="1"/>
  <c r="AZ34" i="1"/>
  <c r="BB34" i="1" s="1"/>
  <c r="BD34" i="1" s="1"/>
  <c r="AZ92" i="1"/>
  <c r="BB92" i="1" s="1"/>
  <c r="BD92" i="1" s="1"/>
  <c r="U30" i="13"/>
  <c r="U24" i="13"/>
  <c r="BC42" i="1"/>
  <c r="CR85" i="1" l="1"/>
  <c r="CR81" i="1"/>
  <c r="CQ81" i="1"/>
  <c r="BC23" i="1"/>
  <c r="BC86" i="1"/>
  <c r="BC58" i="1"/>
  <c r="BC112" i="1"/>
  <c r="BC54" i="1"/>
  <c r="BC71" i="1"/>
  <c r="BB6" i="1"/>
  <c r="BD6" i="1" s="1"/>
  <c r="AU56" i="1"/>
  <c r="AU57" i="1" s="1"/>
  <c r="AU58" i="1" s="1"/>
  <c r="AU59" i="1" s="1"/>
  <c r="G17" i="16"/>
  <c r="G17" i="17"/>
  <c r="BD49" i="1"/>
  <c r="AW52" i="1"/>
  <c r="AW53" i="1" s="1"/>
  <c r="AW54" i="1" s="1"/>
  <c r="AW55" i="1" s="1"/>
  <c r="G58" i="17"/>
  <c r="G58" i="16"/>
  <c r="BC94" i="1"/>
  <c r="BC41" i="1"/>
  <c r="BC67" i="1"/>
  <c r="BC114" i="1"/>
  <c r="BC106" i="1"/>
  <c r="BC119" i="1"/>
  <c r="BC53" i="1"/>
  <c r="BC88" i="1"/>
  <c r="BC72" i="1"/>
  <c r="BC128" i="1"/>
  <c r="BC46" i="1"/>
  <c r="BC50" i="1"/>
  <c r="BC92" i="1"/>
  <c r="BC22" i="1"/>
  <c r="BC27" i="1"/>
  <c r="BC45" i="1"/>
  <c r="BC110" i="1"/>
  <c r="BC107" i="1"/>
  <c r="BC82" i="1"/>
  <c r="BC62" i="1"/>
  <c r="BC87" i="1"/>
  <c r="BC66" i="1"/>
  <c r="BC79" i="1"/>
  <c r="BC37" i="1"/>
  <c r="BC131" i="1"/>
  <c r="BC14" i="1"/>
  <c r="BC31" i="1"/>
  <c r="BC120" i="1"/>
  <c r="BC32" i="1"/>
  <c r="BC96" i="1"/>
  <c r="BC15" i="1"/>
  <c r="BC102" i="1"/>
  <c r="BC11" i="1"/>
  <c r="BC39" i="1"/>
  <c r="BC68" i="1"/>
  <c r="BC63" i="1"/>
  <c r="BC44" i="1"/>
  <c r="BC57" i="1"/>
  <c r="BC30" i="1"/>
  <c r="BC4" i="1"/>
  <c r="BC7" i="1"/>
  <c r="BC26" i="1"/>
  <c r="BC116" i="1"/>
  <c r="BC10" i="1"/>
  <c r="BC18" i="1"/>
  <c r="BC129" i="1"/>
  <c r="BC134" i="1"/>
  <c r="BC75" i="1"/>
  <c r="BC36" i="1"/>
  <c r="BC12" i="1"/>
  <c r="BC111" i="1"/>
  <c r="BC132" i="1"/>
  <c r="BC122" i="1"/>
  <c r="BC136" i="1"/>
  <c r="BC115" i="1"/>
  <c r="BC52" i="1"/>
  <c r="BC123" i="1"/>
  <c r="BC108" i="1"/>
  <c r="BC48" i="1"/>
  <c r="BC35" i="1"/>
  <c r="BC137" i="1"/>
  <c r="BC56" i="1"/>
  <c r="BC19" i="1"/>
  <c r="BC83" i="1"/>
  <c r="BC80" i="1"/>
  <c r="BC124" i="1"/>
  <c r="BC104" i="1"/>
  <c r="BC127" i="1"/>
  <c r="BC70" i="1"/>
  <c r="BC76" i="1"/>
  <c r="BC8" i="1"/>
  <c r="BC28" i="1"/>
  <c r="BC118" i="1"/>
  <c r="BC34" i="1"/>
  <c r="BC99" i="1"/>
  <c r="BC74" i="1"/>
  <c r="BC20" i="1"/>
  <c r="BC103" i="1"/>
  <c r="BC24" i="1"/>
  <c r="BC125" i="1"/>
  <c r="BC90" i="1"/>
  <c r="BC84" i="1"/>
  <c r="BC78" i="1"/>
  <c r="BC16" i="1"/>
  <c r="BC64" i="1"/>
  <c r="BC40" i="1"/>
  <c r="BC98" i="1"/>
  <c r="BC95" i="1"/>
  <c r="BC100" i="1"/>
  <c r="BC91" i="1"/>
  <c r="BC60" i="1"/>
  <c r="M15" i="1"/>
  <c r="E48" i="1"/>
  <c r="M137" i="1"/>
  <c r="M136" i="1"/>
  <c r="M135" i="1"/>
  <c r="M134" i="1"/>
  <c r="M133" i="1"/>
  <c r="M132" i="1"/>
  <c r="M131" i="1"/>
  <c r="M130" i="1"/>
  <c r="M129" i="1"/>
  <c r="M128" i="1"/>
  <c r="M127" i="1"/>
  <c r="M126" i="1"/>
  <c r="M125" i="1"/>
  <c r="M124" i="1"/>
  <c r="M123"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4" i="1"/>
  <c r="M13" i="1"/>
  <c r="M12" i="1"/>
  <c r="M11" i="1"/>
  <c r="M10" i="1"/>
  <c r="M9" i="1"/>
  <c r="M8" i="1"/>
  <c r="M7" i="1"/>
  <c r="M6" i="1"/>
  <c r="M5" i="1"/>
  <c r="M4" i="1"/>
  <c r="E137" i="1"/>
  <c r="E136" i="1"/>
  <c r="E135" i="1"/>
  <c r="E134" i="1"/>
  <c r="BN135" i="1" s="1"/>
  <c r="E133" i="1"/>
  <c r="E132" i="1"/>
  <c r="E131" i="1"/>
  <c r="E130" i="1"/>
  <c r="E129" i="1"/>
  <c r="E128" i="1"/>
  <c r="E127" i="1"/>
  <c r="E126" i="1"/>
  <c r="E125" i="1"/>
  <c r="E124" i="1"/>
  <c r="E123" i="1"/>
  <c r="E121" i="1"/>
  <c r="E120" i="1"/>
  <c r="E119" i="1"/>
  <c r="E118" i="1"/>
  <c r="E117" i="1"/>
  <c r="E116" i="1"/>
  <c r="E115" i="1"/>
  <c r="E114" i="1"/>
  <c r="E113" i="1"/>
  <c r="E112" i="1"/>
  <c r="E111" i="1"/>
  <c r="E110" i="1"/>
  <c r="E109" i="1"/>
  <c r="E108" i="1"/>
  <c r="E107" i="1"/>
  <c r="E106" i="1"/>
  <c r="E105" i="1"/>
  <c r="E104"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BC6" i="1" l="1"/>
  <c r="AU60" i="1"/>
  <c r="AU61" i="1" s="1"/>
  <c r="G18" i="17"/>
  <c r="G18" i="16"/>
  <c r="AW56" i="1"/>
  <c r="AW57" i="1" s="1"/>
  <c r="AW58" i="1" s="1"/>
  <c r="AW59" i="1" s="1"/>
  <c r="G59" i="17"/>
  <c r="G59" i="16"/>
  <c r="CA106" i="1"/>
  <c r="CA107" i="1" s="1"/>
  <c r="CA108" i="1" s="1"/>
  <c r="CD106" i="1"/>
  <c r="CD107" i="1" s="1"/>
  <c r="CD108" i="1" s="1"/>
  <c r="CA98" i="1"/>
  <c r="CA99" i="1" s="1"/>
  <c r="CA100" i="1" s="1"/>
  <c r="CD98" i="1"/>
  <c r="CD99" i="1" s="1"/>
  <c r="CD100" i="1" s="1"/>
  <c r="CA34" i="1"/>
  <c r="CA35" i="1" s="1"/>
  <c r="CA36" i="1" s="1"/>
  <c r="CA37" i="1" s="1"/>
  <c r="CD34" i="1"/>
  <c r="J48" i="1"/>
  <c r="M48" i="1" s="1"/>
  <c r="CD48" i="1" s="1"/>
  <c r="CD49" i="1" s="1"/>
  <c r="CD50" i="1" s="1"/>
  <c r="CD60" i="1"/>
  <c r="CA60" i="1"/>
  <c r="CA110" i="1"/>
  <c r="CA111" i="1" s="1"/>
  <c r="CA112" i="1" s="1"/>
  <c r="CD110" i="1"/>
  <c r="CD111" i="1" s="1"/>
  <c r="CD112" i="1" s="1"/>
  <c r="CD118" i="1"/>
  <c r="CD119" i="1" s="1"/>
  <c r="CD120" i="1" s="1"/>
  <c r="CA118" i="1"/>
  <c r="CA119" i="1" s="1"/>
  <c r="CA120" i="1" s="1"/>
  <c r="CD127" i="1"/>
  <c r="CD128" i="1" s="1"/>
  <c r="CD129" i="1" s="1"/>
  <c r="CA127" i="1"/>
  <c r="CA128" i="1" s="1"/>
  <c r="CA129" i="1" s="1"/>
  <c r="CA114" i="1"/>
  <c r="CA115" i="1" s="1"/>
  <c r="CA116" i="1" s="1"/>
  <c r="CD114" i="1"/>
  <c r="CD115" i="1" s="1"/>
  <c r="CD116" i="1" s="1"/>
  <c r="CD82" i="1"/>
  <c r="CD83" i="1" s="1"/>
  <c r="CD84" i="1" s="1"/>
  <c r="CA82" i="1"/>
  <c r="CA83" i="1" s="1"/>
  <c r="CA84" i="1" s="1"/>
  <c r="CA10" i="1"/>
  <c r="CA11" i="1" s="1"/>
  <c r="CA12" i="1" s="1"/>
  <c r="CD10" i="1"/>
  <c r="CD11" i="1" s="1"/>
  <c r="CD12" i="1" s="1"/>
  <c r="BJ52" i="1"/>
  <c r="CA52" i="1"/>
  <c r="CA53" i="1" s="1"/>
  <c r="CA54" i="1" s="1"/>
  <c r="CD52" i="1"/>
  <c r="CD53" i="1" s="1"/>
  <c r="CD54" i="1" s="1"/>
  <c r="CA62" i="1"/>
  <c r="CA63" i="1" s="1"/>
  <c r="CA64" i="1" s="1"/>
  <c r="CD62" i="1"/>
  <c r="CD63" i="1" s="1"/>
  <c r="CD64" i="1" s="1"/>
  <c r="CD70" i="1"/>
  <c r="CD71" i="1" s="1"/>
  <c r="CD72" i="1" s="1"/>
  <c r="CA70" i="1"/>
  <c r="CA71" i="1" s="1"/>
  <c r="CA72" i="1" s="1"/>
  <c r="CD78" i="1"/>
  <c r="CD79" i="1" s="1"/>
  <c r="CD80" i="1" s="1"/>
  <c r="CA78" i="1"/>
  <c r="CA79" i="1" s="1"/>
  <c r="CA80" i="1" s="1"/>
  <c r="CD86" i="1"/>
  <c r="CD87" i="1" s="1"/>
  <c r="CD88" i="1" s="1"/>
  <c r="CA86" i="1"/>
  <c r="CA87" i="1" s="1"/>
  <c r="CA88" i="1" s="1"/>
  <c r="CA94" i="1"/>
  <c r="CA95" i="1" s="1"/>
  <c r="CA96" i="1" s="1"/>
  <c r="CD94" i="1"/>
  <c r="CD95" i="1" s="1"/>
  <c r="CD96" i="1" s="1"/>
  <c r="CD102" i="1"/>
  <c r="CD103" i="1" s="1"/>
  <c r="CD104" i="1" s="1"/>
  <c r="CA102" i="1"/>
  <c r="CA103" i="1" s="1"/>
  <c r="CA104" i="1" s="1"/>
  <c r="CA136" i="1"/>
  <c r="CA137" i="1" s="1"/>
  <c r="CD136" i="1"/>
  <c r="CD137" i="1" s="1"/>
  <c r="CA123" i="1"/>
  <c r="CA124" i="1" s="1"/>
  <c r="CA125" i="1" s="1"/>
  <c r="CD123" i="1"/>
  <c r="CD124" i="1" s="1"/>
  <c r="CD125" i="1" s="1"/>
  <c r="CA74" i="1"/>
  <c r="CA75" i="1" s="1"/>
  <c r="CA76" i="1" s="1"/>
  <c r="CD74" i="1"/>
  <c r="CD75" i="1" s="1"/>
  <c r="CD76" i="1" s="1"/>
  <c r="CA18" i="1"/>
  <c r="CA19" i="1" s="1"/>
  <c r="CA20" i="1" s="1"/>
  <c r="CD18" i="1"/>
  <c r="CD19" i="1" s="1"/>
  <c r="CD20" i="1" s="1"/>
  <c r="CD134" i="1"/>
  <c r="CA134" i="1"/>
  <c r="CD44" i="1"/>
  <c r="CD45" i="1" s="1"/>
  <c r="CD46" i="1" s="1"/>
  <c r="CA44" i="1"/>
  <c r="CA45" i="1" s="1"/>
  <c r="CA46" i="1" s="1"/>
  <c r="BK6" i="1"/>
  <c r="BO6" i="1" s="1"/>
  <c r="CD6" i="1"/>
  <c r="CD7" i="1" s="1"/>
  <c r="CD8" i="1" s="1"/>
  <c r="CA6" i="1"/>
  <c r="CA7" i="1" s="1"/>
  <c r="CA8" i="1" s="1"/>
  <c r="CA14" i="1"/>
  <c r="CA15" i="1" s="1"/>
  <c r="CA16" i="1" s="1"/>
  <c r="CD14" i="1"/>
  <c r="CD15" i="1" s="1"/>
  <c r="CD16" i="1" s="1"/>
  <c r="CD22" i="1"/>
  <c r="CD23" i="1" s="1"/>
  <c r="CD24" i="1" s="1"/>
  <c r="CA22" i="1"/>
  <c r="CA23" i="1" s="1"/>
  <c r="CA24" i="1" s="1"/>
  <c r="CA30" i="1"/>
  <c r="CA31" i="1" s="1"/>
  <c r="CA32" i="1" s="1"/>
  <c r="CD30" i="1"/>
  <c r="CD31" i="1" s="1"/>
  <c r="CD32" i="1" s="1"/>
  <c r="CA131" i="1"/>
  <c r="CA132" i="1" s="1"/>
  <c r="CD131" i="1"/>
  <c r="CD132" i="1" s="1"/>
  <c r="CA66" i="1"/>
  <c r="CA67" i="1" s="1"/>
  <c r="CA68" i="1" s="1"/>
  <c r="CD66" i="1"/>
  <c r="CD67" i="1" s="1"/>
  <c r="CD68" i="1" s="1"/>
  <c r="CA90" i="1"/>
  <c r="CA91" i="1" s="1"/>
  <c r="CA92" i="1" s="1"/>
  <c r="CD90" i="1"/>
  <c r="CD91" i="1" s="1"/>
  <c r="CD92" i="1" s="1"/>
  <c r="CA26" i="1"/>
  <c r="CA27" i="1" s="1"/>
  <c r="CA28" i="1" s="1"/>
  <c r="CD26" i="1"/>
  <c r="CD27" i="1" s="1"/>
  <c r="CD28" i="1" s="1"/>
  <c r="CD39" i="1"/>
  <c r="CA39" i="1"/>
  <c r="CA40" i="1" s="1"/>
  <c r="CA41" i="1" s="1"/>
  <c r="CA42" i="1" s="1"/>
  <c r="CA56" i="1"/>
  <c r="CA57" i="1" s="1"/>
  <c r="CA58" i="1" s="1"/>
  <c r="CD56" i="1"/>
  <c r="CD57" i="1" s="1"/>
  <c r="CD58" i="1" s="1"/>
  <c r="BK30" i="1"/>
  <c r="BJ63" i="1"/>
  <c r="BK63" i="1"/>
  <c r="BK111" i="1"/>
  <c r="BK7" i="1"/>
  <c r="BK31" i="1"/>
  <c r="BK64" i="1"/>
  <c r="BK96" i="1"/>
  <c r="BK128" i="1"/>
  <c r="BK24" i="1"/>
  <c r="BK41" i="1"/>
  <c r="BK82" i="1"/>
  <c r="BK90" i="1"/>
  <c r="BK122" i="1"/>
  <c r="BK10" i="1"/>
  <c r="BK18" i="1"/>
  <c r="BK26" i="1"/>
  <c r="BK34" i="1"/>
  <c r="BK42" i="1"/>
  <c r="BK67" i="1"/>
  <c r="BK75" i="1"/>
  <c r="BK83" i="1"/>
  <c r="BK91" i="1"/>
  <c r="BK99" i="1"/>
  <c r="BK107" i="1"/>
  <c r="BK115" i="1"/>
  <c r="BJ123" i="1"/>
  <c r="BK123" i="1"/>
  <c r="BK131" i="1"/>
  <c r="BK46" i="1"/>
  <c r="BK79" i="1"/>
  <c r="BK95" i="1"/>
  <c r="BK119" i="1"/>
  <c r="BK23" i="1"/>
  <c r="BK56" i="1"/>
  <c r="BK88" i="1"/>
  <c r="BK104" i="1"/>
  <c r="BK136" i="1"/>
  <c r="BK32" i="1"/>
  <c r="BK129" i="1"/>
  <c r="BJ66" i="1"/>
  <c r="BK66" i="1"/>
  <c r="BK106" i="1"/>
  <c r="BK11" i="1"/>
  <c r="BO11" i="1" s="1"/>
  <c r="BK27" i="1"/>
  <c r="BK35" i="1"/>
  <c r="BK52" i="1"/>
  <c r="BK60" i="1"/>
  <c r="BK68" i="1"/>
  <c r="BK76" i="1"/>
  <c r="BK84" i="1"/>
  <c r="BK92" i="1"/>
  <c r="BK100" i="1"/>
  <c r="BK108" i="1"/>
  <c r="BK116" i="1"/>
  <c r="BK124" i="1"/>
  <c r="BK132" i="1"/>
  <c r="BK22" i="1"/>
  <c r="BK87" i="1"/>
  <c r="BK127" i="1"/>
  <c r="BK39" i="1"/>
  <c r="BK80" i="1"/>
  <c r="BK120" i="1"/>
  <c r="BJ8" i="1"/>
  <c r="BK8" i="1"/>
  <c r="BK49" i="1"/>
  <c r="BK58" i="1"/>
  <c r="BK114" i="1"/>
  <c r="BK20" i="1"/>
  <c r="BK36" i="1"/>
  <c r="BK53" i="1"/>
  <c r="BK125" i="1"/>
  <c r="BK48" i="1"/>
  <c r="BK14" i="1"/>
  <c r="BO14" i="1" s="1"/>
  <c r="BK71" i="1"/>
  <c r="BJ103" i="1"/>
  <c r="BK103" i="1"/>
  <c r="BK15" i="1"/>
  <c r="BK72" i="1"/>
  <c r="BJ112" i="1"/>
  <c r="BK112" i="1"/>
  <c r="BK16" i="1"/>
  <c r="BK40" i="1"/>
  <c r="BK57" i="1"/>
  <c r="BK137" i="1"/>
  <c r="BK50" i="1"/>
  <c r="BK74" i="1"/>
  <c r="BK98" i="1"/>
  <c r="BK19" i="1"/>
  <c r="BK12" i="1"/>
  <c r="BK28" i="1"/>
  <c r="BK44" i="1"/>
  <c r="BK37" i="1"/>
  <c r="BK45" i="1"/>
  <c r="BK54" i="1"/>
  <c r="BK62" i="1"/>
  <c r="BK70" i="1"/>
  <c r="BK78" i="1"/>
  <c r="BK86" i="1"/>
  <c r="BK94" i="1"/>
  <c r="BK102" i="1"/>
  <c r="BK110" i="1"/>
  <c r="BK118" i="1"/>
  <c r="BJ134" i="1"/>
  <c r="BK134" i="1"/>
  <c r="BJ6" i="1"/>
  <c r="BN6" i="1" s="1"/>
  <c r="BJ23" i="1"/>
  <c r="BJ64" i="1"/>
  <c r="BJ96" i="1"/>
  <c r="BJ120" i="1"/>
  <c r="BJ14" i="1"/>
  <c r="BJ22" i="1"/>
  <c r="BJ30" i="1"/>
  <c r="BJ46" i="1"/>
  <c r="BJ71" i="1"/>
  <c r="BJ79" i="1"/>
  <c r="BJ87" i="1"/>
  <c r="BJ95" i="1"/>
  <c r="BJ111" i="1"/>
  <c r="BJ119" i="1"/>
  <c r="BJ127" i="1"/>
  <c r="BJ31" i="1"/>
  <c r="BJ72" i="1"/>
  <c r="BJ16" i="1"/>
  <c r="BJ24" i="1"/>
  <c r="BJ32" i="1"/>
  <c r="BJ40" i="1"/>
  <c r="BJ49" i="1"/>
  <c r="BJ57" i="1"/>
  <c r="BJ129" i="1"/>
  <c r="BJ137" i="1"/>
  <c r="BJ15" i="1"/>
  <c r="BJ80" i="1"/>
  <c r="BJ136" i="1"/>
  <c r="BN136" i="1" s="1" a="1"/>
  <c r="BJ48" i="1"/>
  <c r="BJ41" i="1"/>
  <c r="BJ50" i="1"/>
  <c r="BJ58" i="1"/>
  <c r="BJ74" i="1"/>
  <c r="BJ82" i="1"/>
  <c r="BJ90" i="1"/>
  <c r="BJ98" i="1"/>
  <c r="BJ106" i="1"/>
  <c r="BJ114" i="1"/>
  <c r="BJ122" i="1"/>
  <c r="BJ26" i="1"/>
  <c r="BJ42" i="1"/>
  <c r="BJ67" i="1"/>
  <c r="BJ75" i="1"/>
  <c r="BJ83" i="1"/>
  <c r="BJ91" i="1"/>
  <c r="BJ99" i="1"/>
  <c r="BJ107" i="1"/>
  <c r="BJ115" i="1"/>
  <c r="BJ131" i="1"/>
  <c r="BJ104" i="1"/>
  <c r="BJ18" i="1"/>
  <c r="BJ11" i="1"/>
  <c r="BJ19" i="1"/>
  <c r="BJ27" i="1"/>
  <c r="BJ35" i="1"/>
  <c r="BJ60" i="1"/>
  <c r="BJ68" i="1"/>
  <c r="BJ76" i="1"/>
  <c r="BJ84" i="1"/>
  <c r="BJ92" i="1"/>
  <c r="BJ100" i="1"/>
  <c r="BJ108" i="1"/>
  <c r="BJ116" i="1"/>
  <c r="BJ124" i="1"/>
  <c r="BJ132" i="1"/>
  <c r="BJ39" i="1"/>
  <c r="BJ88" i="1"/>
  <c r="BJ34" i="1"/>
  <c r="BJ12" i="1"/>
  <c r="BJ20" i="1"/>
  <c r="BJ28" i="1"/>
  <c r="BJ36" i="1"/>
  <c r="BJ44" i="1"/>
  <c r="BJ53" i="1"/>
  <c r="BJ125" i="1"/>
  <c r="BJ7" i="1"/>
  <c r="BJ56" i="1"/>
  <c r="BJ128" i="1"/>
  <c r="BJ10" i="1"/>
  <c r="BJ37" i="1"/>
  <c r="BJ45" i="1"/>
  <c r="BJ54" i="1"/>
  <c r="BJ62" i="1"/>
  <c r="BJ70" i="1"/>
  <c r="BJ78" i="1"/>
  <c r="BJ86" i="1"/>
  <c r="BJ94" i="1"/>
  <c r="BJ102" i="1"/>
  <c r="BJ110" i="1"/>
  <c r="BJ118" i="1"/>
  <c r="CD35" i="1" l="1"/>
  <c r="CD36" i="1" s="1"/>
  <c r="CD37" i="1" s="1"/>
  <c r="CD40" i="1"/>
  <c r="CD41" i="1" s="1"/>
  <c r="CD42" i="1" s="1"/>
  <c r="AA59" i="13" a="1"/>
  <c r="AA59" i="13" s="1"/>
  <c r="AW60" i="1"/>
  <c r="AW61" i="1" s="1"/>
  <c r="G60" i="17"/>
  <c r="G60" i="16"/>
  <c r="AU62" i="1"/>
  <c r="AU63" i="1" s="1"/>
  <c r="AU64" i="1" s="1"/>
  <c r="AU65" i="1" s="1"/>
  <c r="G19" i="16"/>
  <c r="G19" i="17"/>
  <c r="CA48" i="1"/>
  <c r="CA49" i="1" s="1"/>
  <c r="CA50" i="1" s="1"/>
  <c r="BN7" i="1"/>
  <c r="BT6" i="1"/>
  <c r="BV6" i="1" s="1"/>
  <c r="AA50" i="13" a="1"/>
  <c r="AA50" i="13" s="1"/>
  <c r="BN49" i="1" a="1"/>
  <c r="BO48" i="1" s="1"/>
  <c r="BO137" i="1"/>
  <c r="BN136" i="1"/>
  <c r="BP135" i="1" s="1"/>
  <c r="AA46" i="13" a="1"/>
  <c r="AA46" i="13" s="1"/>
  <c r="AA75" i="13" a="1"/>
  <c r="AA75" i="13" s="1"/>
  <c r="AA63" i="13" a="1"/>
  <c r="AA63" i="13" s="1"/>
  <c r="AA71" i="13" a="1"/>
  <c r="AA71" i="13" s="1"/>
  <c r="AA79" i="13" a="1"/>
  <c r="AA79" i="13" s="1"/>
  <c r="AA55" i="13" a="1"/>
  <c r="AA55" i="13" s="1"/>
  <c r="AA42" i="13" a="1"/>
  <c r="AA42" i="13" s="1"/>
  <c r="AA67" i="13" a="1"/>
  <c r="AA67" i="13" s="1"/>
  <c r="BN26" i="1" a="1"/>
  <c r="BO15" i="1"/>
  <c r="BN118" i="1" a="1"/>
  <c r="BN32" i="1" a="1"/>
  <c r="BN114" i="1" a="1"/>
  <c r="BN131" i="1" a="1"/>
  <c r="BN106" i="1" a="1"/>
  <c r="BN41" i="1" a="1"/>
  <c r="BN127" i="1" a="1"/>
  <c r="BN123" i="1" a="1"/>
  <c r="BO122" i="1" s="1"/>
  <c r="BN86" i="1" a="1"/>
  <c r="BN18" i="1" a="1"/>
  <c r="BN90" i="1" a="1"/>
  <c r="BN11" i="1"/>
  <c r="BN10" i="1" s="1"/>
  <c r="BN78" i="1" a="1"/>
  <c r="BN45" i="1" a="1"/>
  <c r="BN56" i="1" a="1"/>
  <c r="BN99" i="1" a="1"/>
  <c r="BN82" i="1" a="1"/>
  <c r="BN94" i="1" a="1"/>
  <c r="BN70" i="1" a="1"/>
  <c r="BN34" i="1" a="1"/>
  <c r="BN60" i="1" a="1"/>
  <c r="BN22" i="1" a="1"/>
  <c r="BN52" i="1" a="1"/>
  <c r="BO10" i="1"/>
  <c r="BN74" i="1" a="1"/>
  <c r="BN14" i="1"/>
  <c r="BT14" i="1" s="1"/>
  <c r="CR38" i="1" l="1"/>
  <c r="AU66" i="1"/>
  <c r="AU67" i="1" s="1"/>
  <c r="AU68" i="1" s="1"/>
  <c r="AU69" i="1" s="1"/>
  <c r="G20" i="17"/>
  <c r="G20" i="16"/>
  <c r="AW62" i="1"/>
  <c r="AW63" i="1" s="1"/>
  <c r="AW64" i="1" s="1"/>
  <c r="AW65" i="1" s="1"/>
  <c r="G61" i="16"/>
  <c r="G61" i="17"/>
  <c r="BU10" i="1"/>
  <c r="BW10" i="1" s="1"/>
  <c r="BN49" i="1"/>
  <c r="BN48" i="1" s="1"/>
  <c r="BT48" i="1" s="1"/>
  <c r="BV48" i="1" s="1"/>
  <c r="BT136" i="1"/>
  <c r="BV136" i="1" s="1"/>
  <c r="BT10" i="1"/>
  <c r="BV10" i="1" s="1"/>
  <c r="BU6" i="1"/>
  <c r="BU48" i="1"/>
  <c r="BW48" i="1" s="1"/>
  <c r="BN15" i="1"/>
  <c r="BV14" i="1"/>
  <c r="BU14" i="1"/>
  <c r="BW14" i="1" s="1"/>
  <c r="BU136" i="1"/>
  <c r="BW136" i="1" s="1"/>
  <c r="BN137" i="1"/>
  <c r="BN26" i="1"/>
  <c r="BN41" i="1"/>
  <c r="BN32" i="1"/>
  <c r="BO12" i="1"/>
  <c r="BO31" i="1"/>
  <c r="BN114" i="1"/>
  <c r="BN123" i="1"/>
  <c r="BN122" i="1" s="1"/>
  <c r="BN127" i="1"/>
  <c r="BN106" i="1"/>
  <c r="BO40" i="1"/>
  <c r="BN131" i="1"/>
  <c r="BN118" i="1"/>
  <c r="BN52" i="1"/>
  <c r="BN78" i="1"/>
  <c r="BN74" i="1"/>
  <c r="BN45" i="1"/>
  <c r="BO44" i="1"/>
  <c r="BN90" i="1"/>
  <c r="BN82" i="1"/>
  <c r="BN22" i="1"/>
  <c r="BN70" i="1"/>
  <c r="BO98" i="1"/>
  <c r="BN99" i="1"/>
  <c r="BN12" i="1"/>
  <c r="BN18" i="1"/>
  <c r="BN34" i="1"/>
  <c r="BQ5" i="1"/>
  <c r="BN60" i="1"/>
  <c r="BN56" i="1"/>
  <c r="BN86" i="1"/>
  <c r="BN94" i="1"/>
  <c r="BO7" i="1"/>
  <c r="AW66" i="1" l="1"/>
  <c r="AW67" i="1" s="1"/>
  <c r="AW68" i="1" s="1"/>
  <c r="AW69" i="1" s="1"/>
  <c r="G62" i="17"/>
  <c r="G62" i="16"/>
  <c r="AU70" i="1"/>
  <c r="AU71" i="1" s="1"/>
  <c r="AU72" i="1" s="1"/>
  <c r="AU73" i="1" s="1"/>
  <c r="G21" i="17"/>
  <c r="G21" i="16"/>
  <c r="BT127" i="1"/>
  <c r="BV127" i="1" s="1"/>
  <c r="BT26" i="1"/>
  <c r="BV26" i="1" s="1"/>
  <c r="BT18" i="1"/>
  <c r="BV18" i="1" s="1"/>
  <c r="BT94" i="1"/>
  <c r="BV94" i="1" s="1"/>
  <c r="BT74" i="1"/>
  <c r="BV74" i="1" s="1"/>
  <c r="BT122" i="1"/>
  <c r="BV122" i="1" s="1"/>
  <c r="BT34" i="1"/>
  <c r="BV34" i="1" s="1"/>
  <c r="BT90" i="1"/>
  <c r="BV90" i="1" s="1"/>
  <c r="BT86" i="1"/>
  <c r="BV86" i="1" s="1"/>
  <c r="BT56" i="1"/>
  <c r="BV56" i="1" s="1"/>
  <c r="BT70" i="1"/>
  <c r="BV70" i="1" s="1"/>
  <c r="BT52" i="1"/>
  <c r="BV52" i="1" s="1"/>
  <c r="BT114" i="1"/>
  <c r="BV114" i="1" s="1"/>
  <c r="BT78" i="1"/>
  <c r="BV78" i="1" s="1"/>
  <c r="BT60" i="1"/>
  <c r="BV60" i="1" s="1"/>
  <c r="BT22" i="1"/>
  <c r="BV22" i="1" s="1"/>
  <c r="BT118" i="1"/>
  <c r="BV118" i="1" s="1"/>
  <c r="BT106" i="1"/>
  <c r="BV106" i="1" s="1"/>
  <c r="BT82" i="1"/>
  <c r="BV82" i="1" s="1"/>
  <c r="BT131" i="1"/>
  <c r="BV131" i="1" s="1"/>
  <c r="BU86" i="1"/>
  <c r="BW86" i="1" s="1"/>
  <c r="BU127" i="1"/>
  <c r="BW127" i="1" s="1"/>
  <c r="BU106" i="1"/>
  <c r="BW106" i="1" s="1"/>
  <c r="BU118" i="1"/>
  <c r="BW118" i="1" s="1"/>
  <c r="BU56" i="1"/>
  <c r="BW56" i="1" s="1"/>
  <c r="BU82" i="1"/>
  <c r="BW82" i="1" s="1"/>
  <c r="BU78" i="1"/>
  <c r="BW78" i="1" s="1"/>
  <c r="BU74" i="1"/>
  <c r="BW74" i="1" s="1"/>
  <c r="BU114" i="1"/>
  <c r="BW114" i="1" s="1"/>
  <c r="BU60" i="1"/>
  <c r="BW60" i="1" s="1"/>
  <c r="BU90" i="1"/>
  <c r="BW90" i="1" s="1"/>
  <c r="BU52" i="1"/>
  <c r="BW52" i="1" s="1"/>
  <c r="BU18" i="1"/>
  <c r="BW18" i="1" s="1"/>
  <c r="BU70" i="1"/>
  <c r="BW70" i="1" s="1"/>
  <c r="BU22" i="1"/>
  <c r="BW22" i="1" s="1"/>
  <c r="BU94" i="1"/>
  <c r="BW94" i="1" s="1"/>
  <c r="BU131" i="1"/>
  <c r="BW131" i="1" s="1"/>
  <c r="BU122" i="1"/>
  <c r="BW122" i="1" s="1"/>
  <c r="BU34" i="1"/>
  <c r="BW34" i="1" s="1"/>
  <c r="BU26" i="1"/>
  <c r="BW26" i="1" s="1"/>
  <c r="AR6" i="1" a="1"/>
  <c r="AR6" i="1" s="1"/>
  <c r="AR5" i="1" a="1"/>
  <c r="AR5" i="1" s="1"/>
  <c r="AR7" i="1" a="1"/>
  <c r="AR7" i="1" s="1"/>
  <c r="AR8" i="1" a="1"/>
  <c r="AR8" i="1" s="1"/>
  <c r="BN31" i="1"/>
  <c r="BN30" i="1" s="1"/>
  <c r="BN27" i="1"/>
  <c r="BO27" i="1"/>
  <c r="BP5" i="1"/>
  <c r="BN33" i="1"/>
  <c r="BP33" i="1" s="1"/>
  <c r="BR33" i="1" s="1"/>
  <c r="BN40" i="1"/>
  <c r="BN42" i="1"/>
  <c r="BO42" i="1"/>
  <c r="BN13" i="1"/>
  <c r="BO91" i="1"/>
  <c r="BO53" i="1"/>
  <c r="BO107" i="1"/>
  <c r="BO115" i="1"/>
  <c r="BO30" i="1"/>
  <c r="BO128" i="1"/>
  <c r="BO100" i="1"/>
  <c r="BO46" i="1"/>
  <c r="BO124" i="1"/>
  <c r="BO125" i="1" s="1"/>
  <c r="BO126" i="1" s="1"/>
  <c r="BO119" i="1"/>
  <c r="BO19" i="1"/>
  <c r="BO39" i="1"/>
  <c r="BO33" i="1"/>
  <c r="BO8" i="1"/>
  <c r="BO9" i="1" s="1"/>
  <c r="BO57" i="1"/>
  <c r="BO61" i="1"/>
  <c r="BN16" i="1"/>
  <c r="BN8" i="1"/>
  <c r="BN9" i="1" s="1"/>
  <c r="BP9" i="1" s="1"/>
  <c r="BO16" i="1"/>
  <c r="BN79" i="1"/>
  <c r="BN19" i="1"/>
  <c r="BN20" i="1" s="1"/>
  <c r="BN61" i="1"/>
  <c r="BN53" i="1"/>
  <c r="BN132" i="1"/>
  <c r="BN107" i="1"/>
  <c r="BN75" i="1"/>
  <c r="BN95" i="1"/>
  <c r="BN71" i="1"/>
  <c r="BO132" i="1"/>
  <c r="BN119" i="1"/>
  <c r="BN23" i="1"/>
  <c r="BN35" i="1"/>
  <c r="BN57" i="1"/>
  <c r="BO135" i="1"/>
  <c r="BN128" i="1"/>
  <c r="BN91" i="1"/>
  <c r="BN87" i="1"/>
  <c r="BN83" i="1"/>
  <c r="BO75" i="1"/>
  <c r="BN124" i="1"/>
  <c r="BN125" i="1" s="1"/>
  <c r="BN126" i="1" s="1"/>
  <c r="CU127" i="1" s="1"/>
  <c r="CV127" i="1" s="1"/>
  <c r="BN115" i="1"/>
  <c r="BO87" i="1"/>
  <c r="BO83" i="1"/>
  <c r="BN100" i="1"/>
  <c r="BN98" i="1"/>
  <c r="BO95" i="1"/>
  <c r="BO13" i="1"/>
  <c r="BO71" i="1"/>
  <c r="BO79" i="1"/>
  <c r="BO35" i="1"/>
  <c r="BO23" i="1"/>
  <c r="BN46" i="1"/>
  <c r="BN44" i="1"/>
  <c r="AU74" i="1" l="1"/>
  <c r="AU75" i="1" s="1"/>
  <c r="AU76" i="1" s="1"/>
  <c r="AU77" i="1" s="1"/>
  <c r="G22" i="16"/>
  <c r="G22" i="17"/>
  <c r="AW70" i="1"/>
  <c r="AW71" i="1" s="1"/>
  <c r="AW72" i="1" s="1"/>
  <c r="AW73" i="1" s="1"/>
  <c r="G63" i="17"/>
  <c r="G63" i="16"/>
  <c r="BR5" i="1"/>
  <c r="AQ5" i="1"/>
  <c r="BU30" i="1"/>
  <c r="BW30" i="1" s="1"/>
  <c r="BT44" i="1"/>
  <c r="BV44" i="1" s="1"/>
  <c r="BT98" i="1"/>
  <c r="BV98" i="1" s="1"/>
  <c r="BT30" i="1"/>
  <c r="BV30" i="1" s="1"/>
  <c r="BU98" i="1"/>
  <c r="BW98" i="1" s="1"/>
  <c r="BU44" i="1"/>
  <c r="BW44" i="1" s="1"/>
  <c r="BO20" i="1"/>
  <c r="CT123" i="1"/>
  <c r="CU122" i="1"/>
  <c r="CV122" i="1" s="1"/>
  <c r="CT122" i="1"/>
  <c r="AG5" i="1" a="1"/>
  <c r="AG5" i="1" s="1"/>
  <c r="D4" i="10" s="1" a="1"/>
  <c r="D4" i="10" s="1"/>
  <c r="AQ7" i="1"/>
  <c r="AQ6" i="1"/>
  <c r="AQ8" i="1"/>
  <c r="BN39" i="1"/>
  <c r="BN43" i="1"/>
  <c r="BP43" i="1" s="1"/>
  <c r="BR43" i="1" s="1"/>
  <c r="BO76" i="1"/>
  <c r="BO77" i="1" s="1"/>
  <c r="BO28" i="1"/>
  <c r="BO80" i="1"/>
  <c r="BO81" i="1" s="1"/>
  <c r="BN80" i="1"/>
  <c r="BN81" i="1" s="1"/>
  <c r="BN28" i="1"/>
  <c r="BN76" i="1"/>
  <c r="BN77" i="1" s="1"/>
  <c r="BO43" i="1"/>
  <c r="BN24" i="1"/>
  <c r="BN108" i="1"/>
  <c r="BO17" i="1"/>
  <c r="BQ33" i="1"/>
  <c r="AG33" i="1" s="1" a="1"/>
  <c r="BN88" i="1"/>
  <c r="BN84" i="1"/>
  <c r="BQ13" i="1"/>
  <c r="BN120" i="1"/>
  <c r="BN54" i="1"/>
  <c r="BN55" i="1" s="1"/>
  <c r="BN133" i="1"/>
  <c r="BN17" i="1"/>
  <c r="BN116" i="1"/>
  <c r="BN58" i="1"/>
  <c r="BN47" i="1"/>
  <c r="BN129" i="1"/>
  <c r="BN36" i="1"/>
  <c r="BN96" i="1"/>
  <c r="BN92" i="1"/>
  <c r="BN72" i="1"/>
  <c r="BN101" i="1"/>
  <c r="BQ135" i="1"/>
  <c r="BR135" i="1"/>
  <c r="BP13" i="1"/>
  <c r="BR13" i="1" s="1"/>
  <c r="BO84" i="1"/>
  <c r="BO58" i="1"/>
  <c r="BO133" i="1"/>
  <c r="BO129" i="1"/>
  <c r="BO120" i="1"/>
  <c r="BO92" i="1"/>
  <c r="BO72" i="1"/>
  <c r="BO88" i="1"/>
  <c r="BO116" i="1"/>
  <c r="BO108" i="1"/>
  <c r="BO96" i="1"/>
  <c r="BO54" i="1"/>
  <c r="BO24" i="1"/>
  <c r="BO36" i="1"/>
  <c r="BO47" i="1"/>
  <c r="BO101" i="1"/>
  <c r="AW74" i="1" l="1"/>
  <c r="AW75" i="1" s="1"/>
  <c r="AW76" i="1" s="1"/>
  <c r="AW77" i="1" s="1"/>
  <c r="G64" i="17"/>
  <c r="G64" i="16"/>
  <c r="AU78" i="1"/>
  <c r="AU79" i="1" s="1"/>
  <c r="AU80" i="1" s="1"/>
  <c r="AU81" i="1" s="1"/>
  <c r="G23" i="17"/>
  <c r="G23" i="16"/>
  <c r="G4" i="10" a="1"/>
  <c r="G4" i="10" s="1"/>
  <c r="BO55" i="1"/>
  <c r="BT39" i="1"/>
  <c r="BV39" i="1" s="1"/>
  <c r="BU39" i="1"/>
  <c r="BW39" i="1" s="1"/>
  <c r="CU123" i="1"/>
  <c r="CV123" i="1" s="1"/>
  <c r="BQ43" i="1"/>
  <c r="AG43" i="1" s="1" a="1"/>
  <c r="CT127" i="1"/>
  <c r="AG33" i="1"/>
  <c r="D11" i="10" s="1" a="1"/>
  <c r="D11" i="10" s="1"/>
  <c r="AG135" i="1" a="1"/>
  <c r="AG13" i="1" a="1"/>
  <c r="BO29" i="1"/>
  <c r="BO109" i="1"/>
  <c r="BN93" i="1"/>
  <c r="BP133" i="1"/>
  <c r="BR133" i="1" s="1"/>
  <c r="BN85" i="1"/>
  <c r="BQ17" i="1"/>
  <c r="BO37" i="1"/>
  <c r="BO89" i="1"/>
  <c r="BQ133" i="1"/>
  <c r="BN97" i="1"/>
  <c r="BQ9" i="1"/>
  <c r="BN29" i="1"/>
  <c r="BN121" i="1"/>
  <c r="BN109" i="1"/>
  <c r="BO25" i="1"/>
  <c r="BO73" i="1"/>
  <c r="BO59" i="1"/>
  <c r="BQ47" i="1"/>
  <c r="BO97" i="1"/>
  <c r="BO121" i="1"/>
  <c r="BO85" i="1"/>
  <c r="BN21" i="1"/>
  <c r="BN37" i="1"/>
  <c r="BN59" i="1"/>
  <c r="BP17" i="1"/>
  <c r="BR17" i="1" s="1"/>
  <c r="BN89" i="1"/>
  <c r="BN25" i="1"/>
  <c r="BO117" i="1"/>
  <c r="BO130" i="1"/>
  <c r="BO21" i="1"/>
  <c r="BO93" i="1"/>
  <c r="BN73" i="1"/>
  <c r="BN130" i="1"/>
  <c r="BN117" i="1"/>
  <c r="AU82" i="1" l="1"/>
  <c r="AU83" i="1" s="1"/>
  <c r="AU84" i="1" s="1"/>
  <c r="AU85" i="1" s="1"/>
  <c r="G24" i="16"/>
  <c r="G24" i="17"/>
  <c r="AW78" i="1"/>
  <c r="AW79" i="1" s="1"/>
  <c r="AW80" i="1" s="1"/>
  <c r="AW81" i="1" s="1"/>
  <c r="G65" i="16"/>
  <c r="G65" i="17"/>
  <c r="BR9" i="1"/>
  <c r="AG9" i="1" a="1"/>
  <c r="AG9" i="1" s="1"/>
  <c r="D5" i="10" a="1"/>
  <c r="D5" i="10" s="1"/>
  <c r="CT128" i="1"/>
  <c r="CX122" i="1"/>
  <c r="AQ20" i="1"/>
  <c r="AQ15" i="1"/>
  <c r="AQ17" i="1"/>
  <c r="AQ19" i="1"/>
  <c r="AQ13" i="1"/>
  <c r="AQ18" i="1"/>
  <c r="AQ14" i="1"/>
  <c r="AQ10" i="1"/>
  <c r="AQ11" i="1"/>
  <c r="AQ12" i="1"/>
  <c r="AQ9" i="1"/>
  <c r="AQ16" i="1"/>
  <c r="AR18" i="1" a="1"/>
  <c r="AR18" i="1" s="1"/>
  <c r="AR9" i="1" a="1"/>
  <c r="AR9" i="1" s="1"/>
  <c r="AR15" i="1" a="1"/>
  <c r="AR15" i="1" s="1"/>
  <c r="AR16" i="1" a="1"/>
  <c r="AR16" i="1" s="1"/>
  <c r="AR10" i="1" a="1"/>
  <c r="AR10" i="1" s="1"/>
  <c r="AR11" i="1" a="1"/>
  <c r="AR11" i="1" s="1"/>
  <c r="AR17" i="1" a="1"/>
  <c r="AR17" i="1" s="1"/>
  <c r="AR20" i="1" a="1"/>
  <c r="AR20" i="1" s="1"/>
  <c r="AR14" i="1" a="1"/>
  <c r="AR14" i="1" s="1"/>
  <c r="AR19" i="1" a="1"/>
  <c r="AR19" i="1" s="1"/>
  <c r="AR12" i="1" a="1"/>
  <c r="AR12" i="1" s="1"/>
  <c r="AR13" i="1" a="1"/>
  <c r="AR13" i="1" s="1"/>
  <c r="AG43" i="1"/>
  <c r="D13" i="10" s="1" a="1"/>
  <c r="D13" i="10" s="1"/>
  <c r="AG135" i="1"/>
  <c r="D37" i="10" s="1" a="1"/>
  <c r="D37" i="10" s="1"/>
  <c r="AG13" i="1"/>
  <c r="D6" i="10" s="1" a="1"/>
  <c r="D6" i="10" s="1"/>
  <c r="AG17" i="1" a="1"/>
  <c r="AG133" i="1" a="1"/>
  <c r="BP130" i="1"/>
  <c r="BR130" i="1" s="1"/>
  <c r="BQ117" i="1"/>
  <c r="BN38" i="1"/>
  <c r="BQ121" i="1"/>
  <c r="BQ73" i="1"/>
  <c r="BP121" i="1"/>
  <c r="BR121" i="1" s="1"/>
  <c r="BP97" i="1"/>
  <c r="BR97" i="1" s="1"/>
  <c r="BQ89" i="1"/>
  <c r="BP55" i="1"/>
  <c r="BR55" i="1" s="1"/>
  <c r="BP93" i="1"/>
  <c r="BR93" i="1" s="1"/>
  <c r="BP73" i="1"/>
  <c r="BR73" i="1" s="1"/>
  <c r="BQ126" i="1"/>
  <c r="BP21" i="1"/>
  <c r="BQ97" i="1"/>
  <c r="BQ25" i="1"/>
  <c r="BP29" i="1"/>
  <c r="BR29" i="1" s="1"/>
  <c r="BO38" i="1"/>
  <c r="BQ77" i="1"/>
  <c r="BQ81" i="1"/>
  <c r="BQ93" i="1"/>
  <c r="BQ21" i="1"/>
  <c r="AR24" i="1" s="1" a="1"/>
  <c r="AR24" i="1" s="1"/>
  <c r="BP25" i="1"/>
  <c r="BR25" i="1" s="1"/>
  <c r="BQ85" i="1"/>
  <c r="BP77" i="1"/>
  <c r="BR77" i="1" s="1"/>
  <c r="BP126" i="1"/>
  <c r="BR126" i="1" s="1"/>
  <c r="BP117" i="1"/>
  <c r="BR117" i="1" s="1"/>
  <c r="BQ130" i="1"/>
  <c r="BP89" i="1"/>
  <c r="BR89" i="1" s="1"/>
  <c r="BP59" i="1"/>
  <c r="BR59" i="1" s="1"/>
  <c r="BQ55" i="1"/>
  <c r="BQ59" i="1"/>
  <c r="BP85" i="1"/>
  <c r="BR85" i="1" s="1"/>
  <c r="BP81" i="1"/>
  <c r="BR81" i="1" s="1"/>
  <c r="BQ29" i="1"/>
  <c r="AW82" i="1" l="1"/>
  <c r="AW83" i="1" s="1"/>
  <c r="AW84" i="1" s="1"/>
  <c r="AW85" i="1" s="1"/>
  <c r="G66" i="17"/>
  <c r="G66" i="16"/>
  <c r="AU86" i="1"/>
  <c r="AU87" i="1" s="1"/>
  <c r="AU88" i="1" s="1"/>
  <c r="AU89" i="1" s="1"/>
  <c r="G25" i="16"/>
  <c r="G25" i="17"/>
  <c r="CW122" i="1"/>
  <c r="AQ23" i="1"/>
  <c r="BR21" i="1"/>
  <c r="CU128" i="1"/>
  <c r="CV128" i="1" s="1"/>
  <c r="AQ29" i="1"/>
  <c r="AR22" i="1" a="1"/>
  <c r="AR22" i="1" s="1"/>
  <c r="AQ22" i="1"/>
  <c r="AQ35" i="1"/>
  <c r="AR27" i="1" a="1"/>
  <c r="AR27" i="1" s="1"/>
  <c r="AR35" i="1" a="1"/>
  <c r="AR35" i="1" s="1"/>
  <c r="AR34" i="1" a="1"/>
  <c r="AR34" i="1" s="1"/>
  <c r="AQ28" i="1"/>
  <c r="AQ27" i="1"/>
  <c r="AQ31" i="1"/>
  <c r="AR26" i="1" a="1"/>
  <c r="AR26" i="1" s="1"/>
  <c r="AQ26" i="1"/>
  <c r="AQ24" i="1"/>
  <c r="AR30" i="1" a="1"/>
  <c r="AR30" i="1" s="1"/>
  <c r="AR29" i="1" a="1"/>
  <c r="AR29" i="1" s="1"/>
  <c r="AR36" i="1" a="1"/>
  <c r="AR36" i="1" s="1"/>
  <c r="AQ34" i="1"/>
  <c r="AQ25" i="1"/>
  <c r="AR25" i="1" a="1"/>
  <c r="AR25" i="1" s="1"/>
  <c r="AR31" i="1" a="1"/>
  <c r="AR31" i="1" s="1"/>
  <c r="AR21" i="1" a="1"/>
  <c r="AR21" i="1" s="1"/>
  <c r="AQ37" i="1"/>
  <c r="AQ33" i="1"/>
  <c r="G6" i="10" a="1"/>
  <c r="AQ21" i="1"/>
  <c r="AR32" i="1" a="1"/>
  <c r="AR32" i="1" s="1"/>
  <c r="AR23" i="1" a="1"/>
  <c r="AR23" i="1" s="1"/>
  <c r="G5" i="10" a="1"/>
  <c r="AQ36" i="1"/>
  <c r="G7" i="10" a="1"/>
  <c r="AR28" i="1" a="1"/>
  <c r="AR28" i="1" s="1"/>
  <c r="AR33" i="1" a="1"/>
  <c r="AR33" i="1" s="1"/>
  <c r="AR37" i="1" a="1"/>
  <c r="AR37" i="1" s="1"/>
  <c r="AQ32" i="1"/>
  <c r="AQ30" i="1"/>
  <c r="AG17" i="1"/>
  <c r="D7" i="10" s="1" a="1"/>
  <c r="D7" i="10" s="1"/>
  <c r="AG133" i="1"/>
  <c r="D36" i="10" s="1" a="1"/>
  <c r="D36" i="10" s="1"/>
  <c r="AG117" i="1" a="1"/>
  <c r="AG73" i="1" a="1"/>
  <c r="AG89" i="1" a="1"/>
  <c r="AG81" i="1" a="1"/>
  <c r="AG85" i="1" a="1"/>
  <c r="AG126" i="1" a="1"/>
  <c r="AG25" i="1" a="1"/>
  <c r="AG97" i="1" a="1"/>
  <c r="AG77" i="1" a="1"/>
  <c r="AG121" i="1" a="1"/>
  <c r="AG21" i="1" a="1"/>
  <c r="AG130" i="1" a="1"/>
  <c r="AG29" i="1" a="1"/>
  <c r="AG93" i="1" a="1"/>
  <c r="AG59" i="1" a="1"/>
  <c r="AG55" i="1" a="1"/>
  <c r="BQ38" i="1"/>
  <c r="AR41" i="1" s="1" a="1"/>
  <c r="AR41" i="1" s="1"/>
  <c r="BP38" i="1"/>
  <c r="AU90" i="1" l="1"/>
  <c r="AU91" i="1" s="1"/>
  <c r="AU92" i="1" s="1"/>
  <c r="AU93" i="1" s="1"/>
  <c r="G26" i="17"/>
  <c r="G26" i="16"/>
  <c r="AW86" i="1"/>
  <c r="AW87" i="1" s="1"/>
  <c r="AW88" i="1" s="1"/>
  <c r="AW89" i="1" s="1"/>
  <c r="G67" i="17"/>
  <c r="G67" i="16"/>
  <c r="BM49" i="1"/>
  <c r="BL49" i="1"/>
  <c r="BR38" i="1"/>
  <c r="G10" i="10" a="1"/>
  <c r="G10" i="10" s="1"/>
  <c r="G8" i="10" a="1"/>
  <c r="G8" i="10" s="1"/>
  <c r="AQ44" i="1"/>
  <c r="AR40" i="1" a="1"/>
  <c r="AR40" i="1" s="1"/>
  <c r="AQ39" i="1"/>
  <c r="AR46" i="1" a="1"/>
  <c r="AR46" i="1" s="1"/>
  <c r="G7" i="10"/>
  <c r="AR49" i="1" a="1"/>
  <c r="AR49" i="1" s="1"/>
  <c r="AQ40" i="1"/>
  <c r="AR43" i="1" a="1"/>
  <c r="AR43" i="1" s="1"/>
  <c r="AR47" i="1" a="1"/>
  <c r="AR47" i="1" s="1"/>
  <c r="AQ38" i="1"/>
  <c r="AR50" i="1" a="1"/>
  <c r="AR50" i="1" s="1"/>
  <c r="AR38" i="1" a="1"/>
  <c r="AR38" i="1" s="1"/>
  <c r="G5" i="10"/>
  <c r="G9" i="10" a="1"/>
  <c r="AQ46" i="1"/>
  <c r="AQ42" i="1"/>
  <c r="AR48" i="1" a="1"/>
  <c r="AR48" i="1" s="1"/>
  <c r="AR39" i="1" a="1"/>
  <c r="AR39" i="1" s="1"/>
  <c r="G6" i="10"/>
  <c r="G11" i="10" a="1"/>
  <c r="AR44" i="1" a="1"/>
  <c r="AR44" i="1" s="1"/>
  <c r="AR45" i="1" a="1"/>
  <c r="AR45" i="1" s="1"/>
  <c r="AQ43" i="1"/>
  <c r="AR42" i="1" a="1"/>
  <c r="AR42" i="1" s="1"/>
  <c r="AQ45" i="1"/>
  <c r="AQ41" i="1"/>
  <c r="AG55" i="1"/>
  <c r="AG77" i="1"/>
  <c r="AG89" i="1"/>
  <c r="D25" i="10" s="1" a="1"/>
  <c r="D25" i="10" s="1"/>
  <c r="AG117" i="1"/>
  <c r="AG93" i="1"/>
  <c r="AG85" i="1"/>
  <c r="AG59" i="1"/>
  <c r="D17" i="10" s="1" a="1"/>
  <c r="D17" i="10" s="1"/>
  <c r="AG97" i="1"/>
  <c r="D27" i="10" s="1" a="1"/>
  <c r="D27" i="10" s="1"/>
  <c r="AG130" i="1"/>
  <c r="D35" i="10" s="1" a="1"/>
  <c r="D35" i="10" s="1"/>
  <c r="AG126" i="1"/>
  <c r="AG81" i="1"/>
  <c r="D23" i="10" s="1" a="1"/>
  <c r="D23" i="10" s="1"/>
  <c r="AG29" i="1"/>
  <c r="AG25" i="1"/>
  <c r="AG21" i="1"/>
  <c r="AG121" i="1"/>
  <c r="D33" i="10" s="1" a="1"/>
  <c r="D33" i="10" s="1"/>
  <c r="AG73" i="1"/>
  <c r="D21" i="10" s="1" a="1"/>
  <c r="D21" i="10" s="1"/>
  <c r="AG38" i="1" a="1"/>
  <c r="AW90" i="1" l="1"/>
  <c r="AW91" i="1" s="1"/>
  <c r="AW92" i="1" s="1"/>
  <c r="AW93" i="1" s="1"/>
  <c r="G68" i="17"/>
  <c r="G68" i="16"/>
  <c r="AU94" i="1"/>
  <c r="AU95" i="1" s="1"/>
  <c r="AU96" i="1" s="1"/>
  <c r="AU97" i="1" s="1"/>
  <c r="G27" i="17"/>
  <c r="G27" i="16"/>
  <c r="D8" i="10" a="1"/>
  <c r="D8" i="10" s="1"/>
  <c r="D26" i="10" a="1"/>
  <c r="D26" i="10" s="1"/>
  <c r="G12" i="10" a="1"/>
  <c r="D9" i="10" a="1"/>
  <c r="D9" i="10" s="1"/>
  <c r="D10" i="10" a="1"/>
  <c r="D10" i="10" s="1"/>
  <c r="G13" i="10" a="1"/>
  <c r="D34" i="10" a="1"/>
  <c r="D34" i="10" s="1"/>
  <c r="D32" i="10" a="1"/>
  <c r="D32" i="10" s="1"/>
  <c r="D24" i="10" a="1"/>
  <c r="D24" i="10" s="1"/>
  <c r="D22" i="10" a="1"/>
  <c r="D22" i="10" s="1"/>
  <c r="G11" i="10"/>
  <c r="G9" i="10"/>
  <c r="D16" i="10" a="1"/>
  <c r="D16" i="10" s="1"/>
  <c r="AG38" i="1"/>
  <c r="D12" i="10" s="1" a="1"/>
  <c r="D12" i="10" s="1"/>
  <c r="AU98" i="1" l="1"/>
  <c r="AU99" i="1" s="1"/>
  <c r="AU100" i="1" s="1"/>
  <c r="AU101" i="1" s="1"/>
  <c r="G28" i="17"/>
  <c r="G28" i="16"/>
  <c r="AW94" i="1"/>
  <c r="AW95" i="1" s="1"/>
  <c r="AW96" i="1" s="1"/>
  <c r="AW97" i="1" s="1"/>
  <c r="G69" i="16"/>
  <c r="G69" i="17"/>
  <c r="G13" i="10"/>
  <c r="G12" i="10"/>
  <c r="AW98" i="1" l="1"/>
  <c r="AW99" i="1" s="1"/>
  <c r="AW100" i="1" s="1"/>
  <c r="AW101" i="1" s="1"/>
  <c r="G70" i="17"/>
  <c r="G70" i="16"/>
  <c r="AU102" i="1"/>
  <c r="AU103" i="1" s="1"/>
  <c r="AU104" i="1" s="1"/>
  <c r="AU105" i="1" s="1"/>
  <c r="G29" i="17"/>
  <c r="G29" i="16"/>
  <c r="BX5" i="1"/>
  <c r="AS6" i="1" s="1"/>
  <c r="AU106" i="1" l="1"/>
  <c r="AU107" i="1" s="1"/>
  <c r="AU108" i="1" s="1"/>
  <c r="AU109" i="1" s="1"/>
  <c r="G30" i="16"/>
  <c r="G30" i="17"/>
  <c r="AW102" i="1"/>
  <c r="AW103" i="1" s="1"/>
  <c r="AW104" i="1" s="1"/>
  <c r="AW105" i="1" s="1"/>
  <c r="G71" i="17"/>
  <c r="G71" i="16"/>
  <c r="BZ5" i="1"/>
  <c r="AS8" i="1"/>
  <c r="AS5" i="1"/>
  <c r="AS7" i="1"/>
  <c r="AW106" i="1" l="1"/>
  <c r="AW107" i="1" s="1"/>
  <c r="AW108" i="1" s="1"/>
  <c r="AW109" i="1" s="1"/>
  <c r="G72" i="17"/>
  <c r="G72" i="16"/>
  <c r="AU110" i="1"/>
  <c r="AU111" i="1" s="1"/>
  <c r="AU112" i="1" s="1"/>
  <c r="AU113" i="1" s="1"/>
  <c r="G31" i="17"/>
  <c r="G31" i="16"/>
  <c r="F19" i="10"/>
  <c r="F8" i="10"/>
  <c r="F15" i="10"/>
  <c r="F10" i="10"/>
  <c r="F18" i="10"/>
  <c r="F7" i="10"/>
  <c r="F30" i="10"/>
  <c r="F25" i="10"/>
  <c r="F24" i="10"/>
  <c r="F12" i="10"/>
  <c r="F27" i="10"/>
  <c r="F26" i="10"/>
  <c r="F33" i="10"/>
  <c r="F9" i="10"/>
  <c r="F14" i="10"/>
  <c r="F17" i="10"/>
  <c r="F32" i="10"/>
  <c r="F22" i="10"/>
  <c r="F4" i="10"/>
  <c r="F28" i="10"/>
  <c r="F31" i="10"/>
  <c r="F21" i="10"/>
  <c r="F37" i="10"/>
  <c r="AU114" i="1" l="1"/>
  <c r="AU115" i="1" s="1"/>
  <c r="AU116" i="1" s="1"/>
  <c r="AU117" i="1" s="1"/>
  <c r="G32" i="16"/>
  <c r="G32" i="17"/>
  <c r="AW110" i="1"/>
  <c r="AW111" i="1" s="1"/>
  <c r="AW112" i="1" s="1"/>
  <c r="AW113" i="1" s="1"/>
  <c r="G73" i="17"/>
  <c r="G73" i="16"/>
  <c r="F23" i="10"/>
  <c r="F5" i="10"/>
  <c r="F29" i="10"/>
  <c r="F34" i="10"/>
  <c r="F11" i="10"/>
  <c r="F20" i="10"/>
  <c r="F35" i="10"/>
  <c r="F13" i="10"/>
  <c r="F16" i="10"/>
  <c r="F6" i="10"/>
  <c r="AW114" i="1" l="1"/>
  <c r="AW115" i="1" s="1"/>
  <c r="AW116" i="1" s="1"/>
  <c r="AW117" i="1" s="1"/>
  <c r="G74" i="17"/>
  <c r="G74" i="16"/>
  <c r="AU118" i="1"/>
  <c r="AU119" i="1" s="1"/>
  <c r="AU120" i="1" s="1"/>
  <c r="AU121" i="1" s="1"/>
  <c r="G33" i="16"/>
  <c r="G33" i="17"/>
  <c r="F36" i="10"/>
  <c r="AU122" i="1" l="1"/>
  <c r="AU123" i="1" s="1"/>
  <c r="AU124" i="1" s="1"/>
  <c r="AU125" i="1" s="1"/>
  <c r="AU126" i="1" s="1"/>
  <c r="G34" i="17"/>
  <c r="G34" i="16"/>
  <c r="AW118" i="1"/>
  <c r="AW119" i="1" s="1"/>
  <c r="AW120" i="1" s="1"/>
  <c r="AW121" i="1" s="1"/>
  <c r="G75" i="17"/>
  <c r="G75" i="16"/>
  <c r="T4" i="10"/>
  <c r="AW122" i="1" l="1"/>
  <c r="AW123" i="1" s="1"/>
  <c r="AW124" i="1" s="1"/>
  <c r="AW125" i="1" s="1"/>
  <c r="AW126" i="1" s="1"/>
  <c r="G76" i="17"/>
  <c r="G76" i="16"/>
  <c r="AU127" i="1"/>
  <c r="AU128" i="1" s="1"/>
  <c r="AU129" i="1" s="1"/>
  <c r="AU130" i="1" s="1"/>
  <c r="G35" i="16"/>
  <c r="G35" i="17"/>
  <c r="T13" i="10"/>
  <c r="T9" i="10"/>
  <c r="T26" i="10"/>
  <c r="T25" i="10"/>
  <c r="T24" i="10"/>
  <c r="T32" i="10"/>
  <c r="T35" i="10"/>
  <c r="T18" i="10"/>
  <c r="T10" i="10"/>
  <c r="T17" i="10"/>
  <c r="T19" i="10"/>
  <c r="T5" i="10"/>
  <c r="T16" i="10"/>
  <c r="T28" i="10"/>
  <c r="T27" i="10"/>
  <c r="T36" i="10"/>
  <c r="T14" i="10"/>
  <c r="T7" i="10"/>
  <c r="T37" i="10"/>
  <c r="T11" i="10"/>
  <c r="T23" i="10"/>
  <c r="T29" i="10"/>
  <c r="T6" i="10"/>
  <c r="T20" i="10"/>
  <c r="T31" i="10"/>
  <c r="T30" i="10"/>
  <c r="T22" i="10"/>
  <c r="T8" i="10"/>
  <c r="T34" i="10"/>
  <c r="T15" i="10"/>
  <c r="T33" i="10"/>
  <c r="T21" i="10"/>
  <c r="T12" i="10"/>
  <c r="BO50" i="1"/>
  <c r="BN50" i="1"/>
  <c r="BN51" i="1" s="1"/>
  <c r="AU131" i="1" l="1"/>
  <c r="AU132" i="1" s="1"/>
  <c r="AU133" i="1" s="1"/>
  <c r="G36" i="17"/>
  <c r="G36" i="16"/>
  <c r="AW127" i="1"/>
  <c r="AW128" i="1" s="1"/>
  <c r="AW129" i="1" s="1"/>
  <c r="AW130" i="1" s="1"/>
  <c r="G77" i="17"/>
  <c r="G77" i="16"/>
  <c r="BO51" i="1"/>
  <c r="BQ51" i="1" s="1"/>
  <c r="BP51" i="1"/>
  <c r="CT49" i="1"/>
  <c r="CT48" i="1"/>
  <c r="CU48" i="1"/>
  <c r="CV48" i="1" s="1"/>
  <c r="BP47" i="1"/>
  <c r="AG47" i="1" s="1" a="1"/>
  <c r="AG47" i="1" s="1"/>
  <c r="AW131" i="1" l="1"/>
  <c r="AW132" i="1" s="1"/>
  <c r="AW133" i="1" s="1"/>
  <c r="G78" i="17"/>
  <c r="G78" i="16"/>
  <c r="AU134" i="1"/>
  <c r="AU135" i="1" s="1"/>
  <c r="AU136" i="1" s="1"/>
  <c r="AU137" i="1" s="1"/>
  <c r="G37" i="16"/>
  <c r="G37" i="17"/>
  <c r="AQ48" i="1"/>
  <c r="AQ50" i="1"/>
  <c r="AR57" i="1" a="1"/>
  <c r="AR57" i="1" s="1"/>
  <c r="AR55" i="1" a="1"/>
  <c r="AR55" i="1" s="1"/>
  <c r="AR56" i="1" a="1"/>
  <c r="AR56" i="1" s="1"/>
  <c r="AR58" i="1" a="1"/>
  <c r="AR58" i="1" s="1"/>
  <c r="AR54" i="1" a="1"/>
  <c r="AR54" i="1" s="1"/>
  <c r="AR59" i="1" a="1"/>
  <c r="AR59" i="1" s="1"/>
  <c r="AR51" i="1" a="1"/>
  <c r="AR51" i="1" s="1"/>
  <c r="AR60" i="1" a="1"/>
  <c r="AR60" i="1" s="1"/>
  <c r="AR53" i="1" a="1"/>
  <c r="AR53" i="1" s="1"/>
  <c r="AR52" i="1" a="1"/>
  <c r="AR52" i="1" s="1"/>
  <c r="AQ49" i="1"/>
  <c r="AQ55" i="1"/>
  <c r="AG51" i="1" a="1"/>
  <c r="AG51" i="1" s="1"/>
  <c r="D15" i="10" s="1" a="1"/>
  <c r="D15" i="10" s="1"/>
  <c r="BR51" i="1"/>
  <c r="CX126" i="1"/>
  <c r="H13" i="13" s="1"/>
  <c r="CW126" i="1"/>
  <c r="AQ51" i="1"/>
  <c r="AQ59" i="1"/>
  <c r="AQ57" i="1"/>
  <c r="BR47" i="1"/>
  <c r="AQ56" i="1"/>
  <c r="AQ58" i="1"/>
  <c r="AQ53" i="1"/>
  <c r="CU49" i="1"/>
  <c r="CV49" i="1" s="1"/>
  <c r="AQ47" i="1"/>
  <c r="AQ52" i="1"/>
  <c r="AQ54" i="1"/>
  <c r="AQ60" i="1"/>
  <c r="D14" i="10" a="1"/>
  <c r="D14" i="10" s="1"/>
  <c r="AW134" i="1" l="1"/>
  <c r="AW135" i="1" s="1"/>
  <c r="AW136" i="1" s="1"/>
  <c r="AW137" i="1" s="1"/>
  <c r="G79" i="17"/>
  <c r="G79" i="16"/>
  <c r="G14" i="10" a="1"/>
  <c r="G14" i="10" s="1"/>
  <c r="G16" i="10" a="1"/>
  <c r="G16" i="10" s="1"/>
  <c r="G17" i="10" a="1"/>
  <c r="G17" i="10" s="1"/>
  <c r="G15" i="10" a="1"/>
  <c r="G15" i="10" s="1"/>
  <c r="BV40" i="1"/>
  <c r="BV41" i="1" s="1"/>
  <c r="BV42" i="1" s="1"/>
  <c r="BV43" i="1" s="1"/>
  <c r="BX43" i="1" s="1"/>
  <c r="BZ43" i="1" s="1"/>
  <c r="BW132" i="1"/>
  <c r="BV95" i="1"/>
  <c r="BV96" i="1" s="1"/>
  <c r="BV97" i="1" s="1"/>
  <c r="BX97" i="1" s="1"/>
  <c r="BZ97" i="1" s="1"/>
  <c r="BV7" i="1"/>
  <c r="BV8" i="1" s="1"/>
  <c r="BV9" i="1" s="1"/>
  <c r="BX9" i="1" s="1"/>
  <c r="AS10" i="1" s="1"/>
  <c r="BV119" i="1"/>
  <c r="BV120" i="1" s="1"/>
  <c r="BV121" i="1" s="1"/>
  <c r="BX121" i="1" s="1"/>
  <c r="BZ121" i="1" s="1"/>
  <c r="BV79" i="1"/>
  <c r="BV80" i="1" s="1"/>
  <c r="BV81" i="1" s="1"/>
  <c r="BX81" i="1" s="1"/>
  <c r="BZ81" i="1" s="1"/>
  <c r="BV27" i="1"/>
  <c r="BV28" i="1" s="1"/>
  <c r="BV29" i="1" s="1"/>
  <c r="BX29" i="1" s="1"/>
  <c r="BZ29" i="1" s="1"/>
  <c r="BW91" i="1"/>
  <c r="BW135" i="1"/>
  <c r="BY135" i="1" s="1"/>
  <c r="BV137" i="1"/>
  <c r="BV35" i="1"/>
  <c r="BV36" i="1" s="1"/>
  <c r="BV37" i="1" s="1"/>
  <c r="BV38" i="1" s="1"/>
  <c r="BX38" i="1" s="1"/>
  <c r="BZ38" i="1" s="1"/>
  <c r="BW23" i="1"/>
  <c r="BW119" i="1"/>
  <c r="BW71" i="1"/>
  <c r="BV57" i="1"/>
  <c r="BV58" i="1" s="1"/>
  <c r="BV59" i="1" s="1"/>
  <c r="BX59" i="1" s="1"/>
  <c r="BZ59" i="1" s="1"/>
  <c r="BV53" i="1"/>
  <c r="BV54" i="1" s="1"/>
  <c r="BV55" i="1" s="1"/>
  <c r="BX55" i="1" s="1"/>
  <c r="BZ55" i="1" s="1"/>
  <c r="BV115" i="1"/>
  <c r="BV116" i="1" s="1"/>
  <c r="BV117" i="1" s="1"/>
  <c r="BX117" i="1" s="1"/>
  <c r="BZ117" i="1" s="1"/>
  <c r="BW15" i="1"/>
  <c r="BV45" i="1"/>
  <c r="BV46" i="1" s="1"/>
  <c r="BV47" i="1" s="1"/>
  <c r="BX47" i="1" s="1"/>
  <c r="BZ47" i="1" s="1"/>
  <c r="BV11" i="1"/>
  <c r="BV12" i="1" s="1"/>
  <c r="BV13" i="1" s="1"/>
  <c r="BX13" i="1" s="1"/>
  <c r="BZ13" i="1" s="1"/>
  <c r="BW61" i="1"/>
  <c r="BV132" i="1"/>
  <c r="BV133" i="1" s="1"/>
  <c r="BX133" i="1" s="1"/>
  <c r="BZ133" i="1" s="1"/>
  <c r="BV15" i="1"/>
  <c r="BV16" i="1" s="1"/>
  <c r="BV17" i="1" s="1"/>
  <c r="BX17" i="1" s="1"/>
  <c r="BZ17" i="1" s="1"/>
  <c r="BW83" i="1"/>
  <c r="BW137" i="1"/>
  <c r="BW53" i="1"/>
  <c r="BV135" i="1"/>
  <c r="BX135" i="1" s="1"/>
  <c r="BZ135" i="1" s="1"/>
  <c r="BW31" i="1"/>
  <c r="BW49" i="1"/>
  <c r="BW35" i="1"/>
  <c r="BV87" i="1"/>
  <c r="BV88" i="1" s="1"/>
  <c r="BV89" i="1" s="1"/>
  <c r="BX89" i="1" s="1"/>
  <c r="BZ89" i="1" s="1"/>
  <c r="BV31" i="1"/>
  <c r="BV32" i="1" s="1"/>
  <c r="BV33" i="1" s="1"/>
  <c r="BX33" i="1" s="1"/>
  <c r="BZ33" i="1" s="1"/>
  <c r="BW40" i="1"/>
  <c r="BW41" i="1" s="1"/>
  <c r="BW42" i="1" s="1"/>
  <c r="BW43" i="1" s="1"/>
  <c r="BY43" i="1" s="1"/>
  <c r="AI43" i="1" s="1" a="1"/>
  <c r="AI43" i="1" s="1"/>
  <c r="AL43" i="1" s="1"/>
  <c r="BW115" i="1"/>
  <c r="BW87" i="1"/>
  <c r="BW27" i="1"/>
  <c r="BV123" i="1"/>
  <c r="BV124" i="1" s="1"/>
  <c r="BV125" i="1" s="1"/>
  <c r="BV126" i="1" s="1"/>
  <c r="BX126" i="1" s="1"/>
  <c r="BZ126" i="1" s="1"/>
  <c r="BW45" i="1"/>
  <c r="BW57" i="1"/>
  <c r="BW58" i="1" s="1"/>
  <c r="BW59" i="1" s="1"/>
  <c r="BY59" i="1" s="1"/>
  <c r="AI59" i="1" s="1" a="1"/>
  <c r="AI59" i="1" s="1"/>
  <c r="AL59" i="1" s="1"/>
  <c r="BV49" i="1"/>
  <c r="BV50" i="1" s="1"/>
  <c r="BV51" i="1" s="1"/>
  <c r="BX51" i="1" s="1"/>
  <c r="BZ51" i="1" s="1"/>
  <c r="BW95" i="1"/>
  <c r="BW99" i="1"/>
  <c r="BV75" i="1"/>
  <c r="BV76" i="1" s="1"/>
  <c r="BV77" i="1" s="1"/>
  <c r="BX77" i="1" s="1"/>
  <c r="BZ77" i="1" s="1"/>
  <c r="BW75" i="1"/>
  <c r="BW128" i="1"/>
  <c r="BV91" i="1"/>
  <c r="BV92" i="1" s="1"/>
  <c r="BV93" i="1" s="1"/>
  <c r="BX93" i="1" s="1"/>
  <c r="BZ93" i="1" s="1"/>
  <c r="BV19" i="1"/>
  <c r="BV20" i="1" s="1"/>
  <c r="BV21" i="1" s="1"/>
  <c r="BX21" i="1" s="1"/>
  <c r="BZ21" i="1" s="1"/>
  <c r="BV71" i="1"/>
  <c r="BV72" i="1" s="1"/>
  <c r="BV73" i="1" s="1"/>
  <c r="BX73" i="1" s="1"/>
  <c r="BZ73" i="1" s="1"/>
  <c r="BV23" i="1"/>
  <c r="BV24" i="1" s="1"/>
  <c r="BV25" i="1" s="1"/>
  <c r="BX25" i="1" s="1"/>
  <c r="BV61" i="1"/>
  <c r="BW107" i="1"/>
  <c r="BV83" i="1"/>
  <c r="BV84" i="1" s="1"/>
  <c r="BV85" i="1" s="1"/>
  <c r="BX85" i="1" s="1"/>
  <c r="BZ85" i="1" s="1"/>
  <c r="BV107" i="1"/>
  <c r="BV108" i="1" s="1"/>
  <c r="BV109" i="1" s="1"/>
  <c r="BW79" i="1"/>
  <c r="BW80" i="1" s="1"/>
  <c r="BW81" i="1" s="1"/>
  <c r="BY81" i="1" s="1"/>
  <c r="AI81" i="1" s="1" a="1"/>
  <c r="AI81" i="1" s="1"/>
  <c r="AM81" i="1" s="1"/>
  <c r="BW123" i="1"/>
  <c r="BV128" i="1"/>
  <c r="BV129" i="1" s="1"/>
  <c r="BV130" i="1" s="1"/>
  <c r="BX130" i="1" s="1"/>
  <c r="BZ130" i="1" s="1"/>
  <c r="BW19" i="1"/>
  <c r="BW11" i="1"/>
  <c r="BV99" i="1"/>
  <c r="BV100" i="1" s="1"/>
  <c r="BV101" i="1" s="1"/>
  <c r="BM136" i="1"/>
  <c r="BM132" i="1"/>
  <c r="BM128" i="1"/>
  <c r="BM124" i="1"/>
  <c r="BM120" i="1"/>
  <c r="BM116" i="1"/>
  <c r="BM112" i="1"/>
  <c r="BM108" i="1"/>
  <c r="BM104" i="1"/>
  <c r="BM100" i="1"/>
  <c r="BM96" i="1"/>
  <c r="BM92" i="1"/>
  <c r="BM88" i="1"/>
  <c r="BM84" i="1"/>
  <c r="BM80" i="1"/>
  <c r="BM76" i="1"/>
  <c r="BM72" i="1"/>
  <c r="BM68" i="1"/>
  <c r="BM64" i="1"/>
  <c r="BM60" i="1"/>
  <c r="BM56" i="1"/>
  <c r="BM52" i="1"/>
  <c r="BM46" i="1"/>
  <c r="BM42" i="1"/>
  <c r="BM34" i="1"/>
  <c r="BM30" i="1"/>
  <c r="BM26" i="1"/>
  <c r="BM22" i="1"/>
  <c r="BM18" i="1"/>
  <c r="BM14" i="1"/>
  <c r="BM10" i="1"/>
  <c r="BM6" i="1"/>
  <c r="BM31" i="1"/>
  <c r="BL136" i="1"/>
  <c r="BL132" i="1"/>
  <c r="BL128" i="1"/>
  <c r="BL124" i="1"/>
  <c r="BL120" i="1"/>
  <c r="BL116" i="1"/>
  <c r="BL112" i="1"/>
  <c r="BL108" i="1"/>
  <c r="BL104" i="1"/>
  <c r="BL100" i="1"/>
  <c r="BL96" i="1"/>
  <c r="BL92" i="1"/>
  <c r="BL88" i="1"/>
  <c r="BL84" i="1"/>
  <c r="BL80" i="1"/>
  <c r="BL76" i="1"/>
  <c r="BL72" i="1"/>
  <c r="BL68" i="1"/>
  <c r="BL64" i="1"/>
  <c r="BL60" i="1"/>
  <c r="BL56" i="1"/>
  <c r="BL52" i="1"/>
  <c r="BL46" i="1"/>
  <c r="BL42" i="1"/>
  <c r="BL34" i="1"/>
  <c r="BL30" i="1"/>
  <c r="BL26" i="1"/>
  <c r="BL22" i="1"/>
  <c r="BL18" i="1"/>
  <c r="BL14" i="1"/>
  <c r="BL10" i="1"/>
  <c r="BL6" i="1"/>
  <c r="BM129" i="1"/>
  <c r="BM39" i="1"/>
  <c r="BM15" i="1"/>
  <c r="BM131" i="1"/>
  <c r="BM127" i="1"/>
  <c r="BM123" i="1"/>
  <c r="BM119" i="1"/>
  <c r="BM115" i="1"/>
  <c r="BM111" i="1"/>
  <c r="BM107" i="1"/>
  <c r="BM103" i="1"/>
  <c r="BM99" i="1"/>
  <c r="BM95" i="1"/>
  <c r="BM91" i="1"/>
  <c r="BM87" i="1"/>
  <c r="BM83" i="1"/>
  <c r="BM79" i="1"/>
  <c r="BM75" i="1"/>
  <c r="BM71" i="1"/>
  <c r="BM67" i="1"/>
  <c r="BM63" i="1"/>
  <c r="BM45" i="1"/>
  <c r="BM41" i="1"/>
  <c r="BM37" i="1"/>
  <c r="BM50" i="1"/>
  <c r="BM57" i="1"/>
  <c r="BM27" i="1"/>
  <c r="I13" i="13"/>
  <c r="J13" i="13" s="1"/>
  <c r="BL131" i="1"/>
  <c r="BL127" i="1"/>
  <c r="BL123" i="1"/>
  <c r="BL119" i="1"/>
  <c r="BL115" i="1"/>
  <c r="BL111" i="1"/>
  <c r="BL107" i="1"/>
  <c r="BL103" i="1"/>
  <c r="BL99" i="1"/>
  <c r="BL95" i="1"/>
  <c r="BL91" i="1"/>
  <c r="BL87" i="1"/>
  <c r="BL83" i="1"/>
  <c r="BL79" i="1"/>
  <c r="BL75" i="1"/>
  <c r="BL71" i="1"/>
  <c r="BL67" i="1"/>
  <c r="BL63" i="1"/>
  <c r="BL45" i="1"/>
  <c r="BL41" i="1"/>
  <c r="BL37" i="1"/>
  <c r="BL50" i="1"/>
  <c r="BM137" i="1"/>
  <c r="BM53" i="1"/>
  <c r="BM19" i="1"/>
  <c r="BM134" i="1"/>
  <c r="BM122" i="1"/>
  <c r="BM118" i="1"/>
  <c r="BM114" i="1"/>
  <c r="BM110" i="1"/>
  <c r="BM106" i="1"/>
  <c r="BM102" i="1"/>
  <c r="BM98" i="1"/>
  <c r="BM94" i="1"/>
  <c r="BM90" i="1"/>
  <c r="BM86" i="1"/>
  <c r="BM82" i="1"/>
  <c r="BM78" i="1"/>
  <c r="BM74" i="1"/>
  <c r="BM70" i="1"/>
  <c r="BM66" i="1"/>
  <c r="BM62" i="1"/>
  <c r="BM58" i="1"/>
  <c r="BM54" i="1"/>
  <c r="BM48" i="1"/>
  <c r="BM44" i="1"/>
  <c r="BM40" i="1"/>
  <c r="BM36" i="1"/>
  <c r="BM32" i="1"/>
  <c r="BM28" i="1"/>
  <c r="BM24" i="1"/>
  <c r="BM20" i="1"/>
  <c r="BM16" i="1"/>
  <c r="BM12" i="1"/>
  <c r="BM8" i="1"/>
  <c r="BM35" i="1"/>
  <c r="BM7" i="1"/>
  <c r="BL134" i="1"/>
  <c r="BL122" i="1"/>
  <c r="BL118" i="1"/>
  <c r="BL114" i="1"/>
  <c r="BL110" i="1"/>
  <c r="BL106" i="1"/>
  <c r="BL102" i="1"/>
  <c r="BL98" i="1"/>
  <c r="BL94" i="1"/>
  <c r="BL90" i="1"/>
  <c r="BL86" i="1"/>
  <c r="BL82" i="1"/>
  <c r="BL78" i="1"/>
  <c r="BL74" i="1"/>
  <c r="BL70" i="1"/>
  <c r="BL66" i="1"/>
  <c r="BL62" i="1"/>
  <c r="BL58" i="1"/>
  <c r="BL54" i="1"/>
  <c r="BL48" i="1"/>
  <c r="BL44" i="1"/>
  <c r="BL40" i="1"/>
  <c r="BL36" i="1"/>
  <c r="BL32" i="1"/>
  <c r="BL28" i="1"/>
  <c r="BL24" i="1"/>
  <c r="BL20" i="1"/>
  <c r="BL16" i="1"/>
  <c r="BL12" i="1"/>
  <c r="BL8" i="1"/>
  <c r="BM11" i="1"/>
  <c r="BL137" i="1"/>
  <c r="BL129" i="1"/>
  <c r="BL125" i="1"/>
  <c r="BL57" i="1"/>
  <c r="BL53" i="1"/>
  <c r="BL39" i="1"/>
  <c r="BL35" i="1"/>
  <c r="BL31" i="1"/>
  <c r="BL27" i="1"/>
  <c r="BL23" i="1"/>
  <c r="BL19" i="1"/>
  <c r="BL15" i="1"/>
  <c r="BL11" i="1"/>
  <c r="BL7" i="1"/>
  <c r="BM125" i="1"/>
  <c r="BM23" i="1"/>
  <c r="BW96" i="1" l="1"/>
  <c r="BW97" i="1" s="1"/>
  <c r="BY97" i="1" s="1"/>
  <c r="AI97" i="1" s="1" a="1"/>
  <c r="AI97" i="1" s="1"/>
  <c r="AL97" i="1" s="1"/>
  <c r="AS12" i="1"/>
  <c r="BW129" i="1"/>
  <c r="BW130" i="1" s="1"/>
  <c r="BY130" i="1" s="1"/>
  <c r="AI130" i="1" s="1" a="1"/>
  <c r="AI130" i="1" s="1"/>
  <c r="BW50" i="1"/>
  <c r="BW51" i="1" s="1"/>
  <c r="BY51" i="1" s="1"/>
  <c r="AI51" i="1" s="1" a="1"/>
  <c r="AI51" i="1" s="1"/>
  <c r="AL51" i="1" s="1"/>
  <c r="BW28" i="1"/>
  <c r="BW29" i="1" s="1"/>
  <c r="BY29" i="1" s="1"/>
  <c r="D52" i="10" s="1" a="1"/>
  <c r="D52" i="10" s="1"/>
  <c r="BW32" i="1"/>
  <c r="BW33" i="1" s="1"/>
  <c r="BY33" i="1" s="1"/>
  <c r="D53" i="10" s="1" a="1"/>
  <c r="D53" i="10" s="1"/>
  <c r="BW54" i="1"/>
  <c r="BW55" i="1" s="1"/>
  <c r="BY55" i="1" s="1"/>
  <c r="AI55" i="1" s="1" a="1"/>
  <c r="AI55" i="1" s="1"/>
  <c r="D59" i="10" a="1"/>
  <c r="D59" i="10" s="1"/>
  <c r="D55" i="10" a="1"/>
  <c r="D55" i="10" s="1"/>
  <c r="AM43" i="1"/>
  <c r="AS13" i="1"/>
  <c r="AS9" i="1"/>
  <c r="AS11" i="1"/>
  <c r="BZ9" i="1"/>
  <c r="AS16" i="1"/>
  <c r="BN66" i="1" a="1"/>
  <c r="BN66" i="1" s="1"/>
  <c r="AS23" i="1"/>
  <c r="BW46" i="1"/>
  <c r="BW47" i="1" s="1"/>
  <c r="BY47" i="1" s="1"/>
  <c r="D56" i="10" s="1" a="1"/>
  <c r="D56" i="10" s="1"/>
  <c r="BW36" i="1"/>
  <c r="BW37" i="1" s="1"/>
  <c r="BW38" i="1" s="1"/>
  <c r="BY38" i="1" s="1"/>
  <c r="D54" i="10" s="1" a="1"/>
  <c r="D54" i="10" s="1"/>
  <c r="AS24" i="1"/>
  <c r="BW120" i="1"/>
  <c r="BW121" i="1" s="1"/>
  <c r="BY121" i="1" s="1"/>
  <c r="D75" i="10" s="1" a="1"/>
  <c r="D75" i="10" s="1"/>
  <c r="BW88" i="1"/>
  <c r="BW89" i="1" s="1"/>
  <c r="BY89" i="1" s="1"/>
  <c r="AI89" i="1" s="1" a="1"/>
  <c r="AI89" i="1" s="1"/>
  <c r="AS22" i="1"/>
  <c r="BN112" i="1" a="1"/>
  <c r="BO113" i="1" s="1"/>
  <c r="BQ113" i="1" s="1"/>
  <c r="AS17" i="1"/>
  <c r="BW12" i="1"/>
  <c r="BW13" i="1" s="1"/>
  <c r="BY13" i="1" s="1"/>
  <c r="AI13" i="1" s="1" a="1"/>
  <c r="AI13" i="1" s="1"/>
  <c r="BW16" i="1"/>
  <c r="BW17" i="1" s="1"/>
  <c r="BY17" i="1" s="1"/>
  <c r="D49" i="10" s="1" a="1"/>
  <c r="D49" i="10" s="1"/>
  <c r="AI135" i="1" a="1"/>
  <c r="AI135" i="1" s="1"/>
  <c r="AS18" i="1"/>
  <c r="AS20" i="1"/>
  <c r="AS19" i="1"/>
  <c r="BW20" i="1"/>
  <c r="BW21" i="1" s="1"/>
  <c r="BY21" i="1" s="1"/>
  <c r="AI21" i="1" s="1" a="1"/>
  <c r="AI21" i="1" s="1"/>
  <c r="AL21" i="1" s="1"/>
  <c r="AS47" i="1"/>
  <c r="AS14" i="1"/>
  <c r="AS15" i="1"/>
  <c r="AS21" i="1"/>
  <c r="D79" i="10" a="1"/>
  <c r="D79" i="10" s="1"/>
  <c r="AS32" i="1"/>
  <c r="AS52" i="1"/>
  <c r="AS41" i="1"/>
  <c r="BW124" i="1"/>
  <c r="BW125" i="1" s="1"/>
  <c r="BW126" i="1" s="1"/>
  <c r="BY126" i="1" s="1"/>
  <c r="AS35" i="1"/>
  <c r="AS45" i="1"/>
  <c r="AS44" i="1"/>
  <c r="AS40" i="1"/>
  <c r="AS49" i="1"/>
  <c r="BW72" i="1"/>
  <c r="BW73" i="1" s="1"/>
  <c r="BY73" i="1" s="1"/>
  <c r="D63" i="10" s="1" a="1"/>
  <c r="D63" i="10" s="1"/>
  <c r="AS34" i="1"/>
  <c r="AS31" i="1"/>
  <c r="AS30" i="1"/>
  <c r="AS38" i="1"/>
  <c r="AS42" i="1"/>
  <c r="AS55" i="1"/>
  <c r="AS54" i="1"/>
  <c r="AS29" i="1"/>
  <c r="AS60" i="1"/>
  <c r="AS50" i="1"/>
  <c r="BN63" i="1" a="1"/>
  <c r="BZ25" i="1"/>
  <c r="BW76" i="1"/>
  <c r="BW77" i="1" s="1"/>
  <c r="BY77" i="1" s="1"/>
  <c r="D64" i="10" s="1" a="1"/>
  <c r="D64" i="10" s="1"/>
  <c r="BW24" i="1"/>
  <c r="BW25" i="1" s="1"/>
  <c r="BY25" i="1" s="1"/>
  <c r="AI25" i="1" s="1" a="1"/>
  <c r="AI25" i="1" s="1"/>
  <c r="AS26" i="1"/>
  <c r="AS36" i="1"/>
  <c r="AS56" i="1"/>
  <c r="AS57" i="1"/>
  <c r="AS53" i="1"/>
  <c r="AS37" i="1"/>
  <c r="AS27" i="1"/>
  <c r="BW108" i="1"/>
  <c r="BW109" i="1" s="1"/>
  <c r="AS39" i="1"/>
  <c r="AS28" i="1"/>
  <c r="AS51" i="1"/>
  <c r="AS59" i="1"/>
  <c r="AS58" i="1"/>
  <c r="BW100" i="1"/>
  <c r="BW101" i="1" s="1"/>
  <c r="BW116" i="1"/>
  <c r="BW117" i="1" s="1"/>
  <c r="BY117" i="1" s="1"/>
  <c r="AI117" i="1" s="1" a="1"/>
  <c r="AI117" i="1" s="1"/>
  <c r="AL117" i="1" s="1"/>
  <c r="BW133" i="1"/>
  <c r="BY133" i="1" s="1"/>
  <c r="D78" i="10" s="1" a="1"/>
  <c r="D78" i="10" s="1"/>
  <c r="AS33" i="1"/>
  <c r="AS48" i="1"/>
  <c r="AS43" i="1"/>
  <c r="AS25" i="1"/>
  <c r="AS46" i="1"/>
  <c r="K13" i="13"/>
  <c r="BN102" i="1" a="1"/>
  <c r="BN102" i="1" s="1"/>
  <c r="BW84" i="1"/>
  <c r="BW85" i="1" s="1"/>
  <c r="BY85" i="1" s="1"/>
  <c r="BW92" i="1"/>
  <c r="BW93" i="1" s="1"/>
  <c r="BY93" i="1" s="1"/>
  <c r="AI93" i="1" s="1" a="1"/>
  <c r="AI93" i="1" s="1"/>
  <c r="AL93" i="1" s="1"/>
  <c r="AM59" i="1"/>
  <c r="D65" i="10" a="1"/>
  <c r="D65" i="10" s="1"/>
  <c r="AL81" i="1"/>
  <c r="D69" i="10" l="1" a="1"/>
  <c r="D69" i="10" s="1"/>
  <c r="AM97" i="1"/>
  <c r="AI29" i="1" a="1"/>
  <c r="AI29" i="1" s="1"/>
  <c r="AL29" i="1" s="1"/>
  <c r="D58" i="10" a="1"/>
  <c r="D58" i="10" s="1"/>
  <c r="AI33" i="1" a="1"/>
  <c r="AI33" i="1" s="1"/>
  <c r="AL33" i="1" s="1"/>
  <c r="D77" i="10" a="1"/>
  <c r="D77" i="10" s="1"/>
  <c r="BO111" i="1"/>
  <c r="BO110" i="1" s="1"/>
  <c r="BQ109" i="1" s="1"/>
  <c r="BT66" i="1"/>
  <c r="BV66" i="1" s="1"/>
  <c r="BV67" i="1" s="1"/>
  <c r="BV68" i="1" s="1"/>
  <c r="BV69" i="1" s="1"/>
  <c r="BX69" i="1" s="1"/>
  <c r="BN67" i="1"/>
  <c r="BN68" i="1" s="1"/>
  <c r="BN69" i="1" s="1"/>
  <c r="BP69" i="1" s="1"/>
  <c r="AM130" i="1"/>
  <c r="AL130" i="1"/>
  <c r="BO67" i="1"/>
  <c r="BO68" i="1" s="1"/>
  <c r="BO69" i="1" s="1"/>
  <c r="BQ69" i="1" s="1"/>
  <c r="AM51" i="1"/>
  <c r="BP101" i="1"/>
  <c r="BR101" i="1" s="1"/>
  <c r="BT102" i="1"/>
  <c r="BV102" i="1" s="1"/>
  <c r="BV103" i="1" s="1"/>
  <c r="BV104" i="1" s="1"/>
  <c r="BV105" i="1" s="1"/>
  <c r="BX105" i="1" s="1"/>
  <c r="BQ101" i="1"/>
  <c r="AI133" i="1" a="1"/>
  <c r="AI133" i="1" s="1"/>
  <c r="AL133" i="1" s="1"/>
  <c r="AM117" i="1"/>
  <c r="AI73" i="1" a="1"/>
  <c r="AI73" i="1" s="1"/>
  <c r="AL73" i="1" s="1"/>
  <c r="AI38" i="1" a="1"/>
  <c r="AI38" i="1" s="1"/>
  <c r="AM38" i="1" s="1"/>
  <c r="D51" i="10" a="1"/>
  <c r="D51" i="10" s="1"/>
  <c r="D50" i="10" a="1"/>
  <c r="D50" i="10" s="1"/>
  <c r="AM21" i="1"/>
  <c r="D48" i="10" a="1"/>
  <c r="D48" i="10" s="1"/>
  <c r="AI17" i="1" a="1"/>
  <c r="AI17" i="1" s="1"/>
  <c r="D68" i="10" a="1"/>
  <c r="D68" i="10" s="1"/>
  <c r="AM93" i="1"/>
  <c r="AM135" i="1"/>
  <c r="AL135" i="1"/>
  <c r="D74" i="10" a="1"/>
  <c r="D74" i="10" s="1"/>
  <c r="AI121" i="1" a="1"/>
  <c r="AI121" i="1" s="1"/>
  <c r="AM121" i="1" s="1"/>
  <c r="AI47" i="1" a="1"/>
  <c r="AI47" i="1" s="1"/>
  <c r="AM89" i="1"/>
  <c r="AL89" i="1"/>
  <c r="BN112" i="1"/>
  <c r="D67" i="10" a="1"/>
  <c r="D67" i="10" s="1"/>
  <c r="BN63" i="1"/>
  <c r="BO62" i="1"/>
  <c r="BO64" i="1"/>
  <c r="BO65" i="1" s="1"/>
  <c r="BQ65" i="1" s="1"/>
  <c r="D76" i="10" a="1"/>
  <c r="D76" i="10" s="1"/>
  <c r="AI126" i="1" a="1"/>
  <c r="AI126" i="1" s="1"/>
  <c r="D66" i="10" a="1"/>
  <c r="D66" i="10" s="1"/>
  <c r="AI85" i="1" a="1"/>
  <c r="AI85" i="1" s="1"/>
  <c r="BO103" i="1"/>
  <c r="BO104" i="1" s="1"/>
  <c r="BO105" i="1" s="1"/>
  <c r="BQ105" i="1" s="1"/>
  <c r="BU102" i="1"/>
  <c r="BW102" i="1" s="1"/>
  <c r="BY101" i="1" s="1"/>
  <c r="AL25" i="1"/>
  <c r="AM25" i="1"/>
  <c r="AI77" i="1" a="1"/>
  <c r="AI77" i="1" s="1"/>
  <c r="BU66" i="1"/>
  <c r="BW66" i="1" s="1"/>
  <c r="BN103" i="1"/>
  <c r="BN104" i="1" s="1"/>
  <c r="BN105" i="1" s="1"/>
  <c r="BP105" i="1" s="1"/>
  <c r="AM13" i="1"/>
  <c r="AL13" i="1"/>
  <c r="AM33" i="1"/>
  <c r="AM55" i="1"/>
  <c r="AL55" i="1"/>
  <c r="AM29" i="1" l="1"/>
  <c r="AG101" i="1" a="1"/>
  <c r="AM133" i="1"/>
  <c r="AL38" i="1"/>
  <c r="AM73" i="1"/>
  <c r="BW67" i="1"/>
  <c r="BW68" i="1" s="1"/>
  <c r="BW69" i="1" s="1"/>
  <c r="BY69" i="1" s="1"/>
  <c r="D62" i="10" s="1" a="1"/>
  <c r="D62" i="10" s="1"/>
  <c r="BX101" i="1"/>
  <c r="BZ101" i="1" s="1"/>
  <c r="BN113" i="1"/>
  <c r="BP113" i="1" s="1"/>
  <c r="BN111" i="1"/>
  <c r="BN110" i="1" s="1"/>
  <c r="BT110" i="1" s="1"/>
  <c r="AL47" i="1"/>
  <c r="AM47" i="1"/>
  <c r="AL121" i="1"/>
  <c r="AM17" i="1"/>
  <c r="AL17" i="1"/>
  <c r="AL85" i="1"/>
  <c r="AM85" i="1"/>
  <c r="AM77" i="1"/>
  <c r="AL77" i="1"/>
  <c r="AL126" i="1"/>
  <c r="AM126" i="1"/>
  <c r="BQ61" i="1"/>
  <c r="BW103" i="1"/>
  <c r="BW104" i="1" s="1"/>
  <c r="BW105" i="1" s="1"/>
  <c r="BY105" i="1" s="1"/>
  <c r="AI105" i="1" s="1" a="1"/>
  <c r="AI105" i="1" s="1"/>
  <c r="BN62" i="1"/>
  <c r="BT62" i="1" s="1"/>
  <c r="BN64" i="1"/>
  <c r="BN65" i="1" s="1"/>
  <c r="BP65" i="1" s="1"/>
  <c r="AG65" i="1" s="1" a="1"/>
  <c r="AG65" i="1" s="1"/>
  <c r="D19" i="10" s="1" a="1"/>
  <c r="D19" i="10" s="1"/>
  <c r="AG69" i="1" a="1"/>
  <c r="AG69" i="1" s="1"/>
  <c r="D20" i="10" s="1" a="1"/>
  <c r="D20" i="10" s="1"/>
  <c r="BR69" i="1"/>
  <c r="BR105" i="1"/>
  <c r="AG105" i="1" a="1"/>
  <c r="AG105" i="1" s="1"/>
  <c r="D29" i="10" s="1" a="1"/>
  <c r="D29" i="10" s="1"/>
  <c r="BZ105" i="1"/>
  <c r="AG101" i="1"/>
  <c r="D28" i="10" s="1" a="1"/>
  <c r="D28" i="10" s="1"/>
  <c r="BZ69" i="1"/>
  <c r="AI101" i="1" l="1" a="1"/>
  <c r="AI101" i="1" s="1"/>
  <c r="AM101" i="1" s="1"/>
  <c r="D70" i="10" a="1"/>
  <c r="D70" i="10" s="1"/>
  <c r="BU62" i="1"/>
  <c r="BW62" i="1" s="1"/>
  <c r="BY61" i="1" s="1"/>
  <c r="BV110" i="1"/>
  <c r="BU110" i="1"/>
  <c r="BW110" i="1" s="1"/>
  <c r="BP109" i="1"/>
  <c r="BR113" i="1"/>
  <c r="AG113" i="1" a="1"/>
  <c r="AG113" i="1" s="1"/>
  <c r="D31" i="10" s="1" a="1"/>
  <c r="D31" i="10" s="1"/>
  <c r="BR65" i="1"/>
  <c r="AR110" i="1" a="1"/>
  <c r="AR110" i="1" s="1"/>
  <c r="AR70" i="1" a="1"/>
  <c r="AR70" i="1" s="1"/>
  <c r="AR118" i="1" a="1"/>
  <c r="AR118" i="1" s="1"/>
  <c r="AR75" i="1" a="1"/>
  <c r="AR75" i="1" s="1"/>
  <c r="AR74" i="1" a="1"/>
  <c r="AR74" i="1" s="1"/>
  <c r="AR79" i="1" a="1"/>
  <c r="AR79" i="1" s="1"/>
  <c r="AR98" i="1" a="1"/>
  <c r="AR98" i="1" s="1"/>
  <c r="AR83" i="1" a="1"/>
  <c r="AR83" i="1" s="1"/>
  <c r="AR87" i="1" a="1"/>
  <c r="AR87" i="1" s="1"/>
  <c r="AR117" i="1" a="1"/>
  <c r="AR117" i="1" s="1"/>
  <c r="AR137" i="1" a="1"/>
  <c r="AR137" i="1" s="1"/>
  <c r="AR134" i="1" a="1"/>
  <c r="AR134" i="1" s="1"/>
  <c r="AR94" i="1" a="1"/>
  <c r="AR94" i="1" s="1"/>
  <c r="AR90" i="1" a="1"/>
  <c r="AR90" i="1" s="1"/>
  <c r="AR107" i="1" a="1"/>
  <c r="AR107" i="1" s="1"/>
  <c r="AR109" i="1" a="1"/>
  <c r="AR109" i="1" s="1"/>
  <c r="AR61" i="1" a="1"/>
  <c r="AR61" i="1" s="1"/>
  <c r="AR103" i="1" a="1"/>
  <c r="AR103" i="1" s="1"/>
  <c r="AR138" i="1" a="1"/>
  <c r="AR138" i="1" s="1"/>
  <c r="AR125" i="1" a="1"/>
  <c r="AR125" i="1" s="1"/>
  <c r="AR88" i="1" a="1"/>
  <c r="AR88" i="1" s="1"/>
  <c r="AR97" i="1" a="1"/>
  <c r="AR97" i="1" s="1"/>
  <c r="AR76" i="1" a="1"/>
  <c r="AR76" i="1" s="1"/>
  <c r="AR82" i="1" a="1"/>
  <c r="AR82" i="1" s="1"/>
  <c r="AR73" i="1" a="1"/>
  <c r="AR73" i="1" s="1"/>
  <c r="AR114" i="1" a="1"/>
  <c r="AR114" i="1" s="1"/>
  <c r="AR85" i="1" a="1"/>
  <c r="AR85" i="1" s="1"/>
  <c r="AR132" i="1" a="1"/>
  <c r="AR132" i="1" s="1"/>
  <c r="AR81" i="1" a="1"/>
  <c r="AR81" i="1" s="1"/>
  <c r="AR86" i="1" a="1"/>
  <c r="AR86" i="1" s="1"/>
  <c r="AR135" i="1" a="1"/>
  <c r="AR135" i="1" s="1"/>
  <c r="AR96" i="1" a="1"/>
  <c r="AR96" i="1" s="1"/>
  <c r="AR128" i="1" a="1"/>
  <c r="AR128" i="1" s="1"/>
  <c r="AR127" i="1" a="1"/>
  <c r="AR127" i="1" s="1"/>
  <c r="AR112" i="1" a="1"/>
  <c r="AR112" i="1" s="1"/>
  <c r="AR104" i="1" a="1"/>
  <c r="AR104" i="1" s="1"/>
  <c r="AR108" i="1" a="1"/>
  <c r="AR108" i="1" s="1"/>
  <c r="AR78" i="1" a="1"/>
  <c r="AR78" i="1" s="1"/>
  <c r="AR106" i="1" a="1"/>
  <c r="AR106" i="1" s="1"/>
  <c r="AR80" i="1" a="1"/>
  <c r="AR80" i="1" s="1"/>
  <c r="AR93" i="1" a="1"/>
  <c r="AR93" i="1" s="1"/>
  <c r="AR89" i="1" a="1"/>
  <c r="AR89" i="1" s="1"/>
  <c r="AR62" i="1" a="1"/>
  <c r="AR62" i="1" s="1"/>
  <c r="AR129" i="1" a="1"/>
  <c r="AR129" i="1" s="1"/>
  <c r="AR71" i="1" a="1"/>
  <c r="AR71" i="1" s="1"/>
  <c r="AR66" i="1" a="1"/>
  <c r="AR66" i="1" s="1"/>
  <c r="AR69" i="1" a="1"/>
  <c r="AR69" i="1" s="1"/>
  <c r="AR63" i="1" a="1"/>
  <c r="AR63" i="1" s="1"/>
  <c r="AR105" i="1" a="1"/>
  <c r="AR105" i="1" s="1"/>
  <c r="AR102" i="1" a="1"/>
  <c r="AR102" i="1" s="1"/>
  <c r="AR131" i="1" a="1"/>
  <c r="AR131" i="1" s="1"/>
  <c r="AR92" i="1" a="1"/>
  <c r="AR92" i="1" s="1"/>
  <c r="AR67" i="1" a="1"/>
  <c r="AR67" i="1" s="1"/>
  <c r="AR119" i="1" a="1"/>
  <c r="AR119" i="1" s="1"/>
  <c r="AR136" i="1" a="1"/>
  <c r="AR136" i="1" s="1"/>
  <c r="AR122" i="1" a="1"/>
  <c r="AR122" i="1" s="1"/>
  <c r="AR101" i="1" a="1"/>
  <c r="AR101" i="1" s="1"/>
  <c r="AR124" i="1" a="1"/>
  <c r="AR124" i="1" s="1"/>
  <c r="AR65" i="1" a="1"/>
  <c r="AR65" i="1" s="1"/>
  <c r="AR77" i="1" a="1"/>
  <c r="AR77" i="1" s="1"/>
  <c r="AR115" i="1" a="1"/>
  <c r="AR115" i="1" s="1"/>
  <c r="AR113" i="1" a="1"/>
  <c r="AR113" i="1" s="1"/>
  <c r="AR100" i="1" a="1"/>
  <c r="AR100" i="1" s="1"/>
  <c r="AR99" i="1" a="1"/>
  <c r="AR99" i="1" s="1"/>
  <c r="AR116" i="1" a="1"/>
  <c r="AR116" i="1" s="1"/>
  <c r="AR121" i="1" a="1"/>
  <c r="AR121" i="1" s="1"/>
  <c r="AR126" i="1" a="1"/>
  <c r="AR126" i="1" s="1"/>
  <c r="AR111" i="1" a="1"/>
  <c r="AR111" i="1" s="1"/>
  <c r="AR84" i="1" a="1"/>
  <c r="AR84" i="1" s="1"/>
  <c r="AR72" i="1" a="1"/>
  <c r="AR72" i="1" s="1"/>
  <c r="AR91" i="1" a="1"/>
  <c r="AR91" i="1" s="1"/>
  <c r="AR64" i="1" a="1"/>
  <c r="AR64" i="1" s="1"/>
  <c r="AR95" i="1" a="1"/>
  <c r="AR95" i="1" s="1"/>
  <c r="AR123" i="1" a="1"/>
  <c r="AR123" i="1" s="1"/>
  <c r="AR120" i="1" a="1"/>
  <c r="AR120" i="1" s="1"/>
  <c r="AR130" i="1" a="1"/>
  <c r="AR130" i="1" s="1"/>
  <c r="AR133" i="1" a="1"/>
  <c r="AR133" i="1" s="1"/>
  <c r="AR68" i="1" a="1"/>
  <c r="AR68" i="1" s="1"/>
  <c r="BV62" i="1"/>
  <c r="BW63" i="1" s="1"/>
  <c r="BP61" i="1"/>
  <c r="AL105" i="1"/>
  <c r="AM105" i="1"/>
  <c r="D71" i="10" a="1"/>
  <c r="D71" i="10" s="1"/>
  <c r="AI69" i="1" a="1"/>
  <c r="AI69" i="1" s="1"/>
  <c r="AL101" i="1" l="1"/>
  <c r="AG109" i="1" a="1"/>
  <c r="AG109" i="1" s="1"/>
  <c r="D30" i="10" s="1" a="1"/>
  <c r="D30" i="10" s="1"/>
  <c r="BR109" i="1"/>
  <c r="BW111" i="1"/>
  <c r="BY109" i="1"/>
  <c r="BV111" i="1"/>
  <c r="BV112" i="1" s="1"/>
  <c r="BV113" i="1" s="1"/>
  <c r="BX113" i="1" s="1"/>
  <c r="BZ113" i="1" s="1"/>
  <c r="BX109" i="1"/>
  <c r="BV63" i="1"/>
  <c r="BV64" i="1" s="1"/>
  <c r="BV65" i="1" s="1"/>
  <c r="BX65" i="1" s="1"/>
  <c r="BX61" i="1"/>
  <c r="BR61" i="1"/>
  <c r="AQ109" i="1"/>
  <c r="AQ69" i="1"/>
  <c r="AQ112" i="1"/>
  <c r="AQ131" i="1"/>
  <c r="AQ82" i="1"/>
  <c r="AQ107" i="1"/>
  <c r="AQ99" i="1"/>
  <c r="AQ101" i="1"/>
  <c r="AQ75" i="1"/>
  <c r="AQ133" i="1"/>
  <c r="AQ73" i="1"/>
  <c r="AQ67" i="1"/>
  <c r="AQ135" i="1"/>
  <c r="AQ126" i="1"/>
  <c r="AQ91" i="1"/>
  <c r="AQ88" i="1"/>
  <c r="AQ115" i="1"/>
  <c r="AQ95" i="1"/>
  <c r="AQ122" i="1"/>
  <c r="AQ134" i="1"/>
  <c r="AQ66" i="1"/>
  <c r="AQ72" i="1"/>
  <c r="AQ78" i="1"/>
  <c r="AQ87" i="1"/>
  <c r="AQ77" i="1"/>
  <c r="AQ137" i="1"/>
  <c r="AQ68" i="1"/>
  <c r="AQ124" i="1"/>
  <c r="AQ118" i="1"/>
  <c r="AQ61" i="1"/>
  <c r="AQ63" i="1"/>
  <c r="AQ106" i="1"/>
  <c r="AQ86" i="1"/>
  <c r="AQ62" i="1"/>
  <c r="AQ114" i="1"/>
  <c r="AQ71" i="1"/>
  <c r="AQ94" i="1"/>
  <c r="AQ105" i="1"/>
  <c r="AQ110" i="1"/>
  <c r="AQ113" i="1"/>
  <c r="AQ123" i="1"/>
  <c r="AQ121" i="1"/>
  <c r="AQ104" i="1"/>
  <c r="AQ130" i="1"/>
  <c r="AQ111" i="1"/>
  <c r="AQ102" i="1"/>
  <c r="AQ103" i="1"/>
  <c r="AQ132" i="1"/>
  <c r="AQ83" i="1"/>
  <c r="AQ98" i="1"/>
  <c r="AQ128" i="1"/>
  <c r="AQ89" i="1"/>
  <c r="AQ100" i="1"/>
  <c r="AQ125" i="1"/>
  <c r="AQ96" i="1"/>
  <c r="AQ119" i="1"/>
  <c r="AQ81" i="1"/>
  <c r="AQ74" i="1"/>
  <c r="AQ97" i="1"/>
  <c r="AQ108" i="1"/>
  <c r="AQ127" i="1"/>
  <c r="AQ70" i="1"/>
  <c r="AQ117" i="1"/>
  <c r="AQ65" i="1"/>
  <c r="AQ90" i="1"/>
  <c r="AQ80" i="1"/>
  <c r="AQ138" i="1"/>
  <c r="AQ85" i="1"/>
  <c r="AG61" i="1" a="1"/>
  <c r="AQ84" i="1"/>
  <c r="AQ76" i="1"/>
  <c r="AQ92" i="1"/>
  <c r="AQ129" i="1"/>
  <c r="AQ93" i="1"/>
  <c r="AQ120" i="1"/>
  <c r="AQ79" i="1"/>
  <c r="AQ136" i="1"/>
  <c r="AQ116" i="1"/>
  <c r="AQ64" i="1"/>
  <c r="AL69" i="1"/>
  <c r="AM69" i="1"/>
  <c r="G38" i="15" l="1"/>
  <c r="G38" i="17"/>
  <c r="G38" i="16"/>
  <c r="G29" i="10" a="1"/>
  <c r="G29" i="10" s="1"/>
  <c r="G37" i="10" a="1"/>
  <c r="G37" i="10" s="1"/>
  <c r="G23" i="10" a="1"/>
  <c r="G23" i="10" s="1"/>
  <c r="G22" i="10" a="1"/>
  <c r="G22" i="10" s="1"/>
  <c r="G30" i="10" a="1"/>
  <c r="G30" i="10" s="1"/>
  <c r="G34" i="10" a="1"/>
  <c r="G34" i="10" s="1"/>
  <c r="G24" i="10" a="1"/>
  <c r="G24" i="10" s="1"/>
  <c r="G35" i="10" a="1"/>
  <c r="G35" i="10" s="1"/>
  <c r="G27" i="10" a="1"/>
  <c r="G27" i="10" s="1"/>
  <c r="G21" i="10" a="1"/>
  <c r="G21" i="10" s="1"/>
  <c r="G33" i="10" a="1"/>
  <c r="G33" i="10" s="1"/>
  <c r="G36" i="10" a="1"/>
  <c r="G36" i="10" s="1"/>
  <c r="G19" i="10" a="1"/>
  <c r="G19" i="10" s="1"/>
  <c r="G31" i="10" a="1"/>
  <c r="G31" i="10" s="1"/>
  <c r="G28" i="10" a="1"/>
  <c r="G28" i="10" s="1"/>
  <c r="G18" i="10" a="1"/>
  <c r="G18" i="10" s="1"/>
  <c r="G25" i="10" a="1"/>
  <c r="G25" i="10" s="1"/>
  <c r="G38" i="10"/>
  <c r="I38" i="10" s="1"/>
  <c r="G26" i="10" a="1"/>
  <c r="G26" i="10" s="1"/>
  <c r="G20" i="10" a="1"/>
  <c r="G20" i="10" s="1"/>
  <c r="G32" i="10" a="1"/>
  <c r="G32" i="10" s="1"/>
  <c r="AS138" i="1"/>
  <c r="AI109" i="1" a="1"/>
  <c r="AI109" i="1" s="1"/>
  <c r="D72" i="10" a="1"/>
  <c r="D72" i="10" s="1"/>
  <c r="BZ109" i="1"/>
  <c r="BW112" i="1"/>
  <c r="BW113" i="1" s="1"/>
  <c r="BY113" i="1" s="1"/>
  <c r="AI113" i="1" s="1" a="1"/>
  <c r="AI113" i="1" s="1"/>
  <c r="AS111" i="1"/>
  <c r="AS83" i="1"/>
  <c r="AS79" i="1"/>
  <c r="AS75" i="1"/>
  <c r="AS131" i="1"/>
  <c r="AS91" i="1"/>
  <c r="AS99" i="1"/>
  <c r="AS108" i="1"/>
  <c r="AS77" i="1"/>
  <c r="AS90" i="1"/>
  <c r="AS113" i="1"/>
  <c r="AS129" i="1"/>
  <c r="AS69" i="1"/>
  <c r="AS80" i="1"/>
  <c r="AS137" i="1"/>
  <c r="AS104" i="1"/>
  <c r="AS62" i="1"/>
  <c r="AS85" i="1"/>
  <c r="AS71" i="1"/>
  <c r="AS114" i="1"/>
  <c r="AS96" i="1"/>
  <c r="AS106" i="1"/>
  <c r="AS92" i="1"/>
  <c r="AS132" i="1"/>
  <c r="AS136" i="1"/>
  <c r="AS84" i="1"/>
  <c r="AS120" i="1"/>
  <c r="AS94" i="1"/>
  <c r="AS89" i="1"/>
  <c r="AS110" i="1"/>
  <c r="AS122" i="1"/>
  <c r="AS93" i="1"/>
  <c r="AS64" i="1"/>
  <c r="AS118" i="1"/>
  <c r="AS123" i="1"/>
  <c r="AS133" i="1"/>
  <c r="AS100" i="1"/>
  <c r="AS125" i="1"/>
  <c r="AS112" i="1"/>
  <c r="BZ61" i="1"/>
  <c r="AS103" i="1"/>
  <c r="AS127" i="1"/>
  <c r="AS135" i="1"/>
  <c r="AS95" i="1"/>
  <c r="AS63" i="1"/>
  <c r="AS67" i="1"/>
  <c r="AS124" i="1"/>
  <c r="AS68" i="1"/>
  <c r="AS109" i="1"/>
  <c r="AS73" i="1"/>
  <c r="AS70" i="1"/>
  <c r="AS66" i="1"/>
  <c r="AS76" i="1"/>
  <c r="AS74" i="1"/>
  <c r="AS65" i="1"/>
  <c r="AS105" i="1"/>
  <c r="AI61" i="1" a="1"/>
  <c r="AS98" i="1"/>
  <c r="AS88" i="1"/>
  <c r="AS82" i="1"/>
  <c r="AS119" i="1"/>
  <c r="AS81" i="1"/>
  <c r="AS130" i="1"/>
  <c r="AS101" i="1"/>
  <c r="AS78" i="1"/>
  <c r="AS134" i="1"/>
  <c r="AS61" i="1"/>
  <c r="D60" i="10" a="1"/>
  <c r="D60" i="10" s="1"/>
  <c r="AS121" i="1"/>
  <c r="AS87" i="1"/>
  <c r="AS107" i="1"/>
  <c r="AS126" i="1"/>
  <c r="AS117" i="1"/>
  <c r="AS102" i="1"/>
  <c r="AS97" i="1"/>
  <c r="AS72" i="1"/>
  <c r="AS115" i="1"/>
  <c r="AS116" i="1"/>
  <c r="AS86" i="1"/>
  <c r="AS128" i="1"/>
  <c r="BZ65" i="1"/>
  <c r="AG61" i="1"/>
  <c r="AH139" i="1" a="1"/>
  <c r="AH139" i="1" s="1"/>
  <c r="BW64" i="1"/>
  <c r="BW65" i="1" s="1"/>
  <c r="BY65" i="1" s="1"/>
  <c r="I33" i="10" l="1"/>
  <c r="AC33" i="10" s="1"/>
  <c r="H32" i="16"/>
  <c r="I38" i="16"/>
  <c r="H15" i="16"/>
  <c r="H28" i="16"/>
  <c r="H18" i="16"/>
  <c r="H27" i="16"/>
  <c r="H10" i="16"/>
  <c r="H26" i="16"/>
  <c r="H4" i="16"/>
  <c r="H12" i="16"/>
  <c r="H33" i="16"/>
  <c r="I4" i="16"/>
  <c r="H30" i="16"/>
  <c r="H37" i="16"/>
  <c r="H7" i="16"/>
  <c r="H14" i="16"/>
  <c r="H16" i="16"/>
  <c r="H35" i="16"/>
  <c r="H31" i="16"/>
  <c r="H11" i="16"/>
  <c r="H22" i="16"/>
  <c r="H6" i="16"/>
  <c r="H34" i="16"/>
  <c r="H9" i="16"/>
  <c r="H36" i="16"/>
  <c r="H20" i="16"/>
  <c r="H23" i="16"/>
  <c r="H21" i="16"/>
  <c r="H29" i="16"/>
  <c r="H24" i="16"/>
  <c r="H8" i="16"/>
  <c r="H13" i="16"/>
  <c r="I6" i="16"/>
  <c r="H25" i="16"/>
  <c r="H19" i="16"/>
  <c r="H17" i="16"/>
  <c r="I12" i="16"/>
  <c r="I8" i="16"/>
  <c r="I34" i="16"/>
  <c r="I36" i="16"/>
  <c r="I15" i="16"/>
  <c r="I10" i="16"/>
  <c r="I19" i="16"/>
  <c r="I16" i="16"/>
  <c r="I20" i="16"/>
  <c r="I27" i="16"/>
  <c r="I26" i="16"/>
  <c r="I24" i="16"/>
  <c r="I18" i="16"/>
  <c r="I35" i="16"/>
  <c r="I25" i="16"/>
  <c r="I7" i="16"/>
  <c r="I29" i="16"/>
  <c r="I31" i="16"/>
  <c r="I32" i="16"/>
  <c r="I21" i="16"/>
  <c r="I28" i="16"/>
  <c r="I11" i="16"/>
  <c r="I14" i="16"/>
  <c r="I9" i="16"/>
  <c r="I22" i="16"/>
  <c r="I30" i="16"/>
  <c r="I33" i="16"/>
  <c r="I37" i="16"/>
  <c r="I13" i="16"/>
  <c r="I17" i="16"/>
  <c r="I23" i="16"/>
  <c r="I29" i="10"/>
  <c r="AA29" i="10" s="1"/>
  <c r="H11" i="17"/>
  <c r="I4" i="17"/>
  <c r="H4" i="17"/>
  <c r="I17" i="17"/>
  <c r="I8" i="17"/>
  <c r="I18" i="17"/>
  <c r="H32" i="17"/>
  <c r="H8" i="17"/>
  <c r="I24" i="17"/>
  <c r="H12" i="17"/>
  <c r="I25" i="17"/>
  <c r="I12" i="17"/>
  <c r="I28" i="17"/>
  <c r="I35" i="17"/>
  <c r="H18" i="17"/>
  <c r="I6" i="17"/>
  <c r="I7" i="17"/>
  <c r="I21" i="17"/>
  <c r="I29" i="17"/>
  <c r="I22" i="17"/>
  <c r="I16" i="17"/>
  <c r="H5" i="17"/>
  <c r="I19" i="17"/>
  <c r="I9" i="17"/>
  <c r="I34" i="17"/>
  <c r="I14" i="17"/>
  <c r="H22" i="17"/>
  <c r="I38" i="17"/>
  <c r="H30" i="17"/>
  <c r="I30" i="17"/>
  <c r="I33" i="17"/>
  <c r="H14" i="17"/>
  <c r="H24" i="17"/>
  <c r="H20" i="17"/>
  <c r="H15" i="17"/>
  <c r="H31" i="17"/>
  <c r="H9" i="17"/>
  <c r="I32" i="17"/>
  <c r="H34" i="17"/>
  <c r="I31" i="17"/>
  <c r="H28" i="17"/>
  <c r="H26" i="17"/>
  <c r="H27" i="17"/>
  <c r="I13" i="17"/>
  <c r="H25" i="17"/>
  <c r="I37" i="17"/>
  <c r="H10" i="17"/>
  <c r="H36" i="17"/>
  <c r="I11" i="17"/>
  <c r="H17" i="17"/>
  <c r="H37" i="17"/>
  <c r="H13" i="17"/>
  <c r="I15" i="17"/>
  <c r="I23" i="17"/>
  <c r="H19" i="17"/>
  <c r="H33" i="17"/>
  <c r="H6" i="17"/>
  <c r="H23" i="17"/>
  <c r="H16" i="17"/>
  <c r="I10" i="17"/>
  <c r="I36" i="17"/>
  <c r="I5" i="17"/>
  <c r="I20" i="17"/>
  <c r="H7" i="17"/>
  <c r="I27" i="17"/>
  <c r="I26" i="17"/>
  <c r="H35" i="17"/>
  <c r="H21" i="17"/>
  <c r="H29" i="17"/>
  <c r="G80" i="17"/>
  <c r="G80" i="16"/>
  <c r="I34" i="10"/>
  <c r="AB34" i="10" s="1"/>
  <c r="I14" i="10"/>
  <c r="AB14" i="10" s="1"/>
  <c r="J11" i="10"/>
  <c r="I15" i="10"/>
  <c r="AC15" i="10" s="1"/>
  <c r="J12" i="10"/>
  <c r="I32" i="10"/>
  <c r="AC32" i="10" s="1"/>
  <c r="I31" i="10"/>
  <c r="AC31" i="10" s="1"/>
  <c r="I21" i="10"/>
  <c r="AB21" i="10" s="1"/>
  <c r="I25" i="10"/>
  <c r="AA25" i="10" s="1"/>
  <c r="J29" i="10"/>
  <c r="J32" i="10"/>
  <c r="I4" i="10"/>
  <c r="AC4" i="10" s="1"/>
  <c r="J14" i="10"/>
  <c r="I11" i="10"/>
  <c r="AB11" i="10" s="1"/>
  <c r="J4" i="10"/>
  <c r="J5" i="10"/>
  <c r="I9" i="10"/>
  <c r="AC9" i="10" s="1"/>
  <c r="J10" i="10"/>
  <c r="I8" i="10"/>
  <c r="I30" i="10"/>
  <c r="AA30" i="10" s="1"/>
  <c r="J17" i="10"/>
  <c r="J16" i="10"/>
  <c r="I16" i="10"/>
  <c r="AA16" i="10" s="1"/>
  <c r="I23" i="10"/>
  <c r="AB23" i="10" s="1"/>
  <c r="I27" i="10"/>
  <c r="AA27" i="10" s="1"/>
  <c r="I10" i="10"/>
  <c r="I5" i="10"/>
  <c r="AA5" i="10" s="1"/>
  <c r="I19" i="10"/>
  <c r="AC19" i="10" s="1"/>
  <c r="I36" i="10"/>
  <c r="AC36" i="10" s="1"/>
  <c r="I22" i="10"/>
  <c r="J9" i="10"/>
  <c r="I6" i="10"/>
  <c r="AA6" i="10" s="1"/>
  <c r="I7" i="10"/>
  <c r="AA7" i="10" s="1"/>
  <c r="J19" i="10"/>
  <c r="J27" i="10"/>
  <c r="I28" i="10"/>
  <c r="I24" i="10"/>
  <c r="AA24" i="10" s="1"/>
  <c r="I37" i="10"/>
  <c r="AA37" i="10" s="1"/>
  <c r="J15" i="10"/>
  <c r="I17" i="10"/>
  <c r="J13" i="10"/>
  <c r="J7" i="10"/>
  <c r="J23" i="10"/>
  <c r="I18" i="10"/>
  <c r="AC18" i="10" s="1"/>
  <c r="I35" i="10"/>
  <c r="AA35" i="10" s="1"/>
  <c r="I20" i="10"/>
  <c r="J8" i="10"/>
  <c r="I13" i="10"/>
  <c r="AB13" i="10" s="1"/>
  <c r="I12" i="10"/>
  <c r="J25" i="10"/>
  <c r="I26" i="10"/>
  <c r="AC26" i="10" s="1"/>
  <c r="G80" i="10"/>
  <c r="G80" i="15"/>
  <c r="J35" i="10"/>
  <c r="I38" i="15"/>
  <c r="J20" i="10"/>
  <c r="J24" i="10"/>
  <c r="J22" i="10"/>
  <c r="J18" i="10"/>
  <c r="J6" i="10"/>
  <c r="J26" i="10"/>
  <c r="J21" i="10"/>
  <c r="J34" i="10"/>
  <c r="J37" i="10"/>
  <c r="J30" i="10"/>
  <c r="J28" i="10"/>
  <c r="J31" i="10"/>
  <c r="J36" i="10"/>
  <c r="J33" i="10"/>
  <c r="D73" i="10" a="1"/>
  <c r="D73" i="10" s="1"/>
  <c r="AM113" i="1"/>
  <c r="AL113" i="1"/>
  <c r="AL109" i="1"/>
  <c r="AM109" i="1"/>
  <c r="D18" i="10" a="1"/>
  <c r="D18" i="10" s="1"/>
  <c r="AG139" i="1"/>
  <c r="AI61" i="1"/>
  <c r="D61" i="10" a="1"/>
  <c r="D61" i="10" s="1"/>
  <c r="AI65" i="1" a="1"/>
  <c r="AI65" i="1" s="1"/>
  <c r="AA33" i="10" l="1"/>
  <c r="AB33" i="10"/>
  <c r="O34" i="10" s="1"/>
  <c r="M24" i="17"/>
  <c r="M29" i="17"/>
  <c r="M25" i="17"/>
  <c r="M31" i="16"/>
  <c r="P13" i="10"/>
  <c r="M4" i="17"/>
  <c r="M8" i="16"/>
  <c r="M13" i="17"/>
  <c r="AA13" i="10"/>
  <c r="M33" i="16"/>
  <c r="P14" i="10"/>
  <c r="AA21" i="10"/>
  <c r="AC21" i="10"/>
  <c r="L27" i="10"/>
  <c r="N33" i="10"/>
  <c r="AC25" i="10"/>
  <c r="Q26" i="10" s="1"/>
  <c r="M10" i="17"/>
  <c r="M18" i="17"/>
  <c r="M32" i="17"/>
  <c r="M21" i="16"/>
  <c r="M30" i="16"/>
  <c r="P34" i="10"/>
  <c r="L34" i="10"/>
  <c r="M34" i="16"/>
  <c r="AA14" i="10"/>
  <c r="N34" i="10"/>
  <c r="AA19" i="10"/>
  <c r="AB6" i="10"/>
  <c r="AA23" i="10"/>
  <c r="M24" i="10" s="1"/>
  <c r="N28" i="10"/>
  <c r="P22" i="10"/>
  <c r="Q4" i="10"/>
  <c r="M33" i="17"/>
  <c r="M36" i="17"/>
  <c r="M14" i="17"/>
  <c r="M8" i="17"/>
  <c r="M17" i="16"/>
  <c r="M6" i="16"/>
  <c r="M37" i="16"/>
  <c r="M27" i="16"/>
  <c r="M19" i="16"/>
  <c r="M18" i="16"/>
  <c r="AA4" i="10"/>
  <c r="M5" i="10" s="1"/>
  <c r="AC14" i="10"/>
  <c r="Q15" i="10" s="1"/>
  <c r="AA34" i="10"/>
  <c r="M5" i="17"/>
  <c r="M28" i="16"/>
  <c r="P4" i="10"/>
  <c r="AC29" i="10"/>
  <c r="N14" i="10"/>
  <c r="L36" i="10"/>
  <c r="AB25" i="10"/>
  <c r="P36" i="10"/>
  <c r="M16" i="17"/>
  <c r="M22" i="17"/>
  <c r="N23" i="10"/>
  <c r="P37" i="10"/>
  <c r="AB35" i="10"/>
  <c r="O35" i="10" s="1"/>
  <c r="P26" i="10"/>
  <c r="AC35" i="10"/>
  <c r="Q36" i="10" s="1"/>
  <c r="AC34" i="10"/>
  <c r="Q34" i="10" s="1"/>
  <c r="L21" i="10"/>
  <c r="N17" i="10"/>
  <c r="M17" i="17"/>
  <c r="N27" i="10"/>
  <c r="N8" i="10"/>
  <c r="M6" i="17"/>
  <c r="M28" i="17"/>
  <c r="M5" i="16"/>
  <c r="M7" i="16"/>
  <c r="M10" i="16"/>
  <c r="K11" i="17"/>
  <c r="L11" i="17"/>
  <c r="U11" i="17"/>
  <c r="V11" i="17"/>
  <c r="W11" i="17"/>
  <c r="M11" i="17"/>
  <c r="L10" i="10"/>
  <c r="K7" i="17"/>
  <c r="M7" i="17"/>
  <c r="U9" i="17"/>
  <c r="W9" i="17"/>
  <c r="V9" i="17"/>
  <c r="K9" i="17"/>
  <c r="L9" i="17"/>
  <c r="AA22" i="10"/>
  <c r="AB37" i="10"/>
  <c r="M34" i="17"/>
  <c r="K14" i="16"/>
  <c r="W14" i="16"/>
  <c r="L14" i="16"/>
  <c r="V14" i="16"/>
  <c r="U14" i="16"/>
  <c r="W25" i="16"/>
  <c r="L25" i="16"/>
  <c r="K25" i="16"/>
  <c r="V25" i="16"/>
  <c r="U25" i="16"/>
  <c r="U19" i="16"/>
  <c r="W19" i="16"/>
  <c r="K19" i="16"/>
  <c r="L19" i="16"/>
  <c r="V19" i="16"/>
  <c r="M22" i="16"/>
  <c r="AB22" i="10"/>
  <c r="O22" i="10" s="1"/>
  <c r="W5" i="17"/>
  <c r="K5" i="17"/>
  <c r="V5" i="17"/>
  <c r="U5" i="17"/>
  <c r="L5" i="17"/>
  <c r="W37" i="17"/>
  <c r="V37" i="17"/>
  <c r="L37" i="17"/>
  <c r="K37" i="17"/>
  <c r="U37" i="17"/>
  <c r="U18" i="17"/>
  <c r="V18" i="17"/>
  <c r="K18" i="17"/>
  <c r="L18" i="17"/>
  <c r="W18" i="17"/>
  <c r="U35" i="16"/>
  <c r="L35" i="16"/>
  <c r="V35" i="16"/>
  <c r="K35" i="16"/>
  <c r="W35" i="16"/>
  <c r="W10" i="16"/>
  <c r="L10" i="16"/>
  <c r="K10" i="16"/>
  <c r="V10" i="16"/>
  <c r="U10" i="16"/>
  <c r="M25" i="16"/>
  <c r="U4" i="16"/>
  <c r="L4" i="16"/>
  <c r="W4" i="16"/>
  <c r="V4" i="16"/>
  <c r="K4" i="16"/>
  <c r="L22" i="10"/>
  <c r="AB18" i="10"/>
  <c r="L26" i="10"/>
  <c r="N19" i="10"/>
  <c r="AA36" i="10"/>
  <c r="M36" i="10" s="1"/>
  <c r="P29" i="10"/>
  <c r="N37" i="10"/>
  <c r="W36" i="17"/>
  <c r="V36" i="17"/>
  <c r="U36" i="17"/>
  <c r="K36" i="17"/>
  <c r="L36" i="17"/>
  <c r="W15" i="17"/>
  <c r="L15" i="17"/>
  <c r="U15" i="17"/>
  <c r="K15" i="17"/>
  <c r="V15" i="17"/>
  <c r="M9" i="17"/>
  <c r="M30" i="17"/>
  <c r="W16" i="17"/>
  <c r="V16" i="17"/>
  <c r="U16" i="17"/>
  <c r="K16" i="17"/>
  <c r="L16" i="17"/>
  <c r="W28" i="17"/>
  <c r="L28" i="17"/>
  <c r="U28" i="17"/>
  <c r="V28" i="17"/>
  <c r="K28" i="17"/>
  <c r="U8" i="17"/>
  <c r="L8" i="17"/>
  <c r="K8" i="17"/>
  <c r="V8" i="17"/>
  <c r="W8" i="17"/>
  <c r="L13" i="16"/>
  <c r="K13" i="16"/>
  <c r="V13" i="16"/>
  <c r="U13" i="16"/>
  <c r="W13" i="16"/>
  <c r="U28" i="16"/>
  <c r="K28" i="16"/>
  <c r="W28" i="16"/>
  <c r="V28" i="16"/>
  <c r="L28" i="16"/>
  <c r="L18" i="16"/>
  <c r="W18" i="16"/>
  <c r="V18" i="16"/>
  <c r="U18" i="16"/>
  <c r="K18" i="16"/>
  <c r="W15" i="16"/>
  <c r="L15" i="16"/>
  <c r="V15" i="16"/>
  <c r="K15" i="16"/>
  <c r="U15" i="16"/>
  <c r="W6" i="16"/>
  <c r="L6" i="16"/>
  <c r="U6" i="16"/>
  <c r="K6" i="16"/>
  <c r="V6" i="16"/>
  <c r="M20" i="16"/>
  <c r="M15" i="16"/>
  <c r="L24" i="17"/>
  <c r="U24" i="17"/>
  <c r="V24" i="17"/>
  <c r="K24" i="17"/>
  <c r="W24" i="17"/>
  <c r="L29" i="16"/>
  <c r="U29" i="16"/>
  <c r="K29" i="16"/>
  <c r="V29" i="16"/>
  <c r="W29" i="16"/>
  <c r="AB32" i="10"/>
  <c r="L31" i="17"/>
  <c r="W31" i="17"/>
  <c r="K31" i="17"/>
  <c r="V31" i="17"/>
  <c r="U31" i="17"/>
  <c r="L4" i="10"/>
  <c r="W19" i="17"/>
  <c r="V19" i="17"/>
  <c r="U19" i="17"/>
  <c r="K19" i="17"/>
  <c r="AB10" i="10"/>
  <c r="O11" i="10" s="1"/>
  <c r="AA28" i="10"/>
  <c r="M28" i="10" s="1"/>
  <c r="L37" i="10"/>
  <c r="K30" i="17"/>
  <c r="W30" i="17"/>
  <c r="V30" i="17"/>
  <c r="L30" i="17"/>
  <c r="U30" i="17"/>
  <c r="M23" i="16"/>
  <c r="N29" i="10"/>
  <c r="AB15" i="10"/>
  <c r="O15" i="10" s="1"/>
  <c r="P19" i="10"/>
  <c r="AB26" i="10"/>
  <c r="L19" i="10"/>
  <c r="AC37" i="10"/>
  <c r="Q37" i="10" s="1"/>
  <c r="L13" i="10"/>
  <c r="K21" i="17"/>
  <c r="M21" i="17"/>
  <c r="U10" i="17"/>
  <c r="V10" i="17"/>
  <c r="W10" i="17"/>
  <c r="K10" i="17"/>
  <c r="L10" i="17"/>
  <c r="W13" i="17"/>
  <c r="V13" i="17"/>
  <c r="U13" i="17"/>
  <c r="L13" i="17"/>
  <c r="K13" i="17"/>
  <c r="M31" i="17"/>
  <c r="L22" i="17"/>
  <c r="V22" i="17"/>
  <c r="U22" i="17"/>
  <c r="K22" i="17"/>
  <c r="W22" i="17"/>
  <c r="W12" i="17"/>
  <c r="L12" i="17"/>
  <c r="U12" i="17"/>
  <c r="K12" i="17"/>
  <c r="V12" i="17"/>
  <c r="K17" i="17"/>
  <c r="U17" i="17"/>
  <c r="V17" i="17"/>
  <c r="W17" i="17"/>
  <c r="L17" i="17"/>
  <c r="K37" i="16"/>
  <c r="L37" i="16"/>
  <c r="W37" i="16"/>
  <c r="V37" i="16"/>
  <c r="U37" i="16"/>
  <c r="K21" i="16"/>
  <c r="U21" i="16"/>
  <c r="L21" i="16"/>
  <c r="V21" i="16"/>
  <c r="W21" i="16"/>
  <c r="V24" i="16"/>
  <c r="W24" i="16"/>
  <c r="U24" i="16"/>
  <c r="L24" i="16"/>
  <c r="K24" i="16"/>
  <c r="V36" i="16"/>
  <c r="W36" i="16"/>
  <c r="L36" i="16"/>
  <c r="K36" i="16"/>
  <c r="U36" i="16"/>
  <c r="M13" i="16"/>
  <c r="V5" i="16"/>
  <c r="L5" i="16"/>
  <c r="K5" i="16"/>
  <c r="U5" i="16"/>
  <c r="W5" i="16"/>
  <c r="M35" i="16"/>
  <c r="M12" i="16"/>
  <c r="V34" i="17"/>
  <c r="W34" i="17"/>
  <c r="U34" i="17"/>
  <c r="K34" i="17"/>
  <c r="L34" i="17"/>
  <c r="K6" i="17"/>
  <c r="L6" i="17"/>
  <c r="V6" i="17"/>
  <c r="W6" i="17"/>
  <c r="U6" i="17"/>
  <c r="L9" i="16"/>
  <c r="V9" i="16"/>
  <c r="K9" i="16"/>
  <c r="W9" i="16"/>
  <c r="U9" i="16"/>
  <c r="U7" i="16"/>
  <c r="L7" i="16"/>
  <c r="V7" i="16"/>
  <c r="W7" i="16"/>
  <c r="K7" i="16"/>
  <c r="K16" i="16"/>
  <c r="U16" i="16"/>
  <c r="W16" i="16"/>
  <c r="L16" i="16"/>
  <c r="V16" i="16"/>
  <c r="M29" i="16"/>
  <c r="AA10" i="10"/>
  <c r="H56" i="16"/>
  <c r="H49" i="16"/>
  <c r="I46" i="16"/>
  <c r="H57" i="16"/>
  <c r="H53" i="16"/>
  <c r="H46" i="16"/>
  <c r="H58" i="16"/>
  <c r="H69" i="16"/>
  <c r="H62" i="16"/>
  <c r="H59" i="16"/>
  <c r="H52" i="16"/>
  <c r="H64" i="16"/>
  <c r="H71" i="16"/>
  <c r="H55" i="16"/>
  <c r="H61" i="16"/>
  <c r="H66" i="16"/>
  <c r="H63" i="16"/>
  <c r="H51" i="16"/>
  <c r="H47" i="16"/>
  <c r="H73" i="16"/>
  <c r="H70" i="16"/>
  <c r="H67" i="16"/>
  <c r="I48" i="16"/>
  <c r="H74" i="16"/>
  <c r="H76" i="16"/>
  <c r="H78" i="16"/>
  <c r="H60" i="16"/>
  <c r="H65" i="16"/>
  <c r="H75" i="16"/>
  <c r="I47" i="16"/>
  <c r="H48" i="16"/>
  <c r="H54" i="16"/>
  <c r="H50" i="16"/>
  <c r="H68" i="16"/>
  <c r="H77" i="16"/>
  <c r="H79" i="16"/>
  <c r="H72" i="16"/>
  <c r="I55" i="16"/>
  <c r="I57" i="16"/>
  <c r="I58" i="16"/>
  <c r="I78" i="16"/>
  <c r="I59" i="16"/>
  <c r="I52" i="16"/>
  <c r="I60" i="16"/>
  <c r="I51" i="16"/>
  <c r="I53" i="16"/>
  <c r="I66" i="16"/>
  <c r="I69" i="16"/>
  <c r="I79" i="16"/>
  <c r="I71" i="16"/>
  <c r="I76" i="16"/>
  <c r="I56" i="16"/>
  <c r="I77" i="16"/>
  <c r="I67" i="16"/>
  <c r="I49" i="16"/>
  <c r="I54" i="16"/>
  <c r="I61" i="16"/>
  <c r="I72" i="16"/>
  <c r="I63" i="16"/>
  <c r="I50" i="16"/>
  <c r="I73" i="16"/>
  <c r="I75" i="16"/>
  <c r="I70" i="16"/>
  <c r="I68" i="16"/>
  <c r="I74" i="16"/>
  <c r="I62" i="16"/>
  <c r="I64" i="16"/>
  <c r="I65" i="16"/>
  <c r="V20" i="17"/>
  <c r="L20" i="17"/>
  <c r="W20" i="17"/>
  <c r="U20" i="17"/>
  <c r="K20" i="17"/>
  <c r="L33" i="17"/>
  <c r="V33" i="17"/>
  <c r="U33" i="17"/>
  <c r="K33" i="17"/>
  <c r="W33" i="17"/>
  <c r="L23" i="16"/>
  <c r="K23" i="16"/>
  <c r="W23" i="16"/>
  <c r="V23" i="16"/>
  <c r="U23" i="16"/>
  <c r="L35" i="10"/>
  <c r="H64" i="17"/>
  <c r="H58" i="17"/>
  <c r="I52" i="17"/>
  <c r="H72" i="17"/>
  <c r="H66" i="17"/>
  <c r="H46" i="17"/>
  <c r="H62" i="17"/>
  <c r="H76" i="17"/>
  <c r="I49" i="17"/>
  <c r="H53" i="17"/>
  <c r="H49" i="17"/>
  <c r="H74" i="17"/>
  <c r="H60" i="17"/>
  <c r="I57" i="17"/>
  <c r="H68" i="17"/>
  <c r="H57" i="17"/>
  <c r="H70" i="17"/>
  <c r="H78" i="17"/>
  <c r="I50" i="17"/>
  <c r="I68" i="17"/>
  <c r="I76" i="17"/>
  <c r="I54" i="17"/>
  <c r="H59" i="17"/>
  <c r="H79" i="17"/>
  <c r="H63" i="17"/>
  <c r="I66" i="17"/>
  <c r="I65" i="17"/>
  <c r="I60" i="17"/>
  <c r="I75" i="17"/>
  <c r="H47" i="17"/>
  <c r="I78" i="17"/>
  <c r="I48" i="17"/>
  <c r="H52" i="17"/>
  <c r="I67" i="17"/>
  <c r="I70" i="17"/>
  <c r="I69" i="17"/>
  <c r="I77" i="17"/>
  <c r="H73" i="17"/>
  <c r="I56" i="17"/>
  <c r="I72" i="17"/>
  <c r="I46" i="17"/>
  <c r="I64" i="17"/>
  <c r="H67" i="17"/>
  <c r="I47" i="17"/>
  <c r="I74" i="17"/>
  <c r="I73" i="17"/>
  <c r="H61" i="17"/>
  <c r="H55" i="17"/>
  <c r="H51" i="17"/>
  <c r="I63" i="17"/>
  <c r="I62" i="17"/>
  <c r="H77" i="17"/>
  <c r="H48" i="17"/>
  <c r="I71" i="17"/>
  <c r="H75" i="17"/>
  <c r="H65" i="17"/>
  <c r="H56" i="17"/>
  <c r="I53" i="17"/>
  <c r="I51" i="17"/>
  <c r="I79" i="17"/>
  <c r="I61" i="17"/>
  <c r="H54" i="17"/>
  <c r="M54" i="17" s="1"/>
  <c r="H50" i="17"/>
  <c r="H71" i="17"/>
  <c r="I55" i="17"/>
  <c r="H69" i="17"/>
  <c r="I58" i="17"/>
  <c r="I59" i="17"/>
  <c r="W23" i="17"/>
  <c r="U23" i="17"/>
  <c r="K23" i="17"/>
  <c r="V23" i="17"/>
  <c r="L23" i="17"/>
  <c r="V32" i="17"/>
  <c r="W32" i="17"/>
  <c r="U32" i="17"/>
  <c r="L32" i="17"/>
  <c r="K32" i="17"/>
  <c r="U35" i="17"/>
  <c r="W35" i="17"/>
  <c r="L35" i="17"/>
  <c r="K35" i="17"/>
  <c r="V35" i="17"/>
  <c r="W17" i="16"/>
  <c r="K17" i="16"/>
  <c r="V17" i="16"/>
  <c r="U17" i="16"/>
  <c r="L17" i="16"/>
  <c r="M11" i="16"/>
  <c r="N24" i="10"/>
  <c r="L15" i="10"/>
  <c r="P27" i="10"/>
  <c r="P9" i="10"/>
  <c r="M35" i="17"/>
  <c r="M37" i="17"/>
  <c r="M27" i="17"/>
  <c r="M15" i="17"/>
  <c r="K29" i="17"/>
  <c r="U29" i="17"/>
  <c r="W29" i="17"/>
  <c r="V29" i="17"/>
  <c r="L29" i="17"/>
  <c r="U25" i="17"/>
  <c r="W25" i="17"/>
  <c r="V25" i="17"/>
  <c r="K25" i="17"/>
  <c r="L25" i="17"/>
  <c r="L33" i="16"/>
  <c r="V33" i="16"/>
  <c r="U33" i="16"/>
  <c r="K33" i="16"/>
  <c r="W33" i="16"/>
  <c r="K32" i="16"/>
  <c r="U32" i="16"/>
  <c r="W32" i="16"/>
  <c r="L32" i="16"/>
  <c r="V32" i="16"/>
  <c r="V26" i="16"/>
  <c r="U26" i="16"/>
  <c r="W26" i="16"/>
  <c r="K26" i="16"/>
  <c r="L26" i="16"/>
  <c r="W34" i="16"/>
  <c r="K34" i="16"/>
  <c r="V34" i="16"/>
  <c r="U34" i="16"/>
  <c r="L34" i="16"/>
  <c r="M36" i="16"/>
  <c r="M16" i="16"/>
  <c r="M4" i="16"/>
  <c r="M32" i="16"/>
  <c r="L27" i="17"/>
  <c r="W27" i="17"/>
  <c r="K27" i="17"/>
  <c r="U27" i="17"/>
  <c r="V27" i="17"/>
  <c r="U7" i="17"/>
  <c r="L7" i="17"/>
  <c r="V7" i="17"/>
  <c r="W7" i="17"/>
  <c r="K22" i="16"/>
  <c r="L22" i="16"/>
  <c r="W22" i="16"/>
  <c r="V22" i="16"/>
  <c r="U22" i="16"/>
  <c r="U20" i="16"/>
  <c r="L20" i="16"/>
  <c r="K20" i="16"/>
  <c r="W20" i="16"/>
  <c r="V20" i="16"/>
  <c r="L12" i="16"/>
  <c r="V12" i="16"/>
  <c r="U12" i="16"/>
  <c r="K12" i="16"/>
  <c r="W12" i="16"/>
  <c r="AC28" i="10"/>
  <c r="L19" i="17"/>
  <c r="M19" i="17"/>
  <c r="AB36" i="10"/>
  <c r="L11" i="16"/>
  <c r="V11" i="16"/>
  <c r="W11" i="16"/>
  <c r="U11" i="16"/>
  <c r="K11" i="16"/>
  <c r="AB29" i="10"/>
  <c r="AA18" i="10"/>
  <c r="AC24" i="10"/>
  <c r="Q25" i="10" s="1"/>
  <c r="AB4" i="10"/>
  <c r="O4" i="10" s="1"/>
  <c r="P15" i="10"/>
  <c r="AA26" i="10"/>
  <c r="M26" i="10" s="1"/>
  <c r="AB8" i="10"/>
  <c r="AC27" i="10"/>
  <c r="Q27" i="10" s="1"/>
  <c r="N30" i="10"/>
  <c r="U26" i="17"/>
  <c r="W26" i="17"/>
  <c r="V26" i="17"/>
  <c r="L26" i="17"/>
  <c r="K26" i="17"/>
  <c r="M23" i="17"/>
  <c r="M26" i="17"/>
  <c r="M20" i="17"/>
  <c r="W14" i="17"/>
  <c r="U14" i="17"/>
  <c r="K14" i="17"/>
  <c r="V14" i="17"/>
  <c r="L14" i="17"/>
  <c r="V21" i="17"/>
  <c r="U21" i="17"/>
  <c r="W21" i="17"/>
  <c r="L21" i="17"/>
  <c r="M12" i="17"/>
  <c r="W4" i="17"/>
  <c r="K4" i="17"/>
  <c r="V4" i="17"/>
  <c r="U4" i="17"/>
  <c r="L4" i="17"/>
  <c r="U30" i="16"/>
  <c r="V30" i="16"/>
  <c r="L30" i="16"/>
  <c r="K30" i="16"/>
  <c r="W30" i="16"/>
  <c r="W31" i="16"/>
  <c r="K31" i="16"/>
  <c r="V31" i="16"/>
  <c r="L31" i="16"/>
  <c r="U31" i="16"/>
  <c r="W27" i="16"/>
  <c r="U27" i="16"/>
  <c r="V27" i="16"/>
  <c r="K27" i="16"/>
  <c r="L27" i="16"/>
  <c r="K8" i="16"/>
  <c r="U8" i="16"/>
  <c r="L8" i="16"/>
  <c r="V8" i="16"/>
  <c r="W8" i="16"/>
  <c r="M24" i="16"/>
  <c r="M9" i="16"/>
  <c r="M14" i="16"/>
  <c r="M26" i="16"/>
  <c r="N32" i="10"/>
  <c r="L17" i="10"/>
  <c r="P20" i="10"/>
  <c r="N20" i="10"/>
  <c r="N22" i="10"/>
  <c r="N18" i="10"/>
  <c r="AB5" i="10"/>
  <c r="AA31" i="10"/>
  <c r="M31" i="10" s="1"/>
  <c r="AC20" i="10"/>
  <c r="N10" i="10"/>
  <c r="P23" i="10"/>
  <c r="N15" i="10"/>
  <c r="P32" i="10"/>
  <c r="AA32" i="10"/>
  <c r="M33" i="10" s="1"/>
  <c r="AC10" i="10"/>
  <c r="Q10" i="10" s="1"/>
  <c r="L11" i="10"/>
  <c r="AC22" i="10"/>
  <c r="L25" i="10"/>
  <c r="AA15" i="10"/>
  <c r="M16" i="10" s="1"/>
  <c r="L30" i="10"/>
  <c r="N35" i="10"/>
  <c r="N26" i="10"/>
  <c r="P35" i="10"/>
  <c r="L33" i="10"/>
  <c r="AB19" i="10"/>
  <c r="N36" i="10"/>
  <c r="AB31" i="10"/>
  <c r="AB27" i="10"/>
  <c r="AB28" i="10"/>
  <c r="N21" i="10"/>
  <c r="L32" i="10"/>
  <c r="N12" i="10"/>
  <c r="L16" i="10"/>
  <c r="AB24" i="10"/>
  <c r="O24" i="10" s="1"/>
  <c r="N6" i="10"/>
  <c r="AA17" i="10"/>
  <c r="M17" i="10" s="1"/>
  <c r="P33" i="10"/>
  <c r="L24" i="10"/>
  <c r="L29" i="10"/>
  <c r="N4" i="10"/>
  <c r="L6" i="10"/>
  <c r="P10" i="10"/>
  <c r="AC17" i="10"/>
  <c r="Q18" i="10" s="1"/>
  <c r="N11" i="10"/>
  <c r="AC5" i="10"/>
  <c r="Q5" i="10" s="1"/>
  <c r="AB9" i="10"/>
  <c r="P28" i="10"/>
  <c r="L28" i="10"/>
  <c r="AA11" i="10"/>
  <c r="L23" i="10"/>
  <c r="P31" i="10"/>
  <c r="AC23" i="10"/>
  <c r="AC12" i="10"/>
  <c r="N7" i="10"/>
  <c r="P17" i="10"/>
  <c r="P11" i="10"/>
  <c r="P24" i="10"/>
  <c r="P12" i="10"/>
  <c r="AB30" i="10"/>
  <c r="L18" i="10"/>
  <c r="N5" i="10"/>
  <c r="AC13" i="10"/>
  <c r="AC6" i="10"/>
  <c r="AA8" i="10"/>
  <c r="M8" i="10" s="1"/>
  <c r="AB12" i="10"/>
  <c r="O12" i="10" s="1"/>
  <c r="N9" i="10"/>
  <c r="L7" i="10"/>
  <c r="P18" i="10"/>
  <c r="N16" i="10"/>
  <c r="P16" i="10"/>
  <c r="L8" i="10"/>
  <c r="AC16" i="10"/>
  <c r="Q16" i="10" s="1"/>
  <c r="P6" i="10"/>
  <c r="P7" i="10"/>
  <c r="AA12" i="10"/>
  <c r="AB17" i="10"/>
  <c r="P25" i="10"/>
  <c r="N25" i="10"/>
  <c r="L5" i="10"/>
  <c r="AC8" i="10"/>
  <c r="Q9" i="10" s="1"/>
  <c r="AA9" i="10"/>
  <c r="L31" i="10"/>
  <c r="AC7" i="10"/>
  <c r="AB20" i="10"/>
  <c r="O21" i="10" s="1"/>
  <c r="L12" i="10"/>
  <c r="AC30" i="10"/>
  <c r="AB7" i="10"/>
  <c r="L20" i="10"/>
  <c r="P5" i="10"/>
  <c r="L14" i="10"/>
  <c r="L9" i="10"/>
  <c r="N31" i="10"/>
  <c r="P8" i="10"/>
  <c r="P21" i="10"/>
  <c r="AC11" i="10"/>
  <c r="N13" i="10"/>
  <c r="AB16" i="10"/>
  <c r="P30" i="10"/>
  <c r="AA20" i="10"/>
  <c r="W36" i="15"/>
  <c r="V26" i="15"/>
  <c r="W33" i="15"/>
  <c r="W37" i="15"/>
  <c r="V27" i="15"/>
  <c r="W28" i="15"/>
  <c r="U20" i="15"/>
  <c r="V31" i="15"/>
  <c r="U15" i="15"/>
  <c r="V15" i="15"/>
  <c r="W15" i="15"/>
  <c r="W5" i="15"/>
  <c r="V5" i="15"/>
  <c r="U5" i="15"/>
  <c r="U7" i="15"/>
  <c r="W7" i="15"/>
  <c r="V7" i="15"/>
  <c r="W17" i="15"/>
  <c r="U17" i="15"/>
  <c r="V17" i="15"/>
  <c r="V8" i="15"/>
  <c r="U8" i="15"/>
  <c r="W8" i="15"/>
  <c r="U12" i="15"/>
  <c r="W12" i="15"/>
  <c r="V12" i="15"/>
  <c r="U13" i="15"/>
  <c r="W13" i="15"/>
  <c r="V13" i="15"/>
  <c r="W16" i="15"/>
  <c r="V16" i="15"/>
  <c r="U16" i="15"/>
  <c r="V10" i="15"/>
  <c r="U10" i="15"/>
  <c r="W10" i="15"/>
  <c r="W18" i="15"/>
  <c r="U18" i="15"/>
  <c r="V18" i="15"/>
  <c r="W11" i="15"/>
  <c r="V11" i="15"/>
  <c r="U11" i="15"/>
  <c r="W14" i="15"/>
  <c r="U14" i="15"/>
  <c r="V14" i="15"/>
  <c r="U6" i="15"/>
  <c r="V6" i="15"/>
  <c r="W6" i="15"/>
  <c r="V4" i="15"/>
  <c r="U4" i="15"/>
  <c r="W4" i="15"/>
  <c r="W9" i="15"/>
  <c r="V9" i="15"/>
  <c r="U9" i="15"/>
  <c r="Q33" i="10"/>
  <c r="O14" i="10"/>
  <c r="Q32" i="10"/>
  <c r="M6" i="10"/>
  <c r="AL61" i="1"/>
  <c r="AM61" i="1"/>
  <c r="Q19" i="10"/>
  <c r="M7" i="10"/>
  <c r="M25" i="10"/>
  <c r="M30" i="10"/>
  <c r="AL65" i="1"/>
  <c r="AM65" i="1"/>
  <c r="M34" i="10" l="1"/>
  <c r="M14" i="10"/>
  <c r="N4" i="15"/>
  <c r="M10" i="10"/>
  <c r="O33" i="10"/>
  <c r="M35" i="10"/>
  <c r="Q28" i="10"/>
  <c r="M48" i="16"/>
  <c r="Q22" i="10"/>
  <c r="N7" i="15"/>
  <c r="Q21" i="10"/>
  <c r="M76" i="17"/>
  <c r="M79" i="16"/>
  <c r="N30" i="17"/>
  <c r="P30" i="17" s="1"/>
  <c r="N24" i="17"/>
  <c r="Q24" i="17" s="1"/>
  <c r="R36" i="10"/>
  <c r="W36" i="10" s="1"/>
  <c r="R17" i="10"/>
  <c r="W17" i="10" s="1"/>
  <c r="O36" i="10"/>
  <c r="S36" i="10" s="1"/>
  <c r="M75" i="17"/>
  <c r="M4" i="10"/>
  <c r="S4" i="10" s="1"/>
  <c r="M19" i="10"/>
  <c r="M27" i="10"/>
  <c r="M22" i="10"/>
  <c r="M21" i="10"/>
  <c r="R28" i="10"/>
  <c r="W28" i="10" s="1"/>
  <c r="O16" i="10"/>
  <c r="S16" i="10" s="1"/>
  <c r="M20" i="10"/>
  <c r="R27" i="10"/>
  <c r="U27" i="10" s="1"/>
  <c r="Q29" i="10"/>
  <c r="R34" i="10"/>
  <c r="W34" i="10" s="1"/>
  <c r="O27" i="10"/>
  <c r="O23" i="10"/>
  <c r="N22" i="16"/>
  <c r="Q22" i="16" s="1"/>
  <c r="N16" i="17"/>
  <c r="Q16" i="17" s="1"/>
  <c r="Q30" i="10"/>
  <c r="O5" i="10"/>
  <c r="N27" i="17"/>
  <c r="Q27" i="17" s="1"/>
  <c r="R15" i="10"/>
  <c r="U15" i="10" s="1"/>
  <c r="O6" i="10"/>
  <c r="V37" i="15"/>
  <c r="R22" i="10"/>
  <c r="U22" i="10" s="1"/>
  <c r="M69" i="17"/>
  <c r="M79" i="17"/>
  <c r="M68" i="17"/>
  <c r="N25" i="17"/>
  <c r="P25" i="17" s="1"/>
  <c r="N29" i="16"/>
  <c r="P29" i="16" s="1"/>
  <c r="Q14" i="10"/>
  <c r="S14" i="10" s="1"/>
  <c r="N14" i="17"/>
  <c r="Q14" i="17" s="1"/>
  <c r="N33" i="17"/>
  <c r="P33" i="17" s="1"/>
  <c r="M72" i="16"/>
  <c r="M70" i="16"/>
  <c r="M71" i="16"/>
  <c r="M65" i="17"/>
  <c r="N28" i="16"/>
  <c r="Q28" i="16" s="1"/>
  <c r="N34" i="16"/>
  <c r="Q34" i="16" s="1"/>
  <c r="M50" i="17"/>
  <c r="M61" i="17"/>
  <c r="M59" i="17"/>
  <c r="M62" i="17"/>
  <c r="M23" i="10"/>
  <c r="N23" i="17"/>
  <c r="Q23" i="17" s="1"/>
  <c r="N6" i="17"/>
  <c r="P6" i="17" s="1"/>
  <c r="N12" i="17"/>
  <c r="Q12" i="17" s="1"/>
  <c r="R19" i="10"/>
  <c r="W19" i="10" s="1"/>
  <c r="O19" i="10"/>
  <c r="N35" i="16"/>
  <c r="Q35" i="16" s="1"/>
  <c r="O10" i="10"/>
  <c r="S10" i="10" s="1"/>
  <c r="R26" i="10"/>
  <c r="W26" i="10" s="1"/>
  <c r="N31" i="16"/>
  <c r="Q31" i="16" s="1"/>
  <c r="N11" i="16"/>
  <c r="Q11" i="16" s="1"/>
  <c r="N29" i="17"/>
  <c r="Q29" i="17" s="1"/>
  <c r="N32" i="17"/>
  <c r="P32" i="17" s="1"/>
  <c r="M47" i="17"/>
  <c r="M68" i="16"/>
  <c r="M78" i="16"/>
  <c r="M49" i="16"/>
  <c r="N8" i="17"/>
  <c r="Q8" i="17" s="1"/>
  <c r="N9" i="17"/>
  <c r="Q9" i="17" s="1"/>
  <c r="Q13" i="10"/>
  <c r="R33" i="10"/>
  <c r="U33" i="10" s="1"/>
  <c r="R32" i="10"/>
  <c r="W32" i="10" s="1"/>
  <c r="V36" i="15"/>
  <c r="R13" i="10"/>
  <c r="W13" i="10" s="1"/>
  <c r="Q7" i="10"/>
  <c r="M12" i="10"/>
  <c r="Q24" i="10"/>
  <c r="S24" i="10" s="1"/>
  <c r="R11" i="10"/>
  <c r="W11" i="10" s="1"/>
  <c r="N4" i="17"/>
  <c r="P4" i="17" s="1"/>
  <c r="N13" i="17"/>
  <c r="P13" i="17" s="1"/>
  <c r="N25" i="16"/>
  <c r="Q25" i="16" s="1"/>
  <c r="O37" i="10"/>
  <c r="M9" i="10"/>
  <c r="N8" i="16"/>
  <c r="Q8" i="16" s="1"/>
  <c r="U36" i="15"/>
  <c r="O29" i="10"/>
  <c r="R4" i="10"/>
  <c r="U4" i="10" s="1"/>
  <c r="Q20" i="10"/>
  <c r="Q35" i="10"/>
  <c r="R14" i="10"/>
  <c r="W14" i="10" s="1"/>
  <c r="R6" i="10"/>
  <c r="U6" i="10" s="1"/>
  <c r="O32" i="10"/>
  <c r="R29" i="10"/>
  <c r="W29" i="10" s="1"/>
  <c r="N20" i="16"/>
  <c r="Q20" i="16" s="1"/>
  <c r="N28" i="17"/>
  <c r="P28" i="17" s="1"/>
  <c r="M75" i="16"/>
  <c r="M53" i="16"/>
  <c r="N31" i="17"/>
  <c r="Q31" i="17" s="1"/>
  <c r="R9" i="10"/>
  <c r="W9" i="10" s="1"/>
  <c r="O31" i="10"/>
  <c r="R30" i="10"/>
  <c r="W30" i="10" s="1"/>
  <c r="N27" i="16"/>
  <c r="P27" i="16" s="1"/>
  <c r="N26" i="17"/>
  <c r="Q26" i="17" s="1"/>
  <c r="M71" i="17"/>
  <c r="M55" i="17"/>
  <c r="M57" i="17"/>
  <c r="R35" i="10"/>
  <c r="U35" i="10" s="1"/>
  <c r="M64" i="16"/>
  <c r="M57" i="16"/>
  <c r="N6" i="16"/>
  <c r="Q6" i="16" s="1"/>
  <c r="N11" i="17"/>
  <c r="P11" i="17" s="1"/>
  <c r="M46" i="17"/>
  <c r="N16" i="16"/>
  <c r="Q16" i="16" s="1"/>
  <c r="N37" i="17"/>
  <c r="P37" i="17" s="1"/>
  <c r="N4" i="16"/>
  <c r="Q4" i="16" s="1"/>
  <c r="M60" i="17"/>
  <c r="N7" i="16"/>
  <c r="Q7" i="16" s="1"/>
  <c r="N34" i="17"/>
  <c r="P34" i="17" s="1"/>
  <c r="N21" i="16"/>
  <c r="P21" i="16" s="1"/>
  <c r="N17" i="17"/>
  <c r="Q17" i="17" s="1"/>
  <c r="O26" i="10"/>
  <c r="S26" i="10" s="1"/>
  <c r="R18" i="10"/>
  <c r="W18" i="10" s="1"/>
  <c r="N33" i="16"/>
  <c r="P33" i="16" s="1"/>
  <c r="M47" i="16"/>
  <c r="N37" i="16"/>
  <c r="Q37" i="16" s="1"/>
  <c r="N32" i="16"/>
  <c r="P32" i="16" s="1"/>
  <c r="N23" i="16"/>
  <c r="P23" i="16" s="1"/>
  <c r="M74" i="16"/>
  <c r="M66" i="16"/>
  <c r="M11" i="10"/>
  <c r="N10" i="16"/>
  <c r="P10" i="16" s="1"/>
  <c r="N14" i="16"/>
  <c r="Q14" i="16" s="1"/>
  <c r="N17" i="16"/>
  <c r="Q17" i="16" s="1"/>
  <c r="N5" i="17"/>
  <c r="P5" i="17" s="1"/>
  <c r="R25" i="10"/>
  <c r="W25" i="10" s="1"/>
  <c r="N12" i="16"/>
  <c r="P12" i="16" s="1"/>
  <c r="M73" i="17"/>
  <c r="O13" i="10"/>
  <c r="R16" i="10"/>
  <c r="U16" i="10" s="1"/>
  <c r="M67" i="17"/>
  <c r="M49" i="17"/>
  <c r="N15" i="16"/>
  <c r="P15" i="16" s="1"/>
  <c r="N18" i="16"/>
  <c r="Q18" i="16" s="1"/>
  <c r="R37" i="10"/>
  <c r="W37" i="10" s="1"/>
  <c r="O17" i="10"/>
  <c r="U72" i="17"/>
  <c r="V72" i="17"/>
  <c r="K72" i="17"/>
  <c r="W72" i="17"/>
  <c r="L72" i="17"/>
  <c r="W48" i="17"/>
  <c r="V48" i="17"/>
  <c r="L48" i="17"/>
  <c r="U48" i="17"/>
  <c r="K48" i="17"/>
  <c r="Q30" i="17"/>
  <c r="U56" i="17"/>
  <c r="K56" i="17"/>
  <c r="W56" i="17"/>
  <c r="V56" i="17"/>
  <c r="L56" i="17"/>
  <c r="W50" i="16"/>
  <c r="K50" i="16"/>
  <c r="L50" i="16"/>
  <c r="V50" i="16"/>
  <c r="U50" i="16"/>
  <c r="W56" i="16"/>
  <c r="K56" i="16"/>
  <c r="L56" i="16"/>
  <c r="V56" i="16"/>
  <c r="U56" i="16"/>
  <c r="L60" i="16"/>
  <c r="K60" i="16"/>
  <c r="W60" i="16"/>
  <c r="V60" i="16"/>
  <c r="U60" i="16"/>
  <c r="M73" i="16"/>
  <c r="O28" i="10"/>
  <c r="N26" i="16"/>
  <c r="K63" i="16"/>
  <c r="L63" i="16"/>
  <c r="W63" i="16"/>
  <c r="U63" i="16"/>
  <c r="V63" i="16"/>
  <c r="W76" i="16"/>
  <c r="U76" i="16"/>
  <c r="V76" i="16"/>
  <c r="L76" i="16"/>
  <c r="K76" i="16"/>
  <c r="L52" i="16"/>
  <c r="K52" i="16"/>
  <c r="V52" i="16"/>
  <c r="U52" i="16"/>
  <c r="W52" i="16"/>
  <c r="W46" i="16"/>
  <c r="L46" i="16"/>
  <c r="K46" i="16"/>
  <c r="V46" i="16"/>
  <c r="U46" i="16"/>
  <c r="N5" i="16"/>
  <c r="M15" i="10"/>
  <c r="S15" i="10" s="1"/>
  <c r="U61" i="17"/>
  <c r="K61" i="17"/>
  <c r="W61" i="17"/>
  <c r="L61" i="17"/>
  <c r="V61" i="17"/>
  <c r="M48" i="17"/>
  <c r="M74" i="17"/>
  <c r="U74" i="17"/>
  <c r="K74" i="17"/>
  <c r="L74" i="17"/>
  <c r="W74" i="17"/>
  <c r="V74" i="17"/>
  <c r="U77" i="17"/>
  <c r="K77" i="17"/>
  <c r="W77" i="17"/>
  <c r="L77" i="17"/>
  <c r="V77" i="17"/>
  <c r="U62" i="16"/>
  <c r="W62" i="16"/>
  <c r="V62" i="16"/>
  <c r="K62" i="16"/>
  <c r="L62" i="16"/>
  <c r="L72" i="16"/>
  <c r="V72" i="16"/>
  <c r="U72" i="16"/>
  <c r="W72" i="16"/>
  <c r="K72" i="16"/>
  <c r="V71" i="16"/>
  <c r="U71" i="16"/>
  <c r="W71" i="16"/>
  <c r="K71" i="16"/>
  <c r="L71" i="16"/>
  <c r="L59" i="16"/>
  <c r="U59" i="16"/>
  <c r="W59" i="16"/>
  <c r="V59" i="16"/>
  <c r="K59" i="16"/>
  <c r="M51" i="16"/>
  <c r="M59" i="16"/>
  <c r="N13" i="16"/>
  <c r="M29" i="10"/>
  <c r="U37" i="15"/>
  <c r="R20" i="10"/>
  <c r="W20" i="10" s="1"/>
  <c r="N30" i="16"/>
  <c r="N35" i="17"/>
  <c r="U59" i="17"/>
  <c r="W59" i="17"/>
  <c r="K59" i="17"/>
  <c r="L59" i="17"/>
  <c r="V59" i="17"/>
  <c r="U79" i="17"/>
  <c r="K79" i="17"/>
  <c r="V79" i="17"/>
  <c r="L79" i="17"/>
  <c r="W79" i="17"/>
  <c r="M77" i="17"/>
  <c r="W47" i="17"/>
  <c r="V47" i="17"/>
  <c r="L47" i="17"/>
  <c r="U47" i="17"/>
  <c r="K47" i="17"/>
  <c r="L69" i="17"/>
  <c r="V69" i="17"/>
  <c r="U69" i="17"/>
  <c r="W69" i="17"/>
  <c r="K69" i="17"/>
  <c r="U60" i="17"/>
  <c r="V60" i="17"/>
  <c r="K60" i="17"/>
  <c r="W60" i="17"/>
  <c r="L60" i="17"/>
  <c r="U68" i="17"/>
  <c r="V68" i="17"/>
  <c r="L68" i="17"/>
  <c r="K68" i="17"/>
  <c r="W68" i="17"/>
  <c r="M72" i="17"/>
  <c r="N20" i="17"/>
  <c r="L74" i="16"/>
  <c r="V74" i="16"/>
  <c r="U74" i="16"/>
  <c r="W74" i="16"/>
  <c r="K74" i="16"/>
  <c r="K61" i="16"/>
  <c r="U61" i="16"/>
  <c r="W61" i="16"/>
  <c r="V61" i="16"/>
  <c r="L61" i="16"/>
  <c r="K79" i="16"/>
  <c r="L79" i="16"/>
  <c r="U79" i="16"/>
  <c r="V79" i="16"/>
  <c r="W79" i="16"/>
  <c r="U78" i="16"/>
  <c r="K78" i="16"/>
  <c r="L78" i="16"/>
  <c r="W78" i="16"/>
  <c r="V78" i="16"/>
  <c r="M50" i="16"/>
  <c r="M76" i="16"/>
  <c r="M63" i="16"/>
  <c r="M62" i="16"/>
  <c r="M56" i="16"/>
  <c r="N9" i="16"/>
  <c r="N36" i="17"/>
  <c r="N18" i="17"/>
  <c r="U77" i="16"/>
  <c r="W77" i="16"/>
  <c r="L77" i="16"/>
  <c r="K77" i="16"/>
  <c r="V77" i="16"/>
  <c r="V78" i="17"/>
  <c r="W78" i="17"/>
  <c r="L78" i="17"/>
  <c r="K78" i="17"/>
  <c r="U78" i="17"/>
  <c r="M65" i="16"/>
  <c r="L71" i="17"/>
  <c r="W71" i="17"/>
  <c r="U71" i="17"/>
  <c r="K71" i="17"/>
  <c r="V71" i="17"/>
  <c r="V73" i="17"/>
  <c r="W73" i="17"/>
  <c r="L73" i="17"/>
  <c r="U73" i="17"/>
  <c r="K73" i="17"/>
  <c r="W54" i="17"/>
  <c r="L54" i="17"/>
  <c r="K54" i="17"/>
  <c r="U54" i="17"/>
  <c r="V54" i="17"/>
  <c r="L64" i="16"/>
  <c r="W64" i="16"/>
  <c r="V64" i="16"/>
  <c r="U64" i="16"/>
  <c r="K64" i="16"/>
  <c r="M77" i="16"/>
  <c r="M52" i="16"/>
  <c r="R23" i="10"/>
  <c r="U23" i="10" s="1"/>
  <c r="R10" i="10"/>
  <c r="W10" i="10" s="1"/>
  <c r="W75" i="17"/>
  <c r="U75" i="17"/>
  <c r="K75" i="17"/>
  <c r="V75" i="17"/>
  <c r="L75" i="17"/>
  <c r="M58" i="17"/>
  <c r="W58" i="17"/>
  <c r="V58" i="17"/>
  <c r="U58" i="17"/>
  <c r="L58" i="17"/>
  <c r="K58" i="17"/>
  <c r="V50" i="17"/>
  <c r="K50" i="17"/>
  <c r="U50" i="17"/>
  <c r="W50" i="17"/>
  <c r="L50" i="17"/>
  <c r="V68" i="16"/>
  <c r="W68" i="16"/>
  <c r="U68" i="16"/>
  <c r="L68" i="16"/>
  <c r="K68" i="16"/>
  <c r="L69" i="16"/>
  <c r="K69" i="16"/>
  <c r="W69" i="16"/>
  <c r="V69" i="16"/>
  <c r="U69" i="16"/>
  <c r="M37" i="10"/>
  <c r="N21" i="17"/>
  <c r="K53" i="17"/>
  <c r="W53" i="17"/>
  <c r="V53" i="17"/>
  <c r="U53" i="17"/>
  <c r="L53" i="17"/>
  <c r="W63" i="17"/>
  <c r="U63" i="17"/>
  <c r="L63" i="17"/>
  <c r="K63" i="17"/>
  <c r="V63" i="17"/>
  <c r="U64" i="17"/>
  <c r="V64" i="17"/>
  <c r="W64" i="17"/>
  <c r="L64" i="17"/>
  <c r="K64" i="17"/>
  <c r="L67" i="17"/>
  <c r="W67" i="17"/>
  <c r="U67" i="17"/>
  <c r="K67" i="17"/>
  <c r="V67" i="17"/>
  <c r="M66" i="17"/>
  <c r="W66" i="17"/>
  <c r="V66" i="17"/>
  <c r="K66" i="17"/>
  <c r="L66" i="17"/>
  <c r="U66" i="17"/>
  <c r="M78" i="17"/>
  <c r="M53" i="17"/>
  <c r="U70" i="16"/>
  <c r="V70" i="16"/>
  <c r="W70" i="16"/>
  <c r="L70" i="16"/>
  <c r="K70" i="16"/>
  <c r="V49" i="16"/>
  <c r="W49" i="16"/>
  <c r="U49" i="16"/>
  <c r="K49" i="16"/>
  <c r="L49" i="16"/>
  <c r="L66" i="16"/>
  <c r="K66" i="16"/>
  <c r="U66" i="16"/>
  <c r="V66" i="16"/>
  <c r="W66" i="16"/>
  <c r="L57" i="16"/>
  <c r="V57" i="16"/>
  <c r="U57" i="16"/>
  <c r="K57" i="16"/>
  <c r="W57" i="16"/>
  <c r="W48" i="16"/>
  <c r="L48" i="16"/>
  <c r="K48" i="16"/>
  <c r="U48" i="16"/>
  <c r="V48" i="16"/>
  <c r="M61" i="16"/>
  <c r="M58" i="16"/>
  <c r="N36" i="16"/>
  <c r="N19" i="16"/>
  <c r="N7" i="17"/>
  <c r="K73" i="16"/>
  <c r="L73" i="16"/>
  <c r="V73" i="16"/>
  <c r="W73" i="16"/>
  <c r="U73" i="16"/>
  <c r="V51" i="16"/>
  <c r="K51" i="16"/>
  <c r="U51" i="16"/>
  <c r="L51" i="16"/>
  <c r="W51" i="16"/>
  <c r="V65" i="16"/>
  <c r="K65" i="16"/>
  <c r="L65" i="16"/>
  <c r="W65" i="16"/>
  <c r="U65" i="16"/>
  <c r="N10" i="17"/>
  <c r="W57" i="17"/>
  <c r="L57" i="17"/>
  <c r="V57" i="17"/>
  <c r="U57" i="17"/>
  <c r="K57" i="17"/>
  <c r="M60" i="16"/>
  <c r="N24" i="16"/>
  <c r="U76" i="17"/>
  <c r="V76" i="17"/>
  <c r="W76" i="17"/>
  <c r="K76" i="17"/>
  <c r="L76" i="17"/>
  <c r="O8" i="10"/>
  <c r="U51" i="17"/>
  <c r="K51" i="17"/>
  <c r="W51" i="17"/>
  <c r="L51" i="17"/>
  <c r="V51" i="17"/>
  <c r="W62" i="17"/>
  <c r="V62" i="17"/>
  <c r="K62" i="17"/>
  <c r="L62" i="17"/>
  <c r="U62" i="17"/>
  <c r="M70" i="17"/>
  <c r="W70" i="17"/>
  <c r="K70" i="17"/>
  <c r="V70" i="17"/>
  <c r="L70" i="17"/>
  <c r="U70" i="17"/>
  <c r="U65" i="17"/>
  <c r="K65" i="17"/>
  <c r="L65" i="17"/>
  <c r="W65" i="17"/>
  <c r="V65" i="17"/>
  <c r="V52" i="17"/>
  <c r="L52" i="17"/>
  <c r="U52" i="17"/>
  <c r="K52" i="17"/>
  <c r="W52" i="17"/>
  <c r="V54" i="16"/>
  <c r="W54" i="16"/>
  <c r="U54" i="16"/>
  <c r="L54" i="16"/>
  <c r="K54" i="16"/>
  <c r="U58" i="16"/>
  <c r="K58" i="16"/>
  <c r="L58" i="16"/>
  <c r="V58" i="16"/>
  <c r="W58" i="16"/>
  <c r="M54" i="16"/>
  <c r="M69" i="16"/>
  <c r="N22" i="17"/>
  <c r="R12" i="10"/>
  <c r="U12" i="10" s="1"/>
  <c r="R21" i="10"/>
  <c r="W21" i="10" s="1"/>
  <c r="L55" i="17"/>
  <c r="U55" i="17"/>
  <c r="K55" i="17"/>
  <c r="V55" i="17"/>
  <c r="W55" i="17"/>
  <c r="M56" i="17"/>
  <c r="M51" i="17"/>
  <c r="W46" i="17"/>
  <c r="L46" i="17"/>
  <c r="K46" i="17"/>
  <c r="V46" i="17"/>
  <c r="U46" i="17"/>
  <c r="M52" i="17"/>
  <c r="M63" i="17"/>
  <c r="V49" i="17"/>
  <c r="K49" i="17"/>
  <c r="W49" i="17"/>
  <c r="L49" i="17"/>
  <c r="U49" i="17"/>
  <c r="M64" i="17"/>
  <c r="W75" i="16"/>
  <c r="K75" i="16"/>
  <c r="L75" i="16"/>
  <c r="V75" i="16"/>
  <c r="U75" i="16"/>
  <c r="W67" i="16"/>
  <c r="K67" i="16"/>
  <c r="V67" i="16"/>
  <c r="L67" i="16"/>
  <c r="U67" i="16"/>
  <c r="K53" i="16"/>
  <c r="V53" i="16"/>
  <c r="W53" i="16"/>
  <c r="U53" i="16"/>
  <c r="L53" i="16"/>
  <c r="U55" i="16"/>
  <c r="L55" i="16"/>
  <c r="K55" i="16"/>
  <c r="V55" i="16"/>
  <c r="W55" i="16"/>
  <c r="K47" i="16"/>
  <c r="L47" i="16"/>
  <c r="U47" i="16"/>
  <c r="V47" i="16"/>
  <c r="W47" i="16"/>
  <c r="M67" i="16"/>
  <c r="M55" i="16"/>
  <c r="M46" i="16"/>
  <c r="N19" i="17"/>
  <c r="N15" i="17"/>
  <c r="V28" i="15"/>
  <c r="U28" i="15"/>
  <c r="O18" i="10"/>
  <c r="R7" i="10"/>
  <c r="U7" i="10" s="1"/>
  <c r="Q23" i="10"/>
  <c r="O20" i="10"/>
  <c r="Q6" i="10"/>
  <c r="O9" i="10"/>
  <c r="O25" i="10"/>
  <c r="S25" i="10" s="1"/>
  <c r="R5" i="10"/>
  <c r="U5" i="10" s="1"/>
  <c r="R8" i="10"/>
  <c r="U8" i="10" s="1"/>
  <c r="Q12" i="10"/>
  <c r="R31" i="10"/>
  <c r="U31" i="10" s="1"/>
  <c r="M18" i="10"/>
  <c r="R24" i="10"/>
  <c r="W24" i="10" s="1"/>
  <c r="M32" i="10"/>
  <c r="V33" i="15"/>
  <c r="Q31" i="10"/>
  <c r="Q8" i="10"/>
  <c r="W31" i="15"/>
  <c r="O30" i="10"/>
  <c r="S30" i="10" s="1"/>
  <c r="U26" i="15"/>
  <c r="O7" i="10"/>
  <c r="Q17" i="10"/>
  <c r="Q11" i="10"/>
  <c r="M13" i="10"/>
  <c r="W20" i="15"/>
  <c r="U33" i="15"/>
  <c r="U31" i="15"/>
  <c r="V20" i="15"/>
  <c r="V24" i="15"/>
  <c r="U35" i="15"/>
  <c r="V34" i="15"/>
  <c r="V22" i="15"/>
  <c r="W26" i="15"/>
  <c r="V23" i="15"/>
  <c r="V29" i="15"/>
  <c r="W19" i="15"/>
  <c r="W22" i="15"/>
  <c r="U30" i="15"/>
  <c r="V21" i="15"/>
  <c r="V32" i="15"/>
  <c r="W27" i="15"/>
  <c r="W21" i="15"/>
  <c r="V35" i="15"/>
  <c r="W35" i="15"/>
  <c r="U25" i="15"/>
  <c r="U27" i="15"/>
  <c r="U23" i="15"/>
  <c r="V30" i="15"/>
  <c r="U32" i="15"/>
  <c r="V19" i="15"/>
  <c r="U24" i="15"/>
  <c r="U22" i="15"/>
  <c r="U21" i="15"/>
  <c r="U34" i="15"/>
  <c r="U19" i="15"/>
  <c r="W24" i="15"/>
  <c r="W25" i="15"/>
  <c r="U29" i="15"/>
  <c r="W32" i="15"/>
  <c r="W30" i="15"/>
  <c r="V25" i="15"/>
  <c r="W29" i="15"/>
  <c r="W34" i="15"/>
  <c r="W23" i="15"/>
  <c r="N15" i="15"/>
  <c r="P15" i="15" s="1"/>
  <c r="N6" i="15"/>
  <c r="Q6" i="15" s="1"/>
  <c r="N9" i="15"/>
  <c r="Q9" i="15" s="1"/>
  <c r="N5" i="15"/>
  <c r="P5" i="15" s="1"/>
  <c r="N16" i="15"/>
  <c r="P16" i="15" s="1"/>
  <c r="N8" i="15"/>
  <c r="Q8" i="15" s="1"/>
  <c r="P7" i="15"/>
  <c r="N11" i="15"/>
  <c r="Q11" i="15" s="1"/>
  <c r="N13" i="15"/>
  <c r="Q13" i="15" s="1"/>
  <c r="N18" i="15"/>
  <c r="Q18" i="15" s="1"/>
  <c r="N17" i="15"/>
  <c r="P17" i="15" s="1"/>
  <c r="N10" i="15"/>
  <c r="P10" i="15" s="1"/>
  <c r="N12" i="15"/>
  <c r="Q12" i="15" s="1"/>
  <c r="N14" i="15"/>
  <c r="S33" i="10"/>
  <c r="S34" i="10"/>
  <c r="S5" i="10"/>
  <c r="U28" i="10"/>
  <c r="S35" i="10" l="1"/>
  <c r="S28" i="10"/>
  <c r="U36" i="10"/>
  <c r="S22" i="10"/>
  <c r="V22" i="10" s="1"/>
  <c r="P27" i="17"/>
  <c r="S19" i="10"/>
  <c r="V19" i="10" s="1"/>
  <c r="W27" i="10"/>
  <c r="U13" i="10"/>
  <c r="P12" i="17"/>
  <c r="U11" i="10"/>
  <c r="P24" i="17"/>
  <c r="S32" i="10"/>
  <c r="V32" i="10" s="1"/>
  <c r="S21" i="10"/>
  <c r="V21" i="10" s="1"/>
  <c r="P14" i="17"/>
  <c r="V36" i="10"/>
  <c r="P7" i="16"/>
  <c r="P22" i="16"/>
  <c r="U25" i="10"/>
  <c r="Q13" i="17"/>
  <c r="W22" i="10"/>
  <c r="S17" i="10"/>
  <c r="V17" i="10" s="1"/>
  <c r="Q33" i="17"/>
  <c r="W33" i="10"/>
  <c r="Q32" i="17"/>
  <c r="V33" i="10"/>
  <c r="S18" i="10"/>
  <c r="V18" i="10" s="1"/>
  <c r="P16" i="17"/>
  <c r="S29" i="10"/>
  <c r="V29" i="10" s="1"/>
  <c r="U17" i="10"/>
  <c r="P17" i="17"/>
  <c r="Q4" i="17"/>
  <c r="P4" i="16"/>
  <c r="S27" i="10"/>
  <c r="V27" i="10" s="1"/>
  <c r="P35" i="16"/>
  <c r="U19" i="10"/>
  <c r="V28" i="10"/>
  <c r="P29" i="17"/>
  <c r="U34" i="10"/>
  <c r="U29" i="10"/>
  <c r="P31" i="16"/>
  <c r="S6" i="10"/>
  <c r="V6" i="10" s="1"/>
  <c r="U30" i="10"/>
  <c r="W15" i="10"/>
  <c r="U20" i="10"/>
  <c r="N52" i="17"/>
  <c r="P52" i="17" s="1"/>
  <c r="P34" i="16"/>
  <c r="V30" i="10"/>
  <c r="U10" i="10"/>
  <c r="V34" i="10"/>
  <c r="P8" i="16"/>
  <c r="N57" i="16"/>
  <c r="Q57" i="16" s="1"/>
  <c r="V26" i="10"/>
  <c r="Q33" i="16"/>
  <c r="U26" i="10"/>
  <c r="P31" i="17"/>
  <c r="U18" i="10"/>
  <c r="S13" i="10"/>
  <c r="V13" i="10" s="1"/>
  <c r="Q37" i="17"/>
  <c r="V14" i="10"/>
  <c r="U14" i="10"/>
  <c r="S11" i="10"/>
  <c r="V11" i="10" s="1"/>
  <c r="S7" i="10"/>
  <c r="V7" i="10" s="1"/>
  <c r="S23" i="10"/>
  <c r="V23" i="10" s="1"/>
  <c r="S37" i="10"/>
  <c r="V37" i="10" s="1"/>
  <c r="P28" i="16"/>
  <c r="P9" i="17"/>
  <c r="V15" i="10"/>
  <c r="S9" i="10"/>
  <c r="V9" i="10" s="1"/>
  <c r="P8" i="17"/>
  <c r="Q6" i="17"/>
  <c r="W8" i="10"/>
  <c r="W6" i="10"/>
  <c r="Q25" i="17"/>
  <c r="P23" i="17"/>
  <c r="Q29" i="16"/>
  <c r="U9" i="10"/>
  <c r="S12" i="10"/>
  <c r="V12" i="10" s="1"/>
  <c r="P11" i="16"/>
  <c r="P14" i="16"/>
  <c r="N54" i="17"/>
  <c r="P54" i="17" s="1"/>
  <c r="N58" i="17"/>
  <c r="Q58" i="17" s="1"/>
  <c r="N46" i="16"/>
  <c r="P46" i="16" s="1"/>
  <c r="N49" i="17"/>
  <c r="P49" i="17" s="1"/>
  <c r="N58" i="16"/>
  <c r="Q58" i="16" s="1"/>
  <c r="N49" i="16"/>
  <c r="Q49" i="16" s="1"/>
  <c r="Q27" i="16"/>
  <c r="Q5" i="17"/>
  <c r="N62" i="16"/>
  <c r="Q62" i="16" s="1"/>
  <c r="N52" i="16"/>
  <c r="P52" i="16" s="1"/>
  <c r="N78" i="17"/>
  <c r="P78" i="17" s="1"/>
  <c r="Q32" i="16"/>
  <c r="P17" i="16"/>
  <c r="N59" i="17"/>
  <c r="P59" i="17" s="1"/>
  <c r="N75" i="17"/>
  <c r="Q75" i="17" s="1"/>
  <c r="N76" i="17"/>
  <c r="Q76" i="17" s="1"/>
  <c r="P25" i="16"/>
  <c r="P16" i="16"/>
  <c r="V4" i="10"/>
  <c r="W23" i="10"/>
  <c r="U37" i="10"/>
  <c r="U32" i="10"/>
  <c r="N70" i="17"/>
  <c r="Q70" i="17" s="1"/>
  <c r="N60" i="17"/>
  <c r="P60" i="17" s="1"/>
  <c r="N47" i="17"/>
  <c r="P47" i="17" s="1"/>
  <c r="N61" i="17"/>
  <c r="P61" i="17" s="1"/>
  <c r="Q28" i="17"/>
  <c r="V24" i="10"/>
  <c r="W4" i="10"/>
  <c r="N57" i="17"/>
  <c r="Q57" i="17" s="1"/>
  <c r="Q12" i="16"/>
  <c r="N48" i="16"/>
  <c r="P48" i="16" s="1"/>
  <c r="P20" i="16"/>
  <c r="N53" i="16"/>
  <c r="P53" i="16" s="1"/>
  <c r="N71" i="17"/>
  <c r="P71" i="17" s="1"/>
  <c r="P18" i="16"/>
  <c r="N79" i="17"/>
  <c r="P79" i="17" s="1"/>
  <c r="W5" i="10"/>
  <c r="U24" i="10"/>
  <c r="S20" i="10"/>
  <c r="V20" i="10" s="1"/>
  <c r="N55" i="17"/>
  <c r="P55" i="17" s="1"/>
  <c r="N65" i="17"/>
  <c r="P65" i="17" s="1"/>
  <c r="N70" i="16"/>
  <c r="Q70" i="16" s="1"/>
  <c r="N66" i="17"/>
  <c r="P66" i="17" s="1"/>
  <c r="N63" i="17"/>
  <c r="P63" i="17" s="1"/>
  <c r="N53" i="17"/>
  <c r="P53" i="17" s="1"/>
  <c r="N68" i="16"/>
  <c r="Q68" i="16" s="1"/>
  <c r="Q10" i="16"/>
  <c r="N62" i="17"/>
  <c r="Q62" i="17" s="1"/>
  <c r="N72" i="17"/>
  <c r="P72" i="17" s="1"/>
  <c r="V10" i="10"/>
  <c r="N66" i="16"/>
  <c r="P66" i="16" s="1"/>
  <c r="N68" i="17"/>
  <c r="Q68" i="17" s="1"/>
  <c r="N56" i="17"/>
  <c r="P56" i="17" s="1"/>
  <c r="Q21" i="16"/>
  <c r="V25" i="10"/>
  <c r="N69" i="17"/>
  <c r="P69" i="17" s="1"/>
  <c r="Q11" i="17"/>
  <c r="P26" i="17"/>
  <c r="W35" i="10"/>
  <c r="S31" i="10"/>
  <c r="V31" i="10" s="1"/>
  <c r="N71" i="16"/>
  <c r="Q71" i="16" s="1"/>
  <c r="Q23" i="16"/>
  <c r="Q15" i="16"/>
  <c r="Q34" i="17"/>
  <c r="P37" i="16"/>
  <c r="W16" i="10"/>
  <c r="V35" i="10"/>
  <c r="P6" i="16"/>
  <c r="N63" i="16"/>
  <c r="Q63" i="16" s="1"/>
  <c r="N65" i="16"/>
  <c r="Q65" i="16" s="1"/>
  <c r="N79" i="16"/>
  <c r="Q79" i="16" s="1"/>
  <c r="V5" i="10"/>
  <c r="V16" i="10"/>
  <c r="N47" i="16"/>
  <c r="Q47" i="16" s="1"/>
  <c r="N64" i="16"/>
  <c r="Q64" i="16" s="1"/>
  <c r="N69" i="16"/>
  <c r="Q9" i="16"/>
  <c r="P9" i="16"/>
  <c r="N78" i="16"/>
  <c r="P35" i="17"/>
  <c r="Q35" i="17"/>
  <c r="P5" i="16"/>
  <c r="Q5" i="16"/>
  <c r="Q7" i="17"/>
  <c r="P7" i="17"/>
  <c r="N64" i="17"/>
  <c r="N73" i="17"/>
  <c r="Q20" i="17"/>
  <c r="P20" i="17"/>
  <c r="N77" i="17"/>
  <c r="P24" i="16"/>
  <c r="Q24" i="16"/>
  <c r="N51" i="16"/>
  <c r="P21" i="17"/>
  <c r="Q21" i="17"/>
  <c r="N74" i="17"/>
  <c r="N60" i="16"/>
  <c r="N48" i="17"/>
  <c r="W31" i="10"/>
  <c r="N55" i="16"/>
  <c r="N75" i="16"/>
  <c r="P22" i="17"/>
  <c r="Q22" i="17"/>
  <c r="N54" i="16"/>
  <c r="W7" i="10"/>
  <c r="S8" i="10"/>
  <c r="V8" i="10" s="1"/>
  <c r="N51" i="17"/>
  <c r="Q19" i="16"/>
  <c r="P19" i="16"/>
  <c r="N59" i="16"/>
  <c r="N76" i="16"/>
  <c r="N50" i="16"/>
  <c r="Q30" i="16"/>
  <c r="P30" i="16"/>
  <c r="W12" i="10"/>
  <c r="P10" i="17"/>
  <c r="Q10" i="17"/>
  <c r="U21" i="10"/>
  <c r="Q15" i="17"/>
  <c r="P15" i="17"/>
  <c r="N67" i="16"/>
  <c r="P18" i="17"/>
  <c r="Q18" i="17"/>
  <c r="N74" i="16"/>
  <c r="P26" i="16"/>
  <c r="Q26" i="16"/>
  <c r="N61" i="16"/>
  <c r="Q19" i="17"/>
  <c r="P19" i="17"/>
  <c r="N46" i="17"/>
  <c r="N73" i="16"/>
  <c r="Q36" i="16"/>
  <c r="P36" i="16"/>
  <c r="N67" i="17"/>
  <c r="N50" i="17"/>
  <c r="N77" i="16"/>
  <c r="P36" i="17"/>
  <c r="Q36" i="17"/>
  <c r="P13" i="16"/>
  <c r="Q13" i="16"/>
  <c r="N72" i="16"/>
  <c r="N56" i="16"/>
  <c r="N32" i="15"/>
  <c r="Q32" i="15" s="1"/>
  <c r="N37" i="15"/>
  <c r="P37" i="15" s="1"/>
  <c r="N33" i="15"/>
  <c r="Q33" i="15" s="1"/>
  <c r="N28" i="15"/>
  <c r="P28" i="15" s="1"/>
  <c r="N21" i="15"/>
  <c r="P21" i="15" s="1"/>
  <c r="N35" i="15"/>
  <c r="P35" i="15" s="1"/>
  <c r="N27" i="15"/>
  <c r="Q27" i="15" s="1"/>
  <c r="N25" i="15"/>
  <c r="Q25" i="15" s="1"/>
  <c r="N19" i="15"/>
  <c r="P19" i="15" s="1"/>
  <c r="N29" i="15"/>
  <c r="P29" i="15" s="1"/>
  <c r="N34" i="15"/>
  <c r="P34" i="15" s="1"/>
  <c r="N22" i="15"/>
  <c r="Q22" i="15" s="1"/>
  <c r="N30" i="15"/>
  <c r="Q30" i="15" s="1"/>
  <c r="N26" i="15"/>
  <c r="Q26" i="15" s="1"/>
  <c r="N31" i="15"/>
  <c r="Q31" i="15" s="1"/>
  <c r="N24" i="15"/>
  <c r="P24" i="15" s="1"/>
  <c r="N20" i="15"/>
  <c r="P20" i="15" s="1"/>
  <c r="N23" i="15"/>
  <c r="Q23" i="15" s="1"/>
  <c r="N36" i="15"/>
  <c r="P36" i="15" s="1"/>
  <c r="Q15" i="15"/>
  <c r="Q7" i="15"/>
  <c r="P6" i="15"/>
  <c r="Q16" i="15"/>
  <c r="P9" i="15"/>
  <c r="P8" i="15"/>
  <c r="P11" i="15"/>
  <c r="Q5" i="15"/>
  <c r="P4" i="15"/>
  <c r="P13" i="15"/>
  <c r="Q4" i="15"/>
  <c r="P12" i="15"/>
  <c r="P18" i="15"/>
  <c r="Q17" i="15"/>
  <c r="Q10" i="15"/>
  <c r="P14" i="15"/>
  <c r="Q14" i="15"/>
  <c r="P57" i="17" l="1"/>
  <c r="Q56" i="17"/>
  <c r="Q47" i="17"/>
  <c r="P62" i="16"/>
  <c r="P58" i="16"/>
  <c r="P64" i="16"/>
  <c r="Q48" i="16"/>
  <c r="Q53" i="17"/>
  <c r="Q52" i="17"/>
  <c r="Q69" i="17"/>
  <c r="P58" i="17"/>
  <c r="Q52" i="16"/>
  <c r="P49" i="16"/>
  <c r="P57" i="16"/>
  <c r="Q59" i="17"/>
  <c r="AN2" i="10" a="1"/>
  <c r="AG31" i="10" s="1"/>
  <c r="Q54" i="17"/>
  <c r="Q55" i="17"/>
  <c r="P79" i="16"/>
  <c r="Q79" i="17"/>
  <c r="P71" i="16"/>
  <c r="Q63" i="17"/>
  <c r="P76" i="17"/>
  <c r="P70" i="17"/>
  <c r="P75" i="17"/>
  <c r="Q60" i="17"/>
  <c r="Q46" i="16"/>
  <c r="Q49" i="17"/>
  <c r="Q65" i="17"/>
  <c r="Q78" i="17"/>
  <c r="AH2" i="16" a="1"/>
  <c r="AA27" i="16" s="1"/>
  <c r="Q66" i="17"/>
  <c r="P70" i="16"/>
  <c r="Q72" i="17"/>
  <c r="Q61" i="17"/>
  <c r="P68" i="16"/>
  <c r="Q53" i="16"/>
  <c r="Q71" i="17"/>
  <c r="P62" i="17"/>
  <c r="P65" i="16"/>
  <c r="P68" i="17"/>
  <c r="P63" i="16"/>
  <c r="Q66" i="16"/>
  <c r="P47" i="16"/>
  <c r="P32" i="15"/>
  <c r="AH2" i="17" a="1"/>
  <c r="P74" i="16"/>
  <c r="Q74" i="16"/>
  <c r="Q46" i="17"/>
  <c r="P46" i="17"/>
  <c r="Q59" i="16"/>
  <c r="P59" i="16"/>
  <c r="Q54" i="16"/>
  <c r="P54" i="16"/>
  <c r="P73" i="17"/>
  <c r="Q73" i="17"/>
  <c r="Q64" i="17"/>
  <c r="P64" i="17"/>
  <c r="Q74" i="17"/>
  <c r="P74" i="17"/>
  <c r="Q50" i="17"/>
  <c r="P50" i="17"/>
  <c r="Q51" i="17"/>
  <c r="P51" i="17"/>
  <c r="Q75" i="16"/>
  <c r="P75" i="16"/>
  <c r="Q69" i="16"/>
  <c r="P69" i="16"/>
  <c r="P56" i="16"/>
  <c r="Q56" i="16"/>
  <c r="P67" i="17"/>
  <c r="Q67" i="17"/>
  <c r="Q61" i="16"/>
  <c r="P61" i="16"/>
  <c r="P67" i="16"/>
  <c r="Q67" i="16"/>
  <c r="Q55" i="16"/>
  <c r="P55" i="16"/>
  <c r="P77" i="16"/>
  <c r="Q77" i="16"/>
  <c r="P51" i="16"/>
  <c r="Q51" i="16"/>
  <c r="Q50" i="16"/>
  <c r="P50" i="16"/>
  <c r="Q48" i="17"/>
  <c r="P48" i="17"/>
  <c r="P72" i="16"/>
  <c r="Q72" i="16"/>
  <c r="Q77" i="17"/>
  <c r="P77" i="17"/>
  <c r="P78" i="16"/>
  <c r="Q78" i="16"/>
  <c r="Q73" i="16"/>
  <c r="P73" i="16"/>
  <c r="Q76" i="16"/>
  <c r="P76" i="16"/>
  <c r="P60" i="16"/>
  <c r="Q60" i="16"/>
  <c r="Q37" i="15"/>
  <c r="Q28" i="15"/>
  <c r="P22" i="15"/>
  <c r="P27" i="15"/>
  <c r="P33" i="15"/>
  <c r="Q35" i="15"/>
  <c r="Q21" i="15"/>
  <c r="Q19" i="15"/>
  <c r="Q34" i="15"/>
  <c r="Q24" i="15"/>
  <c r="P25" i="15"/>
  <c r="Q29" i="15"/>
  <c r="P30" i="15"/>
  <c r="Q20" i="15"/>
  <c r="P31" i="15"/>
  <c r="P26" i="15"/>
  <c r="Q36" i="15"/>
  <c r="P23" i="15"/>
  <c r="AN2" i="10" l="1"/>
  <c r="X31" i="10" s="1"/>
  <c r="Y31" i="10" s="1"/>
  <c r="AH27" i="10"/>
  <c r="AH26" i="10"/>
  <c r="AJ26" i="10" s="1"/>
  <c r="AB27" i="17"/>
  <c r="AB26" i="17"/>
  <c r="AD26" i="17" s="1"/>
  <c r="AG27" i="10"/>
  <c r="AB26" i="16"/>
  <c r="AD26" i="16" s="1"/>
  <c r="AH2" i="16"/>
  <c r="AA26" i="16" s="1"/>
  <c r="AA32" i="16" s="1"/>
  <c r="AB27" i="16"/>
  <c r="AA31" i="16"/>
  <c r="AA31" i="17"/>
  <c r="AA27" i="17"/>
  <c r="AH2" i="17"/>
  <c r="AH2" i="15" a="1"/>
  <c r="X62" i="10" l="1"/>
  <c r="X37" i="10"/>
  <c r="Y37" i="10" s="1"/>
  <c r="X52" i="10"/>
  <c r="X72" i="10"/>
  <c r="X23" i="10"/>
  <c r="Y23" i="10" s="1"/>
  <c r="X54" i="10"/>
  <c r="X63" i="10"/>
  <c r="X65" i="10"/>
  <c r="X17" i="10"/>
  <c r="Y17" i="10" s="1"/>
  <c r="X22" i="10"/>
  <c r="Y22" i="10" s="1"/>
  <c r="X13" i="10"/>
  <c r="Y13" i="10" s="1"/>
  <c r="X78" i="10"/>
  <c r="X25" i="10"/>
  <c r="Y25" i="10" s="1"/>
  <c r="X34" i="10"/>
  <c r="Y34" i="10" s="1"/>
  <c r="X66" i="10"/>
  <c r="X56" i="10"/>
  <c r="X53" i="10"/>
  <c r="X70" i="10"/>
  <c r="X12" i="10"/>
  <c r="Y12" i="10" s="1"/>
  <c r="X77" i="10"/>
  <c r="X7" i="10"/>
  <c r="Y7" i="10" s="1"/>
  <c r="X75" i="10"/>
  <c r="X9" i="10"/>
  <c r="Y9" i="10" s="1"/>
  <c r="X47" i="10"/>
  <c r="X16" i="10"/>
  <c r="Y16" i="10" s="1"/>
  <c r="X27" i="10"/>
  <c r="Y27" i="10" s="1"/>
  <c r="X50" i="10"/>
  <c r="X10" i="10"/>
  <c r="Y10" i="10" s="1"/>
  <c r="X24" i="10"/>
  <c r="Y24" i="10" s="1"/>
  <c r="AG26" i="10"/>
  <c r="AG32" i="10" s="1"/>
  <c r="AH34" i="10" s="1"/>
  <c r="X5" i="10"/>
  <c r="Y5" i="10" s="1"/>
  <c r="X49" i="10"/>
  <c r="X14" i="10"/>
  <c r="Y14" i="10" s="1"/>
  <c r="X18" i="10"/>
  <c r="Y18" i="10" s="1"/>
  <c r="X36" i="10"/>
  <c r="Y36" i="10" s="1"/>
  <c r="X58" i="10"/>
  <c r="X69" i="10"/>
  <c r="X4" i="10"/>
  <c r="Y4" i="10" s="1"/>
  <c r="X61" i="10"/>
  <c r="X48" i="10"/>
  <c r="X32" i="10"/>
  <c r="Y32" i="10" s="1"/>
  <c r="X67" i="10"/>
  <c r="X15" i="10"/>
  <c r="Y15" i="10" s="1"/>
  <c r="X46" i="10"/>
  <c r="X19" i="10"/>
  <c r="Y19" i="10" s="1"/>
  <c r="X76" i="10"/>
  <c r="X28" i="10"/>
  <c r="Y28" i="10" s="1"/>
  <c r="X74" i="10"/>
  <c r="X20" i="10"/>
  <c r="Y20" i="10" s="1"/>
  <c r="X60" i="10"/>
  <c r="X73" i="10"/>
  <c r="X33" i="10"/>
  <c r="Y33" i="10" s="1"/>
  <c r="X29" i="10"/>
  <c r="Y29" i="10" s="1"/>
  <c r="X11" i="10"/>
  <c r="Y11" i="10" s="1"/>
  <c r="X21" i="10"/>
  <c r="Y21" i="10" s="1"/>
  <c r="X71" i="10"/>
  <c r="X59" i="10"/>
  <c r="X6" i="10"/>
  <c r="Y6" i="10" s="1"/>
  <c r="X26" i="10"/>
  <c r="Y26" i="10" s="1"/>
  <c r="X35" i="10"/>
  <c r="Y35" i="10" s="1"/>
  <c r="X68" i="10"/>
  <c r="X51" i="10"/>
  <c r="X79" i="10"/>
  <c r="X30" i="10"/>
  <c r="Y30" i="10" s="1"/>
  <c r="X55" i="10"/>
  <c r="X64" i="10"/>
  <c r="X8" i="10"/>
  <c r="Y8" i="10" s="1"/>
  <c r="R73" i="16"/>
  <c r="S73" i="16" s="1"/>
  <c r="R46" i="16"/>
  <c r="S46" i="16" s="1"/>
  <c r="R4" i="16"/>
  <c r="S4" i="16" s="1"/>
  <c r="R59" i="16"/>
  <c r="S59" i="16" s="1"/>
  <c r="R63" i="16"/>
  <c r="S63" i="16" s="1"/>
  <c r="R49" i="16"/>
  <c r="S49" i="16" s="1"/>
  <c r="R26" i="16"/>
  <c r="S26" i="16" s="1"/>
  <c r="R74" i="16"/>
  <c r="S74" i="16" s="1"/>
  <c r="R8" i="16"/>
  <c r="S8" i="16" s="1"/>
  <c r="R29" i="16"/>
  <c r="S29" i="16" s="1"/>
  <c r="R54" i="16"/>
  <c r="S54" i="16" s="1"/>
  <c r="R53" i="16"/>
  <c r="S53" i="16" s="1"/>
  <c r="R70" i="16"/>
  <c r="S70" i="16" s="1"/>
  <c r="R48" i="16"/>
  <c r="S48" i="16" s="1"/>
  <c r="R76" i="16"/>
  <c r="S76" i="16" s="1"/>
  <c r="R31" i="16"/>
  <c r="S31" i="16" s="1"/>
  <c r="R7" i="16"/>
  <c r="S7" i="16" s="1"/>
  <c r="R55" i="16"/>
  <c r="S55" i="16" s="1"/>
  <c r="R17" i="16"/>
  <c r="S17" i="16" s="1"/>
  <c r="R20" i="16"/>
  <c r="S20" i="16" s="1"/>
  <c r="R24" i="16"/>
  <c r="S24" i="16" s="1"/>
  <c r="R23" i="16"/>
  <c r="S23" i="16" s="1"/>
  <c r="R21" i="16"/>
  <c r="S21" i="16" s="1"/>
  <c r="R27" i="16"/>
  <c r="S27" i="16" s="1"/>
  <c r="R56" i="16"/>
  <c r="S56" i="16" s="1"/>
  <c r="R37" i="16"/>
  <c r="S37" i="16" s="1"/>
  <c r="R51" i="16"/>
  <c r="S51" i="16" s="1"/>
  <c r="R5" i="16"/>
  <c r="S5" i="16" s="1"/>
  <c r="R71" i="16"/>
  <c r="S71" i="16" s="1"/>
  <c r="R30" i="16"/>
  <c r="S30" i="16" s="1"/>
  <c r="R77" i="16"/>
  <c r="S77" i="16" s="1"/>
  <c r="R75" i="16"/>
  <c r="S75" i="16" s="1"/>
  <c r="R69" i="16"/>
  <c r="S69" i="16" s="1"/>
  <c r="R15" i="16"/>
  <c r="S15" i="16" s="1"/>
  <c r="R32" i="16"/>
  <c r="S32" i="16" s="1"/>
  <c r="R79" i="16"/>
  <c r="S79" i="16" s="1"/>
  <c r="R13" i="16"/>
  <c r="S13" i="16" s="1"/>
  <c r="R63" i="17"/>
  <c r="S63" i="17" s="1"/>
  <c r="AA26" i="17"/>
  <c r="R16" i="16"/>
  <c r="S16" i="16" s="1"/>
  <c r="R78" i="16"/>
  <c r="S78" i="16" s="1"/>
  <c r="R47" i="16"/>
  <c r="S47" i="16" s="1"/>
  <c r="R58" i="16"/>
  <c r="S58" i="16" s="1"/>
  <c r="R52" i="16"/>
  <c r="S52" i="16" s="1"/>
  <c r="R57" i="16"/>
  <c r="S57" i="16" s="1"/>
  <c r="R14" i="16"/>
  <c r="S14" i="16" s="1"/>
  <c r="R64" i="16"/>
  <c r="S64" i="16" s="1"/>
  <c r="R6" i="16"/>
  <c r="S6" i="16" s="1"/>
  <c r="AC26" i="16"/>
  <c r="R35" i="16"/>
  <c r="S35" i="16" s="1"/>
  <c r="R72" i="16"/>
  <c r="S72" i="16" s="1"/>
  <c r="R10" i="16"/>
  <c r="S10" i="16" s="1"/>
  <c r="R67" i="16"/>
  <c r="S67" i="16" s="1"/>
  <c r="R61" i="16"/>
  <c r="S61" i="16" s="1"/>
  <c r="R65" i="16"/>
  <c r="S65" i="16" s="1"/>
  <c r="R62" i="16"/>
  <c r="S62" i="16" s="1"/>
  <c r="R12" i="16"/>
  <c r="S12" i="16" s="1"/>
  <c r="R75" i="17"/>
  <c r="S75" i="17" s="1"/>
  <c r="R19" i="16"/>
  <c r="S19" i="16" s="1"/>
  <c r="R13" i="17"/>
  <c r="S13" i="17" s="1"/>
  <c r="R46" i="17"/>
  <c r="S46" i="17" s="1"/>
  <c r="R77" i="17"/>
  <c r="S77" i="17" s="1"/>
  <c r="R69" i="17"/>
  <c r="S69" i="17" s="1"/>
  <c r="R37" i="17"/>
  <c r="S37" i="17" s="1"/>
  <c r="R9" i="16"/>
  <c r="S9" i="16" s="1"/>
  <c r="R28" i="16"/>
  <c r="S28" i="16" s="1"/>
  <c r="R66" i="16"/>
  <c r="S66" i="16" s="1"/>
  <c r="R36" i="16"/>
  <c r="S36" i="16" s="1"/>
  <c r="R60" i="16"/>
  <c r="S60" i="16" s="1"/>
  <c r="R22" i="16"/>
  <c r="S22" i="16" s="1"/>
  <c r="R68" i="16"/>
  <c r="S68" i="16" s="1"/>
  <c r="R33" i="16"/>
  <c r="S33" i="16" s="1"/>
  <c r="R50" i="16"/>
  <c r="S50" i="16" s="1"/>
  <c r="R24" i="17"/>
  <c r="S24" i="17" s="1"/>
  <c r="R21" i="17"/>
  <c r="S21" i="17" s="1"/>
  <c r="R25" i="16"/>
  <c r="S25" i="16" s="1"/>
  <c r="R14" i="17"/>
  <c r="S14" i="17" s="1"/>
  <c r="R30" i="17"/>
  <c r="S30" i="17" s="1"/>
  <c r="R18" i="16"/>
  <c r="S18" i="16" s="1"/>
  <c r="R11" i="16"/>
  <c r="S11" i="16" s="1"/>
  <c r="R34" i="16"/>
  <c r="S34" i="16" s="1"/>
  <c r="R26" i="17"/>
  <c r="S26" i="17" s="1"/>
  <c r="R56" i="17"/>
  <c r="S56" i="17" s="1"/>
  <c r="R74" i="17"/>
  <c r="S74" i="17" s="1"/>
  <c r="R29" i="17"/>
  <c r="S29" i="17" s="1"/>
  <c r="R60" i="17"/>
  <c r="S60" i="17" s="1"/>
  <c r="R48" i="17"/>
  <c r="S48" i="17" s="1"/>
  <c r="R18" i="17"/>
  <c r="S18" i="17" s="1"/>
  <c r="R8" i="17"/>
  <c r="S8" i="17" s="1"/>
  <c r="R7" i="17"/>
  <c r="S7" i="17" s="1"/>
  <c r="R58" i="17"/>
  <c r="S58" i="17" s="1"/>
  <c r="R62" i="17"/>
  <c r="S62" i="17" s="1"/>
  <c r="R52" i="17"/>
  <c r="S52" i="17" s="1"/>
  <c r="R70" i="17"/>
  <c r="S70" i="17" s="1"/>
  <c r="R4" i="17"/>
  <c r="S4" i="17" s="1"/>
  <c r="R55" i="17"/>
  <c r="S55" i="17" s="1"/>
  <c r="R51" i="17"/>
  <c r="S51" i="17" s="1"/>
  <c r="R16" i="17"/>
  <c r="S16" i="17" s="1"/>
  <c r="R20" i="17"/>
  <c r="S20" i="17" s="1"/>
  <c r="R23" i="17"/>
  <c r="S23" i="17" s="1"/>
  <c r="R64" i="17"/>
  <c r="S64" i="17" s="1"/>
  <c r="R22" i="17"/>
  <c r="S22" i="17" s="1"/>
  <c r="R35" i="17"/>
  <c r="S35" i="17" s="1"/>
  <c r="R28" i="17"/>
  <c r="S28" i="17" s="1"/>
  <c r="R17" i="17"/>
  <c r="S17" i="17" s="1"/>
  <c r="R65" i="17"/>
  <c r="S65" i="17" s="1"/>
  <c r="R73" i="17"/>
  <c r="S73" i="17" s="1"/>
  <c r="R53" i="17"/>
  <c r="S53" i="17" s="1"/>
  <c r="R57" i="17"/>
  <c r="S57" i="17" s="1"/>
  <c r="R36" i="17"/>
  <c r="S36" i="17" s="1"/>
  <c r="R33" i="17"/>
  <c r="S33" i="17" s="1"/>
  <c r="R59" i="17"/>
  <c r="S59" i="17" s="1"/>
  <c r="R54" i="17"/>
  <c r="S54" i="17" s="1"/>
  <c r="R5" i="17"/>
  <c r="S5" i="17" s="1"/>
  <c r="R78" i="17"/>
  <c r="S78" i="17" s="1"/>
  <c r="R79" i="17"/>
  <c r="S79" i="17" s="1"/>
  <c r="R32" i="17"/>
  <c r="S32" i="17" s="1"/>
  <c r="R15" i="17"/>
  <c r="S15" i="17" s="1"/>
  <c r="R11" i="17"/>
  <c r="S11" i="17" s="1"/>
  <c r="R6" i="17"/>
  <c r="S6" i="17" s="1"/>
  <c r="R12" i="17"/>
  <c r="S12" i="17" s="1"/>
  <c r="R27" i="17"/>
  <c r="S27" i="17" s="1"/>
  <c r="R50" i="17"/>
  <c r="S50" i="17" s="1"/>
  <c r="R72" i="17"/>
  <c r="S72" i="17" s="1"/>
  <c r="R67" i="17"/>
  <c r="S67" i="17" s="1"/>
  <c r="R19" i="17"/>
  <c r="S19" i="17" s="1"/>
  <c r="R71" i="17"/>
  <c r="S71" i="17" s="1"/>
  <c r="R9" i="17"/>
  <c r="S9" i="17" s="1"/>
  <c r="R25" i="17"/>
  <c r="S25" i="17" s="1"/>
  <c r="R76" i="17"/>
  <c r="S76" i="17" s="1"/>
  <c r="R49" i="17"/>
  <c r="S49" i="17" s="1"/>
  <c r="R61" i="17"/>
  <c r="S61" i="17" s="1"/>
  <c r="R47" i="17"/>
  <c r="S47" i="17" s="1"/>
  <c r="R68" i="17"/>
  <c r="S68" i="17" s="1"/>
  <c r="R31" i="17"/>
  <c r="S31" i="17" s="1"/>
  <c r="R34" i="17"/>
  <c r="S34" i="17" s="1"/>
  <c r="R66" i="17"/>
  <c r="S66" i="17" s="1"/>
  <c r="R10" i="17"/>
  <c r="S10" i="17" s="1"/>
  <c r="AB34" i="16"/>
  <c r="AC31" i="16"/>
  <c r="AB32" i="16" s="1"/>
  <c r="AC32" i="16" s="1"/>
  <c r="AD32" i="16" s="1"/>
  <c r="AA27" i="15"/>
  <c r="AB26" i="15"/>
  <c r="AD26" i="15" s="1"/>
  <c r="AA31" i="15"/>
  <c r="AB27" i="15"/>
  <c r="AH2" i="15"/>
  <c r="AA26" i="15" s="1"/>
  <c r="BW6" i="1"/>
  <c r="BY5" i="1" s="1"/>
  <c r="AI26" i="10" l="1"/>
  <c r="AA32" i="17"/>
  <c r="AC26" i="17"/>
  <c r="AE32" i="16"/>
  <c r="AA28" i="16"/>
  <c r="R57" i="15"/>
  <c r="R25" i="15"/>
  <c r="S25" i="15" s="1"/>
  <c r="R22" i="15"/>
  <c r="S22" i="15" s="1"/>
  <c r="R79" i="15"/>
  <c r="R60" i="15"/>
  <c r="R24" i="15"/>
  <c r="S24" i="15" s="1"/>
  <c r="R51" i="15"/>
  <c r="R58" i="15"/>
  <c r="R75" i="15"/>
  <c r="R59" i="15"/>
  <c r="R73" i="15"/>
  <c r="R77" i="15"/>
  <c r="R70" i="15"/>
  <c r="R26" i="15"/>
  <c r="S26" i="15" s="1"/>
  <c r="R4" i="15"/>
  <c r="S4" i="15" s="1"/>
  <c r="R18" i="15"/>
  <c r="S18" i="15" s="1"/>
  <c r="R71" i="15"/>
  <c r="R23" i="15"/>
  <c r="S23" i="15" s="1"/>
  <c r="R9" i="15"/>
  <c r="S9" i="15" s="1"/>
  <c r="R37" i="15"/>
  <c r="S37" i="15" s="1"/>
  <c r="R50" i="15"/>
  <c r="R72" i="15"/>
  <c r="R49" i="15"/>
  <c r="R12" i="15"/>
  <c r="S12" i="15" s="1"/>
  <c r="R28" i="15"/>
  <c r="S28" i="15" s="1"/>
  <c r="R74" i="15"/>
  <c r="R47" i="15"/>
  <c r="R55" i="15"/>
  <c r="R36" i="15"/>
  <c r="S36" i="15" s="1"/>
  <c r="R32" i="15"/>
  <c r="S32" i="15" s="1"/>
  <c r="R6" i="15"/>
  <c r="S6" i="15" s="1"/>
  <c r="R21" i="15"/>
  <c r="S21" i="15" s="1"/>
  <c r="R67" i="15"/>
  <c r="R66" i="15"/>
  <c r="R62" i="15"/>
  <c r="R46" i="15"/>
  <c r="R30" i="15"/>
  <c r="S30" i="15" s="1"/>
  <c r="R69" i="15"/>
  <c r="R63" i="15"/>
  <c r="R52" i="15"/>
  <c r="R31" i="15"/>
  <c r="S31" i="15" s="1"/>
  <c r="R17" i="15"/>
  <c r="S17" i="15" s="1"/>
  <c r="R8" i="15"/>
  <c r="S8" i="15" s="1"/>
  <c r="R53" i="15"/>
  <c r="R15" i="15"/>
  <c r="S15" i="15" s="1"/>
  <c r="R10" i="15"/>
  <c r="S10" i="15" s="1"/>
  <c r="R65" i="15"/>
  <c r="R7" i="15"/>
  <c r="S7" i="15" s="1"/>
  <c r="R16" i="15"/>
  <c r="S16" i="15" s="1"/>
  <c r="R68" i="15"/>
  <c r="R19" i="15"/>
  <c r="S19" i="15" s="1"/>
  <c r="AC26" i="15"/>
  <c r="AA32" i="15"/>
  <c r="R78" i="15"/>
  <c r="R35" i="15"/>
  <c r="S35" i="15" s="1"/>
  <c r="R61" i="15"/>
  <c r="R13" i="15"/>
  <c r="S13" i="15" s="1"/>
  <c r="R76" i="15"/>
  <c r="R5" i="15"/>
  <c r="S5" i="15" s="1"/>
  <c r="R11" i="15"/>
  <c r="S11" i="15" s="1"/>
  <c r="R64" i="15"/>
  <c r="R29" i="15"/>
  <c r="S29" i="15" s="1"/>
  <c r="R14" i="15"/>
  <c r="S14" i="15" s="1"/>
  <c r="R48" i="15"/>
  <c r="R27" i="15"/>
  <c r="S27" i="15" s="1"/>
  <c r="R33" i="15"/>
  <c r="S33" i="15" s="1"/>
  <c r="R20" i="15"/>
  <c r="S20" i="15" s="1"/>
  <c r="R34" i="15"/>
  <c r="S34" i="15" s="1"/>
  <c r="R54" i="15"/>
  <c r="R56" i="15"/>
  <c r="AI31" i="10"/>
  <c r="AH32" i="10" s="1"/>
  <c r="AI32" i="10" s="1"/>
  <c r="AJ32" i="10" s="1"/>
  <c r="AG28" i="10" s="1"/>
  <c r="BW7" i="1"/>
  <c r="BW8" i="1" s="1"/>
  <c r="BW9" i="1" s="1"/>
  <c r="BY9" i="1" s="1"/>
  <c r="AT23" i="1" s="1" a="1"/>
  <c r="AT23" i="1" s="1"/>
  <c r="AT5" i="1" a="1"/>
  <c r="AT5" i="1" s="1"/>
  <c r="D46" i="10" a="1"/>
  <c r="D46" i="10" s="1"/>
  <c r="AI5" i="1" a="1"/>
  <c r="AT6" i="1" a="1"/>
  <c r="AT6" i="1" s="1"/>
  <c r="AT8" i="1" a="1"/>
  <c r="AT8" i="1" s="1"/>
  <c r="AT7" i="1" a="1"/>
  <c r="AT7" i="1" s="1"/>
  <c r="AB34" i="17" l="1"/>
  <c r="AC31" i="17"/>
  <c r="AB32" i="17" s="1"/>
  <c r="AC32" i="17" s="1"/>
  <c r="AD32" i="17" s="1"/>
  <c r="AB34" i="15"/>
  <c r="AC31" i="15"/>
  <c r="AB32" i="15" s="1"/>
  <c r="AC32" i="15" s="1"/>
  <c r="AD32" i="15" s="1"/>
  <c r="G46" i="10" a="1"/>
  <c r="G46" i="10" s="1"/>
  <c r="I46" i="10" s="1"/>
  <c r="AK32" i="10"/>
  <c r="AT59" i="1" a="1"/>
  <c r="AT59" i="1" s="1"/>
  <c r="AT15" i="1" a="1"/>
  <c r="AT15" i="1" s="1"/>
  <c r="AT91" i="1" a="1"/>
  <c r="AT91" i="1" s="1"/>
  <c r="AT16" i="1" a="1"/>
  <c r="AT16" i="1" s="1"/>
  <c r="AT41" i="1" a="1"/>
  <c r="AT41" i="1" s="1"/>
  <c r="AT11" i="1" a="1"/>
  <c r="AT11" i="1" s="1"/>
  <c r="AT49" i="1" a="1"/>
  <c r="AT49" i="1" s="1"/>
  <c r="AT60" i="1" a="1"/>
  <c r="AT60" i="1" s="1"/>
  <c r="AT10" i="1" a="1"/>
  <c r="AT10" i="1" s="1"/>
  <c r="AT28" i="1" a="1"/>
  <c r="AT28" i="1" s="1"/>
  <c r="AT128" i="1" a="1"/>
  <c r="AT128" i="1" s="1"/>
  <c r="AT20" i="1" a="1"/>
  <c r="AT20" i="1" s="1"/>
  <c r="AT84" i="1" a="1"/>
  <c r="AT84" i="1" s="1"/>
  <c r="AT83" i="1" a="1"/>
  <c r="AT83" i="1" s="1"/>
  <c r="AT72" i="1" a="1"/>
  <c r="AT72" i="1" s="1"/>
  <c r="AT110" i="1" a="1"/>
  <c r="AT110" i="1" s="1"/>
  <c r="AT57" i="1" a="1"/>
  <c r="AT57" i="1" s="1"/>
  <c r="AT61" i="1" a="1"/>
  <c r="AT61" i="1" s="1"/>
  <c r="AT131" i="1" a="1"/>
  <c r="AT131" i="1" s="1"/>
  <c r="AT63" i="1" a="1"/>
  <c r="AT63" i="1" s="1"/>
  <c r="AT21" i="1" a="1"/>
  <c r="AT21" i="1" s="1"/>
  <c r="AT98" i="1" a="1"/>
  <c r="AT98" i="1" s="1"/>
  <c r="AT26" i="1" a="1"/>
  <c r="AT26" i="1" s="1"/>
  <c r="AT137" i="1" a="1"/>
  <c r="AT137" i="1" s="1"/>
  <c r="AT52" i="1" a="1"/>
  <c r="AT52" i="1" s="1"/>
  <c r="AT58" i="1" a="1"/>
  <c r="AT58" i="1" s="1"/>
  <c r="AT99" i="1" a="1"/>
  <c r="AT99" i="1" s="1"/>
  <c r="AT106" i="1" a="1"/>
  <c r="AT106" i="1" s="1"/>
  <c r="AT71" i="1" a="1"/>
  <c r="AT71" i="1" s="1"/>
  <c r="AT133" i="1" a="1"/>
  <c r="AT133" i="1" s="1"/>
  <c r="AT88" i="1" a="1"/>
  <c r="AT88" i="1" s="1"/>
  <c r="AT124" i="1" a="1"/>
  <c r="AT124" i="1" s="1"/>
  <c r="AT54" i="1" a="1"/>
  <c r="AT54" i="1" s="1"/>
  <c r="AT43" i="1" a="1"/>
  <c r="AT43" i="1" s="1"/>
  <c r="AT126" i="1" a="1"/>
  <c r="AT126" i="1" s="1"/>
  <c r="AT77" i="1" a="1"/>
  <c r="AT77" i="1" s="1"/>
  <c r="AT94" i="1" a="1"/>
  <c r="AT94" i="1" s="1"/>
  <c r="AT66" i="1" a="1"/>
  <c r="AT66" i="1" s="1"/>
  <c r="AT79" i="1" a="1"/>
  <c r="AT79" i="1" s="1"/>
  <c r="AT111" i="1" a="1"/>
  <c r="AT111" i="1" s="1"/>
  <c r="AT122" i="1" a="1"/>
  <c r="AT122" i="1" s="1"/>
  <c r="AT80" i="1" a="1"/>
  <c r="AT80" i="1" s="1"/>
  <c r="AT51" i="1" a="1"/>
  <c r="AT51" i="1" s="1"/>
  <c r="AT117" i="1" a="1"/>
  <c r="AT117" i="1" s="1"/>
  <c r="AT64" i="1" a="1"/>
  <c r="AT64" i="1" s="1"/>
  <c r="AT9" i="1" a="1"/>
  <c r="AT9" i="1" s="1"/>
  <c r="AT101" i="1" a="1"/>
  <c r="AT101" i="1" s="1"/>
  <c r="AT102" i="1" a="1"/>
  <c r="AT102" i="1" s="1"/>
  <c r="AT136" i="1" a="1"/>
  <c r="AT136" i="1" s="1"/>
  <c r="AT86" i="1" a="1"/>
  <c r="AT86" i="1" s="1"/>
  <c r="AT127" i="1" a="1"/>
  <c r="AT127" i="1" s="1"/>
  <c r="AT38" i="1" a="1"/>
  <c r="AT38" i="1" s="1"/>
  <c r="AT68" i="1" a="1"/>
  <c r="AT68" i="1" s="1"/>
  <c r="AT114" i="1" a="1"/>
  <c r="AT114" i="1" s="1"/>
  <c r="AT118" i="1" a="1"/>
  <c r="AT118" i="1" s="1"/>
  <c r="AT67" i="1" a="1"/>
  <c r="AT67" i="1" s="1"/>
  <c r="AT129" i="1" a="1"/>
  <c r="AT129" i="1" s="1"/>
  <c r="AT55" i="1" a="1"/>
  <c r="AT55" i="1" s="1"/>
  <c r="AT107" i="1" a="1"/>
  <c r="AT107" i="1" s="1"/>
  <c r="AT33" i="1" a="1"/>
  <c r="AT33" i="1" s="1"/>
  <c r="AT112" i="1" a="1"/>
  <c r="AT112" i="1" s="1"/>
  <c r="AT96" i="1" a="1"/>
  <c r="AT96" i="1" s="1"/>
  <c r="AT76" i="1" a="1"/>
  <c r="AT76" i="1" s="1"/>
  <c r="AT70" i="1" a="1"/>
  <c r="AT70" i="1" s="1"/>
  <c r="AT50" i="1" a="1"/>
  <c r="AT50" i="1" s="1"/>
  <c r="AT87" i="1" a="1"/>
  <c r="AT87" i="1" s="1"/>
  <c r="AT125" i="1" a="1"/>
  <c r="AT125" i="1" s="1"/>
  <c r="AT116" i="1" a="1"/>
  <c r="AT116" i="1" s="1"/>
  <c r="AT130" i="1" a="1"/>
  <c r="AT130" i="1" s="1"/>
  <c r="AT121" i="1" a="1"/>
  <c r="AT121" i="1" s="1"/>
  <c r="AT29" i="1" a="1"/>
  <c r="AT29" i="1" s="1"/>
  <c r="AT104" i="1" a="1"/>
  <c r="AT104" i="1" s="1"/>
  <c r="AT82" i="1" a="1"/>
  <c r="AT82" i="1" s="1"/>
  <c r="AT75" i="1" a="1"/>
  <c r="AT75" i="1" s="1"/>
  <c r="AT138" i="1" a="1"/>
  <c r="AT138" i="1" s="1"/>
  <c r="AT135" i="1" a="1"/>
  <c r="AT135" i="1" s="1"/>
  <c r="AT25" i="1" a="1"/>
  <c r="AT25" i="1" s="1"/>
  <c r="AT109" i="1" a="1"/>
  <c r="AT109" i="1" s="1"/>
  <c r="AT74" i="1" a="1"/>
  <c r="AT74" i="1" s="1"/>
  <c r="AT134" i="1" a="1"/>
  <c r="AT134" i="1" s="1"/>
  <c r="AT90" i="1" a="1"/>
  <c r="AT90" i="1" s="1"/>
  <c r="AT95" i="1" a="1"/>
  <c r="AT95" i="1" s="1"/>
  <c r="AT18" i="1" a="1"/>
  <c r="AT18" i="1" s="1"/>
  <c r="AT17" i="1" a="1"/>
  <c r="AT17" i="1" s="1"/>
  <c r="AT40" i="1" a="1"/>
  <c r="AT40" i="1" s="1"/>
  <c r="AT46" i="1" a="1"/>
  <c r="AT46" i="1" s="1"/>
  <c r="AT81" i="1" a="1"/>
  <c r="AT81" i="1" s="1"/>
  <c r="AT13" i="1" a="1"/>
  <c r="AT13" i="1" s="1"/>
  <c r="AT27" i="1" a="1"/>
  <c r="AT27" i="1" s="1"/>
  <c r="AT31" i="1" a="1"/>
  <c r="AT31" i="1" s="1"/>
  <c r="AT105" i="1" a="1"/>
  <c r="AT105" i="1" s="1"/>
  <c r="AT62" i="1" a="1"/>
  <c r="AT62" i="1" s="1"/>
  <c r="AT113" i="1" a="1"/>
  <c r="AT113" i="1" s="1"/>
  <c r="AT115" i="1" a="1"/>
  <c r="AT115" i="1" s="1"/>
  <c r="AT39" i="1" a="1"/>
  <c r="AT39" i="1" s="1"/>
  <c r="AT120" i="1" a="1"/>
  <c r="AT120" i="1" s="1"/>
  <c r="AT14" i="1" a="1"/>
  <c r="AT14" i="1" s="1"/>
  <c r="AT103" i="1" a="1"/>
  <c r="AT103" i="1" s="1"/>
  <c r="AT100" i="1" a="1"/>
  <c r="AT100" i="1" s="1"/>
  <c r="AT92" i="1" a="1"/>
  <c r="AT92" i="1" s="1"/>
  <c r="AT123" i="1" a="1"/>
  <c r="AT123" i="1" s="1"/>
  <c r="AT132" i="1" a="1"/>
  <c r="AT132" i="1" s="1"/>
  <c r="AT44" i="1" a="1"/>
  <c r="AT44" i="1" s="1"/>
  <c r="AT47" i="1" a="1"/>
  <c r="AT47" i="1" s="1"/>
  <c r="AT93" i="1" a="1"/>
  <c r="AT93" i="1" s="1"/>
  <c r="AT12" i="1" a="1"/>
  <c r="AT12" i="1" s="1"/>
  <c r="AT45" i="1" a="1"/>
  <c r="AT45" i="1" s="1"/>
  <c r="AT73" i="1" a="1"/>
  <c r="AT73" i="1" s="1"/>
  <c r="AT78" i="1" a="1"/>
  <c r="AT78" i="1" s="1"/>
  <c r="AT97" i="1" a="1"/>
  <c r="AT97" i="1" s="1"/>
  <c r="AT119" i="1" a="1"/>
  <c r="AT119" i="1" s="1"/>
  <c r="AT65" i="1" a="1"/>
  <c r="AT65" i="1" s="1"/>
  <c r="AT89" i="1" a="1"/>
  <c r="AT89" i="1" s="1"/>
  <c r="AT108" i="1" a="1"/>
  <c r="AT108" i="1" s="1"/>
  <c r="AT35" i="1" a="1"/>
  <c r="AT35" i="1" s="1"/>
  <c r="AT85" i="1" a="1"/>
  <c r="AT85" i="1" s="1"/>
  <c r="AT19" i="1" a="1"/>
  <c r="AT19" i="1" s="1"/>
  <c r="AT69" i="1" a="1"/>
  <c r="AT69" i="1" s="1"/>
  <c r="D47" i="10" a="1"/>
  <c r="D47" i="10" s="1"/>
  <c r="AI9" i="1" a="1"/>
  <c r="AI9" i="1" s="1"/>
  <c r="AL9" i="1" s="1"/>
  <c r="AT32" i="1" a="1"/>
  <c r="AT32" i="1" s="1"/>
  <c r="AT48" i="1" a="1"/>
  <c r="AT48" i="1" s="1"/>
  <c r="AT30" i="1" a="1"/>
  <c r="AT30" i="1" s="1"/>
  <c r="AT53" i="1" a="1"/>
  <c r="AT53" i="1" s="1"/>
  <c r="AT34" i="1" a="1"/>
  <c r="AT34" i="1" s="1"/>
  <c r="AT56" i="1" a="1"/>
  <c r="AT56" i="1" s="1"/>
  <c r="AT22" i="1" a="1"/>
  <c r="AT22" i="1" s="1"/>
  <c r="AT42" i="1" a="1"/>
  <c r="AT42" i="1" s="1"/>
  <c r="AT36" i="1" a="1"/>
  <c r="AT36" i="1" s="1"/>
  <c r="AT37" i="1" a="1"/>
  <c r="AT37" i="1" s="1"/>
  <c r="AT24" i="1" a="1"/>
  <c r="AT24" i="1" s="1"/>
  <c r="AI5" i="1"/>
  <c r="AL5" i="1" s="1"/>
  <c r="D39" i="10"/>
  <c r="AA28" i="17" l="1"/>
  <c r="AA28" i="15"/>
  <c r="AE32" i="15"/>
  <c r="G77" i="10" a="1"/>
  <c r="G77" i="10" s="1"/>
  <c r="I77" i="10" s="1"/>
  <c r="G66" i="10" a="1"/>
  <c r="G66" i="10" s="1"/>
  <c r="I66" i="10" s="1"/>
  <c r="AC66" i="10" s="1"/>
  <c r="G79" i="10" a="1"/>
  <c r="G79" i="10" s="1"/>
  <c r="I79" i="10" s="1"/>
  <c r="G53" i="10" a="1"/>
  <c r="G53" i="10" s="1"/>
  <c r="I53" i="10" s="1"/>
  <c r="AC53" i="10" s="1"/>
  <c r="G71" i="10" a="1"/>
  <c r="G71" i="10" s="1"/>
  <c r="I71" i="10" s="1"/>
  <c r="AC71" i="10" s="1"/>
  <c r="G76" i="10" a="1"/>
  <c r="G76" i="10" s="1"/>
  <c r="I76" i="10" s="1"/>
  <c r="AC76" i="10" s="1"/>
  <c r="G61" i="10" a="1"/>
  <c r="G61" i="10" s="1"/>
  <c r="I61" i="10" s="1"/>
  <c r="AB61" i="10" s="1"/>
  <c r="G56" i="10" a="1"/>
  <c r="G56" i="10" s="1"/>
  <c r="I56" i="10" s="1"/>
  <c r="AC56" i="10" s="1"/>
  <c r="G48" i="10" a="1"/>
  <c r="G48" i="10" s="1"/>
  <c r="I48" i="10" s="1"/>
  <c r="AB48" i="10" s="1"/>
  <c r="G73" i="10" a="1"/>
  <c r="G73" i="10" s="1"/>
  <c r="I73" i="10" s="1"/>
  <c r="AB73" i="10" s="1"/>
  <c r="G50" i="10" a="1"/>
  <c r="G50" i="10" s="1"/>
  <c r="I50" i="10" s="1"/>
  <c r="AB50" i="10" s="1"/>
  <c r="G63" i="10" a="1"/>
  <c r="G63" i="10" s="1"/>
  <c r="I63" i="10" s="1"/>
  <c r="AB63" i="10" s="1"/>
  <c r="G49" i="10" a="1"/>
  <c r="G49" i="10" s="1"/>
  <c r="I49" i="10" s="1"/>
  <c r="AB49" i="10" s="1"/>
  <c r="G74" i="10" a="1"/>
  <c r="G74" i="10" s="1"/>
  <c r="I74" i="10" s="1"/>
  <c r="AB74" i="10" s="1"/>
  <c r="G58" i="10" a="1"/>
  <c r="G58" i="10" s="1"/>
  <c r="I58" i="10" s="1"/>
  <c r="AA58" i="10" s="1"/>
  <c r="G55" i="10" a="1"/>
  <c r="G55" i="10" s="1"/>
  <c r="I55" i="10" s="1"/>
  <c r="AA55" i="10" s="1"/>
  <c r="G68" i="10" a="1"/>
  <c r="G68" i="10" s="1"/>
  <c r="I68" i="10" s="1"/>
  <c r="G59" i="10" a="1"/>
  <c r="G59" i="10" s="1"/>
  <c r="I59" i="10" s="1"/>
  <c r="AA59" i="10" s="1"/>
  <c r="G65" i="10" a="1"/>
  <c r="G65" i="10" s="1"/>
  <c r="I65" i="10" s="1"/>
  <c r="AB65" i="10" s="1"/>
  <c r="G52" i="10" a="1"/>
  <c r="G52" i="10" s="1"/>
  <c r="I52" i="10" s="1"/>
  <c r="AB52" i="10" s="1"/>
  <c r="G70" i="10" a="1"/>
  <c r="G70" i="10" s="1"/>
  <c r="I70" i="10" s="1"/>
  <c r="G51" i="10" a="1"/>
  <c r="G51" i="10" s="1"/>
  <c r="I51" i="10" s="1"/>
  <c r="AB51" i="10" s="1"/>
  <c r="G54" i="10" a="1"/>
  <c r="G54" i="10" s="1"/>
  <c r="I54" i="10" s="1"/>
  <c r="G64" i="10" a="1"/>
  <c r="G64" i="10" s="1"/>
  <c r="I64" i="10" s="1"/>
  <c r="AA64" i="10" s="1"/>
  <c r="G57" i="10" a="1"/>
  <c r="G57" i="10" s="1"/>
  <c r="I57" i="10" s="1"/>
  <c r="AB57" i="10" s="1"/>
  <c r="G60" i="10" a="1"/>
  <c r="G60" i="10" s="1"/>
  <c r="I60" i="10" s="1"/>
  <c r="AB60" i="10" s="1"/>
  <c r="G67" i="10" a="1"/>
  <c r="G67" i="10" s="1"/>
  <c r="I67" i="10" s="1"/>
  <c r="AA67" i="10" s="1"/>
  <c r="G62" i="10" a="1"/>
  <c r="G62" i="10" s="1"/>
  <c r="I62" i="10" s="1"/>
  <c r="AC62" i="10" s="1"/>
  <c r="G69" i="10" a="1"/>
  <c r="G69" i="10" s="1"/>
  <c r="I69" i="10" s="1"/>
  <c r="AC69" i="10" s="1"/>
  <c r="G72" i="10" a="1"/>
  <c r="G72" i="10" s="1"/>
  <c r="I72" i="10" s="1"/>
  <c r="G75" i="10" a="1"/>
  <c r="G75" i="10" s="1"/>
  <c r="I75" i="10" s="1"/>
  <c r="G47" i="10" a="1"/>
  <c r="G47" i="10" s="1"/>
  <c r="I47" i="10" s="1"/>
  <c r="AA47" i="10" s="1"/>
  <c r="G78" i="10" a="1"/>
  <c r="G78" i="10" s="1"/>
  <c r="I78" i="10" s="1"/>
  <c r="AB78" i="10" s="1"/>
  <c r="AM9" i="1"/>
  <c r="AJ139" i="1" a="1"/>
  <c r="AJ139" i="1" s="1"/>
  <c r="N46" i="10"/>
  <c r="AA46" i="10"/>
  <c r="P46" i="10"/>
  <c r="AB46" i="10"/>
  <c r="AC46" i="10"/>
  <c r="L46" i="10"/>
  <c r="J46" i="10"/>
  <c r="AI139" i="1"/>
  <c r="AM5" i="1"/>
  <c r="AB71" i="10" l="1"/>
  <c r="J78" i="10"/>
  <c r="AA73" i="10"/>
  <c r="AA78" i="10"/>
  <c r="AA74" i="10"/>
  <c r="J47" i="10"/>
  <c r="M47" i="10" s="1"/>
  <c r="L74" i="10"/>
  <c r="L77" i="10"/>
  <c r="AB59" i="10"/>
  <c r="J66" i="10"/>
  <c r="J59" i="10"/>
  <c r="AC78" i="10"/>
  <c r="AA57" i="10"/>
  <c r="L47" i="10"/>
  <c r="N48" i="10"/>
  <c r="AA48" i="10"/>
  <c r="AB77" i="10"/>
  <c r="J64" i="10"/>
  <c r="P69" i="10"/>
  <c r="AB69" i="10"/>
  <c r="P72" i="10"/>
  <c r="N79" i="10"/>
  <c r="N73" i="10"/>
  <c r="J71" i="10"/>
  <c r="AC77" i="10"/>
  <c r="AA69" i="10"/>
  <c r="L75" i="10"/>
  <c r="L79" i="10"/>
  <c r="P51" i="10"/>
  <c r="J67" i="10"/>
  <c r="P74" i="10"/>
  <c r="N58" i="10"/>
  <c r="AC57" i="10"/>
  <c r="AA72" i="10"/>
  <c r="AC73" i="10"/>
  <c r="J57" i="10"/>
  <c r="N74" i="10"/>
  <c r="J73" i="10"/>
  <c r="J65" i="10"/>
  <c r="L60" i="10"/>
  <c r="J69" i="10"/>
  <c r="N66" i="10"/>
  <c r="N54" i="10"/>
  <c r="P53" i="10"/>
  <c r="P60" i="10"/>
  <c r="AC74" i="10"/>
  <c r="AB76" i="10"/>
  <c r="J74" i="10"/>
  <c r="AB66" i="10"/>
  <c r="J76" i="10"/>
  <c r="P77" i="10"/>
  <c r="L54" i="10"/>
  <c r="AA66" i="10"/>
  <c r="AC59" i="10"/>
  <c r="N51" i="10"/>
  <c r="P75" i="10"/>
  <c r="AA76" i="10"/>
  <c r="L66" i="10"/>
  <c r="L70" i="10"/>
  <c r="N69" i="10"/>
  <c r="N71" i="10"/>
  <c r="N75" i="10"/>
  <c r="N57" i="10"/>
  <c r="L51" i="10"/>
  <c r="AC55" i="10"/>
  <c r="N59" i="10"/>
  <c r="L49" i="10"/>
  <c r="AC51" i="10"/>
  <c r="L72" i="10"/>
  <c r="L78" i="10"/>
  <c r="N47" i="10"/>
  <c r="AC68" i="10"/>
  <c r="J62" i="10"/>
  <c r="P78" i="10"/>
  <c r="AB58" i="10"/>
  <c r="AB64" i="10"/>
  <c r="L52" i="10"/>
  <c r="P64" i="10"/>
  <c r="P58" i="10"/>
  <c r="AC54" i="10"/>
  <c r="J61" i="10"/>
  <c r="P48" i="10"/>
  <c r="J68" i="10"/>
  <c r="J58" i="10"/>
  <c r="AC48" i="10"/>
  <c r="AA77" i="10"/>
  <c r="P47" i="10"/>
  <c r="AA62" i="10"/>
  <c r="N64" i="10"/>
  <c r="N70" i="10"/>
  <c r="J48" i="10"/>
  <c r="AA49" i="10"/>
  <c r="AC49" i="10"/>
  <c r="AB47" i="10"/>
  <c r="O47" i="10" s="1"/>
  <c r="AB62" i="10"/>
  <c r="AC64" i="10"/>
  <c r="P71" i="10"/>
  <c r="P70" i="10"/>
  <c r="L71" i="10"/>
  <c r="N62" i="10"/>
  <c r="AA70" i="10"/>
  <c r="J70" i="10"/>
  <c r="P65" i="10"/>
  <c r="L62" i="10"/>
  <c r="AC79" i="10"/>
  <c r="P61" i="10"/>
  <c r="P62" i="10"/>
  <c r="N65" i="10"/>
  <c r="J79" i="10"/>
  <c r="L69" i="10"/>
  <c r="P49" i="10"/>
  <c r="AC70" i="10"/>
  <c r="N49" i="10"/>
  <c r="AA79" i="10"/>
  <c r="N72" i="10"/>
  <c r="N78" i="10"/>
  <c r="L61" i="10"/>
  <c r="AC47" i="10"/>
  <c r="Q47" i="10" s="1"/>
  <c r="L65" i="10"/>
  <c r="AA68" i="10"/>
  <c r="L48" i="10"/>
  <c r="N77" i="10"/>
  <c r="AA71" i="10"/>
  <c r="J77" i="10"/>
  <c r="L50" i="10"/>
  <c r="AB70" i="10"/>
  <c r="J60" i="10"/>
  <c r="J52" i="10"/>
  <c r="AB79" i="10"/>
  <c r="AC72" i="10"/>
  <c r="P56" i="10"/>
  <c r="N63" i="10"/>
  <c r="AB68" i="10"/>
  <c r="AB75" i="10"/>
  <c r="N56" i="10"/>
  <c r="J49" i="10"/>
  <c r="P52" i="10"/>
  <c r="N55" i="10"/>
  <c r="L63" i="10"/>
  <c r="AC75" i="10"/>
  <c r="P57" i="10"/>
  <c r="L53" i="10"/>
  <c r="P76" i="10"/>
  <c r="AA52" i="10"/>
  <c r="AB72" i="10"/>
  <c r="AC61" i="10"/>
  <c r="AC65" i="10"/>
  <c r="L58" i="10"/>
  <c r="AA75" i="10"/>
  <c r="AA50" i="10"/>
  <c r="N52" i="10"/>
  <c r="L59" i="10"/>
  <c r="AA51" i="10"/>
  <c r="L67" i="10"/>
  <c r="P73" i="10"/>
  <c r="AC60" i="10"/>
  <c r="N61" i="10"/>
  <c r="AA65" i="10"/>
  <c r="P54" i="10"/>
  <c r="L68" i="10"/>
  <c r="P59" i="10"/>
  <c r="J75" i="10"/>
  <c r="N50" i="10"/>
  <c r="L56" i="10"/>
  <c r="J53" i="10"/>
  <c r="U46" i="15"/>
  <c r="W46" i="15"/>
  <c r="V46" i="15"/>
  <c r="AA53" i="10"/>
  <c r="P63" i="10"/>
  <c r="L64" i="10"/>
  <c r="AA54" i="10"/>
  <c r="AB55" i="10"/>
  <c r="AA60" i="10"/>
  <c r="L55" i="10"/>
  <c r="N53" i="10"/>
  <c r="J50" i="10"/>
  <c r="P50" i="10"/>
  <c r="AB54" i="10"/>
  <c r="P66" i="10"/>
  <c r="AB53" i="10"/>
  <c r="N68" i="10"/>
  <c r="AC58" i="10"/>
  <c r="AC50" i="10"/>
  <c r="AB56" i="10"/>
  <c r="J51" i="10"/>
  <c r="P68" i="10"/>
  <c r="P55" i="10"/>
  <c r="AC52" i="10"/>
  <c r="L57" i="10"/>
  <c r="AC67" i="10"/>
  <c r="AA63" i="10"/>
  <c r="N76" i="10"/>
  <c r="P67" i="10"/>
  <c r="AA56" i="10"/>
  <c r="N67" i="10"/>
  <c r="P79" i="10"/>
  <c r="AC63" i="10"/>
  <c r="L76" i="10"/>
  <c r="J56" i="10"/>
  <c r="J54" i="10"/>
  <c r="AB67" i="10"/>
  <c r="N60" i="10"/>
  <c r="AA61" i="10"/>
  <c r="J72" i="10"/>
  <c r="J63" i="10"/>
  <c r="L73" i="10"/>
  <c r="J55" i="10"/>
  <c r="R46" i="10"/>
  <c r="U46" i="10" s="1"/>
  <c r="Y46" i="10" s="1"/>
  <c r="AG140" i="1"/>
  <c r="AN5" i="1" s="1"/>
  <c r="AH140" i="1"/>
  <c r="O46" i="10"/>
  <c r="M46" i="10"/>
  <c r="Q46" i="10"/>
  <c r="O79" i="10" l="1"/>
  <c r="R74" i="10"/>
  <c r="U74" i="10" s="1"/>
  <c r="Y74" i="10" s="1"/>
  <c r="R72" i="10"/>
  <c r="W72" i="10" s="1"/>
  <c r="O78" i="10"/>
  <c r="O65" i="10"/>
  <c r="M59" i="10"/>
  <c r="O58" i="10"/>
  <c r="O66" i="10"/>
  <c r="R73" i="10"/>
  <c r="W73" i="10" s="1"/>
  <c r="O60" i="10"/>
  <c r="R65" i="10"/>
  <c r="W65" i="10" s="1"/>
  <c r="M74" i="10"/>
  <c r="M58" i="10"/>
  <c r="O67" i="10"/>
  <c r="Q65" i="10"/>
  <c r="M48" i="10"/>
  <c r="Q79" i="10"/>
  <c r="M67" i="10"/>
  <c r="O59" i="10"/>
  <c r="R75" i="10"/>
  <c r="U75" i="10" s="1"/>
  <c r="Y75" i="10" s="1"/>
  <c r="O61" i="10"/>
  <c r="O70" i="10"/>
  <c r="Q78" i="10"/>
  <c r="M66" i="10"/>
  <c r="M78" i="10"/>
  <c r="O74" i="10"/>
  <c r="R62" i="10"/>
  <c r="W62" i="10" s="1"/>
  <c r="O68" i="10"/>
  <c r="O77" i="10"/>
  <c r="Q74" i="10"/>
  <c r="M52" i="10"/>
  <c r="R53" i="10"/>
  <c r="W53" i="10" s="1"/>
  <c r="R52" i="10"/>
  <c r="W52" i="10" s="1"/>
  <c r="Q77" i="10"/>
  <c r="R79" i="10"/>
  <c r="U79" i="10" s="1"/>
  <c r="Y79" i="10" s="1"/>
  <c r="M75" i="10"/>
  <c r="R66" i="10"/>
  <c r="W66" i="10" s="1"/>
  <c r="R48" i="10"/>
  <c r="U48" i="10" s="1"/>
  <c r="Y48" i="10" s="1"/>
  <c r="R71" i="10"/>
  <c r="U71" i="10" s="1"/>
  <c r="Y71" i="10" s="1"/>
  <c r="Q55" i="10"/>
  <c r="R51" i="10"/>
  <c r="U51" i="10" s="1"/>
  <c r="Y51" i="10" s="1"/>
  <c r="R54" i="10"/>
  <c r="U54" i="10" s="1"/>
  <c r="Y54" i="10" s="1"/>
  <c r="Q57" i="10"/>
  <c r="Q60" i="10"/>
  <c r="R58" i="10"/>
  <c r="W58" i="10" s="1"/>
  <c r="R78" i="10"/>
  <c r="W78" i="10" s="1"/>
  <c r="O69" i="10"/>
  <c r="O49" i="10"/>
  <c r="R49" i="10"/>
  <c r="W49" i="10" s="1"/>
  <c r="O62" i="10"/>
  <c r="Q49" i="10"/>
  <c r="M69" i="10"/>
  <c r="Q69" i="10"/>
  <c r="R56" i="10"/>
  <c r="U56" i="10" s="1"/>
  <c r="Y56" i="10" s="1"/>
  <c r="R63" i="10"/>
  <c r="U63" i="10" s="1"/>
  <c r="Y63" i="10" s="1"/>
  <c r="M60" i="10"/>
  <c r="R47" i="10"/>
  <c r="W47" i="10" s="1"/>
  <c r="R70" i="10"/>
  <c r="W70" i="10" s="1"/>
  <c r="M70" i="10"/>
  <c r="Q59" i="10"/>
  <c r="M55" i="10"/>
  <c r="Q68" i="10"/>
  <c r="O73" i="10"/>
  <c r="R57" i="10"/>
  <c r="M50" i="10"/>
  <c r="V52" i="15"/>
  <c r="M76" i="10"/>
  <c r="R50" i="10"/>
  <c r="U50" i="10" s="1"/>
  <c r="Y50" i="10" s="1"/>
  <c r="R61" i="10"/>
  <c r="W61" i="10" s="1"/>
  <c r="U76" i="15"/>
  <c r="O63" i="10"/>
  <c r="Q52" i="10"/>
  <c r="R64" i="10"/>
  <c r="U64" i="10" s="1"/>
  <c r="Y64" i="10" s="1"/>
  <c r="Q62" i="10"/>
  <c r="O52" i="10"/>
  <c r="R69" i="10"/>
  <c r="W69" i="10" s="1"/>
  <c r="M62" i="10"/>
  <c r="M68" i="10"/>
  <c r="R60" i="10"/>
  <c r="W60" i="10" s="1"/>
  <c r="R68" i="10"/>
  <c r="U68" i="10" s="1"/>
  <c r="Y68" i="10" s="1"/>
  <c r="V59" i="15"/>
  <c r="M49" i="10"/>
  <c r="Q72" i="10"/>
  <c r="R77" i="10"/>
  <c r="W77" i="10" s="1"/>
  <c r="M79" i="10"/>
  <c r="R59" i="10"/>
  <c r="W59" i="10" s="1"/>
  <c r="O55" i="10"/>
  <c r="Q58" i="10"/>
  <c r="O71" i="10"/>
  <c r="M77" i="10"/>
  <c r="M65" i="10"/>
  <c r="R76" i="10"/>
  <c r="W76" i="10" s="1"/>
  <c r="O53" i="10"/>
  <c r="Q70" i="10"/>
  <c r="M71" i="10"/>
  <c r="Q48" i="10"/>
  <c r="O48" i="10"/>
  <c r="M61" i="10"/>
  <c r="R67" i="10"/>
  <c r="U67" i="10" s="1"/>
  <c r="Y67" i="10" s="1"/>
  <c r="O76" i="10"/>
  <c r="Q71" i="10"/>
  <c r="Q63" i="10"/>
  <c r="Q76" i="10"/>
  <c r="Q66" i="10"/>
  <c r="Q75" i="10"/>
  <c r="O75" i="10"/>
  <c r="R55" i="10"/>
  <c r="W55" i="10" s="1"/>
  <c r="M57" i="10"/>
  <c r="Q61" i="10"/>
  <c r="Q53" i="10"/>
  <c r="Q73" i="10"/>
  <c r="O54" i="10"/>
  <c r="N46" i="15"/>
  <c r="Q50" i="10"/>
  <c r="O64" i="10"/>
  <c r="M73" i="10"/>
  <c r="Q54" i="10"/>
  <c r="Q67" i="10"/>
  <c r="O57" i="10"/>
  <c r="O72" i="10"/>
  <c r="O50" i="10"/>
  <c r="Q51" i="10"/>
  <c r="U61" i="15"/>
  <c r="W61" i="15"/>
  <c r="V61" i="15"/>
  <c r="M56" i="10"/>
  <c r="M72" i="10"/>
  <c r="O51" i="10"/>
  <c r="M63" i="10"/>
  <c r="M51" i="10"/>
  <c r="M53" i="10"/>
  <c r="M54" i="10"/>
  <c r="U47" i="15"/>
  <c r="W47" i="15"/>
  <c r="V47" i="15"/>
  <c r="U55" i="15"/>
  <c r="V55" i="15"/>
  <c r="W55" i="15"/>
  <c r="Q64" i="10"/>
  <c r="M64" i="10"/>
  <c r="O56" i="10"/>
  <c r="Q56" i="10"/>
  <c r="V75" i="15"/>
  <c r="W75" i="15"/>
  <c r="U75" i="15"/>
  <c r="U72" i="10"/>
  <c r="Y72" i="10" s="1"/>
  <c r="W79" i="10"/>
  <c r="W74" i="10"/>
  <c r="W46" i="10"/>
  <c r="S47" i="10"/>
  <c r="AO121" i="1"/>
  <c r="AO130" i="1"/>
  <c r="AO101" i="1"/>
  <c r="AO38" i="1"/>
  <c r="AE59" i="1"/>
  <c r="AE33" i="1"/>
  <c r="AO93" i="1"/>
  <c r="AO17" i="1"/>
  <c r="AE13" i="1"/>
  <c r="AO69" i="1"/>
  <c r="AO65" i="1"/>
  <c r="AE130" i="1"/>
  <c r="AE9" i="1"/>
  <c r="AE135" i="1"/>
  <c r="AO55" i="1"/>
  <c r="AE61" i="1"/>
  <c r="AE93" i="1"/>
  <c r="AE65" i="1"/>
  <c r="AO43" i="1"/>
  <c r="AE109" i="1"/>
  <c r="AE101" i="1"/>
  <c r="AE77" i="1"/>
  <c r="AO135" i="1"/>
  <c r="AE17" i="1"/>
  <c r="AE117" i="1"/>
  <c r="AE105" i="1"/>
  <c r="AE126" i="1"/>
  <c r="AO9" i="1"/>
  <c r="AO113" i="1"/>
  <c r="AO61" i="1"/>
  <c r="AO73" i="1"/>
  <c r="AO59" i="1"/>
  <c r="AO77" i="1"/>
  <c r="AO5" i="1"/>
  <c r="AO126" i="1"/>
  <c r="AO51" i="1"/>
  <c r="AE69" i="1"/>
  <c r="AE81" i="1"/>
  <c r="AO81" i="1"/>
  <c r="AE38" i="1"/>
  <c r="AE97" i="1"/>
  <c r="AO29" i="1"/>
  <c r="AO13" i="1"/>
  <c r="AE73" i="1"/>
  <c r="AO25" i="1"/>
  <c r="AO85" i="1"/>
  <c r="AE5" i="1"/>
  <c r="AE51" i="1"/>
  <c r="AO133" i="1"/>
  <c r="AE21" i="1"/>
  <c r="AO47" i="1"/>
  <c r="AO89" i="1"/>
  <c r="AE43" i="1"/>
  <c r="AE121" i="1"/>
  <c r="AO33" i="1"/>
  <c r="AE89" i="1"/>
  <c r="AO97" i="1"/>
  <c r="AO117" i="1"/>
  <c r="AO21" i="1"/>
  <c r="AE55" i="1"/>
  <c r="AE25" i="1"/>
  <c r="AE133" i="1"/>
  <c r="AE29" i="1"/>
  <c r="AE85" i="1"/>
  <c r="AO105" i="1"/>
  <c r="AO109" i="1"/>
  <c r="AE47" i="1"/>
  <c r="AE113" i="1"/>
  <c r="AN69" i="1"/>
  <c r="W93" i="1"/>
  <c r="AD89" i="1"/>
  <c r="AD126" i="1"/>
  <c r="W135" i="1"/>
  <c r="AN105" i="1"/>
  <c r="AN51" i="1"/>
  <c r="W47" i="1"/>
  <c r="W61" i="1"/>
  <c r="AD25" i="1"/>
  <c r="AN77" i="1"/>
  <c r="AD109" i="1"/>
  <c r="W59" i="1"/>
  <c r="AD9" i="1"/>
  <c r="AD51" i="1"/>
  <c r="W25" i="1"/>
  <c r="W101" i="1"/>
  <c r="W126" i="1"/>
  <c r="AN73" i="1"/>
  <c r="W113" i="1"/>
  <c r="AD59" i="1"/>
  <c r="W73" i="1"/>
  <c r="W77" i="1"/>
  <c r="AD13" i="1"/>
  <c r="AN65" i="1"/>
  <c r="AD5" i="1"/>
  <c r="AN101" i="1"/>
  <c r="AN126" i="1"/>
  <c r="W43" i="1"/>
  <c r="AD17" i="1"/>
  <c r="AD113" i="1"/>
  <c r="AN113" i="1"/>
  <c r="W133" i="1"/>
  <c r="W13" i="1"/>
  <c r="AN133" i="1"/>
  <c r="AN109" i="1"/>
  <c r="AD77" i="1"/>
  <c r="W65" i="1"/>
  <c r="W33" i="1"/>
  <c r="AD38" i="1"/>
  <c r="AD135" i="1"/>
  <c r="AN13" i="1"/>
  <c r="W130" i="1"/>
  <c r="AN135" i="1"/>
  <c r="W69" i="1"/>
  <c r="AD61" i="1"/>
  <c r="AN130" i="1"/>
  <c r="W51" i="1"/>
  <c r="AN93" i="1"/>
  <c r="AN43" i="1"/>
  <c r="AN21" i="1"/>
  <c r="AD81" i="1"/>
  <c r="AD133" i="1"/>
  <c r="AD43" i="1"/>
  <c r="AD69" i="1"/>
  <c r="AD121" i="1"/>
  <c r="AN55" i="1"/>
  <c r="AN17" i="1"/>
  <c r="AD97" i="1"/>
  <c r="AN38" i="1"/>
  <c r="AN97" i="1"/>
  <c r="W97" i="1"/>
  <c r="AN121" i="1"/>
  <c r="AD93" i="1"/>
  <c r="W85" i="1"/>
  <c r="AD85" i="1"/>
  <c r="W55" i="1"/>
  <c r="AD47" i="1"/>
  <c r="AD65" i="1"/>
  <c r="AD21" i="1"/>
  <c r="W89" i="1"/>
  <c r="AN61" i="1"/>
  <c r="W117" i="1"/>
  <c r="AD55" i="1"/>
  <c r="AN85" i="1"/>
  <c r="AD117" i="1"/>
  <c r="W121" i="1"/>
  <c r="AD105" i="1"/>
  <c r="W81" i="1"/>
  <c r="W21" i="1"/>
  <c r="AD73" i="1"/>
  <c r="W29" i="1"/>
  <c r="AN47" i="1"/>
  <c r="AN29" i="1"/>
  <c r="W5" i="1"/>
  <c r="AN89" i="1"/>
  <c r="AN33" i="1"/>
  <c r="AN117" i="1"/>
  <c r="AD130" i="1"/>
  <c r="AN25" i="1"/>
  <c r="AN59" i="1"/>
  <c r="W38" i="1"/>
  <c r="AD33" i="1"/>
  <c r="AD101" i="1"/>
  <c r="AN81" i="1"/>
  <c r="W109" i="1"/>
  <c r="W9" i="1"/>
  <c r="W17" i="1"/>
  <c r="W105" i="1"/>
  <c r="AD29" i="1"/>
  <c r="AN9" i="1"/>
  <c r="S46" i="10"/>
  <c r="V46" i="10" s="1"/>
  <c r="W54" i="10" l="1"/>
  <c r="S78" i="10"/>
  <c r="U73" i="10"/>
  <c r="Y73" i="10" s="1"/>
  <c r="U53" i="10"/>
  <c r="Y53" i="10" s="1"/>
  <c r="S66" i="10"/>
  <c r="V66" i="10" s="1"/>
  <c r="U66" i="10"/>
  <c r="Y66" i="10" s="1"/>
  <c r="U65" i="10"/>
  <c r="Y65" i="10" s="1"/>
  <c r="W75" i="10"/>
  <c r="S48" i="10"/>
  <c r="V48" i="10" s="1"/>
  <c r="S67" i="10"/>
  <c r="V67" i="10" s="1"/>
  <c r="S79" i="10"/>
  <c r="V79" i="10" s="1"/>
  <c r="W64" i="10"/>
  <c r="S65" i="10"/>
  <c r="V65" i="10" s="1"/>
  <c r="S76" i="10"/>
  <c r="V76" i="10" s="1"/>
  <c r="S60" i="10"/>
  <c r="V60" i="10" s="1"/>
  <c r="S58" i="10"/>
  <c r="V58" i="10" s="1"/>
  <c r="U62" i="10"/>
  <c r="Y62" i="10" s="1"/>
  <c r="W63" i="10"/>
  <c r="U76" i="10"/>
  <c r="Y76" i="10" s="1"/>
  <c r="V78" i="10"/>
  <c r="U47" i="10"/>
  <c r="Y47" i="10" s="1"/>
  <c r="U49" i="10"/>
  <c r="Y49" i="10" s="1"/>
  <c r="S52" i="10"/>
  <c r="V52" i="10" s="1"/>
  <c r="S74" i="10"/>
  <c r="V74" i="10" s="1"/>
  <c r="S59" i="10"/>
  <c r="V59" i="10" s="1"/>
  <c r="V47" i="10"/>
  <c r="W71" i="10"/>
  <c r="S77" i="10"/>
  <c r="V77" i="10" s="1"/>
  <c r="V76" i="15"/>
  <c r="U78" i="10"/>
  <c r="Y78" i="10" s="1"/>
  <c r="S70" i="10"/>
  <c r="V70" i="10" s="1"/>
  <c r="W48" i="10"/>
  <c r="U77" i="10"/>
  <c r="Y77" i="10" s="1"/>
  <c r="S68" i="10"/>
  <c r="V68" i="10" s="1"/>
  <c r="S53" i="10"/>
  <c r="V53" i="10" s="1"/>
  <c r="S64" i="10"/>
  <c r="V64" i="10" s="1"/>
  <c r="U52" i="10"/>
  <c r="Y52" i="10" s="1"/>
  <c r="S69" i="10"/>
  <c r="V69" i="10" s="1"/>
  <c r="S61" i="10"/>
  <c r="V61" i="10" s="1"/>
  <c r="S62" i="10"/>
  <c r="V62" i="10" s="1"/>
  <c r="U59" i="10"/>
  <c r="Y59" i="10" s="1"/>
  <c r="W56" i="10"/>
  <c r="S49" i="10"/>
  <c r="V49" i="10" s="1"/>
  <c r="W72" i="15"/>
  <c r="V62" i="15"/>
  <c r="W64" i="15"/>
  <c r="W49" i="15"/>
  <c r="U70" i="15"/>
  <c r="W68" i="15"/>
  <c r="V56" i="15"/>
  <c r="U59" i="15"/>
  <c r="V51" i="15"/>
  <c r="W69" i="15"/>
  <c r="U54" i="15"/>
  <c r="W52" i="15"/>
  <c r="U77" i="15"/>
  <c r="U73" i="15"/>
  <c r="V65" i="15"/>
  <c r="V67" i="15"/>
  <c r="W57" i="15"/>
  <c r="W76" i="15"/>
  <c r="W67" i="15"/>
  <c r="U51" i="15"/>
  <c r="W70" i="15"/>
  <c r="U67" i="15"/>
  <c r="W59" i="15"/>
  <c r="V77" i="15"/>
  <c r="U52" i="15"/>
  <c r="W77" i="15"/>
  <c r="U66" i="15"/>
  <c r="V68" i="15"/>
  <c r="W66" i="15"/>
  <c r="V66" i="15"/>
  <c r="U48" i="15"/>
  <c r="U68" i="15"/>
  <c r="U69" i="15"/>
  <c r="V69" i="15"/>
  <c r="V54" i="15"/>
  <c r="U49" i="15"/>
  <c r="N55" i="15"/>
  <c r="Q55" i="15" s="1"/>
  <c r="W54" i="15"/>
  <c r="V70" i="15"/>
  <c r="W48" i="15"/>
  <c r="V48" i="15"/>
  <c r="U53" i="15"/>
  <c r="U56" i="15"/>
  <c r="V78" i="15"/>
  <c r="W51" i="15"/>
  <c r="V73" i="15"/>
  <c r="U57" i="15"/>
  <c r="U78" i="15"/>
  <c r="W60" i="15"/>
  <c r="V74" i="15"/>
  <c r="W67" i="10"/>
  <c r="W73" i="15"/>
  <c r="S72" i="10"/>
  <c r="V72" i="10" s="1"/>
  <c r="V58" i="15"/>
  <c r="V50" i="15"/>
  <c r="U60" i="10"/>
  <c r="Y60" i="10" s="1"/>
  <c r="U74" i="15"/>
  <c r="S55" i="10"/>
  <c r="V55" i="10" s="1"/>
  <c r="W51" i="10"/>
  <c r="V53" i="15"/>
  <c r="U72" i="15"/>
  <c r="V72" i="15"/>
  <c r="W68" i="10"/>
  <c r="U58" i="10"/>
  <c r="Y58" i="10" s="1"/>
  <c r="V57" i="15"/>
  <c r="U69" i="10"/>
  <c r="Y69" i="10" s="1"/>
  <c r="U55" i="10"/>
  <c r="Y55" i="10" s="1"/>
  <c r="V60" i="15"/>
  <c r="U61" i="10"/>
  <c r="Y61" i="10" s="1"/>
  <c r="U50" i="15"/>
  <c r="W78" i="15"/>
  <c r="W56" i="15"/>
  <c r="W74" i="15"/>
  <c r="W63" i="15"/>
  <c r="U70" i="10"/>
  <c r="Y70" i="10" s="1"/>
  <c r="V64" i="15"/>
  <c r="W53" i="15"/>
  <c r="U60" i="15"/>
  <c r="U71" i="15"/>
  <c r="S57" i="10"/>
  <c r="W62" i="15"/>
  <c r="V71" i="15"/>
  <c r="S75" i="10"/>
  <c r="V75" i="10" s="1"/>
  <c r="S71" i="10"/>
  <c r="V71" i="10" s="1"/>
  <c r="U65" i="15"/>
  <c r="W71" i="15"/>
  <c r="U79" i="15"/>
  <c r="S73" i="10"/>
  <c r="V73" i="10" s="1"/>
  <c r="S54" i="10"/>
  <c r="V54" i="10" s="1"/>
  <c r="W50" i="10"/>
  <c r="U58" i="15"/>
  <c r="W50" i="15"/>
  <c r="W65" i="15"/>
  <c r="V49" i="15"/>
  <c r="V79" i="15"/>
  <c r="S63" i="10"/>
  <c r="V63" i="10" s="1"/>
  <c r="W79" i="15"/>
  <c r="U63" i="15"/>
  <c r="U64" i="15"/>
  <c r="U62" i="15"/>
  <c r="V63" i="15"/>
  <c r="W58" i="15"/>
  <c r="S50" i="10"/>
  <c r="V50" i="10" s="1"/>
  <c r="N47" i="15"/>
  <c r="Q47" i="15" s="1"/>
  <c r="S51" i="10"/>
  <c r="V51" i="10" s="1"/>
  <c r="S56" i="10"/>
  <c r="V56" i="10" s="1"/>
  <c r="Q46" i="15"/>
  <c r="P46" i="15"/>
  <c r="S46" i="15" s="1"/>
  <c r="N76" i="15" l="1"/>
  <c r="Q76" i="15" s="1"/>
  <c r="N77" i="15"/>
  <c r="P77" i="15" s="1"/>
  <c r="S77" i="15" s="1"/>
  <c r="N48" i="15"/>
  <c r="P48" i="15" s="1"/>
  <c r="S48" i="15" s="1"/>
  <c r="N67" i="15"/>
  <c r="Q67" i="15" s="1"/>
  <c r="N69" i="15"/>
  <c r="P69" i="15" s="1"/>
  <c r="S69" i="15" s="1"/>
  <c r="N71" i="15"/>
  <c r="P71" i="15" s="1"/>
  <c r="S71" i="15" s="1"/>
  <c r="N68" i="15"/>
  <c r="P68" i="15" s="1"/>
  <c r="S68" i="15" s="1"/>
  <c r="N52" i="15"/>
  <c r="P52" i="15" s="1"/>
  <c r="S52" i="15" s="1"/>
  <c r="N49" i="15"/>
  <c r="P49" i="15" s="1"/>
  <c r="S49" i="15" s="1"/>
  <c r="N56" i="15"/>
  <c r="P56" i="15" s="1"/>
  <c r="S56" i="15" s="1"/>
  <c r="N64" i="15"/>
  <c r="Q64" i="15" s="1"/>
  <c r="N70" i="15"/>
  <c r="Q70" i="15" s="1"/>
  <c r="N61" i="15"/>
  <c r="P61" i="15" s="1"/>
  <c r="S61" i="15" s="1"/>
  <c r="N79" i="15"/>
  <c r="Q79" i="15" s="1"/>
  <c r="N58" i="15"/>
  <c r="P58" i="15" s="1"/>
  <c r="S58" i="15" s="1"/>
  <c r="N72" i="15"/>
  <c r="Q72" i="15" s="1"/>
  <c r="N59" i="15"/>
  <c r="P59" i="15" s="1"/>
  <c r="S59" i="15" s="1"/>
  <c r="N74" i="15"/>
  <c r="P74" i="15" s="1"/>
  <c r="S74" i="15" s="1"/>
  <c r="N75" i="15"/>
  <c r="Q75" i="15" s="1"/>
  <c r="N60" i="15"/>
  <c r="Q60" i="15" s="1"/>
  <c r="N78" i="15"/>
  <c r="Q78" i="15" s="1"/>
  <c r="N53" i="15"/>
  <c r="Q53" i="15" s="1"/>
  <c r="N50" i="15"/>
  <c r="Q50" i="15" s="1"/>
  <c r="N62" i="15"/>
  <c r="P62" i="15" s="1"/>
  <c r="S62" i="15" s="1"/>
  <c r="N54" i="15"/>
  <c r="Q54" i="15" s="1"/>
  <c r="N63" i="15"/>
  <c r="Q63" i="15" s="1"/>
  <c r="N51" i="15"/>
  <c r="P51" i="15" s="1"/>
  <c r="S51" i="15" s="1"/>
  <c r="N57" i="15"/>
  <c r="N73" i="15"/>
  <c r="Q73" i="15" s="1"/>
  <c r="N65" i="15"/>
  <c r="Q65" i="15" s="1"/>
  <c r="N66" i="15"/>
  <c r="P66" i="15" s="1"/>
  <c r="S66" i="15" s="1"/>
  <c r="P55" i="15"/>
  <c r="S55" i="15" s="1"/>
  <c r="P76" i="15"/>
  <c r="S76" i="15" s="1"/>
  <c r="P47" i="15"/>
  <c r="S47" i="15" s="1"/>
  <c r="Q48" i="15"/>
  <c r="P57" i="15" l="1"/>
  <c r="S57" i="15" s="1"/>
  <c r="Q57" i="15"/>
  <c r="P67" i="15"/>
  <c r="S67" i="15" s="1"/>
  <c r="Q69" i="15"/>
  <c r="Q77" i="15"/>
  <c r="Q52" i="15"/>
  <c r="Q68" i="15"/>
  <c r="Q58" i="15"/>
  <c r="Q49" i="15"/>
  <c r="Q71" i="15"/>
  <c r="Q59" i="15"/>
  <c r="P70" i="15"/>
  <c r="S70" i="15" s="1"/>
  <c r="P64" i="15"/>
  <c r="S64" i="15" s="1"/>
  <c r="P79" i="15"/>
  <c r="S79" i="15" s="1"/>
  <c r="Q56" i="15"/>
  <c r="Q61" i="15"/>
  <c r="Q62" i="15"/>
  <c r="P72" i="15"/>
  <c r="S72" i="15" s="1"/>
  <c r="Q74" i="15"/>
  <c r="P78" i="15"/>
  <c r="S78" i="15" s="1"/>
  <c r="P60" i="15"/>
  <c r="S60" i="15" s="1"/>
  <c r="P75" i="15"/>
  <c r="S75" i="15" s="1"/>
  <c r="Q51" i="15"/>
  <c r="P53" i="15"/>
  <c r="S53" i="15" s="1"/>
  <c r="Q66" i="15"/>
  <c r="P50" i="15"/>
  <c r="S50" i="15" s="1"/>
  <c r="P63" i="15"/>
  <c r="S63" i="15" s="1"/>
  <c r="P54" i="15"/>
  <c r="S54" i="15" s="1"/>
  <c r="P73" i="15"/>
  <c r="S73" i="15" s="1"/>
  <c r="P65" i="15"/>
  <c r="S65" i="1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<sst xmlns="http://schemas.openxmlformats.org/spreadsheetml/2006/main" count="1462" uniqueCount="710">
  <si>
    <t>He30238.txt</t>
  </si>
  <si>
    <t>He30241.txt</t>
  </si>
  <si>
    <t>IrrWin0601bTube012624: 8305_300.0_170.0 170.00</t>
  </si>
  <si>
    <t>He30244.txt</t>
  </si>
  <si>
    <t>IrrWin0601bTube012624: 1005_150.0_100.0 100.00</t>
  </si>
  <si>
    <t>He30247.txt</t>
  </si>
  <si>
    <t>IrrWin0601bTube012624: 1205_150.0_100.0 99.99</t>
  </si>
  <si>
    <t>He30250.txt</t>
  </si>
  <si>
    <t>IrrWin0601bTube012624: 1405_150.0_100.0 99.99</t>
  </si>
  <si>
    <t>He30255.txt</t>
  </si>
  <si>
    <t>IrrWin0601bTube012624: 1605_463.0_180.0 180.0</t>
  </si>
  <si>
    <t>He30264.txt</t>
  </si>
  <si>
    <t>IrrWin0601bTube012624: 2005_150.0_95.0 95.39</t>
  </si>
  <si>
    <t>He30266.txt</t>
  </si>
  <si>
    <t>IrrWin0601bTube012624: 2605_150.0_95.0 95.00</t>
  </si>
  <si>
    <t>He30268.txt</t>
  </si>
  <si>
    <t>IrrWin0601bTube012624: 2805_150.0_95.0 95.00</t>
  </si>
  <si>
    <t>He30273.txt</t>
  </si>
  <si>
    <t>IrrWin0601bTube012624: 2905_550.0_190.0 190.00</t>
  </si>
  <si>
    <t>He30275.txt</t>
  </si>
  <si>
    <t>IrrWin0601bTube012624: 3305_150.0_90.0 90.00</t>
  </si>
  <si>
    <t>He30278.txt</t>
  </si>
  <si>
    <t>IrrWin0601bTube012624: 3505_150.0_90.0 89.99</t>
  </si>
  <si>
    <t>He30280.txt</t>
  </si>
  <si>
    <t>IrrWin0601bTube012624: 3705_150.0_90.0 90.00</t>
  </si>
  <si>
    <t>He30285.txt</t>
  </si>
  <si>
    <t>IrrWin0601bTube012624: 3905_500.0_200.0 200.00</t>
  </si>
  <si>
    <t>He30287.txt</t>
  </si>
  <si>
    <t>IrrWin0601bTube012624: 4205_150.0_105.0 105.00</t>
  </si>
  <si>
    <t>He30289.txt</t>
  </si>
  <si>
    <t>IrrWin0601bTube012624: 4405_150.0_105.0 105.00</t>
  </si>
  <si>
    <t>He30292.txt</t>
  </si>
  <si>
    <t>IrrWin0601bTube012624: 4605_150.0_105.0 105.00</t>
  </si>
  <si>
    <t>He30296.txt</t>
  </si>
  <si>
    <t>IrrWin0601bTube012624: 4805_475.0_210.0 210.00</t>
  </si>
  <si>
    <t>He30298.txt</t>
  </si>
  <si>
    <t>IrrWin0601bTube012624: 5105_150.0_110.0 109.99</t>
  </si>
  <si>
    <t>He30301.txt</t>
  </si>
  <si>
    <t>IrrWin0601bTube012624: 5305_150.0_110.0 110.00</t>
  </si>
  <si>
    <t>He30303.txt</t>
  </si>
  <si>
    <t>IrrWin0601bTube012624: 5505_150.0_110.0 110.00</t>
  </si>
  <si>
    <t>He30307.txt</t>
  </si>
  <si>
    <t>IrrWin0601bTube012624: 5705_450.0_220.0 220.00</t>
  </si>
  <si>
    <t>He30310.txt</t>
  </si>
  <si>
    <t>IrrWin0601bTube012624: 6005_150.0_115.0 115.00</t>
  </si>
  <si>
    <t>He30312.txt</t>
  </si>
  <si>
    <t>IrrWin0601bTube012624: 6205_150.0_115.0 115.00</t>
  </si>
  <si>
    <t>He30314.txt</t>
  </si>
  <si>
    <t>IrrWin0601bTube012624: 6305_150.0_115.0 115.00</t>
  </si>
  <si>
    <t>He30316.txt</t>
  </si>
  <si>
    <t>IrrWin0601bTube012624: 6405_425.0_230.0 230.00</t>
  </si>
  <si>
    <t>He30318.txt</t>
  </si>
  <si>
    <t>IrrWin0601bTube012624: 6505_150.0_85.0 85.01</t>
  </si>
  <si>
    <t>He30320.txt</t>
  </si>
  <si>
    <t>IrrWin0601bTube012624: 6605_150.0_85.0 85.00</t>
  </si>
  <si>
    <t>He30321.txt</t>
  </si>
  <si>
    <t>IrrWin0601bTube012624: 6705_150.0_85.0 84.96</t>
  </si>
  <si>
    <t>He30325.txt</t>
  </si>
  <si>
    <t>IrrWin0601bTube012624: 6805_908.0_225.0 225.00</t>
  </si>
  <si>
    <t>He30328.txt</t>
  </si>
  <si>
    <t>IrrWin0601bTube012624: 7105_120.0_100.0 99.86</t>
  </si>
  <si>
    <t>He30329.txt</t>
  </si>
  <si>
    <t>IrrWin0601bTube012624: 7205_120.0_100.0 100.00</t>
  </si>
  <si>
    <t>He30332.txt</t>
  </si>
  <si>
    <t>IrrWin0601bTube012624: 7305_120.0_100.0 100.00</t>
  </si>
  <si>
    <t>He30335.txt</t>
  </si>
  <si>
    <t>IrrWin0601bTube012624: 7405_120.0_100.0 99.99</t>
  </si>
  <si>
    <t>He30338.txt</t>
  </si>
  <si>
    <t>IrrWin0601bTube012624: 7605_450.0_215.0 215.00</t>
  </si>
  <si>
    <t>He30340.txt</t>
  </si>
  <si>
    <t>IrrWin0601bTube012624: 7805_120.0_110.0 110.00</t>
  </si>
  <si>
    <t>He30342.txt</t>
  </si>
  <si>
    <t>IrrWin0601bTube012624: 7905_120.0_110.0 110.00</t>
  </si>
  <si>
    <t>He30343.txt</t>
  </si>
  <si>
    <t>IrrWin0601bTube012624: 8005_120.0_110.0 110.00</t>
  </si>
  <si>
    <t>He30344.txt</t>
  </si>
  <si>
    <t>IrrWin0601bTube012624: 8105_120.0_110.0 110.00</t>
  </si>
  <si>
    <t>He30361.txt</t>
  </si>
  <si>
    <t>IrrWin0601bTube012624: 8205_520.0_205.0 205.00</t>
  </si>
  <si>
    <t>He30369.txt</t>
  </si>
  <si>
    <t>IrrWin0601bTube012624: 8605_150.0_115.0 115.00</t>
  </si>
  <si>
    <t>He30375.txt</t>
  </si>
  <si>
    <t>IrrWin0601bTube012624: 8805_150.0_115.0 115.00</t>
  </si>
  <si>
    <t>He30381.txt</t>
  </si>
  <si>
    <t>IrrWin0601bTube012624: 8905_150.0_115.0 115.00</t>
  </si>
  <si>
    <t>He30401.txt</t>
  </si>
  <si>
    <t>IrrWin0601bTube012624: 9005_1106.0_195.0 195.00</t>
  </si>
  <si>
    <t>He30413.txt</t>
  </si>
  <si>
    <t>IrrWin0601bTube012624: 9805_1.0_21.0 26.00</t>
  </si>
  <si>
    <t>He30418.txt</t>
  </si>
  <si>
    <t>IrrWin0601bTube012624: 1005_150.0_95.0 95.00</t>
  </si>
  <si>
    <t>He30427.txt</t>
  </si>
  <si>
    <t>IrrWin0601bTube012624: 1035_150.0_95.0 95.00</t>
  </si>
  <si>
    <t>He30432.txt</t>
  </si>
  <si>
    <t>IrrWin0601bTube012624: 1065_740.0_185.0 185.00</t>
  </si>
  <si>
    <t>He30434.txt</t>
  </si>
  <si>
    <t>IrrWin0601bTube012624: 1095_150.0_95.0 95.00</t>
  </si>
  <si>
    <t>He30436.txt</t>
  </si>
  <si>
    <t>IrrWin0601bTube012624: 1105_150.0_95.0 95.00</t>
  </si>
  <si>
    <t>He30440.txt</t>
  </si>
  <si>
    <t>IrrWin0601bTube012624: 1135_150.0_95.0 95.00</t>
  </si>
  <si>
    <t>He30455.txt</t>
  </si>
  <si>
    <t>IrrWin0601bTube012624: 1165_920.0_175.0 175.00</t>
  </si>
  <si>
    <t>He30458.txt</t>
  </si>
  <si>
    <t>IrrWin0601bTube012624: 1255_150.0_115.0 115.00</t>
  </si>
  <si>
    <t>He30462.txt</t>
  </si>
  <si>
    <t>IrrWin0601bTube012624: 1265_150.0_115.0 115.00</t>
  </si>
  <si>
    <t>He30465.txt</t>
  </si>
  <si>
    <t>IrrWin0601bTube012624: 1275_150.0_115.0 115.00</t>
  </si>
  <si>
    <t>He30479.txt</t>
  </si>
  <si>
    <t>IrrWin0601bTube012624: 1295_260_21.0 200</t>
  </si>
  <si>
    <t>He30483.txt</t>
  </si>
  <si>
    <t>IrrWin0601bTube012624: 1305_150.0_90.0 89.99</t>
  </si>
  <si>
    <t>He30502.txt</t>
  </si>
  <si>
    <t>IrrWin0601bTube012624: 1335_520.0_210.0 209.99</t>
  </si>
  <si>
    <t>He30509.txt</t>
  </si>
  <si>
    <t>IrrWin0601bTube012624: 1465_150.0_105.0 105.01</t>
  </si>
  <si>
    <t>He30514.txt</t>
  </si>
  <si>
    <t>IrrWin0601bTube012624: 1515_150.0_105.0 105.00</t>
  </si>
  <si>
    <t>He30524.txt</t>
  </si>
  <si>
    <t>IrrWin0601bTube012624: 1565_150.0_105.0 105.01</t>
  </si>
  <si>
    <t>He30552.txt</t>
  </si>
  <si>
    <t>IrrWin0601bTube012624: 1605_1167_220.0 219.98</t>
  </si>
  <si>
    <t>He30559.txt</t>
  </si>
  <si>
    <t>IrrWin0601bTube012624: 1695_150.0_100.0 99.99</t>
  </si>
  <si>
    <t>He30564.txt</t>
  </si>
  <si>
    <t>IrrWin0601bTube012624: 1735_150.0_100.0 99.99</t>
  </si>
  <si>
    <t>He30567.txt</t>
  </si>
  <si>
    <t>IrrWin0601bTube012624: 1775_150.0_100.0 100.00</t>
  </si>
  <si>
    <t>He30569.txt</t>
  </si>
  <si>
    <t>IrrWin0601bTube012624: 1785_370.0_230.0 229.99</t>
  </si>
  <si>
    <t>He30571.txt</t>
  </si>
  <si>
    <t>IrrWin0601bTube012624: 1795_150.0_95.0 95.00</t>
  </si>
  <si>
    <t>He30572.txt</t>
  </si>
  <si>
    <t>IrrWin0601bTube012624: 1805_150.0_95.0 95.00</t>
  </si>
  <si>
    <t>He30577.txt</t>
  </si>
  <si>
    <t>IrrWin0601bTube012624: 1815_150.0_95.0 95.00</t>
  </si>
  <si>
    <t>He30586.txt</t>
  </si>
  <si>
    <t>IrrWin0601bTube012624: 1865_320.0_240.0 240.00</t>
  </si>
  <si>
    <t>He30592.txt</t>
  </si>
  <si>
    <t>IrrWin0601bTube012624: 1905_150.0_90.0 90.00</t>
  </si>
  <si>
    <t>He30598.txt</t>
  </si>
  <si>
    <t>IrrWin0601bTube012624: 1925_150.0_90.0 89.99</t>
  </si>
  <si>
    <t>He30613.txt</t>
  </si>
  <si>
    <t>IrrWin0601bTube012624: 1955_150.0_90.0 90.00</t>
  </si>
  <si>
    <t>He30617.txt</t>
  </si>
  <si>
    <t>IrrWin0601bTube012624: 1965_250.0_245.0 245.00</t>
  </si>
  <si>
    <t>He30618.txt</t>
  </si>
  <si>
    <t>IrrWin0601bTube012624: 1995_120.0_110.0 110.01</t>
  </si>
  <si>
    <t>He30621.txt</t>
  </si>
  <si>
    <t>IrrWin0601bTube012624: 2005_120.0_110.0 110.00</t>
  </si>
  <si>
    <t>He30623.txt</t>
  </si>
  <si>
    <t>IrrWin0601bTube012624: 2025_120.0_110.0 109.98</t>
  </si>
  <si>
    <t>He30634.txt</t>
  </si>
  <si>
    <t>IrrWin0601bTube012624: 2045_210.0_250.0 249.99</t>
  </si>
  <si>
    <t>He30638.txt</t>
  </si>
  <si>
    <t>IrrWin0601bTube012624: 2065_120.0_105.0 104.99</t>
  </si>
  <si>
    <t>He30641.txt</t>
  </si>
  <si>
    <t>IrrWin0601bTube012624: 2085_120.0_105.0 104.99</t>
  </si>
  <si>
    <t>He30644.txt</t>
  </si>
  <si>
    <t>IrrWin0601bTube012624: 2095_120.0_105.0 104.99</t>
  </si>
  <si>
    <t>He30647.txt</t>
  </si>
  <si>
    <t>IrrWin0601bTube012624: 2105_270.0_245.0 244.91</t>
  </si>
  <si>
    <t>He30652.txt</t>
  </si>
  <si>
    <t>IrrWin0601bTube012624: 2115_120.0_100.0 100.00</t>
  </si>
  <si>
    <t>He30654.txt</t>
  </si>
  <si>
    <t>IrrWin0601bTube012624: 2125_120.0_100.0 100.00</t>
  </si>
  <si>
    <t>He30657.txt</t>
  </si>
  <si>
    <t>IrrWin0601bTube012624: 2135_120.0_100.0 100.00</t>
  </si>
  <si>
    <t>He30662.txt</t>
  </si>
  <si>
    <t>IrrWin0601bTube012624: 2145_320.0_240.0 239.99</t>
  </si>
  <si>
    <t>He30664.txt</t>
  </si>
  <si>
    <t>IrrWin0601bTube012624: 2155_120.0_95.0 95.00</t>
  </si>
  <si>
    <t>He30665.txt</t>
  </si>
  <si>
    <t>IrrWin0601bTube012624: 2165_120.0_95.0 95.00</t>
  </si>
  <si>
    <t>He30667.txt</t>
  </si>
  <si>
    <t>IrrWin0601bTube012624: 2175_120.0_95.0 95.00</t>
  </si>
  <si>
    <t>He30676.txt</t>
  </si>
  <si>
    <t>IrrWin0601bTube012624: 2185_370.0_235.0 235.00</t>
  </si>
  <si>
    <t>He30680.txt</t>
  </si>
  <si>
    <t>IrrWin0601bTube012624: 2195_150.0_90.0 90.00</t>
  </si>
  <si>
    <t>He30684.txt</t>
  </si>
  <si>
    <t>IrrWin0601bTube012624: 2215_150.0_90.0 89.90</t>
  </si>
  <si>
    <t>He30687.txt</t>
  </si>
  <si>
    <t>IrrWin0601bTube012624: 2245_150.0_90.0 90.00</t>
  </si>
  <si>
    <t>He30695.txt</t>
  </si>
  <si>
    <t>IrrWin0601bTube012624: 2275_420.0_230.0 230.00</t>
  </si>
  <si>
    <t>He30703.txt</t>
  </si>
  <si>
    <t>IrrWin0601bTube012624: 2315_180.0_85.0 85.00</t>
  </si>
  <si>
    <t>He30712.txt</t>
  </si>
  <si>
    <t>IrrWin0601bTube012624: 2365_180.0_85.0 84.98</t>
  </si>
  <si>
    <t>He30721.txt</t>
  </si>
  <si>
    <t>IrrWin0601bTube012624: 2405_180.0_85.0 85.00</t>
  </si>
  <si>
    <t>He30738.txt</t>
  </si>
  <si>
    <t>IrrWin0601bTube012624: 2435_652.0_225.0 225.00</t>
  </si>
  <si>
    <t>He30742.txt</t>
  </si>
  <si>
    <t>IrrWin0601bTube012624: 2465_150.0_100.0 99.95</t>
  </si>
  <si>
    <t>He30746.txt</t>
  </si>
  <si>
    <t>He30748.txt</t>
  </si>
  <si>
    <t>IrrWin0601bTube012624: 2515_150.0_100.0 100.00</t>
  </si>
  <si>
    <t>He30757.txt</t>
  </si>
  <si>
    <t>IrrWin0601bTube012624: 2525_500.0_230.0 230.00</t>
  </si>
  <si>
    <t>He30761.txt</t>
  </si>
  <si>
    <t>IrrWin0601bTube012624: 2535_150.0_110.0 110.00</t>
  </si>
  <si>
    <t>He30766.txt</t>
  </si>
  <si>
    <t>IrrWin0601bTube012624: 2545_150.0_110.0 109.87</t>
  </si>
  <si>
    <t>He30771.txt</t>
  </si>
  <si>
    <t>IrrWin0601bTube012624: 2555_150.0_110.0 109.98</t>
  </si>
  <si>
    <t>He30787.txt</t>
  </si>
  <si>
    <t>IrrWin0601bTube012624: 2585_450.0_235.0 234.90</t>
  </si>
  <si>
    <t>He30792.txt</t>
  </si>
  <si>
    <t>IrrWin0601bTube012624: 2655_150.0_105.0 105.00</t>
  </si>
  <si>
    <t>He30797.txt</t>
  </si>
  <si>
    <t>IrrWin0601bTube012624: 2685_150.0_105.0 104.94</t>
  </si>
  <si>
    <t>He30801.txt</t>
  </si>
  <si>
    <t>IrrWin0601bTube012624: 2725_150.0_105.0 104.94</t>
  </si>
  <si>
    <t>He30808.txt</t>
  </si>
  <si>
    <t>IrrWin0601bTube012624: 2755_400.0_240.0 240.00</t>
  </si>
  <si>
    <t>He30811.txt</t>
  </si>
  <si>
    <t>IrrWin0601bTube012624: 2815_150.0_95.0 95.00</t>
  </si>
  <si>
    <t>He30815.txt</t>
  </si>
  <si>
    <t>IrrWin0601bTube012624: 2845_150.0_95.0 95.00</t>
  </si>
  <si>
    <t>He30818.txt</t>
  </si>
  <si>
    <t>IrrWin0601bTube012624: 2875_150.0_95.0 95.00</t>
  </si>
  <si>
    <t>He30825.txt</t>
  </si>
  <si>
    <t>IrrWin0601bTube012624: 2895_350.0_245.0 245.00</t>
  </si>
  <si>
    <t>He30829.txt</t>
  </si>
  <si>
    <t>IrrWin0601bTube012624: 2955_180.0_90.0 90.00</t>
  </si>
  <si>
    <t>He30830.txt</t>
  </si>
  <si>
    <t>IrrWin0601bTube012624: 2975_180.0_90.0 89.92</t>
  </si>
  <si>
    <t>He30833.txt</t>
  </si>
  <si>
    <t>IrrWin0601bTube012624: 2985_180.0_90.0 90.00</t>
  </si>
  <si>
    <t>He30840.txt</t>
  </si>
  <si>
    <t>IrrWin0601bTube012624: 2995_300.0_250.0 250.00</t>
  </si>
  <si>
    <t>He30841.txt</t>
  </si>
  <si>
    <t>IrrWin0601bTube012624: 3015_1.0_21.0 26.00</t>
  </si>
  <si>
    <t>He30842.txt</t>
  </si>
  <si>
    <t>IrrWin0601bTube012624: 3025_180.0_85.0 84.99</t>
  </si>
  <si>
    <t>He30844.txt</t>
  </si>
  <si>
    <t>IrrWin0601bTube012624: 3035_180.0_85.0 84.99</t>
  </si>
  <si>
    <t>He30845.txt</t>
  </si>
  <si>
    <t>He30853.txt</t>
  </si>
  <si>
    <t>IrrWin0601bTube012624: 3055_300.0_250.0 249.97</t>
  </si>
  <si>
    <t>He30857.txt</t>
  </si>
  <si>
    <t>IrrWin0601bTube012624: 3065_150.0_100.0 99.99</t>
  </si>
  <si>
    <t>He30861.txt</t>
  </si>
  <si>
    <t>IrrWin0601bTube012624: 3075_150.0_100.0 99.98</t>
  </si>
  <si>
    <t>He30864.txt</t>
  </si>
  <si>
    <t>IrrWin0601bTube012624: 3085_150.0_100.0 100.00</t>
  </si>
  <si>
    <t>He30872.txt</t>
  </si>
  <si>
    <t>IrrWin0601bTube012624: 3095_300.0_250.0 249.98</t>
  </si>
  <si>
    <t>He30876.txt</t>
  </si>
  <si>
    <t>IrrWin0601bTube012624: 3105_150.0_100.0 100.00</t>
  </si>
  <si>
    <t>He30880.txt</t>
  </si>
  <si>
    <t>IrrWin0601bTube012624: 3115_150.0_100.0 99.94</t>
  </si>
  <si>
    <t>He30973.txt</t>
  </si>
  <si>
    <t>IrrWin0601bTube012624: 3215_10250_250 250.00</t>
  </si>
  <si>
    <t>He31027.txt</t>
  </si>
  <si>
    <t>IrrWin0601bTube012624: 1111_7200_100 100.00</t>
  </si>
  <si>
    <t>He31030.txt</t>
  </si>
  <si>
    <t>RECALCIrrWin0601bTube012624: 1111_785_240 240.00</t>
  </si>
  <si>
    <t>He31038.txt</t>
  </si>
  <si>
    <t>IrrWin0601bTube012624: 1111_1_100 100</t>
  </si>
  <si>
    <t>He31040.txt</t>
  </si>
  <si>
    <t>Sensitivity 3He (pccSTP/cps)</t>
  </si>
  <si>
    <t>Sensitivity 4He (nccSTP/cps)</t>
  </si>
  <si>
    <t>HeRefNo</t>
  </si>
  <si>
    <t>Name</t>
  </si>
  <si>
    <t>3He cps</t>
  </si>
  <si>
    <t>4He Overspray cps</t>
  </si>
  <si>
    <t>4He fA</t>
  </si>
  <si>
    <t>Type</t>
  </si>
  <si>
    <t>Temperature (C)</t>
  </si>
  <si>
    <t>NA</t>
  </si>
  <si>
    <t>Nominal Time (Minutes)</t>
  </si>
  <si>
    <t>Nominal (Heated) Time (seconds)</t>
  </si>
  <si>
    <t>Watlow Time  (seconds)</t>
  </si>
  <si>
    <t>Total Time  (seconds)</t>
  </si>
  <si>
    <t>Cooling Time (seconds)</t>
  </si>
  <si>
    <t>IrrWin0601bTube012624: 6305_60.0_21.0 28.45 (Blank)</t>
  </si>
  <si>
    <t>Blank</t>
  </si>
  <si>
    <t>3He K (atoms/(sec*cm*atm)</t>
  </si>
  <si>
    <t>1E4/T (K)</t>
  </si>
  <si>
    <t>3He Lambdas</t>
  </si>
  <si>
    <t>10000/T (K)</t>
  </si>
  <si>
    <t>IrrWin0601bTube012624: 3045_180.0_0.0 26.68</t>
  </si>
  <si>
    <t>Informed Bracket</t>
  </si>
  <si>
    <t>Naïve Bracket</t>
  </si>
  <si>
    <t>3He measured (pccSTP)</t>
  </si>
  <si>
    <t>Experimental</t>
  </si>
  <si>
    <t>D&lt;10%</t>
  </si>
  <si>
    <t>D&lt;90%</t>
  </si>
  <si>
    <t>D&gt;90%</t>
  </si>
  <si>
    <t>D/a^2</t>
  </si>
  <si>
    <t>ln(d/a^2)</t>
  </si>
  <si>
    <t>10000/TK</t>
  </si>
  <si>
    <t>Log(D/a2)</t>
  </si>
  <si>
    <t>Step</t>
  </si>
  <si>
    <t>Rest</t>
  </si>
  <si>
    <t>3He Corrected (pccSTP)</t>
  </si>
  <si>
    <t>Temp ©</t>
  </si>
  <si>
    <t>Minutes</t>
  </si>
  <si>
    <t>Seconds</t>
  </si>
  <si>
    <t>4He ncc</t>
  </si>
  <si>
    <t>3He pcc</t>
  </si>
  <si>
    <t>4He sens</t>
  </si>
  <si>
    <t>3He sens</t>
  </si>
  <si>
    <t>1xAir#11177 60.64,0.1706</t>
  </si>
  <si>
    <t>He32376.txt</t>
  </si>
  <si>
    <t>HB</t>
  </si>
  <si>
    <t>He32377.txt</t>
  </si>
  <si>
    <t>1xAir#11178 60.64,0.1706</t>
  </si>
  <si>
    <t>He32378.txt</t>
  </si>
  <si>
    <t>He32379.txt</t>
  </si>
  <si>
    <t>1p5 HB</t>
  </si>
  <si>
    <t>He32380.txt</t>
  </si>
  <si>
    <t>BJT IrrWin Fusion</t>
  </si>
  <si>
    <t>He32381.txt</t>
  </si>
  <si>
    <t>IrrWin RE</t>
  </si>
  <si>
    <t>He32382.txt</t>
  </si>
  <si>
    <t>AVERAGE</t>
  </si>
  <si>
    <t>SAMPLE ABUNDANCES</t>
  </si>
  <si>
    <t>Total Fusion</t>
  </si>
  <si>
    <t>3He pccSTP Bracketing Corrected</t>
  </si>
  <si>
    <t>G</t>
  </si>
  <si>
    <t>2 sigma</t>
  </si>
  <si>
    <t>variance</t>
  </si>
  <si>
    <t>ln(K) Apparent</t>
  </si>
  <si>
    <t>Std error of of the y estimate</t>
  </si>
  <si>
    <t>ln(K) Cooling Model</t>
  </si>
  <si>
    <t>Isothermal Study</t>
  </si>
  <si>
    <t>1 sigma</t>
  </si>
  <si>
    <t>1 sigma K uncertainty</t>
  </si>
  <si>
    <t>CONSTANTS</t>
  </si>
  <si>
    <t>G (cm^-1)</t>
  </si>
  <si>
    <t>R (cm^3 * atm  * atoms^-1 * K^1)</t>
  </si>
  <si>
    <t>ID (cm)</t>
  </si>
  <si>
    <t>OD (cm)</t>
  </si>
  <si>
    <t>4He Cumulative Measured</t>
  </si>
  <si>
    <t>stdev</t>
  </si>
  <si>
    <t>Cum 3He</t>
  </si>
  <si>
    <t>Fi+1</t>
  </si>
  <si>
    <t>EQ1</t>
  </si>
  <si>
    <t>EQ2</t>
  </si>
  <si>
    <t>EQ3</t>
  </si>
  <si>
    <t>dEQ1/dF</t>
  </si>
  <si>
    <t>dEQ2/dF</t>
  </si>
  <si>
    <t>dEQ3/dF</t>
  </si>
  <si>
    <t>Derivatives for Error Propagation (signs don't matter, terms are squared)</t>
  </si>
  <si>
    <t>R</t>
  </si>
  <si>
    <t>GRT</t>
  </si>
  <si>
    <t>3He</t>
  </si>
  <si>
    <t>Cum 4He</t>
  </si>
  <si>
    <t>4He nccSTP Bracketing Corrected</t>
  </si>
  <si>
    <t>4He Corrected (nccSTP)</t>
  </si>
  <si>
    <t>R_Bulk</t>
  </si>
  <si>
    <t>R/Rbulk</t>
  </si>
  <si>
    <t>C/Ma</t>
  </si>
  <si>
    <t/>
  </si>
  <si>
    <t>(C/sec)</t>
  </si>
  <si>
    <t>Cool Rate</t>
  </si>
  <si>
    <t>Ea (cal)</t>
  </si>
  <si>
    <t>Do/a2</t>
  </si>
  <si>
    <t>Closure Temperature Calculation</t>
  </si>
  <si>
    <t>Linear Regression</t>
  </si>
  <si>
    <t>Ea (cal/mol)</t>
  </si>
  <si>
    <t>Reference</t>
  </si>
  <si>
    <t>Empty H2O Tube</t>
  </si>
  <si>
    <t>Delta Regression</t>
  </si>
  <si>
    <t>Nominal (Heated) Time (Minutes)</t>
  </si>
  <si>
    <t>Time (Pump out)</t>
  </si>
  <si>
    <r>
      <t>2</t>
    </r>
    <r>
      <rPr>
        <sz val="11"/>
        <color theme="1"/>
        <rFont val="Aptos Narrow"/>
        <family val="2"/>
      </rPr>
      <t>σ</t>
    </r>
  </si>
  <si>
    <t>1σ</t>
  </si>
  <si>
    <t>4He Blank Corrected (nccSTP)</t>
  </si>
  <si>
    <t>D0/a2</t>
  </si>
  <si>
    <t>Informed/Naïve Bracket</t>
  </si>
  <si>
    <t>Complete Purge</t>
  </si>
  <si>
    <t>nt/n0</t>
  </si>
  <si>
    <t>lambda</t>
  </si>
  <si>
    <t>K</t>
  </si>
  <si>
    <r>
      <t>26</t>
    </r>
    <r>
      <rPr>
        <sz val="11"/>
        <color theme="1"/>
        <rFont val="Aptos Narrow"/>
        <family val="2"/>
      </rPr>
      <t>°C Permeability Solution</t>
    </r>
  </si>
  <si>
    <t>High Error, not used</t>
  </si>
  <si>
    <r>
      <t>2</t>
    </r>
    <r>
      <rPr>
        <b/>
        <sz val="11"/>
        <color theme="1"/>
        <rFont val="Aptos Narrow"/>
        <family val="2"/>
      </rPr>
      <t>σ</t>
    </r>
  </si>
  <si>
    <t>Raw Data</t>
  </si>
  <si>
    <t>4He measured (nccSTP)</t>
  </si>
  <si>
    <t>R/Rbulk no 4He Blank Correction</t>
  </si>
  <si>
    <t>Blank Corrected 4He/3He</t>
  </si>
  <si>
    <t>Blank Corrected R/Rbulk</t>
  </si>
  <si>
    <t xml:space="preserve">R 4He/3He </t>
  </si>
  <si>
    <t>Abundances, 4He Blank Corrections, Measured 4He/3He</t>
  </si>
  <si>
    <t>Permeation Lag Corrected 4He, 3He: Cumulative and Ratios</t>
  </si>
  <si>
    <t>λ = (KGRT)</t>
  </si>
  <si>
    <t>3He n0 calc  (pccSTP) (m/(1-e^-λt))</t>
  </si>
  <si>
    <t>3He n0 calc long cool</t>
  </si>
  <si>
    <t>3He n0 (pccSTP)</t>
  </si>
  <si>
    <t>4He n0 by ratio (nccSTP)</t>
  </si>
  <si>
    <t>4He n0 (nccSTP))</t>
  </si>
  <si>
    <t>3He Correction %</t>
  </si>
  <si>
    <t>4He Correction %</t>
  </si>
  <si>
    <t>Cumulative time (seconds)</t>
  </si>
  <si>
    <t>Cumulative measured 3He (pccSTP)</t>
  </si>
  <si>
    <t>Variance</t>
  </si>
  <si>
    <t>Covariance</t>
  </si>
  <si>
    <t>Model Cumultive 3He with Fit Parameters (pccSTP)</t>
  </si>
  <si>
    <t>Series ID</t>
  </si>
  <si>
    <t>Fit n0 (pccSTP)</t>
  </si>
  <si>
    <r>
      <t xml:space="preserve">Fit </t>
    </r>
    <r>
      <rPr>
        <sz val="11"/>
        <color theme="1"/>
        <rFont val="Aptos Narrow"/>
        <family val="2"/>
      </rPr>
      <t>λ</t>
    </r>
    <r>
      <rPr>
        <sz val="11"/>
        <color theme="1"/>
        <rFont val="Aptos Narrow"/>
        <family val="2"/>
        <scheme val="minor"/>
      </rPr>
      <t xml:space="preserve"> (sec^-1)</t>
    </r>
  </si>
  <si>
    <t>ln(K) Swets et al 1961; Jones 1954</t>
  </si>
  <si>
    <t>3He K Apparent Permeability (atoms/(atm*cm*s))</t>
  </si>
  <si>
    <t>3He ln(K) Apparent Permeability (atoms/(atm*cm*s))</t>
  </si>
  <si>
    <t>He29932.txt</t>
  </si>
  <si>
    <t>STD</t>
  </si>
  <si>
    <t>He29936.txt</t>
  </si>
  <si>
    <t>He29942.txt</t>
  </si>
  <si>
    <t>He29947.txt</t>
  </si>
  <si>
    <t>He29952.txt</t>
  </si>
  <si>
    <t>He29958.txt</t>
  </si>
  <si>
    <t>He29964.txt</t>
  </si>
  <si>
    <t>He29969.txt</t>
  </si>
  <si>
    <t>He29974.txt</t>
  </si>
  <si>
    <t>He29981.txt</t>
  </si>
  <si>
    <t>He29987.txt</t>
  </si>
  <si>
    <t>He29993.txt</t>
  </si>
  <si>
    <t>He29999.txt</t>
  </si>
  <si>
    <t>He30004.txt</t>
  </si>
  <si>
    <t>He30007.txt</t>
  </si>
  <si>
    <t>He30010.txt</t>
  </si>
  <si>
    <t>He30014.txt</t>
  </si>
  <si>
    <t>He30017.txt</t>
  </si>
  <si>
    <t>He30021.txt</t>
  </si>
  <si>
    <t>He30030.txt</t>
  </si>
  <si>
    <t>He30038.txt</t>
  </si>
  <si>
    <t>He30046.txt</t>
  </si>
  <si>
    <t>He30054.txt</t>
  </si>
  <si>
    <t>He30055.txt</t>
  </si>
  <si>
    <t>He30059.txt</t>
  </si>
  <si>
    <t>He30064.txt</t>
  </si>
  <si>
    <t>He30068.txt</t>
  </si>
  <si>
    <t>He30071.txt</t>
  </si>
  <si>
    <t>He30078.txt</t>
  </si>
  <si>
    <t>He30085.txt</t>
  </si>
  <si>
    <t>He30093.txt</t>
  </si>
  <si>
    <t>He30098.txt</t>
  </si>
  <si>
    <t>He30103.txt</t>
  </si>
  <si>
    <t>He30110.txt</t>
  </si>
  <si>
    <t>He30111.txt</t>
  </si>
  <si>
    <t>He30116.txt</t>
  </si>
  <si>
    <t>He30119.txt</t>
  </si>
  <si>
    <t>He30123.txt</t>
  </si>
  <si>
    <t>He30128.txt</t>
  </si>
  <si>
    <t>He30131.txt</t>
  </si>
  <si>
    <t>He30132.txt</t>
  </si>
  <si>
    <t>He30133.txt</t>
  </si>
  <si>
    <t>He30137.txt</t>
  </si>
  <si>
    <t>He30142.txt</t>
  </si>
  <si>
    <t>He30146.txt</t>
  </si>
  <si>
    <t>He30149.txt</t>
  </si>
  <si>
    <t>He30150.txt</t>
  </si>
  <si>
    <t>He30155.txt</t>
  </si>
  <si>
    <t>He30159.txt</t>
  </si>
  <si>
    <t>He30166.txt</t>
  </si>
  <si>
    <t>He30171.txt</t>
  </si>
  <si>
    <t>He30176.txt</t>
  </si>
  <si>
    <t>He30178.txt</t>
  </si>
  <si>
    <t>He30183.txt</t>
  </si>
  <si>
    <t>He30186.txt</t>
  </si>
  <si>
    <t>He30192.txt</t>
  </si>
  <si>
    <t>He30194.txt</t>
  </si>
  <si>
    <t>He30200.txt</t>
  </si>
  <si>
    <t>He30204.txt</t>
  </si>
  <si>
    <t>He30208.txt</t>
  </si>
  <si>
    <t>He30209.txt</t>
  </si>
  <si>
    <t>He30210.txt</t>
  </si>
  <si>
    <t>He30211.txt</t>
  </si>
  <si>
    <t>He30212.txt</t>
  </si>
  <si>
    <t>He30213.txt</t>
  </si>
  <si>
    <t>He30214.txt</t>
  </si>
  <si>
    <t>He30215.txt</t>
  </si>
  <si>
    <t>He30216.txt</t>
  </si>
  <si>
    <t>He30217.txt</t>
  </si>
  <si>
    <t>He30218.txt</t>
  </si>
  <si>
    <t>He30219.txt</t>
  </si>
  <si>
    <t>He30220.txt</t>
  </si>
  <si>
    <t>He30221.txt</t>
  </si>
  <si>
    <t>He30222.txt</t>
  </si>
  <si>
    <t>He30223.txt</t>
  </si>
  <si>
    <t>He30224.txt</t>
  </si>
  <si>
    <t>He30228.txt</t>
  </si>
  <si>
    <t>He30229.txt</t>
  </si>
  <si>
    <t>He30230.txt</t>
  </si>
  <si>
    <t>He30233.txt</t>
  </si>
  <si>
    <t>He30234.txt</t>
  </si>
  <si>
    <t>He30235.txt</t>
  </si>
  <si>
    <t>He30240.txt</t>
  </si>
  <si>
    <t>He30242.txt</t>
  </si>
  <si>
    <t>He30245.txt</t>
  </si>
  <si>
    <t>He30249.txt</t>
  </si>
  <si>
    <t>He30252.txt</t>
  </si>
  <si>
    <t>He30257.txt</t>
  </si>
  <si>
    <t>He30259.txt</t>
  </si>
  <si>
    <t>He30263.txt</t>
  </si>
  <si>
    <t>He30267.txt</t>
  </si>
  <si>
    <t>He30271.txt</t>
  </si>
  <si>
    <t>He30276.txt</t>
  </si>
  <si>
    <t>He30281.txt</t>
  </si>
  <si>
    <t>He30284.txt</t>
  </si>
  <si>
    <t>He30290.txt</t>
  </si>
  <si>
    <t>He30294.txt</t>
  </si>
  <si>
    <t>He30299.txt</t>
  </si>
  <si>
    <t>He30304.txt</t>
  </si>
  <si>
    <t>He30308.txt</t>
  </si>
  <si>
    <t>He30313.txt</t>
  </si>
  <si>
    <t>He30315.txt</t>
  </si>
  <si>
    <t>He30317.txt</t>
  </si>
  <si>
    <t>He30319.txt</t>
  </si>
  <si>
    <t>He30323.txt</t>
  </si>
  <si>
    <t>He30324.txt</t>
  </si>
  <si>
    <t>He30326.txt</t>
  </si>
  <si>
    <t>He30334.txt</t>
  </si>
  <si>
    <t>He30337.txt</t>
  </si>
  <si>
    <t>He30341.txt</t>
  </si>
  <si>
    <t>He30346.txt</t>
  </si>
  <si>
    <t>He30351.txt</t>
  </si>
  <si>
    <t>He30365.txt</t>
  </si>
  <si>
    <t>He30380.txt</t>
  </si>
  <si>
    <t>He30386.txt</t>
  </si>
  <si>
    <t>He30396.txt</t>
  </si>
  <si>
    <t>He30425.txt</t>
  </si>
  <si>
    <t>He30431.txt</t>
  </si>
  <si>
    <t>He30433.txt</t>
  </si>
  <si>
    <t>He30438.txt</t>
  </si>
  <si>
    <t>He30445.txt</t>
  </si>
  <si>
    <t>He30452.txt</t>
  </si>
  <si>
    <t>He30460.txt</t>
  </si>
  <si>
    <t>He30468.txt</t>
  </si>
  <si>
    <t>He30476.txt</t>
  </si>
  <si>
    <t>He30489.txt</t>
  </si>
  <si>
    <t>He30504.txt</t>
  </si>
  <si>
    <t>He30515.txt</t>
  </si>
  <si>
    <t>He30529.txt</t>
  </si>
  <si>
    <t>He30542.txt</t>
  </si>
  <si>
    <t>He30549.txt</t>
  </si>
  <si>
    <t>He30561.txt</t>
  </si>
  <si>
    <t>He30568.txt</t>
  </si>
  <si>
    <t>He30570.txt</t>
  </si>
  <si>
    <t>He30576.txt</t>
  </si>
  <si>
    <t>He30588.txt</t>
  </si>
  <si>
    <t>He30600.txt</t>
  </si>
  <si>
    <t>He30607.txt</t>
  </si>
  <si>
    <t>He30611.txt</t>
  </si>
  <si>
    <t>He30612.txt</t>
  </si>
  <si>
    <t>He30615.txt</t>
  </si>
  <si>
    <t>He30620.txt</t>
  </si>
  <si>
    <t>He30624.txt</t>
  </si>
  <si>
    <t>He30632.txt</t>
  </si>
  <si>
    <t>He30643.txt</t>
  </si>
  <si>
    <t>He30649.txt</t>
  </si>
  <si>
    <t>He30659.txt</t>
  </si>
  <si>
    <t>He30663.txt</t>
  </si>
  <si>
    <t>He30669.txt</t>
  </si>
  <si>
    <t>He30682.txt</t>
  </si>
  <si>
    <t>He30688.txt</t>
  </si>
  <si>
    <t>He30692.txt</t>
  </si>
  <si>
    <t>He30706.txt</t>
  </si>
  <si>
    <t>He30718.txt</t>
  </si>
  <si>
    <t>He30730.txt</t>
  </si>
  <si>
    <t>He30737.txt</t>
  </si>
  <si>
    <t>He30743.txt</t>
  </si>
  <si>
    <t>He30747.txt</t>
  </si>
  <si>
    <t>He30752.txt</t>
  </si>
  <si>
    <t>He30759.txt</t>
  </si>
  <si>
    <t>He30768.txt</t>
  </si>
  <si>
    <t>He30781.txt</t>
  </si>
  <si>
    <t>He30788.txt</t>
  </si>
  <si>
    <t>He30789.txt</t>
  </si>
  <si>
    <t>He30790.txt</t>
  </si>
  <si>
    <t>He30794.txt</t>
  </si>
  <si>
    <t>He30800.txt</t>
  </si>
  <si>
    <t>He30806.txt</t>
  </si>
  <si>
    <t>He30813.txt</t>
  </si>
  <si>
    <t>He30817.txt</t>
  </si>
  <si>
    <t>He30821.txt</t>
  </si>
  <si>
    <t>He30828.txt</t>
  </si>
  <si>
    <t>He30831.txt</t>
  </si>
  <si>
    <t>He30838.txt</t>
  </si>
  <si>
    <t>He30843.txt</t>
  </si>
  <si>
    <t>He30846.txt</t>
  </si>
  <si>
    <t>He30855.txt</t>
  </si>
  <si>
    <t>He30866.txt</t>
  </si>
  <si>
    <t>He30874.txt</t>
  </si>
  <si>
    <t>He30921.txt</t>
  </si>
  <si>
    <t>He30922.txt</t>
  </si>
  <si>
    <t>He30925.txt</t>
  </si>
  <si>
    <t>He30933.txt</t>
  </si>
  <si>
    <t>He30939.txt</t>
  </si>
  <si>
    <t>He30946.txt</t>
  </si>
  <si>
    <t>He30953.txt</t>
  </si>
  <si>
    <t>He30958.txt</t>
  </si>
  <si>
    <t>He30965.txt</t>
  </si>
  <si>
    <t>He30975.txt</t>
  </si>
  <si>
    <t>He30976.txt</t>
  </si>
  <si>
    <t>He30979.txt</t>
  </si>
  <si>
    <t>He31026.txt</t>
  </si>
  <si>
    <t>He31028.txt</t>
  </si>
  <si>
    <t>He31029.txt</t>
  </si>
  <si>
    <t>He31032.txt</t>
  </si>
  <si>
    <t>He31035.txt</t>
  </si>
  <si>
    <t>He31037.txt</t>
  </si>
  <si>
    <t>He31041.txt</t>
  </si>
  <si>
    <t>He31042.txt</t>
  </si>
  <si>
    <t>He31043.txt</t>
  </si>
  <si>
    <t>RECALC STD</t>
  </si>
  <si>
    <t xml:space="preserve"> </t>
  </si>
  <si>
    <t>Activation energy (cal/mol)</t>
  </si>
  <si>
    <t>2 se</t>
  </si>
  <si>
    <t>Average K</t>
  </si>
  <si>
    <r>
      <t>1</t>
    </r>
    <r>
      <rPr>
        <sz val="11"/>
        <color theme="1"/>
        <rFont val="Aptos Narrow"/>
        <family val="2"/>
      </rPr>
      <t>σ</t>
    </r>
  </si>
  <si>
    <t>2 Value Average</t>
  </si>
  <si>
    <t>3 Value Average</t>
  </si>
  <si>
    <t>LB</t>
  </si>
  <si>
    <t>UB</t>
  </si>
  <si>
    <r>
      <t>Tc (</t>
    </r>
    <r>
      <rPr>
        <sz val="11"/>
        <color theme="1"/>
        <rFont val="Aptos Narrow"/>
        <family val="2"/>
      </rPr>
      <t>°</t>
    </r>
    <r>
      <rPr>
        <sz val="9.35"/>
        <color theme="1"/>
        <rFont val="Aptos Narrow"/>
        <family val="2"/>
      </rPr>
      <t>C)</t>
    </r>
  </si>
  <si>
    <t>4He</t>
  </si>
  <si>
    <t>Regression Reference ln(D/a2)</t>
  </si>
  <si>
    <t>3He pccSTP</t>
  </si>
  <si>
    <t>4He nccSTP</t>
  </si>
  <si>
    <t>R/Ra</t>
  </si>
  <si>
    <t>Split</t>
  </si>
  <si>
    <t>3He cps/pcc</t>
  </si>
  <si>
    <t>4He mV/ncc</t>
  </si>
  <si>
    <t>4He mV</t>
  </si>
  <si>
    <t>Tc (°C)</t>
  </si>
  <si>
    <t>kJ/mol</t>
  </si>
  <si>
    <t>IrrWin0601bTube012624: 2505_150.0_100.0 99.89</t>
  </si>
  <si>
    <t>Anhydrous Tube Cooling Model AppK</t>
  </si>
  <si>
    <t>Regression Statistics</t>
  </si>
  <si>
    <t>Kcold</t>
  </si>
  <si>
    <t>K 4He Swets</t>
  </si>
  <si>
    <t>K 3He Jones and Swets</t>
  </si>
  <si>
    <t>lambdat 3He</t>
  </si>
  <si>
    <t>lambdat 4He</t>
  </si>
  <si>
    <t xml:space="preserve">4He ωLB </t>
  </si>
  <si>
    <t xml:space="preserve">3He ωLB </t>
  </si>
  <si>
    <t>Permeation Lag as Uncertainty</t>
  </si>
  <si>
    <t xml:space="preserve">4He ωUB </t>
  </si>
  <si>
    <t xml:space="preserve">3He ωUB </t>
  </si>
  <si>
    <t>24°C</t>
  </si>
  <si>
    <t>Fi</t>
  </si>
  <si>
    <t>F</t>
  </si>
  <si>
    <t>4He Cumulative Naïve Corrected</t>
  </si>
  <si>
    <t>3He Cumulative Naïve Corrected</t>
  </si>
  <si>
    <t>3He Cumulative Measured</t>
  </si>
  <si>
    <t>3He Measured (pccSTP)</t>
  </si>
  <si>
    <t>Cumulative 3He (pccSTP)</t>
  </si>
  <si>
    <r>
      <t>3He ω</t>
    </r>
    <r>
      <rPr>
        <vertAlign val="superscript"/>
        <sz val="11"/>
        <color theme="1"/>
        <rFont val="Aptos Narrow"/>
        <family val="2"/>
        <scheme val="minor"/>
      </rPr>
      <t>LB</t>
    </r>
    <r>
      <rPr>
        <sz val="11"/>
        <color theme="1"/>
        <rFont val="Aptos Narrow"/>
        <family val="2"/>
        <scheme val="minor"/>
      </rPr>
      <t xml:space="preserve"> (pccSTP)</t>
    </r>
  </si>
  <si>
    <r>
      <t>3He ω</t>
    </r>
    <r>
      <rPr>
        <vertAlign val="superscript"/>
        <sz val="11"/>
        <color theme="1"/>
        <rFont val="Aptos Narrow"/>
        <family val="2"/>
        <scheme val="minor"/>
      </rPr>
      <t>UB</t>
    </r>
    <r>
      <rPr>
        <sz val="11"/>
        <color theme="1"/>
        <rFont val="Aptos Narrow"/>
        <family val="2"/>
        <scheme val="minor"/>
      </rPr>
      <t xml:space="preserve"> (pccSTP)</t>
    </r>
  </si>
  <si>
    <t>--</t>
  </si>
  <si>
    <r>
      <t>nt</t>
    </r>
    <r>
      <rPr>
        <vertAlign val="superscript"/>
        <sz val="11"/>
        <color theme="1"/>
        <rFont val="Aptos Narrow"/>
        <family val="2"/>
        <scheme val="minor"/>
      </rPr>
      <t xml:space="preserve">UB </t>
    </r>
    <r>
      <rPr>
        <sz val="11"/>
        <color theme="1"/>
        <rFont val="Aptos Narrow"/>
        <family val="2"/>
        <scheme val="minor"/>
      </rPr>
      <t>3He (pccSTP)</t>
    </r>
  </si>
  <si>
    <t>4He ntUB/m</t>
  </si>
  <si>
    <t>4He ntUB</t>
  </si>
  <si>
    <t>3He ntUB</t>
  </si>
  <si>
    <t>ntUB/m</t>
  </si>
  <si>
    <r>
      <t>3He ln(d/a^2)</t>
    </r>
    <r>
      <rPr>
        <vertAlign val="superscript"/>
        <sz val="11"/>
        <color theme="1"/>
        <rFont val="Aptos Narrow"/>
        <family val="2"/>
        <scheme val="minor"/>
      </rPr>
      <t>LB</t>
    </r>
  </si>
  <si>
    <t>4He Measured (nccSTP)</t>
  </si>
  <si>
    <t>Cumulative 4He (nccSTP)</t>
  </si>
  <si>
    <r>
      <t>nt</t>
    </r>
    <r>
      <rPr>
        <vertAlign val="superscript"/>
        <sz val="11"/>
        <color theme="1"/>
        <rFont val="Aptos Narrow"/>
        <family val="2"/>
        <scheme val="minor"/>
      </rPr>
      <t>UB 4</t>
    </r>
    <r>
      <rPr>
        <sz val="11"/>
        <color theme="1"/>
        <rFont val="Aptos Narrow"/>
        <family val="2"/>
        <scheme val="minor"/>
      </rPr>
      <t>He (nccSTP)</t>
    </r>
  </si>
  <si>
    <r>
      <t>4He ω</t>
    </r>
    <r>
      <rPr>
        <vertAlign val="superscript"/>
        <sz val="11"/>
        <color theme="1"/>
        <rFont val="Aptos Narrow"/>
        <family val="2"/>
        <scheme val="minor"/>
      </rPr>
      <t>LB</t>
    </r>
    <r>
      <rPr>
        <sz val="11"/>
        <color theme="1"/>
        <rFont val="Aptos Narrow"/>
        <family val="2"/>
        <scheme val="minor"/>
      </rPr>
      <t xml:space="preserve"> (nccSTP)</t>
    </r>
  </si>
  <si>
    <r>
      <t>4He ln(d/a^2)</t>
    </r>
    <r>
      <rPr>
        <vertAlign val="superscript"/>
        <sz val="11"/>
        <color theme="1"/>
        <rFont val="Aptos Narrow"/>
        <family val="2"/>
        <scheme val="minor"/>
      </rPr>
      <t>LB</t>
    </r>
  </si>
  <si>
    <r>
      <t>4He ln(d/a^2)</t>
    </r>
    <r>
      <rPr>
        <i/>
        <vertAlign val="superscript"/>
        <sz val="11"/>
        <color theme="1"/>
        <rFont val="Aptos Narrow"/>
        <family val="2"/>
        <scheme val="minor"/>
      </rPr>
      <t>m</t>
    </r>
  </si>
  <si>
    <r>
      <t>4He ln(d/a^2)</t>
    </r>
    <r>
      <rPr>
        <vertAlign val="superscript"/>
        <sz val="11"/>
        <color theme="1"/>
        <rFont val="Aptos Narrow"/>
        <family val="2"/>
        <scheme val="minor"/>
      </rPr>
      <t>UB</t>
    </r>
  </si>
  <si>
    <r>
      <t>3He ln(d/a^2)</t>
    </r>
    <r>
      <rPr>
        <i/>
        <vertAlign val="superscript"/>
        <sz val="11"/>
        <color theme="1"/>
        <rFont val="Aptos Narrow"/>
        <family val="2"/>
        <scheme val="minor"/>
      </rPr>
      <t>m</t>
    </r>
  </si>
  <si>
    <r>
      <t>3He ln(d/a^2)</t>
    </r>
    <r>
      <rPr>
        <vertAlign val="superscript"/>
        <sz val="11"/>
        <color theme="1"/>
        <rFont val="Aptos Narrow"/>
        <family val="2"/>
        <scheme val="minor"/>
      </rPr>
      <t>UB</t>
    </r>
  </si>
  <si>
    <r>
      <t>3He</t>
    </r>
    <r>
      <rPr>
        <vertAlign val="superscript"/>
        <sz val="11"/>
        <rFont val="Aptos Narrow"/>
        <family val="2"/>
        <scheme val="minor"/>
      </rPr>
      <t>UB</t>
    </r>
    <r>
      <rPr>
        <sz val="11"/>
        <rFont val="Aptos Narrow"/>
        <family val="2"/>
        <scheme val="minor"/>
      </rPr>
      <t xml:space="preserve"> (pccSTP)</t>
    </r>
  </si>
  <si>
    <r>
      <t>4He</t>
    </r>
    <r>
      <rPr>
        <vertAlign val="superscript"/>
        <sz val="11"/>
        <rFont val="Aptos Narrow"/>
        <family val="2"/>
        <scheme val="minor"/>
      </rPr>
      <t>UB</t>
    </r>
    <r>
      <rPr>
        <sz val="11"/>
        <rFont val="Aptos Narrow"/>
        <family val="2"/>
        <scheme val="minor"/>
      </rPr>
      <t xml:space="preserve"> (nccSTP)</t>
    </r>
  </si>
  <si>
    <r>
      <t>4He ω</t>
    </r>
    <r>
      <rPr>
        <vertAlign val="superscript"/>
        <sz val="11"/>
        <color theme="1"/>
        <rFont val="Aptos Narrow"/>
        <family val="2"/>
        <scheme val="minor"/>
      </rPr>
      <t>UB</t>
    </r>
    <r>
      <rPr>
        <sz val="11"/>
        <color theme="1"/>
        <rFont val="Aptos Narrow"/>
        <family val="2"/>
        <scheme val="minor"/>
      </rPr>
      <t xml:space="preserve"> (nccSTP)</t>
    </r>
  </si>
  <si>
    <t>Total</t>
  </si>
  <si>
    <t>F 3He</t>
  </si>
  <si>
    <r>
      <t>4/3 He</t>
    </r>
    <r>
      <rPr>
        <vertAlign val="superscript"/>
        <sz val="11"/>
        <color theme="1"/>
        <rFont val="Aptos Narrow"/>
        <family val="2"/>
        <scheme val="minor"/>
      </rPr>
      <t>LB</t>
    </r>
  </si>
  <si>
    <r>
      <t>4/3 He</t>
    </r>
    <r>
      <rPr>
        <i/>
        <vertAlign val="superscript"/>
        <sz val="11"/>
        <color theme="1"/>
        <rFont val="Aptos Narrow"/>
        <family val="2"/>
        <scheme val="minor"/>
      </rPr>
      <t>m</t>
    </r>
  </si>
  <si>
    <r>
      <t>4/3 He</t>
    </r>
    <r>
      <rPr>
        <vertAlign val="superscript"/>
        <sz val="11"/>
        <color theme="1"/>
        <rFont val="Aptos Narrow"/>
        <family val="2"/>
        <scheme val="minor"/>
      </rPr>
      <t>UB</t>
    </r>
  </si>
  <si>
    <r>
      <t>4/3 He</t>
    </r>
    <r>
      <rPr>
        <vertAlign val="superscript"/>
        <sz val="11"/>
        <color theme="1"/>
        <rFont val="Aptos Narrow"/>
        <family val="2"/>
        <scheme val="minor"/>
      </rPr>
      <t>LB</t>
    </r>
    <r>
      <rPr>
        <sz val="11"/>
        <color theme="1"/>
        <rFont val="Aptos Narrow"/>
        <family val="2"/>
        <scheme val="minor"/>
      </rPr>
      <t xml:space="preserve"> / 4/3 bulk</t>
    </r>
  </si>
  <si>
    <r>
      <t>4/3 He</t>
    </r>
    <r>
      <rPr>
        <i/>
        <vertAlign val="superscript"/>
        <sz val="11"/>
        <color theme="1"/>
        <rFont val="Aptos Narrow"/>
        <family val="2"/>
        <scheme val="minor"/>
      </rPr>
      <t>m</t>
    </r>
    <r>
      <rPr>
        <sz val="11"/>
        <color theme="1"/>
        <rFont val="Aptos Narrow"/>
        <family val="2"/>
        <scheme val="minor"/>
      </rPr>
      <t xml:space="preserve"> / 4/3 bulk</t>
    </r>
  </si>
  <si>
    <r>
      <t>4/3He</t>
    </r>
    <r>
      <rPr>
        <vertAlign val="superscript"/>
        <sz val="11"/>
        <color theme="1"/>
        <rFont val="Aptos Narrow"/>
        <family val="2"/>
        <scheme val="minor"/>
      </rPr>
      <t>UB</t>
    </r>
    <r>
      <rPr>
        <sz val="11"/>
        <color theme="1"/>
        <rFont val="Aptos Narrow"/>
        <family val="2"/>
        <scheme val="minor"/>
      </rPr>
      <t xml:space="preserve"> / 4/3 bulk</t>
    </r>
  </si>
  <si>
    <r>
      <t>n0</t>
    </r>
    <r>
      <rPr>
        <vertAlign val="superscript"/>
        <sz val="11"/>
        <color theme="1"/>
        <rFont val="Aptos Narrow"/>
        <family val="2"/>
        <scheme val="minor"/>
      </rPr>
      <t xml:space="preserve"> </t>
    </r>
    <r>
      <rPr>
        <sz val="11"/>
        <color theme="1"/>
        <rFont val="Aptos Narrow"/>
        <family val="2"/>
        <scheme val="minor"/>
      </rPr>
      <t>3He (pccSTP)</t>
    </r>
  </si>
  <si>
    <t>3He ω (pccSTP)</t>
  </si>
  <si>
    <r>
      <t>nt</t>
    </r>
    <r>
      <rPr>
        <vertAlign val="superscript"/>
        <sz val="11"/>
        <color theme="1"/>
        <rFont val="Aptos Narrow"/>
        <family val="2"/>
        <scheme val="minor"/>
      </rPr>
      <t xml:space="preserve"> </t>
    </r>
    <r>
      <rPr>
        <sz val="11"/>
        <color theme="1"/>
        <rFont val="Aptos Narrow"/>
        <family val="2"/>
        <scheme val="minor"/>
      </rPr>
      <t>3He (pccSTP)</t>
    </r>
  </si>
  <si>
    <t>3He ln(d/a^2)</t>
  </si>
  <si>
    <t>± 2σ</t>
  </si>
  <si>
    <r>
      <t>n0</t>
    </r>
    <r>
      <rPr>
        <vertAlign val="superscript"/>
        <sz val="11"/>
        <color theme="1"/>
        <rFont val="Aptos Narrow"/>
        <family val="2"/>
        <scheme val="minor"/>
      </rPr>
      <t xml:space="preserve"> 4</t>
    </r>
    <r>
      <rPr>
        <sz val="11"/>
        <color theme="1"/>
        <rFont val="Aptos Narrow"/>
        <family val="2"/>
        <scheme val="minor"/>
      </rPr>
      <t>He (nccSTP)</t>
    </r>
  </si>
  <si>
    <r>
      <t>nt</t>
    </r>
    <r>
      <rPr>
        <vertAlign val="superscript"/>
        <sz val="11"/>
        <color theme="1"/>
        <rFont val="Aptos Narrow"/>
        <family val="2"/>
        <scheme val="minor"/>
      </rPr>
      <t xml:space="preserve"> 4</t>
    </r>
    <r>
      <rPr>
        <sz val="11"/>
        <color theme="1"/>
        <rFont val="Aptos Narrow"/>
        <family val="2"/>
        <scheme val="minor"/>
      </rPr>
      <t>He (nccSTP)</t>
    </r>
  </si>
  <si>
    <t>4He ω (nccSTP)</t>
  </si>
  <si>
    <t>4He ln(d/a^2)</t>
  </si>
  <si>
    <t>4/3 He / 4/3 bulk</t>
  </si>
  <si>
    <r>
      <t xml:space="preserve">4/3 He </t>
    </r>
    <r>
      <rPr>
        <sz val="11"/>
        <color theme="1"/>
        <rFont val="Aptos Narrow"/>
        <family val="2"/>
      </rPr>
      <t>ω</t>
    </r>
  </si>
  <si>
    <t>Naïve Permeation Lag Corrections</t>
  </si>
  <si>
    <t>dTdt</t>
  </si>
  <si>
    <t>T-24</t>
  </si>
  <si>
    <t>T</t>
  </si>
  <si>
    <t>lambdat 3He maxR</t>
  </si>
  <si>
    <t>3He ntUB (for ratios)</t>
  </si>
  <si>
    <t>R Both extreme</t>
  </si>
  <si>
    <t xml:space="preserve">4/3 R m </t>
  </si>
  <si>
    <t>R nt extreme</t>
  </si>
  <si>
    <t>R n0 extreme</t>
  </si>
  <si>
    <t>R UB</t>
  </si>
  <si>
    <t>R LB</t>
  </si>
  <si>
    <t>2σ</t>
  </si>
  <si>
    <t>Cooling Time (Minutes)</t>
  </si>
  <si>
    <r>
      <t>nt</t>
    </r>
    <r>
      <rPr>
        <vertAlign val="superscript"/>
        <sz val="11"/>
        <color theme="1"/>
        <rFont val="Aptos Narrow"/>
        <family val="2"/>
        <scheme val="minor"/>
      </rPr>
      <t xml:space="preserve">UB </t>
    </r>
    <r>
      <rPr>
        <sz val="11"/>
        <color theme="1"/>
        <rFont val="Aptos Narrow"/>
        <family val="2"/>
        <scheme val="minor"/>
      </rPr>
      <t>4He (nccSTP)</t>
    </r>
  </si>
  <si>
    <t>FiUB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</si>
</sst>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sz val="10"/>
      <color theme="1"/>
      <name val="Arial Unicode MS"/>
    </font>
    <font>
      <b/>
      <sz val="10"/>
      <color indexed="10"/>
      <name val="Arial"/>
      <family val="2"/>
    </font>
    <font>
      <sz val="10"/>
      <name val="Arial"/>
      <family val="2"/>
    </font>
    <font>
      <sz val="11"/>
      <name val="Aptos Narrow"/>
      <family val="2"/>
      <scheme val="minor"/>
    </font>
    <font>
      <sz val="11"/>
      <color theme="1"/>
      <name val="Aptos Narrow"/>
      <family val="2"/>
    </font>
    <font>
      <sz val="9.35"/>
      <color theme="1"/>
      <name val="Aptos Narrow"/>
      <family val="2"/>
    </font>
    <font>
      <b/>
      <sz val="11"/>
      <color theme="1"/>
      <name val="Aptos Narrow"/>
      <family val="2"/>
    </font>
    <font>
      <sz val="11"/>
      <color theme="7" tint="-0.249977111117893"/>
      <name val="Aptos Narrow"/>
      <family val="2"/>
      <scheme val="minor"/>
    </font>
    <font>
      <sz val="20"/>
      <color theme="1"/>
      <name val="Aptos Narrow"/>
      <family val="2"/>
      <scheme val="minor"/>
    </font>
    <font>
      <b/>
      <sz val="11"/>
      <color theme="3" tint="0.499984740745262"/>
      <name val="Aptos Narrow"/>
      <family val="2"/>
      <scheme val="minor"/>
    </font>
    <font>
      <b/>
      <sz val="11"/>
      <color rgb="FFFFFF00"/>
      <name val="Aptos Narrow"/>
      <family val="2"/>
      <scheme val="minor"/>
    </font>
    <font>
      <sz val="10"/>
      <name val="Arial Unicode MS"/>
    </font>
    <font>
      <vertAlign val="superscript"/>
      <sz val="11"/>
      <color theme="1"/>
      <name val="Aptos Narrow"/>
      <family val="2"/>
      <scheme val="minor"/>
    </font>
    <font>
      <i/>
      <vertAlign val="superscript"/>
      <sz val="11"/>
      <color theme="1"/>
      <name val="Aptos Narrow"/>
      <family val="2"/>
      <scheme val="minor"/>
    </font>
    <font>
      <vertAlign val="superscript"/>
      <sz val="11"/>
      <name val="Aptos Narrow"/>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5" tint="-0.249977111117893"/>
        <bgColor indexed="64"/>
      </patternFill>
    </fill>
    <fill>
      <patternFill patternType="solid">
        <fgColor theme="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9">
    <xf numFmtId="0" fontId="0" fillId="0" borderId="0" xfId="0"/>
    <xf numFmtId="22" fontId="0" fillId="0" borderId="0" xfId="0" applyNumberFormat="1"/>
    <xf numFmtId="11" fontId="0" fillId="0" borderId="0" xfId="0" applyNumberFormat="1"/>
    <xf numFmtId="0" fontId="0" fillId="34" borderId="0" xfId="0" applyFill="1"/>
    <xf numFmtId="0" fontId="0" fillId="0" borderId="0" xfId="0" applyAlignment="1">
      <alignment wrapText="1"/>
    </xf>
    <xf numFmtId="0" fontId="20" fillId="0" borderId="0" xfId="0" applyFont="1"/>
    <xf numFmtId="0" fontId="21" fillId="0" borderId="0" xfId="0" applyFont="1"/>
    <xf numFmtId="0" fontId="22" fillId="0" borderId="0" xfId="0" applyFont="1"/>
    <xf numFmtId="0" fontId="0" fillId="33" borderId="0" xfId="0" applyFill="1"/>
    <xf numFmtId="0" fontId="18" fillId="0" borderId="0" xfId="0" applyFont="1"/>
    <xf numFmtId="2" fontId="0" fillId="0" borderId="0" xfId="0" applyNumberFormat="1"/>
    <xf numFmtId="11" fontId="22" fillId="0" borderId="0" xfId="0" applyNumberFormat="1" applyFont="1"/>
    <xf numFmtId="11" fontId="21" fillId="0" borderId="0" xfId="0" applyNumberFormat="1" applyFon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0" xfId="0" applyBorder="1"/>
    <xf numFmtId="0" fontId="19" fillId="0" borderId="0" xfId="0" applyFont="1" applyAlignment="1">
      <alignment vertical="center"/>
    </xf>
    <xf numFmtId="0" fontId="16" fillId="0" borderId="0" xfId="0" applyFont="1"/>
    <xf numFmtId="11" fontId="16" fillId="0" borderId="0" xfId="0" applyNumberFormat="1" applyFont="1"/>
    <xf numFmtId="11" fontId="16" fillId="36" borderId="0" xfId="0" applyNumberFormat="1" applyFont="1" applyFill="1"/>
    <xf numFmtId="11" fontId="16" fillId="35" borderId="0" xfId="0" applyNumberFormat="1" applyFont="1" applyFill="1"/>
    <xf numFmtId="11" fontId="16" fillId="33" borderId="0" xfId="0" applyNumberFormat="1" applyFont="1" applyFill="1"/>
    <xf numFmtId="11" fontId="16" fillId="39" borderId="0" xfId="0" applyNumberFormat="1" applyFont="1" applyFill="1"/>
    <xf numFmtId="11" fontId="16" fillId="37" borderId="0" xfId="0" applyNumberFormat="1" applyFont="1" applyFill="1"/>
    <xf numFmtId="0" fontId="16" fillId="0" borderId="0" xfId="0" applyFont="1" applyAlignment="1">
      <alignment wrapText="1"/>
    </xf>
    <xf numFmtId="0" fontId="0" fillId="36" borderId="0" xfId="0" applyFill="1"/>
    <xf numFmtId="22" fontId="0" fillId="36" borderId="0" xfId="0" applyNumberFormat="1" applyFill="1"/>
    <xf numFmtId="11" fontId="0" fillId="36" borderId="0" xfId="0" applyNumberFormat="1" applyFill="1"/>
    <xf numFmtId="0" fontId="0" fillId="35" borderId="0" xfId="0" applyFill="1"/>
    <xf numFmtId="22" fontId="0" fillId="35" borderId="0" xfId="0" applyNumberFormat="1" applyFill="1"/>
    <xf numFmtId="11" fontId="0" fillId="35" borderId="0" xfId="0" applyNumberFormat="1" applyFill="1"/>
    <xf numFmtId="22" fontId="0" fillId="33" borderId="0" xfId="0" applyNumberFormat="1" applyFill="1"/>
    <xf numFmtId="11" fontId="0" fillId="33" borderId="0" xfId="0" applyNumberFormat="1" applyFill="1"/>
    <xf numFmtId="11" fontId="0" fillId="0" borderId="11" xfId="0" applyNumberFormat="1" applyBorder="1"/>
    <xf numFmtId="0" fontId="0" fillId="0" borderId="17" xfId="0" applyBorder="1"/>
    <xf numFmtId="0" fontId="26" fillId="0" borderId="0" xfId="0" applyFont="1"/>
    <xf numFmtId="11" fontId="0" fillId="0" borderId="13" xfId="0" applyNumberFormat="1" applyBorder="1"/>
    <xf numFmtId="11" fontId="0" fillId="0" borderId="14" xfId="0" applyNumberFormat="1" applyBorder="1"/>
    <xf numFmtId="11" fontId="0" fillId="0" borderId="15" xfId="0" applyNumberFormat="1" applyBorder="1"/>
    <xf numFmtId="0" fontId="0" fillId="0" borderId="18" xfId="0" applyBorder="1"/>
    <xf numFmtId="0" fontId="0" fillId="39" borderId="0" xfId="0" applyFill="1"/>
    <xf numFmtId="22" fontId="0" fillId="39" borderId="0" xfId="0" applyNumberFormat="1" applyFill="1"/>
    <xf numFmtId="11" fontId="0" fillId="39" borderId="0" xfId="0" applyNumberFormat="1" applyFill="1"/>
    <xf numFmtId="0" fontId="0" fillId="37" borderId="0" xfId="0" applyFill="1"/>
    <xf numFmtId="22" fontId="0" fillId="37" borderId="0" xfId="0" applyNumberFormat="1" applyFill="1"/>
    <xf numFmtId="11" fontId="0" fillId="37" borderId="0" xfId="0" applyNumberFormat="1" applyFill="1"/>
    <xf numFmtId="0" fontId="26" fillId="37" borderId="0" xfId="0" applyFont="1" applyFill="1"/>
    <xf numFmtId="11" fontId="18" fillId="0" borderId="0" xfId="0" applyNumberFormat="1" applyFont="1"/>
    <xf numFmtId="0" fontId="27" fillId="0" borderId="0" xfId="0" applyFont="1"/>
    <xf numFmtId="0" fontId="0" fillId="0" borderId="19" xfId="0" applyBorder="1"/>
    <xf numFmtId="11" fontId="0" fillId="0" borderId="19" xfId="0" applyNumberFormat="1" applyBorder="1"/>
    <xf numFmtId="11" fontId="0" fillId="35" borderId="19" xfId="0" applyNumberFormat="1" applyFill="1" applyBorder="1"/>
    <xf numFmtId="11" fontId="0" fillId="39" borderId="19" xfId="0" applyNumberFormat="1" applyFill="1" applyBorder="1"/>
    <xf numFmtId="11" fontId="0" fillId="0" borderId="20" xfId="0" applyNumberFormat="1" applyBorder="1"/>
    <xf numFmtId="0" fontId="23" fillId="0" borderId="0" xfId="0" applyFont="1" applyAlignment="1">
      <alignment wrapText="1"/>
    </xf>
    <xf numFmtId="11" fontId="0" fillId="0" borderId="0" xfId="0" applyNumberFormat="1" applyAlignment="1">
      <alignment wrapText="1"/>
    </xf>
    <xf numFmtId="0" fontId="0" fillId="0" borderId="15" xfId="0" applyBorder="1" applyAlignment="1">
      <alignment wrapText="1"/>
    </xf>
    <xf numFmtId="11" fontId="0" fillId="0" borderId="18" xfId="0" applyNumberFormat="1" applyBorder="1"/>
    <xf numFmtId="0" fontId="0" fillId="0" borderId="19" xfId="0" applyBorder="1" applyAlignment="1">
      <alignment wrapText="1"/>
    </xf>
    <xf numFmtId="0" fontId="27" fillId="41" borderId="20" xfId="0" applyFont="1" applyFill="1" applyBorder="1"/>
    <xf numFmtId="0" fontId="0" fillId="41" borderId="20" xfId="0" applyFill="1" applyBorder="1" applyAlignment="1">
      <alignment wrapText="1"/>
    </xf>
    <xf numFmtId="11" fontId="0" fillId="41" borderId="20" xfId="0" applyNumberFormat="1" applyFill="1" applyBorder="1"/>
    <xf numFmtId="0" fontId="0" fillId="41" borderId="20" xfId="0" applyFill="1" applyBorder="1"/>
    <xf numFmtId="0" fontId="27" fillId="41" borderId="0" xfId="0" applyFont="1" applyFill="1"/>
    <xf numFmtId="0" fontId="0" fillId="41" borderId="0" xfId="0" applyFill="1" applyAlignment="1">
      <alignment wrapText="1"/>
    </xf>
    <xf numFmtId="0" fontId="0" fillId="41" borderId="0" xfId="0" applyFill="1"/>
    <xf numFmtId="164" fontId="0" fillId="0" borderId="0" xfId="0" applyNumberFormat="1" applyAlignment="1">
      <alignment wrapText="1"/>
    </xf>
    <xf numFmtId="164" fontId="0" fillId="0" borderId="0" xfId="0" applyNumberFormat="1"/>
    <xf numFmtId="164" fontId="0" fillId="36" borderId="0" xfId="0" applyNumberFormat="1" applyFill="1"/>
    <xf numFmtId="164" fontId="0" fillId="35" borderId="0" xfId="0" applyNumberFormat="1" applyFill="1"/>
    <xf numFmtId="164" fontId="0" fillId="33" borderId="0" xfId="0" applyNumberFormat="1" applyFill="1"/>
    <xf numFmtId="164" fontId="0" fillId="39" borderId="0" xfId="0" applyNumberFormat="1" applyFill="1"/>
    <xf numFmtId="164" fontId="0" fillId="37" borderId="0" xfId="0" applyNumberFormat="1" applyFill="1"/>
    <xf numFmtId="2" fontId="18" fillId="0" borderId="0" xfId="0" applyNumberFormat="1" applyFont="1"/>
    <xf numFmtId="0" fontId="29" fillId="42" borderId="0" xfId="0" applyFont="1" applyFill="1"/>
    <xf numFmtId="22" fontId="29" fillId="42" borderId="0" xfId="0" applyNumberFormat="1" applyFont="1" applyFill="1"/>
    <xf numFmtId="11" fontId="29" fillId="42" borderId="0" xfId="0" applyNumberFormat="1" applyFont="1" applyFill="1"/>
    <xf numFmtId="164" fontId="29" fillId="42" borderId="0" xfId="0" applyNumberFormat="1" applyFont="1" applyFill="1"/>
    <xf numFmtId="0" fontId="0" fillId="43" borderId="0" xfId="0" applyFill="1"/>
    <xf numFmtId="22" fontId="0" fillId="43" borderId="0" xfId="0" applyNumberFormat="1" applyFill="1"/>
    <xf numFmtId="11" fontId="0" fillId="43" borderId="0" xfId="0" applyNumberFormat="1" applyFill="1"/>
    <xf numFmtId="164" fontId="0" fillId="43" borderId="0" xfId="0" applyNumberFormat="1" applyFill="1"/>
    <xf numFmtId="0" fontId="26" fillId="43" borderId="0" xfId="0" applyFont="1" applyFill="1"/>
    <xf numFmtId="0" fontId="28" fillId="37" borderId="0" xfId="0" applyFont="1" applyFill="1"/>
    <xf numFmtId="11" fontId="22" fillId="0" borderId="11" xfId="0" applyNumberFormat="1" applyFont="1" applyBorder="1"/>
    <xf numFmtId="0" fontId="22" fillId="0" borderId="17" xfId="0" applyFont="1" applyBorder="1"/>
    <xf numFmtId="0" fontId="22" fillId="0" borderId="12" xfId="0" applyFont="1" applyBorder="1"/>
    <xf numFmtId="11" fontId="22" fillId="0" borderId="13" xfId="0" applyNumberFormat="1" applyFont="1" applyBorder="1"/>
    <xf numFmtId="11" fontId="22" fillId="0" borderId="14" xfId="0" applyNumberFormat="1" applyFont="1" applyBorder="1"/>
    <xf numFmtId="11" fontId="22" fillId="0" borderId="15" xfId="0" applyNumberFormat="1" applyFont="1" applyBorder="1"/>
    <xf numFmtId="0" fontId="22" fillId="0" borderId="18" xfId="0" applyFont="1" applyBorder="1"/>
    <xf numFmtId="0" fontId="22" fillId="0" borderId="16" xfId="0" applyFont="1" applyBorder="1"/>
    <xf numFmtId="11" fontId="29" fillId="41" borderId="20" xfId="0" applyNumberFormat="1" applyFont="1" applyFill="1" applyBorder="1"/>
    <xf numFmtId="0" fontId="29" fillId="41" borderId="0" xfId="0" applyFont="1" applyFill="1"/>
    <xf numFmtId="0" fontId="0" fillId="0" borderId="21" xfId="0" applyBorder="1" applyAlignment="1">
      <alignment wrapText="1"/>
    </xf>
    <xf numFmtId="11" fontId="0" fillId="0" borderId="21" xfId="0" applyNumberFormat="1" applyBorder="1"/>
    <xf numFmtId="11" fontId="0" fillId="35" borderId="21" xfId="0" applyNumberFormat="1" applyFill="1" applyBorder="1"/>
    <xf numFmtId="11" fontId="0" fillId="40" borderId="21" xfId="0" applyNumberFormat="1" applyFill="1" applyBorder="1"/>
    <xf numFmtId="11" fontId="0" fillId="38" borderId="21" xfId="0" applyNumberFormat="1" applyFill="1" applyBorder="1"/>
    <xf numFmtId="11" fontId="29" fillId="42" borderId="21" xfId="0" applyNumberFormat="1" applyFont="1" applyFill="1" applyBorder="1"/>
    <xf numFmtId="11" fontId="0" fillId="39" borderId="21" xfId="0" applyNumberFormat="1" applyFill="1" applyBorder="1"/>
    <xf numFmtId="11" fontId="0" fillId="43" borderId="21" xfId="0" applyNumberFormat="1" applyFill="1" applyBorder="1"/>
    <xf numFmtId="0" fontId="0" fillId="0" borderId="21" xfId="0" applyBorder="1"/>
    <xf numFmtId="11" fontId="0" fillId="40" borderId="19" xfId="0" applyNumberFormat="1" applyFill="1" applyBorder="1"/>
    <xf numFmtId="11" fontId="0" fillId="38" borderId="19" xfId="0" applyNumberFormat="1" applyFill="1" applyBorder="1"/>
    <xf numFmtId="11" fontId="29" fillId="42" borderId="19" xfId="0" applyNumberFormat="1" applyFont="1" applyFill="1" applyBorder="1"/>
    <xf numFmtId="11" fontId="0" fillId="43" borderId="19" xfId="0" applyNumberFormat="1" applyFill="1" applyBorder="1"/>
    <xf numFmtId="11" fontId="16" fillId="40" borderId="19" xfId="0" applyNumberFormat="1" applyFont="1" applyFill="1" applyBorder="1"/>
    <xf numFmtId="11" fontId="16" fillId="40" borderId="21" xfId="0" applyNumberFormat="1" applyFont="1" applyFill="1" applyBorder="1"/>
    <xf numFmtId="11" fontId="16" fillId="38" borderId="19" xfId="0" applyNumberFormat="1" applyFont="1" applyFill="1" applyBorder="1"/>
    <xf numFmtId="11" fontId="16" fillId="0" borderId="19" xfId="0" applyNumberFormat="1" applyFont="1" applyBorder="1"/>
    <xf numFmtId="11" fontId="16" fillId="38" borderId="21" xfId="0" applyNumberFormat="1" applyFont="1" applyFill="1" applyBorder="1"/>
    <xf numFmtId="11" fontId="16" fillId="0" borderId="21" xfId="0" applyNumberFormat="1" applyFont="1" applyBorder="1"/>
    <xf numFmtId="11" fontId="16" fillId="35" borderId="19" xfId="0" applyNumberFormat="1" applyFont="1" applyFill="1" applyBorder="1"/>
    <xf numFmtId="11" fontId="16" fillId="35" borderId="21" xfId="0" applyNumberFormat="1" applyFont="1" applyFill="1" applyBorder="1"/>
    <xf numFmtId="11" fontId="16" fillId="39" borderId="19" xfId="0" applyNumberFormat="1" applyFont="1" applyFill="1" applyBorder="1"/>
    <xf numFmtId="11" fontId="16" fillId="39" borderId="21" xfId="0" applyNumberFormat="1" applyFont="1" applyFill="1" applyBorder="1"/>
    <xf numFmtId="11" fontId="16" fillId="43" borderId="0" xfId="0" applyNumberFormat="1" applyFont="1" applyFill="1"/>
    <xf numFmtId="11" fontId="19" fillId="0" borderId="19" xfId="0" applyNumberFormat="1" applyFont="1" applyBorder="1" applyAlignment="1">
      <alignment vertical="center"/>
    </xf>
    <xf numFmtId="11" fontId="0" fillId="34" borderId="0" xfId="0" applyNumberFormat="1" applyFill="1"/>
    <xf numFmtId="11" fontId="16" fillId="34" borderId="19" xfId="0" applyNumberFormat="1" applyFont="1" applyFill="1" applyBorder="1"/>
    <xf numFmtId="11" fontId="16" fillId="34" borderId="21" xfId="0" applyNumberFormat="1" applyFont="1" applyFill="1" applyBorder="1"/>
    <xf numFmtId="11" fontId="0" fillId="0" borderId="16" xfId="0" applyNumberFormat="1" applyBorder="1"/>
    <xf numFmtId="0" fontId="22" fillId="0" borderId="0" xfId="0" applyFont="1" applyAlignment="1">
      <alignment wrapText="1"/>
    </xf>
    <xf numFmtId="11" fontId="0" fillId="0" borderId="17" xfId="0" applyNumberFormat="1" applyBorder="1"/>
    <xf numFmtId="11" fontId="0" fillId="0" borderId="22" xfId="0" applyNumberFormat="1" applyBorder="1"/>
    <xf numFmtId="11" fontId="0" fillId="0" borderId="23" xfId="0" applyNumberFormat="1" applyBorder="1"/>
    <xf numFmtId="11" fontId="22" fillId="0" borderId="17" xfId="0" applyNumberFormat="1" applyFont="1" applyBorder="1"/>
    <xf numFmtId="11" fontId="22" fillId="0" borderId="12" xfId="0" applyNumberFormat="1" applyFont="1" applyBorder="1"/>
    <xf numFmtId="0" fontId="30" fillId="0" borderId="17" xfId="0" applyFont="1" applyBorder="1" applyAlignment="1">
      <alignment vertical="center"/>
    </xf>
    <xf numFmtId="0" fontId="0" fillId="36" borderId="11" xfId="0" applyFill="1" applyBorder="1"/>
    <xf numFmtId="0" fontId="0" fillId="36" borderId="17" xfId="0" applyFill="1" applyBorder="1"/>
    <xf numFmtId="0" fontId="27" fillId="0" borderId="0" xfId="0" applyFont="1" applyAlignment="1">
      <alignment horizontal="center"/>
    </xf>
    <xf numFmtId="0" fontId="27" fillId="0" borderId="21" xfId="0" applyFont="1" applyBorder="1" applyAlignment="1">
      <alignment horizontal="center"/>
    </xf>
    <xf numFmtId="164" fontId="0" fillId="0" borderId="24" xfId="0" applyNumberFormat="1" applyBorder="1" applyAlignment="1">
      <alignment wrapText="1"/>
    </xf>
    <xf numFmtId="11" fontId="0" fillId="0" borderId="24" xfId="0" applyNumberFormat="1" applyBorder="1"/>
    <xf numFmtId="11" fontId="0" fillId="36" borderId="24" xfId="0" applyNumberFormat="1" applyFill="1" applyBorder="1"/>
    <xf numFmtId="11" fontId="0" fillId="35" borderId="24" xfId="0" applyNumberFormat="1" applyFill="1" applyBorder="1"/>
    <xf numFmtId="11" fontId="0" fillId="44" borderId="24" xfId="0" applyNumberFormat="1" applyFill="1" applyBorder="1"/>
    <xf numFmtId="11" fontId="0" fillId="44" borderId="0" xfId="0" applyNumberFormat="1" applyFill="1"/>
    <xf numFmtId="0" fontId="0" fillId="0" borderId="0" xfId="0" quotePrefix="1"/>
    <xf numFmtId="0" fontId="0" fillId="0" borderId="0" xfId="0" applyAlignment="1">
      <alignment horizontal="center" wrapText="1"/>
    </xf>
    <xf numFmtId="0" fontId="27" fillId="0" borderId="0" xfId="0" applyFont="1" applyAlignment="1">
      <alignment horizontal="center"/>
    </xf>
    <xf numFmtId="0" fontId="27" fillId="0" borderId="19" xfId="0" applyFont="1" applyBorder="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4He/3He R/Rbulk</a:t>
            </a:r>
            <a:r>
              <a:rPr lang="en-US" baseline="0"/>
              <a:t> for Hydrothermal Win-06-01b</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No Corrections</c:v>
          </c:tx>
          <c:spPr>
            <a:ln w="25400" cap="rnd">
              <a:noFill/>
              <a:round/>
            </a:ln>
            <a:effectLst/>
          </c:spPr>
          <c:marker>
            <c:symbol val="circle"/>
            <c:size val="5"/>
            <c:spPr>
              <a:solidFill>
                <a:srgbClr val="FF0000"/>
              </a:solidFill>
              <a:ln w="9525">
                <a:noFill/>
              </a:ln>
              <a:effectLst/>
            </c:spPr>
          </c:marker>
          <c:xVal>
            <c:numRef>
              <c:f>diffusivitiesHTWin0601bNaive!$I$4:$I$37</c:f>
              <c:numCache>
                <c:formatCode>0.00E+00</c:formatCode>
                <c:ptCount val="34"/>
                <c:pt idx="0">
                  <c:v>7.9353018444338775E-3</c:v>
                </c:pt>
                <c:pt idx="1">
                  <c:v>1.1696695263584267E-2</c:v>
                </c:pt>
                <c:pt idx="2">
                  <c:v>1.564951767140554E-2</c:v>
                </c:pt>
                <c:pt idx="3">
                  <c:v>1.9340024698823025E-2</c:v>
                </c:pt>
                <c:pt idx="4">
                  <c:v>2.3569848306964888E-2</c:v>
                </c:pt>
                <c:pt idx="5">
                  <c:v>2.8148880745362634E-2</c:v>
                </c:pt>
                <c:pt idx="6">
                  <c:v>3.3950252415334115E-2</c:v>
                </c:pt>
                <c:pt idx="7">
                  <c:v>3.9244926157334999E-2</c:v>
                </c:pt>
                <c:pt idx="8">
                  <c:v>4.031405026952533E-2</c:v>
                </c:pt>
                <c:pt idx="9">
                  <c:v>4.0872509277167506E-2</c:v>
                </c:pt>
                <c:pt idx="10">
                  <c:v>4.1526961780006325E-2</c:v>
                </c:pt>
                <c:pt idx="11">
                  <c:v>4.1657994149536477E-2</c:v>
                </c:pt>
                <c:pt idx="12">
                  <c:v>4.1787073741811148E-2</c:v>
                </c:pt>
                <c:pt idx="13">
                  <c:v>4.2001315615652152E-2</c:v>
                </c:pt>
                <c:pt idx="14">
                  <c:v>4.2604830701725264E-2</c:v>
                </c:pt>
                <c:pt idx="15">
                  <c:v>4.6719971930329902E-2</c:v>
                </c:pt>
                <c:pt idx="16">
                  <c:v>4.9397032835483252E-2</c:v>
                </c:pt>
                <c:pt idx="17">
                  <c:v>5.4474352635816931E-2</c:v>
                </c:pt>
                <c:pt idx="18">
                  <c:v>5.8478499630521083E-2</c:v>
                </c:pt>
                <c:pt idx="19">
                  <c:v>6.3640817730684182E-2</c:v>
                </c:pt>
                <c:pt idx="20">
                  <c:v>6.6999445651221415E-2</c:v>
                </c:pt>
                <c:pt idx="21">
                  <c:v>6.9044545748799785E-2</c:v>
                </c:pt>
                <c:pt idx="22">
                  <c:v>7.0623166895993225E-2</c:v>
                </c:pt>
                <c:pt idx="23">
                  <c:v>7.1665448775852597E-2</c:v>
                </c:pt>
                <c:pt idx="24">
                  <c:v>7.2690973799633365E-2</c:v>
                </c:pt>
                <c:pt idx="25">
                  <c:v>7.3834159375815764E-2</c:v>
                </c:pt>
                <c:pt idx="26">
                  <c:v>7.5380128911334984E-2</c:v>
                </c:pt>
                <c:pt idx="27">
                  <c:v>7.7163689277209138E-2</c:v>
                </c:pt>
                <c:pt idx="28">
                  <c:v>7.9549493872358282E-2</c:v>
                </c:pt>
                <c:pt idx="29">
                  <c:v>8.2298754238922925E-2</c:v>
                </c:pt>
                <c:pt idx="30">
                  <c:v>8.4854710393597946E-2</c:v>
                </c:pt>
                <c:pt idx="31">
                  <c:v>8.7409173923020889E-2</c:v>
                </c:pt>
                <c:pt idx="32">
                  <c:v>0.14611929255912087</c:v>
                </c:pt>
                <c:pt idx="33">
                  <c:v>0.14784673365469669</c:v>
                </c:pt>
              </c:numCache>
            </c:numRef>
          </c:xVal>
          <c:yVal>
            <c:numRef>
              <c:f>('Raw Data and Corrections'!$W$5,'Raw Data and Corrections'!$W$9,'Raw Data and Corrections'!$W$13,'Raw Data and Corrections'!$W$17,'Raw Data and Corrections'!$W$21,'Raw Data and Corrections'!$W$25,'Raw Data and Corrections'!$W$29,'Raw Data and Corrections'!$W$33,'Raw Data and Corrections'!$W$38,'Raw Data and Corrections'!$W$43,'Raw Data and Corrections'!$W$47,'Raw Data and Corrections'!$W$51,'Raw Data and Corrections'!$W$55,'Raw Data and Corrections'!$W$59,'Raw Data and Corrections'!$W$61,'Raw Data and Corrections'!$W$65,'Raw Data and Corrections'!$W$69,'Raw Data and Corrections'!$W$73,'Raw Data and Corrections'!$W$77,'Raw Data and Corrections'!$W$81,'Raw Data and Corrections'!$W$85,'Raw Data and Corrections'!$W$89,'Raw Data and Corrections'!$W$93,'Raw Data and Corrections'!$W$97,'Raw Data and Corrections'!$W$101,'Raw Data and Corrections'!$W$105,'Raw Data and Corrections'!$W$109,'Raw Data and Corrections'!$W$113,'Raw Data and Corrections'!$W$117,'Raw Data and Corrections'!$W$121,'Raw Data and Corrections'!$W$126,'Raw Data and Corrections'!$W$130,'Raw Data and Corrections'!$W$133,'Raw Data and Corrections'!$W$135)</c:f>
              <c:numCache>
                <c:formatCode>0.00E+00</c:formatCode>
                <c:ptCount val="34"/>
                <c:pt idx="0">
                  <c:v>1.998619845123251E-2</c:v>
                </c:pt>
                <c:pt idx="1">
                  <c:v>5.611489604632261E-2</c:v>
                </c:pt>
                <c:pt idx="2">
                  <c:v>0.10562691996219435</c:v>
                </c:pt>
                <c:pt idx="3">
                  <c:v>0.19779784647572285</c:v>
                </c:pt>
                <c:pt idx="4">
                  <c:v>0.25357670298583829</c:v>
                </c:pt>
                <c:pt idx="5">
                  <c:v>0.33083390929477968</c:v>
                </c:pt>
                <c:pt idx="6">
                  <c:v>0.41155999895864398</c:v>
                </c:pt>
                <c:pt idx="7">
                  <c:v>0.46463008207915824</c:v>
                </c:pt>
                <c:pt idx="8">
                  <c:v>0.50705306157212715</c:v>
                </c:pt>
                <c:pt idx="9">
                  <c:v>0.50531288121634599</c:v>
                </c:pt>
                <c:pt idx="10">
                  <c:v>0.50204056255874507</c:v>
                </c:pt>
                <c:pt idx="11">
                  <c:v>0.35090795904948924</c:v>
                </c:pt>
                <c:pt idx="12">
                  <c:v>0.8450787034046463</c:v>
                </c:pt>
                <c:pt idx="13">
                  <c:v>0.47657770060351673</c:v>
                </c:pt>
                <c:pt idx="14">
                  <c:v>2.6731802080057223</c:v>
                </c:pt>
                <c:pt idx="15">
                  <c:v>0.55394452930230575</c:v>
                </c:pt>
                <c:pt idx="16">
                  <c:v>0.59216389070600295</c:v>
                </c:pt>
                <c:pt idx="17">
                  <c:v>0.6348740143877355</c:v>
                </c:pt>
                <c:pt idx="18">
                  <c:v>0.72035381776994356</c:v>
                </c:pt>
                <c:pt idx="19">
                  <c:v>0.64168876886637316</c:v>
                </c:pt>
                <c:pt idx="20">
                  <c:v>0.67196805089526301</c:v>
                </c:pt>
                <c:pt idx="21">
                  <c:v>0.67583806893260645</c:v>
                </c:pt>
                <c:pt idx="22">
                  <c:v>0.69121719124296332</c:v>
                </c:pt>
                <c:pt idx="23">
                  <c:v>0.7095604649815247</c:v>
                </c:pt>
                <c:pt idx="24">
                  <c:v>0.66797327664443662</c:v>
                </c:pt>
                <c:pt idx="25">
                  <c:v>0.67963611656377465</c:v>
                </c:pt>
                <c:pt idx="26">
                  <c:v>0.70330303055904875</c:v>
                </c:pt>
                <c:pt idx="27">
                  <c:v>0.73623185389101742</c:v>
                </c:pt>
                <c:pt idx="28">
                  <c:v>0.73355460425249708</c:v>
                </c:pt>
                <c:pt idx="29">
                  <c:v>0.74900140809833071</c:v>
                </c:pt>
                <c:pt idx="30">
                  <c:v>0.73087814600670031</c:v>
                </c:pt>
                <c:pt idx="31">
                  <c:v>0.72269114776306831</c:v>
                </c:pt>
                <c:pt idx="32">
                  <c:v>0.80394197953914526</c:v>
                </c:pt>
                <c:pt idx="33">
                  <c:v>0.82125544242397996</c:v>
                </c:pt>
              </c:numCache>
            </c:numRef>
          </c:yVal>
          <c:smooth val="0"/>
          <c:extLst>
            <c:ext xmlns:c16="http://schemas.microsoft.com/office/drawing/2014/chart" uri="{C3380CC4-5D6E-409C-BE32-E72D297353CC}">
              <c16:uniqueId val="{00000004-CFE9-4000-9035-3BD33BA30E02}"/>
            </c:ext>
          </c:extLst>
        </c:ser>
        <c:ser>
          <c:idx val="1"/>
          <c:order val="1"/>
          <c:tx>
            <c:v>Blank Corrected</c:v>
          </c:tx>
          <c:spPr>
            <a:ln w="25400" cap="rnd">
              <a:noFill/>
              <a:round/>
            </a:ln>
            <a:effectLst/>
          </c:spPr>
          <c:marker>
            <c:symbol val="circle"/>
            <c:size val="5"/>
            <c:spPr>
              <a:solidFill>
                <a:schemeClr val="accent6">
                  <a:lumMod val="60000"/>
                  <a:lumOff val="40000"/>
                </a:schemeClr>
              </a:solidFill>
              <a:ln w="9525">
                <a:noFill/>
              </a:ln>
              <a:effectLst/>
            </c:spPr>
          </c:marker>
          <c:xVal>
            <c:numRef>
              <c:f>diffusivitiesHTWin0601bNaive!$I$4:$I$37</c:f>
              <c:numCache>
                <c:formatCode>0.00E+00</c:formatCode>
                <c:ptCount val="34"/>
                <c:pt idx="0">
                  <c:v>7.9353018444338775E-3</c:v>
                </c:pt>
                <c:pt idx="1">
                  <c:v>1.1696695263584267E-2</c:v>
                </c:pt>
                <c:pt idx="2">
                  <c:v>1.564951767140554E-2</c:v>
                </c:pt>
                <c:pt idx="3">
                  <c:v>1.9340024698823025E-2</c:v>
                </c:pt>
                <c:pt idx="4">
                  <c:v>2.3569848306964888E-2</c:v>
                </c:pt>
                <c:pt idx="5">
                  <c:v>2.8148880745362634E-2</c:v>
                </c:pt>
                <c:pt idx="6">
                  <c:v>3.3950252415334115E-2</c:v>
                </c:pt>
                <c:pt idx="7">
                  <c:v>3.9244926157334999E-2</c:v>
                </c:pt>
                <c:pt idx="8">
                  <c:v>4.031405026952533E-2</c:v>
                </c:pt>
                <c:pt idx="9">
                  <c:v>4.0872509277167506E-2</c:v>
                </c:pt>
                <c:pt idx="10">
                  <c:v>4.1526961780006325E-2</c:v>
                </c:pt>
                <c:pt idx="11">
                  <c:v>4.1657994149536477E-2</c:v>
                </c:pt>
                <c:pt idx="12">
                  <c:v>4.1787073741811148E-2</c:v>
                </c:pt>
                <c:pt idx="13">
                  <c:v>4.2001315615652152E-2</c:v>
                </c:pt>
                <c:pt idx="14">
                  <c:v>4.2604830701725264E-2</c:v>
                </c:pt>
                <c:pt idx="15">
                  <c:v>4.6719971930329902E-2</c:v>
                </c:pt>
                <c:pt idx="16">
                  <c:v>4.9397032835483252E-2</c:v>
                </c:pt>
                <c:pt idx="17">
                  <c:v>5.4474352635816931E-2</c:v>
                </c:pt>
                <c:pt idx="18">
                  <c:v>5.8478499630521083E-2</c:v>
                </c:pt>
                <c:pt idx="19">
                  <c:v>6.3640817730684182E-2</c:v>
                </c:pt>
                <c:pt idx="20">
                  <c:v>6.6999445651221415E-2</c:v>
                </c:pt>
                <c:pt idx="21">
                  <c:v>6.9044545748799785E-2</c:v>
                </c:pt>
                <c:pt idx="22">
                  <c:v>7.0623166895993225E-2</c:v>
                </c:pt>
                <c:pt idx="23">
                  <c:v>7.1665448775852597E-2</c:v>
                </c:pt>
                <c:pt idx="24">
                  <c:v>7.2690973799633365E-2</c:v>
                </c:pt>
                <c:pt idx="25">
                  <c:v>7.3834159375815764E-2</c:v>
                </c:pt>
                <c:pt idx="26">
                  <c:v>7.5380128911334984E-2</c:v>
                </c:pt>
                <c:pt idx="27">
                  <c:v>7.7163689277209138E-2</c:v>
                </c:pt>
                <c:pt idx="28">
                  <c:v>7.9549493872358282E-2</c:v>
                </c:pt>
                <c:pt idx="29">
                  <c:v>8.2298754238922925E-2</c:v>
                </c:pt>
                <c:pt idx="30">
                  <c:v>8.4854710393597946E-2</c:v>
                </c:pt>
                <c:pt idx="31">
                  <c:v>8.7409173923020889E-2</c:v>
                </c:pt>
                <c:pt idx="32">
                  <c:v>0.14611929255912087</c:v>
                </c:pt>
                <c:pt idx="33">
                  <c:v>0.14784673365469669</c:v>
                </c:pt>
              </c:numCache>
            </c:numRef>
          </c:xVal>
          <c:yVal>
            <c:numRef>
              <c:f>('Raw Data and Corrections'!$AD$5,'Raw Data and Corrections'!$AD$9,'Raw Data and Corrections'!$AD$13,'Raw Data and Corrections'!$AD$17,'Raw Data and Corrections'!$AD$21,'Raw Data and Corrections'!$AD$25,'Raw Data and Corrections'!$AD$29,'Raw Data and Corrections'!$AD$33,'Raw Data and Corrections'!$AD$38,'Raw Data and Corrections'!$AD$43,'Raw Data and Corrections'!$AD$47,'Raw Data and Corrections'!$AD$51,'Raw Data and Corrections'!$AD$55,'Raw Data and Corrections'!$AD$59,'Raw Data and Corrections'!$AD$61,'Raw Data and Corrections'!$AD$65,'Raw Data and Corrections'!$AD$69,'Raw Data and Corrections'!$AD$73,'Raw Data and Corrections'!$AD$77,'Raw Data and Corrections'!$AD$81,'Raw Data and Corrections'!$AD$85,'Raw Data and Corrections'!$AD$89,'Raw Data and Corrections'!$AD$93,'Raw Data and Corrections'!$AD$97,'Raw Data and Corrections'!$AD$101,'Raw Data and Corrections'!$AD$105,'Raw Data and Corrections'!$AD$109,'Raw Data and Corrections'!$AD$113,'Raw Data and Corrections'!$AD$117,'Raw Data and Corrections'!$AD$121,'Raw Data and Corrections'!$AD$126,'Raw Data and Corrections'!$AD$130,'Raw Data and Corrections'!$AD$133,'Raw Data and Corrections'!$AD$135)</c:f>
              <c:numCache>
                <c:formatCode>0.00E+00</c:formatCode>
                <c:ptCount val="34"/>
                <c:pt idx="0">
                  <c:v>1.4332120406025861E-2</c:v>
                </c:pt>
                <c:pt idx="1">
                  <c:v>4.6427872627466692E-2</c:v>
                </c:pt>
                <c:pt idx="2">
                  <c:v>9.9297214118901314E-2</c:v>
                </c:pt>
                <c:pt idx="3">
                  <c:v>0.19162049066163914</c:v>
                </c:pt>
                <c:pt idx="4">
                  <c:v>0.24352529913106088</c:v>
                </c:pt>
                <c:pt idx="5">
                  <c:v>0.3183708754780839</c:v>
                </c:pt>
                <c:pt idx="6">
                  <c:v>0.402876631727282</c:v>
                </c:pt>
                <c:pt idx="7">
                  <c:v>0.45941152883974501</c:v>
                </c:pt>
                <c:pt idx="8">
                  <c:v>0.47725309218620476</c:v>
                </c:pt>
                <c:pt idx="9">
                  <c:v>0.40937105366548293</c:v>
                </c:pt>
                <c:pt idx="10">
                  <c:v>0.26590870256823451</c:v>
                </c:pt>
                <c:pt idx="11">
                  <c:v>8.7484025611226021E-2</c:v>
                </c:pt>
                <c:pt idx="12">
                  <c:v>0.68021261371592667</c:v>
                </c:pt>
                <c:pt idx="13">
                  <c:v>0.470080140539753</c:v>
                </c:pt>
                <c:pt idx="14">
                  <c:v>0.6716920437439261</c:v>
                </c:pt>
                <c:pt idx="15">
                  <c:v>0.39533773264379085</c:v>
                </c:pt>
                <c:pt idx="16">
                  <c:v>0.54287909099595799</c:v>
                </c:pt>
                <c:pt idx="17">
                  <c:v>0.53908386950468778</c:v>
                </c:pt>
                <c:pt idx="18">
                  <c:v>0.69235821423955091</c:v>
                </c:pt>
                <c:pt idx="19">
                  <c:v>0.61957297799279931</c:v>
                </c:pt>
                <c:pt idx="20">
                  <c:v>0.65341554843117899</c:v>
                </c:pt>
                <c:pt idx="21">
                  <c:v>0.65639124573890395</c:v>
                </c:pt>
                <c:pt idx="22">
                  <c:v>0.67151408340648555</c:v>
                </c:pt>
                <c:pt idx="23">
                  <c:v>0.67665490079057766</c:v>
                </c:pt>
                <c:pt idx="24">
                  <c:v>0.61612799034162724</c:v>
                </c:pt>
                <c:pt idx="25">
                  <c:v>0.64903442687955926</c:v>
                </c:pt>
                <c:pt idx="26">
                  <c:v>0.65817591384827312</c:v>
                </c:pt>
                <c:pt idx="27">
                  <c:v>0.69871303768025972</c:v>
                </c:pt>
                <c:pt idx="28">
                  <c:v>0.71101326654747099</c:v>
                </c:pt>
                <c:pt idx="29">
                  <c:v>0.73535441098573173</c:v>
                </c:pt>
                <c:pt idx="30">
                  <c:v>0.71423307849316675</c:v>
                </c:pt>
                <c:pt idx="31">
                  <c:v>0.69187307105225215</c:v>
                </c:pt>
                <c:pt idx="32">
                  <c:v>0.79880313300184114</c:v>
                </c:pt>
                <c:pt idx="33">
                  <c:v>0.74367128918421121</c:v>
                </c:pt>
              </c:numCache>
            </c:numRef>
          </c:yVal>
          <c:smooth val="0"/>
          <c:extLst>
            <c:ext xmlns:c16="http://schemas.microsoft.com/office/drawing/2014/chart" uri="{C3380CC4-5D6E-409C-BE32-E72D297353CC}">
              <c16:uniqueId val="{00000003-CFE9-4000-9035-3BD33BA30E02}"/>
            </c:ext>
          </c:extLst>
        </c:ser>
        <c:ser>
          <c:idx val="0"/>
          <c:order val="2"/>
          <c:tx>
            <c:v>Permeation and Blank Corrected</c:v>
          </c:tx>
          <c:spPr>
            <a:ln w="38100" cap="rnd">
              <a:no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('Raw Data and Corrections'!$AO$5,'Raw Data and Corrections'!$AO$9,'Raw Data and Corrections'!$AO$13,'Raw Data and Corrections'!$AO$17,'Raw Data and Corrections'!$AO$21,'Raw Data and Corrections'!$AO$25,'Raw Data and Corrections'!$AO$29,'Raw Data and Corrections'!$AO$33,'Raw Data and Corrections'!$AO$38,'Raw Data and Corrections'!$AO$43,'Raw Data and Corrections'!$AO$47,'Raw Data and Corrections'!$AO$51,'Raw Data and Corrections'!$AO$55,'Raw Data and Corrections'!$AO$59,'Raw Data and Corrections'!$AO$61,'Raw Data and Corrections'!$AO$65,'Raw Data and Corrections'!$AO$69,'Raw Data and Corrections'!$AO$73,'Raw Data and Corrections'!$AO$77,'Raw Data and Corrections'!$AO$81,'Raw Data and Corrections'!$AO$85,'Raw Data and Corrections'!$AO$89,'Raw Data and Corrections'!$AO$93,'Raw Data and Corrections'!$AO$97,'Raw Data and Corrections'!$AO$101,'Raw Data and Corrections'!$AO$105,'Raw Data and Corrections'!$AO$109,'Raw Data and Corrections'!$AO$113,'Raw Data and Corrections'!$AO$117,'Raw Data and Corrections'!$AO$121,'Raw Data and Corrections'!$AO$126,'Raw Data and Corrections'!$AO$130,'Raw Data and Corrections'!$AO$133,'Raw Data and Corrections'!$AO$135)</c:f>
                <c:numCache>
                  <c:formatCode>General</c:formatCode>
                  <c:ptCount val="34"/>
                  <c:pt idx="0">
                    <c:v>4.9285237270104976E-3</c:v>
                  </c:pt>
                  <c:pt idx="1">
                    <c:v>1.0192817325427091E-2</c:v>
                  </c:pt>
                  <c:pt idx="2">
                    <c:v>7.3005847447699668E-3</c:v>
                  </c:pt>
                  <c:pt idx="3">
                    <c:v>9.4746094571113455E-3</c:v>
                  </c:pt>
                  <c:pt idx="4">
                    <c:v>1.273199454448321E-2</c:v>
                  </c:pt>
                  <c:pt idx="5">
                    <c:v>1.5784441010003061E-2</c:v>
                  </c:pt>
                  <c:pt idx="6">
                    <c:v>1.3614953027808933E-2</c:v>
                  </c:pt>
                  <c:pt idx="7">
                    <c:v>1.3773618269383951E-2</c:v>
                  </c:pt>
                  <c:pt idx="8">
                    <c:v>5.2179709713441727E-2</c:v>
                  </c:pt>
                  <c:pt idx="9">
                    <c:v>0.15316277344737708</c:v>
                  </c:pt>
                  <c:pt idx="10">
                    <c:v>0.1887037495590892</c:v>
                  </c:pt>
                  <c:pt idx="11">
                    <c:v>0.41802207006087083</c:v>
                  </c:pt>
                  <c:pt idx="12">
                    <c:v>0.18442759673913381</c:v>
                  </c:pt>
                  <c:pt idx="13">
                    <c:v>4.4191484569320788E-2</c:v>
                  </c:pt>
                  <c:pt idx="14">
                    <c:v>1.8938790694473644</c:v>
                  </c:pt>
                  <c:pt idx="15">
                    <c:v>0.15746668800881733</c:v>
                  </c:pt>
                  <c:pt idx="16">
                    <c:v>5.5407928923739011E-2</c:v>
                  </c:pt>
                  <c:pt idx="17">
                    <c:v>9.3154762850258976E-2</c:v>
                  </c:pt>
                  <c:pt idx="18">
                    <c:v>3.8431081264190488E-2</c:v>
                  </c:pt>
                  <c:pt idx="19">
                    <c:v>3.0155261704590826E-2</c:v>
                  </c:pt>
                  <c:pt idx="20">
                    <c:v>3.0950067972547658E-2</c:v>
                  </c:pt>
                  <c:pt idx="21">
                    <c:v>3.4055111280257469E-2</c:v>
                  </c:pt>
                  <c:pt idx="22">
                    <c:v>3.5201812027417394E-2</c:v>
                  </c:pt>
                  <c:pt idx="23">
                    <c:v>4.8365675547740523E-2</c:v>
                  </c:pt>
                  <c:pt idx="24">
                    <c:v>6.0391514218133741E-2</c:v>
                  </c:pt>
                  <c:pt idx="25">
                    <c:v>3.6514971166250694E-2</c:v>
                  </c:pt>
                  <c:pt idx="26">
                    <c:v>4.8577215289709409E-2</c:v>
                  </c:pt>
                  <c:pt idx="27">
                    <c:v>5.6006784192087301E-2</c:v>
                  </c:pt>
                  <c:pt idx="28">
                    <c:v>3.7901284100268481E-2</c:v>
                  </c:pt>
                  <c:pt idx="29">
                    <c:v>3.3693151536279255E-2</c:v>
                  </c:pt>
                  <c:pt idx="30">
                    <c:v>3.3002523766063913E-2</c:v>
                  </c:pt>
                  <c:pt idx="31">
                    <c:v>4.3615755610741699E-2</c:v>
                  </c:pt>
                  <c:pt idx="32">
                    <c:v>1.7184444366869129E-2</c:v>
                  </c:pt>
                  <c:pt idx="33">
                    <c:v>0.10108015990948178</c:v>
                  </c:pt>
                </c:numCache>
              </c:numRef>
            </c:plus>
            <c:minus>
              <c:numRef>
                <c:f>('Raw Data and Corrections'!$AO$5,'Raw Data and Corrections'!$AO$9,'Raw Data and Corrections'!$AO$13,'Raw Data and Corrections'!$AO$17,'Raw Data and Corrections'!$AO$21,'Raw Data and Corrections'!$AO$25,'Raw Data and Corrections'!$AO$29,'Raw Data and Corrections'!$AO$33,'Raw Data and Corrections'!$AO$38,'Raw Data and Corrections'!$AO$43,'Raw Data and Corrections'!$AO$47,'Raw Data and Corrections'!$AO$51,'Raw Data and Corrections'!$AO$55,'Raw Data and Corrections'!$AO$59,'Raw Data and Corrections'!$AO$61,'Raw Data and Corrections'!$AO$65,'Raw Data and Corrections'!$AO$69,'Raw Data and Corrections'!$AO$73,'Raw Data and Corrections'!$AO$77,'Raw Data and Corrections'!$AO$81,'Raw Data and Corrections'!$AO$85,'Raw Data and Corrections'!$AO$89,'Raw Data and Corrections'!$AO$93,'Raw Data and Corrections'!$AO$97,'Raw Data and Corrections'!$AO$101,'Raw Data and Corrections'!$AO$105,'Raw Data and Corrections'!$AO$109,'Raw Data and Corrections'!$AO$113,'Raw Data and Corrections'!$AO$117,'Raw Data and Corrections'!$AO$121,'Raw Data and Corrections'!$AO$126,'Raw Data and Corrections'!$AO$130,'Raw Data and Corrections'!$AO$133,'Raw Data and Corrections'!$AO$135)</c:f>
                <c:numCache>
                  <c:formatCode>General</c:formatCode>
                  <c:ptCount val="34"/>
                  <c:pt idx="0">
                    <c:v>4.9285237270104976E-3</c:v>
                  </c:pt>
                  <c:pt idx="1">
                    <c:v>1.0192817325427091E-2</c:v>
                  </c:pt>
                  <c:pt idx="2">
                    <c:v>7.3005847447699668E-3</c:v>
                  </c:pt>
                  <c:pt idx="3">
                    <c:v>9.4746094571113455E-3</c:v>
                  </c:pt>
                  <c:pt idx="4">
                    <c:v>1.273199454448321E-2</c:v>
                  </c:pt>
                  <c:pt idx="5">
                    <c:v>1.5784441010003061E-2</c:v>
                  </c:pt>
                  <c:pt idx="6">
                    <c:v>1.3614953027808933E-2</c:v>
                  </c:pt>
                  <c:pt idx="7">
                    <c:v>1.3773618269383951E-2</c:v>
                  </c:pt>
                  <c:pt idx="8">
                    <c:v>5.2179709713441727E-2</c:v>
                  </c:pt>
                  <c:pt idx="9">
                    <c:v>0.15316277344737708</c:v>
                  </c:pt>
                  <c:pt idx="10">
                    <c:v>0.1887037495590892</c:v>
                  </c:pt>
                  <c:pt idx="11">
                    <c:v>0.41802207006087083</c:v>
                  </c:pt>
                  <c:pt idx="12">
                    <c:v>0.18442759673913381</c:v>
                  </c:pt>
                  <c:pt idx="13">
                    <c:v>4.4191484569320788E-2</c:v>
                  </c:pt>
                  <c:pt idx="14">
                    <c:v>1.8938790694473644</c:v>
                  </c:pt>
                  <c:pt idx="15">
                    <c:v>0.15746668800881733</c:v>
                  </c:pt>
                  <c:pt idx="16">
                    <c:v>5.5407928923739011E-2</c:v>
                  </c:pt>
                  <c:pt idx="17">
                    <c:v>9.3154762850258976E-2</c:v>
                  </c:pt>
                  <c:pt idx="18">
                    <c:v>3.8431081264190488E-2</c:v>
                  </c:pt>
                  <c:pt idx="19">
                    <c:v>3.0155261704590826E-2</c:v>
                  </c:pt>
                  <c:pt idx="20">
                    <c:v>3.0950067972547658E-2</c:v>
                  </c:pt>
                  <c:pt idx="21">
                    <c:v>3.4055111280257469E-2</c:v>
                  </c:pt>
                  <c:pt idx="22">
                    <c:v>3.5201812027417394E-2</c:v>
                  </c:pt>
                  <c:pt idx="23">
                    <c:v>4.8365675547740523E-2</c:v>
                  </c:pt>
                  <c:pt idx="24">
                    <c:v>6.0391514218133741E-2</c:v>
                  </c:pt>
                  <c:pt idx="25">
                    <c:v>3.6514971166250694E-2</c:v>
                  </c:pt>
                  <c:pt idx="26">
                    <c:v>4.8577215289709409E-2</c:v>
                  </c:pt>
                  <c:pt idx="27">
                    <c:v>5.6006784192087301E-2</c:v>
                  </c:pt>
                  <c:pt idx="28">
                    <c:v>3.7901284100268481E-2</c:v>
                  </c:pt>
                  <c:pt idx="29">
                    <c:v>3.3693151536279255E-2</c:v>
                  </c:pt>
                  <c:pt idx="30">
                    <c:v>3.3002523766063913E-2</c:v>
                  </c:pt>
                  <c:pt idx="31">
                    <c:v>4.3615755610741699E-2</c:v>
                  </c:pt>
                  <c:pt idx="32">
                    <c:v>1.7184444366869129E-2</c:v>
                  </c:pt>
                  <c:pt idx="33">
                    <c:v>0.10108015990948178</c:v>
                  </c:pt>
                </c:numCache>
              </c:numRef>
            </c:minus>
            <c:spPr>
              <a:noFill/>
              <a:ln w="9525" cap="flat" cmpd="sng" algn="ctr">
                <a:solidFill>
                  <a:schemeClr val="tx1">
                    <a:lumMod val="65000"/>
                    <a:lumOff val="35000"/>
                  </a:schemeClr>
                </a:solidFill>
                <a:round/>
              </a:ln>
              <a:effectLst/>
            </c:spPr>
          </c:errBars>
          <c:xVal>
            <c:numRef>
              <c:f>diffusivitiesHTWin0601bNaive!$I$4:$I$37</c:f>
              <c:numCache>
                <c:formatCode>0.00E+00</c:formatCode>
                <c:ptCount val="34"/>
                <c:pt idx="0">
                  <c:v>7.9353018444338775E-3</c:v>
                </c:pt>
                <c:pt idx="1">
                  <c:v>1.1696695263584267E-2</c:v>
                </c:pt>
                <c:pt idx="2">
                  <c:v>1.564951767140554E-2</c:v>
                </c:pt>
                <c:pt idx="3">
                  <c:v>1.9340024698823025E-2</c:v>
                </c:pt>
                <c:pt idx="4">
                  <c:v>2.3569848306964888E-2</c:v>
                </c:pt>
                <c:pt idx="5">
                  <c:v>2.8148880745362634E-2</c:v>
                </c:pt>
                <c:pt idx="6">
                  <c:v>3.3950252415334115E-2</c:v>
                </c:pt>
                <c:pt idx="7">
                  <c:v>3.9244926157334999E-2</c:v>
                </c:pt>
                <c:pt idx="8">
                  <c:v>4.031405026952533E-2</c:v>
                </c:pt>
                <c:pt idx="9">
                  <c:v>4.0872509277167506E-2</c:v>
                </c:pt>
                <c:pt idx="10">
                  <c:v>4.1526961780006325E-2</c:v>
                </c:pt>
                <c:pt idx="11">
                  <c:v>4.1657994149536477E-2</c:v>
                </c:pt>
                <c:pt idx="12">
                  <c:v>4.1787073741811148E-2</c:v>
                </c:pt>
                <c:pt idx="13">
                  <c:v>4.2001315615652152E-2</c:v>
                </c:pt>
                <c:pt idx="14">
                  <c:v>4.2604830701725264E-2</c:v>
                </c:pt>
                <c:pt idx="15">
                  <c:v>4.6719971930329902E-2</c:v>
                </c:pt>
                <c:pt idx="16">
                  <c:v>4.9397032835483252E-2</c:v>
                </c:pt>
                <c:pt idx="17">
                  <c:v>5.4474352635816931E-2</c:v>
                </c:pt>
                <c:pt idx="18">
                  <c:v>5.8478499630521083E-2</c:v>
                </c:pt>
                <c:pt idx="19">
                  <c:v>6.3640817730684182E-2</c:v>
                </c:pt>
                <c:pt idx="20">
                  <c:v>6.6999445651221415E-2</c:v>
                </c:pt>
                <c:pt idx="21">
                  <c:v>6.9044545748799785E-2</c:v>
                </c:pt>
                <c:pt idx="22">
                  <c:v>7.0623166895993225E-2</c:v>
                </c:pt>
                <c:pt idx="23">
                  <c:v>7.1665448775852597E-2</c:v>
                </c:pt>
                <c:pt idx="24">
                  <c:v>7.2690973799633365E-2</c:v>
                </c:pt>
                <c:pt idx="25">
                  <c:v>7.3834159375815764E-2</c:v>
                </c:pt>
                <c:pt idx="26">
                  <c:v>7.5380128911334984E-2</c:v>
                </c:pt>
                <c:pt idx="27">
                  <c:v>7.7163689277209138E-2</c:v>
                </c:pt>
                <c:pt idx="28">
                  <c:v>7.9549493872358282E-2</c:v>
                </c:pt>
                <c:pt idx="29">
                  <c:v>8.2298754238922925E-2</c:v>
                </c:pt>
                <c:pt idx="30">
                  <c:v>8.4854710393597946E-2</c:v>
                </c:pt>
                <c:pt idx="31">
                  <c:v>8.7409173923020889E-2</c:v>
                </c:pt>
                <c:pt idx="32">
                  <c:v>0.14611929255912087</c:v>
                </c:pt>
                <c:pt idx="33">
                  <c:v>0.14784673365469669</c:v>
                </c:pt>
              </c:numCache>
            </c:numRef>
          </c:xVal>
          <c:yVal>
            <c:numRef>
              <c:f>('Raw Data and Corrections'!$AN$5,'Raw Data and Corrections'!$AN$9,'Raw Data and Corrections'!$AN$13,'Raw Data and Corrections'!$AN$17,'Raw Data and Corrections'!$AN$21,'Raw Data and Corrections'!$AN$25,'Raw Data and Corrections'!$AN$29,'Raw Data and Corrections'!$AN$33,'Raw Data and Corrections'!$AN$38,'Raw Data and Corrections'!$AN$43,'Raw Data and Corrections'!$AN$47,'Raw Data and Corrections'!$AN$51,'Raw Data and Corrections'!$AN$55,'Raw Data and Corrections'!$AN$59,'Raw Data and Corrections'!$AN$61,'Raw Data and Corrections'!$AN$65,'Raw Data and Corrections'!$AN$69,'Raw Data and Corrections'!$AN$73,'Raw Data and Corrections'!$AN$77,'Raw Data and Corrections'!$AN$81,'Raw Data and Corrections'!$AN$85,'Raw Data and Corrections'!$AN$89,'Raw Data and Corrections'!$AN$93,'Raw Data and Corrections'!$AN$97,'Raw Data and Corrections'!$AN$101,'Raw Data and Corrections'!$AN$105,'Raw Data and Corrections'!$AN$109,'Raw Data and Corrections'!$AN$113,'Raw Data and Corrections'!$AN$117,'Raw Data and Corrections'!$AN$121,'Raw Data and Corrections'!$AN$126,'Raw Data and Corrections'!$AN$130,'Raw Data and Corrections'!$AN$133,'Raw Data and Corrections'!$AN$135)</c:f>
              <c:numCache>
                <c:formatCode>0.00E+00</c:formatCode>
                <c:ptCount val="34"/>
                <c:pt idx="0">
                  <c:v>1.4580280784498578E-2</c:v>
                </c:pt>
                <c:pt idx="1">
                  <c:v>5.1160825165321062E-2</c:v>
                </c:pt>
                <c:pt idx="2">
                  <c:v>0.10175156094636928</c:v>
                </c:pt>
                <c:pt idx="3">
                  <c:v>0.19818114314070825</c:v>
                </c:pt>
                <c:pt idx="4">
                  <c:v>0.24589558456734736</c:v>
                </c:pt>
                <c:pt idx="5">
                  <c:v>0.32081381006071502</c:v>
                </c:pt>
                <c:pt idx="6">
                  <c:v>0.4054600043876222</c:v>
                </c:pt>
                <c:pt idx="7">
                  <c:v>0.45561951884687457</c:v>
                </c:pt>
                <c:pt idx="8">
                  <c:v>0.47899701921255733</c:v>
                </c:pt>
                <c:pt idx="9">
                  <c:v>0.41480321459696867</c:v>
                </c:pt>
                <c:pt idx="10">
                  <c:v>0.2705880478680141</c:v>
                </c:pt>
                <c:pt idx="11">
                  <c:v>-0.10949738228732091</c:v>
                </c:pt>
                <c:pt idx="12">
                  <c:v>0.80936100442448866</c:v>
                </c:pt>
                <c:pt idx="13">
                  <c:v>0.47602063075440398</c:v>
                </c:pt>
                <c:pt idx="14">
                  <c:v>0.69504393225053229</c:v>
                </c:pt>
                <c:pt idx="15">
                  <c:v>0.39413380639619161</c:v>
                </c:pt>
                <c:pt idx="16">
                  <c:v>0.54985530672752392</c:v>
                </c:pt>
                <c:pt idx="17">
                  <c:v>0.54271324971610724</c:v>
                </c:pt>
                <c:pt idx="18">
                  <c:v>0.70003127787266517</c:v>
                </c:pt>
                <c:pt idx="19">
                  <c:v>0.61950221551126472</c:v>
                </c:pt>
                <c:pt idx="20">
                  <c:v>0.65537206515224833</c:v>
                </c:pt>
                <c:pt idx="21">
                  <c:v>0.6556402984639097</c:v>
                </c:pt>
                <c:pt idx="22">
                  <c:v>0.67259454499665672</c:v>
                </c:pt>
                <c:pt idx="23">
                  <c:v>0.6785581009192011</c:v>
                </c:pt>
                <c:pt idx="24">
                  <c:v>0.60788950114121409</c:v>
                </c:pt>
                <c:pt idx="25">
                  <c:v>0.63766954518922292</c:v>
                </c:pt>
                <c:pt idx="26">
                  <c:v>0.66623734956024816</c:v>
                </c:pt>
                <c:pt idx="27">
                  <c:v>0.70598592996860243</c:v>
                </c:pt>
                <c:pt idx="28">
                  <c:v>0.7165201321810809</c:v>
                </c:pt>
                <c:pt idx="29">
                  <c:v>0.73957106044337506</c:v>
                </c:pt>
                <c:pt idx="30">
                  <c:v>0.70257870907945663</c:v>
                </c:pt>
                <c:pt idx="31">
                  <c:v>0.69407448828214058</c:v>
                </c:pt>
                <c:pt idx="32">
                  <c:v>0.79988009769006951</c:v>
                </c:pt>
                <c:pt idx="33">
                  <c:v>0.75158837239469778</c:v>
                </c:pt>
              </c:numCache>
            </c:numRef>
          </c:yVal>
          <c:smooth val="0"/>
          <c:extLst>
            <c:ext xmlns:c16="http://schemas.microsoft.com/office/drawing/2014/chart" uri="{C3380CC4-5D6E-409C-BE32-E72D297353CC}">
              <c16:uniqueId val="{00000000-CFE9-4000-9035-3BD33BA30E02}"/>
            </c:ext>
          </c:extLst>
        </c:ser>
        <c:ser>
          <c:idx val="3"/>
          <c:order val="3"/>
          <c:spPr>
            <a:ln w="25400" cap="rnd">
              <a:noFill/>
              <a:round/>
            </a:ln>
            <a:effectLst/>
          </c:spPr>
          <c:marker>
            <c:symbol val="circle"/>
            <c:size val="5"/>
            <c:spPr>
              <a:solidFill>
                <a:schemeClr val="accent4"/>
              </a:solidFill>
              <a:ln w="9525">
                <a:solidFill>
                  <a:schemeClr val="accent4"/>
                </a:solidFill>
              </a:ln>
              <a:effectLst/>
            </c:spPr>
          </c:marker>
          <c:xVal>
            <c:numRef>
              <c:f>diffusivitiesHTWin0601bNaive!$I$4:$I$37</c:f>
              <c:numCache>
                <c:formatCode>0.00E+00</c:formatCode>
                <c:ptCount val="34"/>
                <c:pt idx="0">
                  <c:v>7.9353018444338775E-3</c:v>
                </c:pt>
                <c:pt idx="1">
                  <c:v>1.1696695263584267E-2</c:v>
                </c:pt>
                <c:pt idx="2">
                  <c:v>1.564951767140554E-2</c:v>
                </c:pt>
                <c:pt idx="3">
                  <c:v>1.9340024698823025E-2</c:v>
                </c:pt>
                <c:pt idx="4">
                  <c:v>2.3569848306964888E-2</c:v>
                </c:pt>
                <c:pt idx="5">
                  <c:v>2.8148880745362634E-2</c:v>
                </c:pt>
                <c:pt idx="6">
                  <c:v>3.3950252415334115E-2</c:v>
                </c:pt>
                <c:pt idx="7">
                  <c:v>3.9244926157334999E-2</c:v>
                </c:pt>
                <c:pt idx="8">
                  <c:v>4.031405026952533E-2</c:v>
                </c:pt>
                <c:pt idx="9">
                  <c:v>4.0872509277167506E-2</c:v>
                </c:pt>
                <c:pt idx="10">
                  <c:v>4.1526961780006325E-2</c:v>
                </c:pt>
                <c:pt idx="11">
                  <c:v>4.1657994149536477E-2</c:v>
                </c:pt>
                <c:pt idx="12">
                  <c:v>4.1787073741811148E-2</c:v>
                </c:pt>
                <c:pt idx="13">
                  <c:v>4.2001315615652152E-2</c:v>
                </c:pt>
                <c:pt idx="14">
                  <c:v>4.2604830701725264E-2</c:v>
                </c:pt>
                <c:pt idx="15">
                  <c:v>4.6719971930329902E-2</c:v>
                </c:pt>
                <c:pt idx="16">
                  <c:v>4.9397032835483252E-2</c:v>
                </c:pt>
                <c:pt idx="17">
                  <c:v>5.4474352635816931E-2</c:v>
                </c:pt>
                <c:pt idx="18">
                  <c:v>5.8478499630521083E-2</c:v>
                </c:pt>
                <c:pt idx="19">
                  <c:v>6.3640817730684182E-2</c:v>
                </c:pt>
                <c:pt idx="20">
                  <c:v>6.6999445651221415E-2</c:v>
                </c:pt>
                <c:pt idx="21">
                  <c:v>6.9044545748799785E-2</c:v>
                </c:pt>
                <c:pt idx="22">
                  <c:v>7.0623166895993225E-2</c:v>
                </c:pt>
                <c:pt idx="23">
                  <c:v>7.1665448775852597E-2</c:v>
                </c:pt>
                <c:pt idx="24">
                  <c:v>7.2690973799633365E-2</c:v>
                </c:pt>
                <c:pt idx="25">
                  <c:v>7.3834159375815764E-2</c:v>
                </c:pt>
                <c:pt idx="26">
                  <c:v>7.5380128911334984E-2</c:v>
                </c:pt>
                <c:pt idx="27">
                  <c:v>7.7163689277209138E-2</c:v>
                </c:pt>
                <c:pt idx="28">
                  <c:v>7.9549493872358282E-2</c:v>
                </c:pt>
                <c:pt idx="29">
                  <c:v>8.2298754238922925E-2</c:v>
                </c:pt>
                <c:pt idx="30">
                  <c:v>8.4854710393597946E-2</c:v>
                </c:pt>
                <c:pt idx="31">
                  <c:v>8.7409173923020889E-2</c:v>
                </c:pt>
                <c:pt idx="32">
                  <c:v>0.14611929255912087</c:v>
                </c:pt>
                <c:pt idx="33">
                  <c:v>0.14784673365469669</c:v>
                </c:pt>
              </c:numCache>
            </c:numRef>
          </c:xVal>
          <c:yVal>
            <c:numRef>
              <c:f>diffusivitiesHTWin0601bNaive!$I$4:$I$37</c:f>
              <c:numCache>
                <c:formatCode>0.00E+00</c:formatCode>
                <c:ptCount val="34"/>
                <c:pt idx="0">
                  <c:v>7.9353018444338775E-3</c:v>
                </c:pt>
                <c:pt idx="1">
                  <c:v>1.1696695263584267E-2</c:v>
                </c:pt>
                <c:pt idx="2">
                  <c:v>1.564951767140554E-2</c:v>
                </c:pt>
                <c:pt idx="3">
                  <c:v>1.9340024698823025E-2</c:v>
                </c:pt>
                <c:pt idx="4">
                  <c:v>2.3569848306964888E-2</c:v>
                </c:pt>
                <c:pt idx="5">
                  <c:v>2.8148880745362634E-2</c:v>
                </c:pt>
                <c:pt idx="6">
                  <c:v>3.3950252415334115E-2</c:v>
                </c:pt>
                <c:pt idx="7">
                  <c:v>3.9244926157334999E-2</c:v>
                </c:pt>
                <c:pt idx="8">
                  <c:v>4.031405026952533E-2</c:v>
                </c:pt>
                <c:pt idx="9">
                  <c:v>4.0872509277167506E-2</c:v>
                </c:pt>
                <c:pt idx="10">
                  <c:v>4.1526961780006325E-2</c:v>
                </c:pt>
                <c:pt idx="11">
                  <c:v>4.1657994149536477E-2</c:v>
                </c:pt>
                <c:pt idx="12">
                  <c:v>4.1787073741811148E-2</c:v>
                </c:pt>
                <c:pt idx="13">
                  <c:v>4.2001315615652152E-2</c:v>
                </c:pt>
                <c:pt idx="14">
                  <c:v>4.2604830701725264E-2</c:v>
                </c:pt>
                <c:pt idx="15">
                  <c:v>4.6719971930329902E-2</c:v>
                </c:pt>
                <c:pt idx="16">
                  <c:v>4.9397032835483252E-2</c:v>
                </c:pt>
                <c:pt idx="17">
                  <c:v>5.4474352635816931E-2</c:v>
                </c:pt>
                <c:pt idx="18">
                  <c:v>5.8478499630521083E-2</c:v>
                </c:pt>
                <c:pt idx="19">
                  <c:v>6.3640817730684182E-2</c:v>
                </c:pt>
                <c:pt idx="20">
                  <c:v>6.6999445651221415E-2</c:v>
                </c:pt>
                <c:pt idx="21">
                  <c:v>6.9044545748799785E-2</c:v>
                </c:pt>
                <c:pt idx="22">
                  <c:v>7.0623166895993225E-2</c:v>
                </c:pt>
                <c:pt idx="23">
                  <c:v>7.1665448775852597E-2</c:v>
                </c:pt>
                <c:pt idx="24">
                  <c:v>7.2690973799633365E-2</c:v>
                </c:pt>
                <c:pt idx="25">
                  <c:v>7.3834159375815764E-2</c:v>
                </c:pt>
                <c:pt idx="26">
                  <c:v>7.5380128911334984E-2</c:v>
                </c:pt>
                <c:pt idx="27">
                  <c:v>7.7163689277209138E-2</c:v>
                </c:pt>
                <c:pt idx="28">
                  <c:v>7.9549493872358282E-2</c:v>
                </c:pt>
                <c:pt idx="29">
                  <c:v>8.2298754238922925E-2</c:v>
                </c:pt>
                <c:pt idx="30">
                  <c:v>8.4854710393597946E-2</c:v>
                </c:pt>
                <c:pt idx="31">
                  <c:v>8.7409173923020889E-2</c:v>
                </c:pt>
                <c:pt idx="32">
                  <c:v>0.14611929255912087</c:v>
                </c:pt>
                <c:pt idx="33">
                  <c:v>0.14784673365469669</c:v>
                </c:pt>
              </c:numCache>
            </c:numRef>
          </c:yVal>
          <c:smooth val="0"/>
          <c:extLst>
            <c:ext xmlns:c16="http://schemas.microsoft.com/office/drawing/2014/chart" uri="{C3380CC4-5D6E-409C-BE32-E72D297353CC}">
              <c16:uniqueId val="{00000000-B394-4B30-B8B4-C3095EEEE57A}"/>
            </c:ext>
          </c:extLst>
        </c:ser>
        <c:dLbls>
          <c:showLegendKey val="0"/>
          <c:showVal val="0"/>
          <c:showCatName val="0"/>
          <c:showSerName val="0"/>
          <c:showPercent val="0"/>
          <c:showBubbleSize val="0"/>
        </c:dLbls>
        <c:axId val="1363359775"/>
        <c:axId val="1363357375"/>
      </c:scatterChart>
      <c:valAx>
        <c:axId val="13633597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Step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57375"/>
        <c:crosses val="autoZero"/>
        <c:crossBetween val="midCat"/>
      </c:valAx>
      <c:valAx>
        <c:axId val="1363357375"/>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R/Rbulk 4He/3He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5977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Win-06-01b Two Isotope Helium Arrhenius</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3He</c:v>
          </c:tx>
          <c:spPr>
            <a:ln w="1905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diffusivitiesHTWin0601bNaive!$V$4:$V$37</c:f>
                <c:numCache>
                  <c:formatCode>General</c:formatCode>
                  <c:ptCount val="34"/>
                  <c:pt idx="0">
                    <c:v>4.5295180685578612E-2</c:v>
                  </c:pt>
                  <c:pt idx="1">
                    <c:v>8.9470864262306771E-2</c:v>
                  </c:pt>
                  <c:pt idx="2">
                    <c:v>8.5490762351553035E-2</c:v>
                  </c:pt>
                  <c:pt idx="3">
                    <c:v>8.8151326738702282E-2</c:v>
                  </c:pt>
                  <c:pt idx="4">
                    <c:v>8.2220743379991343E-2</c:v>
                  </c:pt>
                  <c:pt idx="5">
                    <c:v>7.9824634773571601E-2</c:v>
                  </c:pt>
                  <c:pt idx="6">
                    <c:v>6.6216778962641623E-2</c:v>
                  </c:pt>
                  <c:pt idx="7">
                    <c:v>0.12143479295866201</c:v>
                  </c:pt>
                  <c:pt idx="8">
                    <c:v>0.3162319411232597</c:v>
                  </c:pt>
                  <c:pt idx="9">
                    <c:v>0.82913173978726828</c:v>
                  </c:pt>
                  <c:pt idx="10">
                    <c:v>1.0943842268833597</c:v>
                  </c:pt>
                  <c:pt idx="11">
                    <c:v>2.8220158173012346</c:v>
                  </c:pt>
                  <c:pt idx="12">
                    <c:v>3.7966168987663229</c:v>
                  </c:pt>
                  <c:pt idx="13">
                    <c:v>1.4946288944538635</c:v>
                  </c:pt>
                  <c:pt idx="14">
                    <c:v>1.1352617912061795</c:v>
                  </c:pt>
                  <c:pt idx="15">
                    <c:v>0.18369817070855143</c:v>
                  </c:pt>
                  <c:pt idx="16">
                    <c:v>0.14604815768631485</c:v>
                  </c:pt>
                  <c:pt idx="17">
                    <c:v>9.85385553175918E-2</c:v>
                  </c:pt>
                  <c:pt idx="18">
                    <c:v>0.12458926063376904</c:v>
                  </c:pt>
                  <c:pt idx="19">
                    <c:v>0.10235533533060275</c:v>
                  </c:pt>
                  <c:pt idx="20">
                    <c:v>0.19650233589694763</c:v>
                  </c:pt>
                  <c:pt idx="21">
                    <c:v>0.31181866009687798</c:v>
                  </c:pt>
                  <c:pt idx="22">
                    <c:v>0.40058992336607113</c:v>
                  </c:pt>
                  <c:pt idx="23">
                    <c:v>0.60267127459845349</c:v>
                  </c:pt>
                  <c:pt idx="24">
                    <c:v>0.74732000521719544</c:v>
                  </c:pt>
                  <c:pt idx="25">
                    <c:v>0.46089337040334843</c:v>
                  </c:pt>
                  <c:pt idx="26">
                    <c:v>0.36399639360126373</c:v>
                  </c:pt>
                  <c:pt idx="27">
                    <c:v>0.31768340315645427</c:v>
                  </c:pt>
                  <c:pt idx="28">
                    <c:v>0.23960386032162376</c:v>
                  </c:pt>
                  <c:pt idx="29">
                    <c:v>0.20862499237089824</c:v>
                  </c:pt>
                  <c:pt idx="30">
                    <c:v>0.24237374486622743</c:v>
                  </c:pt>
                  <c:pt idx="31">
                    <c:v>0.24437591158810756</c:v>
                  </c:pt>
                  <c:pt idx="32">
                    <c:v>0.18886104597698161</c:v>
                  </c:pt>
                  <c:pt idx="33">
                    <c:v>0.57969632274106486</c:v>
                  </c:pt>
                </c:numCache>
              </c:numRef>
            </c:plus>
            <c:minus>
              <c:numRef>
                <c:f>diffusivitiesHTWin0601bNaive!$V$4:$V$37</c:f>
                <c:numCache>
                  <c:formatCode>General</c:formatCode>
                  <c:ptCount val="34"/>
                  <c:pt idx="0">
                    <c:v>4.5295180685578612E-2</c:v>
                  </c:pt>
                  <c:pt idx="1">
                    <c:v>8.9470864262306771E-2</c:v>
                  </c:pt>
                  <c:pt idx="2">
                    <c:v>8.5490762351553035E-2</c:v>
                  </c:pt>
                  <c:pt idx="3">
                    <c:v>8.8151326738702282E-2</c:v>
                  </c:pt>
                  <c:pt idx="4">
                    <c:v>8.2220743379991343E-2</c:v>
                  </c:pt>
                  <c:pt idx="5">
                    <c:v>7.9824634773571601E-2</c:v>
                  </c:pt>
                  <c:pt idx="6">
                    <c:v>6.6216778962641623E-2</c:v>
                  </c:pt>
                  <c:pt idx="7">
                    <c:v>0.12143479295866201</c:v>
                  </c:pt>
                  <c:pt idx="8">
                    <c:v>0.3162319411232597</c:v>
                  </c:pt>
                  <c:pt idx="9">
                    <c:v>0.82913173978726828</c:v>
                  </c:pt>
                  <c:pt idx="10">
                    <c:v>1.0943842268833597</c:v>
                  </c:pt>
                  <c:pt idx="11">
                    <c:v>2.8220158173012346</c:v>
                  </c:pt>
                  <c:pt idx="12">
                    <c:v>3.7966168987663229</c:v>
                  </c:pt>
                  <c:pt idx="13">
                    <c:v>1.4946288944538635</c:v>
                  </c:pt>
                  <c:pt idx="14">
                    <c:v>1.1352617912061795</c:v>
                  </c:pt>
                  <c:pt idx="15">
                    <c:v>0.18369817070855143</c:v>
                  </c:pt>
                  <c:pt idx="16">
                    <c:v>0.14604815768631485</c:v>
                  </c:pt>
                  <c:pt idx="17">
                    <c:v>9.85385553175918E-2</c:v>
                  </c:pt>
                  <c:pt idx="18">
                    <c:v>0.12458926063376904</c:v>
                  </c:pt>
                  <c:pt idx="19">
                    <c:v>0.10235533533060275</c:v>
                  </c:pt>
                  <c:pt idx="20">
                    <c:v>0.19650233589694763</c:v>
                  </c:pt>
                  <c:pt idx="21">
                    <c:v>0.31181866009687798</c:v>
                  </c:pt>
                  <c:pt idx="22">
                    <c:v>0.40058992336607113</c:v>
                  </c:pt>
                  <c:pt idx="23">
                    <c:v>0.60267127459845349</c:v>
                  </c:pt>
                  <c:pt idx="24">
                    <c:v>0.74732000521719544</c:v>
                  </c:pt>
                  <c:pt idx="25">
                    <c:v>0.46089337040334843</c:v>
                  </c:pt>
                  <c:pt idx="26">
                    <c:v>0.36399639360126373</c:v>
                  </c:pt>
                  <c:pt idx="27">
                    <c:v>0.31768340315645427</c:v>
                  </c:pt>
                  <c:pt idx="28">
                    <c:v>0.23960386032162376</c:v>
                  </c:pt>
                  <c:pt idx="29">
                    <c:v>0.20862499237089824</c:v>
                  </c:pt>
                  <c:pt idx="30">
                    <c:v>0.24237374486622743</c:v>
                  </c:pt>
                  <c:pt idx="31">
                    <c:v>0.24437591158810756</c:v>
                  </c:pt>
                  <c:pt idx="32">
                    <c:v>0.18886104597698161</c:v>
                  </c:pt>
                  <c:pt idx="33">
                    <c:v>0.57969632274106486</c:v>
                  </c:pt>
                </c:numCache>
              </c:numRef>
            </c:minus>
            <c:spPr>
              <a:noFill/>
              <a:ln w="9525" cap="flat" cmpd="sng" algn="ctr">
                <a:solidFill>
                  <a:schemeClr val="accent4">
                    <a:lumMod val="75000"/>
                  </a:schemeClr>
                </a:solidFill>
                <a:round/>
              </a:ln>
              <a:effectLst/>
            </c:spPr>
          </c:errBars>
          <c:xVal>
            <c:numRef>
              <c:f>diffusivitiesHTWin0601bNaive!$T$4:$T$37</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diffusivitiesHTWin0601bNaive!$U$4:$U$37</c:f>
              <c:numCache>
                <c:formatCode>General</c:formatCode>
                <c:ptCount val="34"/>
                <c:pt idx="0">
                  <c:v>-21.909783861687121</c:v>
                </c:pt>
                <c:pt idx="1">
                  <c:v>-22.184421007270576</c:v>
                </c:pt>
                <c:pt idx="2">
                  <c:v>-21.975554541085934</c:v>
                </c:pt>
                <c:pt idx="3">
                  <c:v>-21.702439189377039</c:v>
                </c:pt>
                <c:pt idx="4">
                  <c:v>-21.310696745391006</c:v>
                </c:pt>
                <c:pt idx="5">
                  <c:v>-20.990584057760397</c:v>
                </c:pt>
                <c:pt idx="6">
                  <c:v>-20.513906927225889</c:v>
                </c:pt>
                <c:pt idx="7">
                  <c:v>-21.200057638176556</c:v>
                </c:pt>
                <c:pt idx="8">
                  <c:v>-22.014553440567788</c:v>
                </c:pt>
                <c:pt idx="9">
                  <c:v>-22.788297334130629</c:v>
                </c:pt>
                <c:pt idx="10">
                  <c:v>-23.369526603602072</c:v>
                </c:pt>
                <c:pt idx="11">
                  <c:v>-24.566538736322325</c:v>
                </c:pt>
                <c:pt idx="12">
                  <c:v>-24.796155367541129</c:v>
                </c:pt>
                <c:pt idx="13">
                  <c:v>-23.021681008360275</c:v>
                </c:pt>
                <c:pt idx="14">
                  <c:v>-22.669450310011072</c:v>
                </c:pt>
                <c:pt idx="15">
                  <c:v>-21.503883456742738</c:v>
                </c:pt>
                <c:pt idx="16">
                  <c:v>-20.711861413902234</c:v>
                </c:pt>
                <c:pt idx="17">
                  <c:v>-19.807148723973143</c:v>
                </c:pt>
                <c:pt idx="18">
                  <c:v>-19.710177213146306</c:v>
                </c:pt>
                <c:pt idx="19">
                  <c:v>-19.199913770925956</c:v>
                </c:pt>
                <c:pt idx="20">
                  <c:v>-19.810088930197612</c:v>
                </c:pt>
                <c:pt idx="21">
                  <c:v>-20.433283586879945</c:v>
                </c:pt>
                <c:pt idx="22">
                  <c:v>-20.809550484815411</c:v>
                </c:pt>
                <c:pt idx="23">
                  <c:v>-21.33174752965169</c:v>
                </c:pt>
                <c:pt idx="24">
                  <c:v>-21.772445056035778</c:v>
                </c:pt>
                <c:pt idx="25">
                  <c:v>-21.382566972290238</c:v>
                </c:pt>
                <c:pt idx="26">
                  <c:v>-20.95604942232632</c:v>
                </c:pt>
                <c:pt idx="27">
                  <c:v>-20.671826958545243</c:v>
                </c:pt>
                <c:pt idx="28">
                  <c:v>-20.218633946201038</c:v>
                </c:pt>
                <c:pt idx="29">
                  <c:v>-19.888260223383462</c:v>
                </c:pt>
                <c:pt idx="30">
                  <c:v>-19.926651103099889</c:v>
                </c:pt>
                <c:pt idx="31">
                  <c:v>-19.894934735605723</c:v>
                </c:pt>
                <c:pt idx="32">
                  <c:v>-19.958048822713263</c:v>
                </c:pt>
                <c:pt idx="33">
                  <c:v>-20.659737239976117</c:v>
                </c:pt>
              </c:numCache>
            </c:numRef>
          </c:yVal>
          <c:smooth val="0"/>
          <c:extLst>
            <c:ext xmlns:c16="http://schemas.microsoft.com/office/drawing/2014/chart" uri="{C3380CC4-5D6E-409C-BE32-E72D297353CC}">
              <c16:uniqueId val="{00000000-F52E-4064-B056-51B96AC340BD}"/>
            </c:ext>
          </c:extLst>
        </c:ser>
        <c:ser>
          <c:idx val="2"/>
          <c:order val="1"/>
          <c:tx>
            <c:v>4He</c:v>
          </c:tx>
          <c:spPr>
            <a:ln w="19050" cap="rnd">
              <a:solidFill>
                <a:srgbClr val="FF0000">
                  <a:alpha val="36000"/>
                </a:srgbClr>
              </a:solidFill>
              <a:round/>
            </a:ln>
            <a:effectLst/>
          </c:spPr>
          <c:marker>
            <c:symbol val="circle"/>
            <c:size val="5"/>
            <c:spPr>
              <a:solidFill>
                <a:schemeClr val="accent5">
                  <a:lumMod val="60000"/>
                  <a:lumOff val="40000"/>
                </a:schemeClr>
              </a:solidFill>
              <a:ln w="9525">
                <a:solidFill>
                  <a:schemeClr val="accent5">
                    <a:lumMod val="75000"/>
                  </a:schemeClr>
                </a:solidFill>
              </a:ln>
              <a:effectLst/>
            </c:spPr>
          </c:marker>
          <c:errBars>
            <c:errDir val="y"/>
            <c:errBarType val="both"/>
            <c:errValType val="cust"/>
            <c:noEndCap val="0"/>
            <c:plus>
              <c:numRef>
                <c:f>diffusivitiesHTWin0601bNaive!$V$46:$V$79</c:f>
                <c:numCache>
                  <c:formatCode>General</c:formatCode>
                  <c:ptCount val="34"/>
                  <c:pt idx="0">
                    <c:v>0.67419552687620654</c:v>
                  </c:pt>
                  <c:pt idx="1">
                    <c:v>0.44634564367448376</c:v>
                  </c:pt>
                  <c:pt idx="2">
                    <c:v>0.23248049679204985</c:v>
                  </c:pt>
                  <c:pt idx="3">
                    <c:v>0.13428088893522222</c:v>
                  </c:pt>
                  <c:pt idx="4">
                    <c:v>0.11174030157699148</c:v>
                  </c:pt>
                  <c:pt idx="5">
                    <c:v>9.8125809215758808E-2</c:v>
                  </c:pt>
                  <c:pt idx="6">
                    <c:v>7.3293604026966733E-2</c:v>
                  </c:pt>
                  <c:pt idx="7">
                    <c:v>0.11378741229778255</c:v>
                  </c:pt>
                  <c:pt idx="8">
                    <c:v>0.31823392235505976</c:v>
                  </c:pt>
                  <c:pt idx="9">
                    <c:v>1.0217086145355556</c:v>
                  </c:pt>
                  <c:pt idx="10">
                    <c:v>2.3129780894294512</c:v>
                  </c:pt>
                  <c:pt idx="12">
                    <c:v>3.2857698530914781</c:v>
                  </c:pt>
                  <c:pt idx="13">
                    <c:v>2.2137116905802809</c:v>
                  </c:pt>
                  <c:pt idx="14">
                    <c:v>3.0113540409818316</c:v>
                  </c:pt>
                  <c:pt idx="15">
                    <c:v>1.7354503061946676</c:v>
                  </c:pt>
                  <c:pt idx="16">
                    <c:v>1.0004353520258071</c:v>
                  </c:pt>
                  <c:pt idx="17">
                    <c:v>0.68018736762932852</c:v>
                  </c:pt>
                  <c:pt idx="18">
                    <c:v>0.65905353381309673</c:v>
                  </c:pt>
                  <c:pt idx="19">
                    <c:v>0.59369415227831102</c:v>
                  </c:pt>
                  <c:pt idx="20">
                    <c:v>1.0498451621400875</c:v>
                  </c:pt>
                  <c:pt idx="21">
                    <c:v>1.654040722498052</c:v>
                  </c:pt>
                  <c:pt idx="22">
                    <c:v>2.0637344876264541</c:v>
                  </c:pt>
                  <c:pt idx="23">
                    <c:v>3.0712454590157798</c:v>
                  </c:pt>
                  <c:pt idx="24">
                    <c:v>4.2425277061484019</c:v>
                  </c:pt>
                  <c:pt idx="25">
                    <c:v>2.4979903654044149</c:v>
                  </c:pt>
                  <c:pt idx="26">
                    <c:v>1.886417550051732</c:v>
                  </c:pt>
                  <c:pt idx="27">
                    <c:v>1.5377354887539219</c:v>
                  </c:pt>
                  <c:pt idx="28">
                    <c:v>1.1279512779565373</c:v>
                  </c:pt>
                  <c:pt idx="29">
                    <c:v>0.94235990580059337</c:v>
                  </c:pt>
                  <c:pt idx="30">
                    <c:v>1.1416777963599045</c:v>
                  </c:pt>
                  <c:pt idx="31">
                    <c:v>1.1585303745055551</c:v>
                  </c:pt>
                  <c:pt idx="32">
                    <c:v>0.64353718693300543</c:v>
                  </c:pt>
                  <c:pt idx="33">
                    <c:v>1.2084910037019327</c:v>
                  </c:pt>
                </c:numCache>
              </c:numRef>
            </c:plus>
            <c:minus>
              <c:numRef>
                <c:f>diffusivitiesHTWin0601bNaive!$V$46:$V$79</c:f>
                <c:numCache>
                  <c:formatCode>General</c:formatCode>
                  <c:ptCount val="34"/>
                  <c:pt idx="0">
                    <c:v>0.67419552687620654</c:v>
                  </c:pt>
                  <c:pt idx="1">
                    <c:v>0.44634564367448376</c:v>
                  </c:pt>
                  <c:pt idx="2">
                    <c:v>0.23248049679204985</c:v>
                  </c:pt>
                  <c:pt idx="3">
                    <c:v>0.13428088893522222</c:v>
                  </c:pt>
                  <c:pt idx="4">
                    <c:v>0.11174030157699148</c:v>
                  </c:pt>
                  <c:pt idx="5">
                    <c:v>9.8125809215758808E-2</c:v>
                  </c:pt>
                  <c:pt idx="6">
                    <c:v>7.3293604026966733E-2</c:v>
                  </c:pt>
                  <c:pt idx="7">
                    <c:v>0.11378741229778255</c:v>
                  </c:pt>
                  <c:pt idx="8">
                    <c:v>0.31823392235505976</c:v>
                  </c:pt>
                  <c:pt idx="9">
                    <c:v>1.0217086145355556</c:v>
                  </c:pt>
                  <c:pt idx="10">
                    <c:v>2.3129780894294512</c:v>
                  </c:pt>
                  <c:pt idx="12">
                    <c:v>3.2857698530914781</c:v>
                  </c:pt>
                  <c:pt idx="13">
                    <c:v>2.2137116905802809</c:v>
                  </c:pt>
                  <c:pt idx="14">
                    <c:v>3.0113540409818316</c:v>
                  </c:pt>
                  <c:pt idx="15">
                    <c:v>1.7354503061946676</c:v>
                  </c:pt>
                  <c:pt idx="16">
                    <c:v>1.0004353520258071</c:v>
                  </c:pt>
                  <c:pt idx="17">
                    <c:v>0.68018736762932852</c:v>
                  </c:pt>
                  <c:pt idx="18">
                    <c:v>0.65905353381309673</c:v>
                  </c:pt>
                  <c:pt idx="19">
                    <c:v>0.59369415227831102</c:v>
                  </c:pt>
                  <c:pt idx="20">
                    <c:v>1.0498451621400875</c:v>
                  </c:pt>
                  <c:pt idx="21">
                    <c:v>1.654040722498052</c:v>
                  </c:pt>
                  <c:pt idx="22">
                    <c:v>2.0637344876264541</c:v>
                  </c:pt>
                  <c:pt idx="23">
                    <c:v>3.0712454590157798</c:v>
                  </c:pt>
                  <c:pt idx="24">
                    <c:v>4.2425277061484019</c:v>
                  </c:pt>
                  <c:pt idx="25">
                    <c:v>2.4979903654044149</c:v>
                  </c:pt>
                  <c:pt idx="26">
                    <c:v>1.886417550051732</c:v>
                  </c:pt>
                  <c:pt idx="27">
                    <c:v>1.5377354887539219</c:v>
                  </c:pt>
                  <c:pt idx="28">
                    <c:v>1.1279512779565373</c:v>
                  </c:pt>
                  <c:pt idx="29">
                    <c:v>0.94235990580059337</c:v>
                  </c:pt>
                  <c:pt idx="30">
                    <c:v>1.1416777963599045</c:v>
                  </c:pt>
                  <c:pt idx="31">
                    <c:v>1.1585303745055551</c:v>
                  </c:pt>
                  <c:pt idx="32">
                    <c:v>0.64353718693300543</c:v>
                  </c:pt>
                  <c:pt idx="33">
                    <c:v>1.2084910037019327</c:v>
                  </c:pt>
                </c:numCache>
              </c:numRef>
            </c:minus>
            <c:spPr>
              <a:noFill/>
              <a:ln w="9525" cap="flat" cmpd="sng" algn="ctr">
                <a:solidFill>
                  <a:srgbClr val="FF0000">
                    <a:alpha val="29000"/>
                  </a:srgbClr>
                </a:solidFill>
                <a:round/>
              </a:ln>
              <a:effectLst/>
            </c:spPr>
          </c:errBars>
          <c:xVal>
            <c:numRef>
              <c:f>diffusivitiesHTWin0601bNaive!$T$46:$T$79</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diffusivitiesHTWin0601bNaive!$U$46:$U$79</c:f>
              <c:numCache>
                <c:formatCode>General</c:formatCode>
                <c:ptCount val="34"/>
                <c:pt idx="0">
                  <c:v>-30.365954450469122</c:v>
                </c:pt>
                <c:pt idx="1">
                  <c:v>-28.998093156946219</c:v>
                </c:pt>
                <c:pt idx="2">
                  <c:v>-27.55561182593722</c:v>
                </c:pt>
                <c:pt idx="3">
                  <c:v>-26.114197050777598</c:v>
                </c:pt>
                <c:pt idx="4">
                  <c:v>-25.110214227616481</c:v>
                </c:pt>
                <c:pt idx="5">
                  <c:v>-24.216474515325849</c:v>
                </c:pt>
                <c:pt idx="6">
                  <c:v>-23.222278392861902</c:v>
                </c:pt>
                <c:pt idx="7">
                  <c:v>-23.574567628385992</c:v>
                </c:pt>
                <c:pt idx="8">
                  <c:v>-24.244480750983186</c:v>
                </c:pt>
                <c:pt idx="9">
                  <c:v>-25.1417507383652</c:v>
                </c:pt>
                <c:pt idx="10">
                  <c:v>-26.143378609023813</c:v>
                </c:pt>
                <c:pt idx="12">
                  <c:v>-26.473814215174194</c:v>
                </c:pt>
                <c:pt idx="13">
                  <c:v>-25.223615673302412</c:v>
                </c:pt>
                <c:pt idx="14">
                  <c:v>-24.476266644002742</c:v>
                </c:pt>
                <c:pt idx="15">
                  <c:v>-23.835418758901707</c:v>
                </c:pt>
                <c:pt idx="16">
                  <c:v>-22.652792036893452</c:v>
                </c:pt>
                <c:pt idx="17">
                  <c:v>-21.725599258691773</c:v>
                </c:pt>
                <c:pt idx="18">
                  <c:v>-21.288690511563523</c:v>
                </c:pt>
                <c:pt idx="19">
                  <c:v>-20.824229947125961</c:v>
                </c:pt>
                <c:pt idx="20">
                  <c:v>-21.32539647800348</c:v>
                </c:pt>
                <c:pt idx="21">
                  <c:v>-21.917406031188705</c:v>
                </c:pt>
                <c:pt idx="22">
                  <c:v>-22.248963841284215</c:v>
                </c:pt>
                <c:pt idx="23">
                  <c:v>-22.748789045101709</c:v>
                </c:pt>
                <c:pt idx="24">
                  <c:v>-23.290470142262372</c:v>
                </c:pt>
                <c:pt idx="25">
                  <c:v>-22.844492711028749</c:v>
                </c:pt>
                <c:pt idx="26">
                  <c:v>-22.362973290923549</c:v>
                </c:pt>
                <c:pt idx="27">
                  <c:v>-22.005930463219876</c:v>
                </c:pt>
                <c:pt idx="28">
                  <c:v>-21.51902402350888</c:v>
                </c:pt>
                <c:pt idx="29">
                  <c:v>-21.134416130999661</c:v>
                </c:pt>
                <c:pt idx="30">
                  <c:v>-21.203501736270002</c:v>
                </c:pt>
                <c:pt idx="31">
                  <c:v>-21.167479317764165</c:v>
                </c:pt>
                <c:pt idx="32">
                  <c:v>-20.868605430229671</c:v>
                </c:pt>
                <c:pt idx="33">
                  <c:v>-21.540328410011888</c:v>
                </c:pt>
              </c:numCache>
            </c:numRef>
          </c:yVal>
          <c:smooth val="0"/>
          <c:extLst>
            <c:ext xmlns:c16="http://schemas.microsoft.com/office/drawing/2014/chart" uri="{C3380CC4-5D6E-409C-BE32-E72D297353CC}">
              <c16:uniqueId val="{00000001-DE93-4A60-836B-F5AD5ADDC4EE}"/>
            </c:ext>
          </c:extLst>
        </c:ser>
        <c:dLbls>
          <c:showLegendKey val="0"/>
          <c:showVal val="0"/>
          <c:showCatName val="0"/>
          <c:showSerName val="0"/>
          <c:showPercent val="0"/>
          <c:showBubbleSize val="0"/>
        </c:dLbls>
        <c:axId val="2132438240"/>
        <c:axId val="2132437280"/>
      </c:scatterChart>
      <c:valAx>
        <c:axId val="213243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7280"/>
        <c:crosses val="autoZero"/>
        <c:crossBetween val="midCat"/>
      </c:valAx>
      <c:valAx>
        <c:axId val="2132437280"/>
        <c:scaling>
          <c:orientation val="minMax"/>
          <c:max val="-18"/>
          <c:min val="-3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ln(D/a</a:t>
                </a:r>
                <a:r>
                  <a:rPr lang="en-US" baseline="30000"/>
                  <a:t>2</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82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Win-0601b 3He Arrhenius</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6">
                    <a:lumMod val="75000"/>
                  </a:schemeClr>
                </a:solidFill>
                <a:prstDash val="sysDot"/>
              </a:ln>
              <a:effectLst/>
            </c:spPr>
            <c:trendlineType val="linear"/>
            <c:forward val="1.5"/>
            <c:backward val="0.2"/>
            <c:dispRSqr val="1"/>
            <c:dispEq val="1"/>
            <c:trendlineLbl>
              <c:layout>
                <c:manualLayout>
                  <c:x val="-0.31770282915786463"/>
                  <c:y val="-0.2826382509177228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diffusivitiesHTWin0601bNaive!$T$27:$T$37</c:f>
              <c:numCache>
                <c:formatCode>General</c:formatCode>
                <c:ptCount val="11"/>
                <c:pt idx="0">
                  <c:v>19.880715705765407</c:v>
                </c:pt>
                <c:pt idx="1">
                  <c:v>20.080321285140563</c:v>
                </c:pt>
                <c:pt idx="2">
                  <c:v>19.880715705765407</c:v>
                </c:pt>
                <c:pt idx="3">
                  <c:v>19.68891514077578</c:v>
                </c:pt>
                <c:pt idx="4">
                  <c:v>19.49317738791423</c:v>
                </c:pt>
                <c:pt idx="5">
                  <c:v>19.305019305019304</c:v>
                </c:pt>
                <c:pt idx="6">
                  <c:v>19.120458891013385</c:v>
                </c:pt>
                <c:pt idx="7">
                  <c:v>19.121555729774173</c:v>
                </c:pt>
                <c:pt idx="8">
                  <c:v>19.121190102872003</c:v>
                </c:pt>
                <c:pt idx="9">
                  <c:v>19.120458891013385</c:v>
                </c:pt>
                <c:pt idx="10">
                  <c:v>19.49317738791423</c:v>
                </c:pt>
              </c:numCache>
            </c:numRef>
          </c:xVal>
          <c:yVal>
            <c:numRef>
              <c:f>diffusivitiesHTWin0601bNaive!$U$27:$U$37</c:f>
              <c:numCache>
                <c:formatCode>General</c:formatCode>
                <c:ptCount val="11"/>
                <c:pt idx="0">
                  <c:v>-21.33174752965169</c:v>
                </c:pt>
                <c:pt idx="1">
                  <c:v>-21.772445056035778</c:v>
                </c:pt>
                <c:pt idx="2">
                  <c:v>-21.382566972290238</c:v>
                </c:pt>
                <c:pt idx="3">
                  <c:v>-20.95604942232632</c:v>
                </c:pt>
                <c:pt idx="4">
                  <c:v>-20.671826958545243</c:v>
                </c:pt>
                <c:pt idx="5">
                  <c:v>-20.218633946201038</c:v>
                </c:pt>
                <c:pt idx="6">
                  <c:v>-19.888260223383462</c:v>
                </c:pt>
                <c:pt idx="7">
                  <c:v>-19.926651103099889</c:v>
                </c:pt>
                <c:pt idx="8">
                  <c:v>-19.894934735605723</c:v>
                </c:pt>
                <c:pt idx="9">
                  <c:v>-19.958048822713263</c:v>
                </c:pt>
                <c:pt idx="10">
                  <c:v>-20.659737239976117</c:v>
                </c:pt>
              </c:numCache>
            </c:numRef>
          </c:yVal>
          <c:smooth val="0"/>
          <c:extLst>
            <c:ext xmlns:c16="http://schemas.microsoft.com/office/drawing/2014/chart" uri="{C3380CC4-5D6E-409C-BE32-E72D297353CC}">
              <c16:uniqueId val="{00000001-EF1D-4BFC-9D89-43C64CA1F96E}"/>
            </c:ext>
          </c:extLst>
        </c:ser>
        <c:ser>
          <c:idx val="0"/>
          <c:order val="1"/>
          <c:spPr>
            <a:ln w="1905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diffusivitiesHTWin0601bNaive!$V$4:$V$37</c:f>
                <c:numCache>
                  <c:formatCode>General</c:formatCode>
                  <c:ptCount val="34"/>
                  <c:pt idx="0">
                    <c:v>4.5295180685578612E-2</c:v>
                  </c:pt>
                  <c:pt idx="1">
                    <c:v>8.9470864262306771E-2</c:v>
                  </c:pt>
                  <c:pt idx="2">
                    <c:v>8.5490762351553035E-2</c:v>
                  </c:pt>
                  <c:pt idx="3">
                    <c:v>8.8151326738702282E-2</c:v>
                  </c:pt>
                  <c:pt idx="4">
                    <c:v>8.2220743379991343E-2</c:v>
                  </c:pt>
                  <c:pt idx="5">
                    <c:v>7.9824634773571601E-2</c:v>
                  </c:pt>
                  <c:pt idx="6">
                    <c:v>6.6216778962641623E-2</c:v>
                  </c:pt>
                  <c:pt idx="7">
                    <c:v>0.12143479295866201</c:v>
                  </c:pt>
                  <c:pt idx="8">
                    <c:v>0.3162319411232597</c:v>
                  </c:pt>
                  <c:pt idx="9">
                    <c:v>0.82913173978726828</c:v>
                  </c:pt>
                  <c:pt idx="10">
                    <c:v>1.0943842268833597</c:v>
                  </c:pt>
                  <c:pt idx="11">
                    <c:v>2.8220158173012346</c:v>
                  </c:pt>
                  <c:pt idx="12">
                    <c:v>3.7966168987663229</c:v>
                  </c:pt>
                  <c:pt idx="13">
                    <c:v>1.4946288944538635</c:v>
                  </c:pt>
                  <c:pt idx="14">
                    <c:v>1.1352617912061795</c:v>
                  </c:pt>
                  <c:pt idx="15">
                    <c:v>0.18369817070855143</c:v>
                  </c:pt>
                  <c:pt idx="16">
                    <c:v>0.14604815768631485</c:v>
                  </c:pt>
                  <c:pt idx="17">
                    <c:v>9.85385553175918E-2</c:v>
                  </c:pt>
                  <c:pt idx="18">
                    <c:v>0.12458926063376904</c:v>
                  </c:pt>
                  <c:pt idx="19">
                    <c:v>0.10235533533060275</c:v>
                  </c:pt>
                  <c:pt idx="20">
                    <c:v>0.19650233589694763</c:v>
                  </c:pt>
                  <c:pt idx="21">
                    <c:v>0.31181866009687798</c:v>
                  </c:pt>
                  <c:pt idx="22">
                    <c:v>0.40058992336607113</c:v>
                  </c:pt>
                  <c:pt idx="23">
                    <c:v>0.60267127459845349</c:v>
                  </c:pt>
                  <c:pt idx="24">
                    <c:v>0.74732000521719544</c:v>
                  </c:pt>
                  <c:pt idx="25">
                    <c:v>0.46089337040334843</c:v>
                  </c:pt>
                  <c:pt idx="26">
                    <c:v>0.36399639360126373</c:v>
                  </c:pt>
                  <c:pt idx="27">
                    <c:v>0.31768340315645427</c:v>
                  </c:pt>
                  <c:pt idx="28">
                    <c:v>0.23960386032162376</c:v>
                  </c:pt>
                  <c:pt idx="29">
                    <c:v>0.20862499237089824</c:v>
                  </c:pt>
                  <c:pt idx="30">
                    <c:v>0.24237374486622743</c:v>
                  </c:pt>
                  <c:pt idx="31">
                    <c:v>0.24437591158810756</c:v>
                  </c:pt>
                  <c:pt idx="32">
                    <c:v>0.18886104597698161</c:v>
                  </c:pt>
                  <c:pt idx="33">
                    <c:v>0.57969632274106486</c:v>
                  </c:pt>
                </c:numCache>
              </c:numRef>
            </c:plus>
            <c:minus>
              <c:numRef>
                <c:f>diffusivitiesHTWin0601bNaive!$V$4:$V$37</c:f>
                <c:numCache>
                  <c:formatCode>General</c:formatCode>
                  <c:ptCount val="34"/>
                  <c:pt idx="0">
                    <c:v>4.5295180685578612E-2</c:v>
                  </c:pt>
                  <c:pt idx="1">
                    <c:v>8.9470864262306771E-2</c:v>
                  </c:pt>
                  <c:pt idx="2">
                    <c:v>8.5490762351553035E-2</c:v>
                  </c:pt>
                  <c:pt idx="3">
                    <c:v>8.8151326738702282E-2</c:v>
                  </c:pt>
                  <c:pt idx="4">
                    <c:v>8.2220743379991343E-2</c:v>
                  </c:pt>
                  <c:pt idx="5">
                    <c:v>7.9824634773571601E-2</c:v>
                  </c:pt>
                  <c:pt idx="6">
                    <c:v>6.6216778962641623E-2</c:v>
                  </c:pt>
                  <c:pt idx="7">
                    <c:v>0.12143479295866201</c:v>
                  </c:pt>
                  <c:pt idx="8">
                    <c:v>0.3162319411232597</c:v>
                  </c:pt>
                  <c:pt idx="9">
                    <c:v>0.82913173978726828</c:v>
                  </c:pt>
                  <c:pt idx="10">
                    <c:v>1.0943842268833597</c:v>
                  </c:pt>
                  <c:pt idx="11">
                    <c:v>2.8220158173012346</c:v>
                  </c:pt>
                  <c:pt idx="12">
                    <c:v>3.7966168987663229</c:v>
                  </c:pt>
                  <c:pt idx="13">
                    <c:v>1.4946288944538635</c:v>
                  </c:pt>
                  <c:pt idx="14">
                    <c:v>1.1352617912061795</c:v>
                  </c:pt>
                  <c:pt idx="15">
                    <c:v>0.18369817070855143</c:v>
                  </c:pt>
                  <c:pt idx="16">
                    <c:v>0.14604815768631485</c:v>
                  </c:pt>
                  <c:pt idx="17">
                    <c:v>9.85385553175918E-2</c:v>
                  </c:pt>
                  <c:pt idx="18">
                    <c:v>0.12458926063376904</c:v>
                  </c:pt>
                  <c:pt idx="19">
                    <c:v>0.10235533533060275</c:v>
                  </c:pt>
                  <c:pt idx="20">
                    <c:v>0.19650233589694763</c:v>
                  </c:pt>
                  <c:pt idx="21">
                    <c:v>0.31181866009687798</c:v>
                  </c:pt>
                  <c:pt idx="22">
                    <c:v>0.40058992336607113</c:v>
                  </c:pt>
                  <c:pt idx="23">
                    <c:v>0.60267127459845349</c:v>
                  </c:pt>
                  <c:pt idx="24">
                    <c:v>0.74732000521719544</c:v>
                  </c:pt>
                  <c:pt idx="25">
                    <c:v>0.46089337040334843</c:v>
                  </c:pt>
                  <c:pt idx="26">
                    <c:v>0.36399639360126373</c:v>
                  </c:pt>
                  <c:pt idx="27">
                    <c:v>0.31768340315645427</c:v>
                  </c:pt>
                  <c:pt idx="28">
                    <c:v>0.23960386032162376</c:v>
                  </c:pt>
                  <c:pt idx="29">
                    <c:v>0.20862499237089824</c:v>
                  </c:pt>
                  <c:pt idx="30">
                    <c:v>0.24237374486622743</c:v>
                  </c:pt>
                  <c:pt idx="31">
                    <c:v>0.24437591158810756</c:v>
                  </c:pt>
                  <c:pt idx="32">
                    <c:v>0.18886104597698161</c:v>
                  </c:pt>
                  <c:pt idx="33">
                    <c:v>0.57969632274106486</c:v>
                  </c:pt>
                </c:numCache>
              </c:numRef>
            </c:minus>
            <c:spPr>
              <a:noFill/>
              <a:ln w="9525" cap="flat" cmpd="sng" algn="ctr">
                <a:solidFill>
                  <a:schemeClr val="tx1">
                    <a:lumMod val="65000"/>
                    <a:lumOff val="35000"/>
                  </a:schemeClr>
                </a:solidFill>
                <a:round/>
              </a:ln>
              <a:effectLst/>
            </c:spPr>
          </c:errBars>
          <c:xVal>
            <c:numRef>
              <c:f>diffusivitiesHTWin0601bNaive!$T$4:$T$37</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diffusivitiesHTWin0601bNaive!$U$4:$U$37</c:f>
              <c:numCache>
                <c:formatCode>General</c:formatCode>
                <c:ptCount val="34"/>
                <c:pt idx="0">
                  <c:v>-21.909783861687121</c:v>
                </c:pt>
                <c:pt idx="1">
                  <c:v>-22.184421007270576</c:v>
                </c:pt>
                <c:pt idx="2">
                  <c:v>-21.975554541085934</c:v>
                </c:pt>
                <c:pt idx="3">
                  <c:v>-21.702439189377039</c:v>
                </c:pt>
                <c:pt idx="4">
                  <c:v>-21.310696745391006</c:v>
                </c:pt>
                <c:pt idx="5">
                  <c:v>-20.990584057760397</c:v>
                </c:pt>
                <c:pt idx="6">
                  <c:v>-20.513906927225889</c:v>
                </c:pt>
                <c:pt idx="7">
                  <c:v>-21.200057638176556</c:v>
                </c:pt>
                <c:pt idx="8">
                  <c:v>-22.014553440567788</c:v>
                </c:pt>
                <c:pt idx="9">
                  <c:v>-22.788297334130629</c:v>
                </c:pt>
                <c:pt idx="10">
                  <c:v>-23.369526603602072</c:v>
                </c:pt>
                <c:pt idx="11">
                  <c:v>-24.566538736322325</c:v>
                </c:pt>
                <c:pt idx="12">
                  <c:v>-24.796155367541129</c:v>
                </c:pt>
                <c:pt idx="13">
                  <c:v>-23.021681008360275</c:v>
                </c:pt>
                <c:pt idx="14">
                  <c:v>-22.669450310011072</c:v>
                </c:pt>
                <c:pt idx="15">
                  <c:v>-21.503883456742738</c:v>
                </c:pt>
                <c:pt idx="16">
                  <c:v>-20.711861413902234</c:v>
                </c:pt>
                <c:pt idx="17">
                  <c:v>-19.807148723973143</c:v>
                </c:pt>
                <c:pt idx="18">
                  <c:v>-19.710177213146306</c:v>
                </c:pt>
                <c:pt idx="19">
                  <c:v>-19.199913770925956</c:v>
                </c:pt>
                <c:pt idx="20">
                  <c:v>-19.810088930197612</c:v>
                </c:pt>
                <c:pt idx="21">
                  <c:v>-20.433283586879945</c:v>
                </c:pt>
                <c:pt idx="22">
                  <c:v>-20.809550484815411</c:v>
                </c:pt>
                <c:pt idx="23">
                  <c:v>-21.33174752965169</c:v>
                </c:pt>
                <c:pt idx="24">
                  <c:v>-21.772445056035778</c:v>
                </c:pt>
                <c:pt idx="25">
                  <c:v>-21.382566972290238</c:v>
                </c:pt>
                <c:pt idx="26">
                  <c:v>-20.95604942232632</c:v>
                </c:pt>
                <c:pt idx="27">
                  <c:v>-20.671826958545243</c:v>
                </c:pt>
                <c:pt idx="28">
                  <c:v>-20.218633946201038</c:v>
                </c:pt>
                <c:pt idx="29">
                  <c:v>-19.888260223383462</c:v>
                </c:pt>
                <c:pt idx="30">
                  <c:v>-19.926651103099889</c:v>
                </c:pt>
                <c:pt idx="31">
                  <c:v>-19.894934735605723</c:v>
                </c:pt>
                <c:pt idx="32">
                  <c:v>-19.958048822713263</c:v>
                </c:pt>
                <c:pt idx="33">
                  <c:v>-20.659737239976117</c:v>
                </c:pt>
              </c:numCache>
            </c:numRef>
          </c:yVal>
          <c:smooth val="0"/>
          <c:extLst>
            <c:ext xmlns:c16="http://schemas.microsoft.com/office/drawing/2014/chart" uri="{C3380CC4-5D6E-409C-BE32-E72D297353CC}">
              <c16:uniqueId val="{00000000-EF1D-4BFC-9D89-43C64CA1F96E}"/>
            </c:ext>
          </c:extLst>
        </c:ser>
        <c:dLbls>
          <c:showLegendKey val="0"/>
          <c:showVal val="0"/>
          <c:showCatName val="0"/>
          <c:showSerName val="0"/>
          <c:showPercent val="0"/>
          <c:showBubbleSize val="0"/>
        </c:dLbls>
        <c:axId val="2132438240"/>
        <c:axId val="2132437280"/>
      </c:scatterChart>
      <c:valAx>
        <c:axId val="213243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7280"/>
        <c:crosses val="autoZero"/>
        <c:crossBetween val="midCat"/>
      </c:valAx>
      <c:valAx>
        <c:axId val="2132437280"/>
        <c:scaling>
          <c:orientation val="minMax"/>
          <c:max val="-18"/>
          <c:min val="-25.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ln(D/a</a:t>
                </a:r>
                <a:r>
                  <a:rPr lang="en-US" baseline="30000"/>
                  <a:t>2</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8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Delta Plot</a:t>
            </a:r>
            <a:r>
              <a:rPr lang="en-US" baseline="0"/>
              <a:t> with Regression Reference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3He</c:v>
          </c:tx>
          <c:spPr>
            <a:ln w="2540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diffusivitiesHTWin0601bNaive!$V$4:$V$37</c:f>
                <c:numCache>
                  <c:formatCode>General</c:formatCode>
                  <c:ptCount val="34"/>
                  <c:pt idx="0">
                    <c:v>4.5295180685578612E-2</c:v>
                  </c:pt>
                  <c:pt idx="1">
                    <c:v>8.9470864262306771E-2</c:v>
                  </c:pt>
                  <c:pt idx="2">
                    <c:v>8.5490762351553035E-2</c:v>
                  </c:pt>
                  <c:pt idx="3">
                    <c:v>8.8151326738702282E-2</c:v>
                  </c:pt>
                  <c:pt idx="4">
                    <c:v>8.2220743379991343E-2</c:v>
                  </c:pt>
                  <c:pt idx="5">
                    <c:v>7.9824634773571601E-2</c:v>
                  </c:pt>
                  <c:pt idx="6">
                    <c:v>6.6216778962641623E-2</c:v>
                  </c:pt>
                  <c:pt idx="7">
                    <c:v>0.12143479295866201</c:v>
                  </c:pt>
                  <c:pt idx="8">
                    <c:v>0.3162319411232597</c:v>
                  </c:pt>
                  <c:pt idx="9">
                    <c:v>0.82913173978726828</c:v>
                  </c:pt>
                  <c:pt idx="10">
                    <c:v>1.0943842268833597</c:v>
                  </c:pt>
                  <c:pt idx="11">
                    <c:v>2.8220158173012346</c:v>
                  </c:pt>
                  <c:pt idx="12">
                    <c:v>3.7966168987663229</c:v>
                  </c:pt>
                  <c:pt idx="13">
                    <c:v>1.4946288944538635</c:v>
                  </c:pt>
                  <c:pt idx="14">
                    <c:v>1.1352617912061795</c:v>
                  </c:pt>
                  <c:pt idx="15">
                    <c:v>0.18369817070855143</c:v>
                  </c:pt>
                  <c:pt idx="16">
                    <c:v>0.14604815768631485</c:v>
                  </c:pt>
                  <c:pt idx="17">
                    <c:v>9.85385553175918E-2</c:v>
                  </c:pt>
                  <c:pt idx="18">
                    <c:v>0.12458926063376904</c:v>
                  </c:pt>
                  <c:pt idx="19">
                    <c:v>0.10235533533060275</c:v>
                  </c:pt>
                  <c:pt idx="20">
                    <c:v>0.19650233589694763</c:v>
                  </c:pt>
                  <c:pt idx="21">
                    <c:v>0.31181866009687798</c:v>
                  </c:pt>
                  <c:pt idx="22">
                    <c:v>0.40058992336607113</c:v>
                  </c:pt>
                  <c:pt idx="23">
                    <c:v>0.60267127459845349</c:v>
                  </c:pt>
                  <c:pt idx="24">
                    <c:v>0.74732000521719544</c:v>
                  </c:pt>
                  <c:pt idx="25">
                    <c:v>0.46089337040334843</c:v>
                  </c:pt>
                  <c:pt idx="26">
                    <c:v>0.36399639360126373</c:v>
                  </c:pt>
                  <c:pt idx="27">
                    <c:v>0.31768340315645427</c:v>
                  </c:pt>
                  <c:pt idx="28">
                    <c:v>0.23960386032162376</c:v>
                  </c:pt>
                  <c:pt idx="29">
                    <c:v>0.20862499237089824</c:v>
                  </c:pt>
                  <c:pt idx="30">
                    <c:v>0.24237374486622743</c:v>
                  </c:pt>
                  <c:pt idx="31">
                    <c:v>0.24437591158810756</c:v>
                  </c:pt>
                  <c:pt idx="32">
                    <c:v>0.18886104597698161</c:v>
                  </c:pt>
                  <c:pt idx="33">
                    <c:v>0.57969632274106486</c:v>
                  </c:pt>
                </c:numCache>
              </c:numRef>
            </c:plus>
            <c:minus>
              <c:numRef>
                <c:f>diffusivitiesHTWin0601bNaive!$V$4:$V$37</c:f>
                <c:numCache>
                  <c:formatCode>General</c:formatCode>
                  <c:ptCount val="34"/>
                  <c:pt idx="0">
                    <c:v>4.5295180685578612E-2</c:v>
                  </c:pt>
                  <c:pt idx="1">
                    <c:v>8.9470864262306771E-2</c:v>
                  </c:pt>
                  <c:pt idx="2">
                    <c:v>8.5490762351553035E-2</c:v>
                  </c:pt>
                  <c:pt idx="3">
                    <c:v>8.8151326738702282E-2</c:v>
                  </c:pt>
                  <c:pt idx="4">
                    <c:v>8.2220743379991343E-2</c:v>
                  </c:pt>
                  <c:pt idx="5">
                    <c:v>7.9824634773571601E-2</c:v>
                  </c:pt>
                  <c:pt idx="6">
                    <c:v>6.6216778962641623E-2</c:v>
                  </c:pt>
                  <c:pt idx="7">
                    <c:v>0.12143479295866201</c:v>
                  </c:pt>
                  <c:pt idx="8">
                    <c:v>0.3162319411232597</c:v>
                  </c:pt>
                  <c:pt idx="9">
                    <c:v>0.82913173978726828</c:v>
                  </c:pt>
                  <c:pt idx="10">
                    <c:v>1.0943842268833597</c:v>
                  </c:pt>
                  <c:pt idx="11">
                    <c:v>2.8220158173012346</c:v>
                  </c:pt>
                  <c:pt idx="12">
                    <c:v>3.7966168987663229</c:v>
                  </c:pt>
                  <c:pt idx="13">
                    <c:v>1.4946288944538635</c:v>
                  </c:pt>
                  <c:pt idx="14">
                    <c:v>1.1352617912061795</c:v>
                  </c:pt>
                  <c:pt idx="15">
                    <c:v>0.18369817070855143</c:v>
                  </c:pt>
                  <c:pt idx="16">
                    <c:v>0.14604815768631485</c:v>
                  </c:pt>
                  <c:pt idx="17">
                    <c:v>9.85385553175918E-2</c:v>
                  </c:pt>
                  <c:pt idx="18">
                    <c:v>0.12458926063376904</c:v>
                  </c:pt>
                  <c:pt idx="19">
                    <c:v>0.10235533533060275</c:v>
                  </c:pt>
                  <c:pt idx="20">
                    <c:v>0.19650233589694763</c:v>
                  </c:pt>
                  <c:pt idx="21">
                    <c:v>0.31181866009687798</c:v>
                  </c:pt>
                  <c:pt idx="22">
                    <c:v>0.40058992336607113</c:v>
                  </c:pt>
                  <c:pt idx="23">
                    <c:v>0.60267127459845349</c:v>
                  </c:pt>
                  <c:pt idx="24">
                    <c:v>0.74732000521719544</c:v>
                  </c:pt>
                  <c:pt idx="25">
                    <c:v>0.46089337040334843</c:v>
                  </c:pt>
                  <c:pt idx="26">
                    <c:v>0.36399639360126373</c:v>
                  </c:pt>
                  <c:pt idx="27">
                    <c:v>0.31768340315645427</c:v>
                  </c:pt>
                  <c:pt idx="28">
                    <c:v>0.23960386032162376</c:v>
                  </c:pt>
                  <c:pt idx="29">
                    <c:v>0.20862499237089824</c:v>
                  </c:pt>
                  <c:pt idx="30">
                    <c:v>0.24237374486622743</c:v>
                  </c:pt>
                  <c:pt idx="31">
                    <c:v>0.24437591158810756</c:v>
                  </c:pt>
                  <c:pt idx="32">
                    <c:v>0.18886104597698161</c:v>
                  </c:pt>
                  <c:pt idx="33">
                    <c:v>0.57969632274106486</c:v>
                  </c:pt>
                </c:numCache>
              </c:numRef>
            </c:minus>
            <c:spPr>
              <a:noFill/>
              <a:ln w="9525" cap="flat" cmpd="sng" algn="ctr">
                <a:solidFill>
                  <a:schemeClr val="tx1">
                    <a:lumMod val="65000"/>
                    <a:lumOff val="35000"/>
                  </a:schemeClr>
                </a:solidFill>
                <a:round/>
              </a:ln>
              <a:effectLst/>
            </c:spPr>
          </c:errBars>
          <c:xVal>
            <c:numRef>
              <c:f>diffusivitiesHTWin0601bNaive!$I$4:$I$37</c:f>
              <c:numCache>
                <c:formatCode>0.00E+00</c:formatCode>
                <c:ptCount val="34"/>
                <c:pt idx="0">
                  <c:v>7.9353018444338775E-3</c:v>
                </c:pt>
                <c:pt idx="1">
                  <c:v>1.1696695263584267E-2</c:v>
                </c:pt>
                <c:pt idx="2">
                  <c:v>1.564951767140554E-2</c:v>
                </c:pt>
                <c:pt idx="3">
                  <c:v>1.9340024698823025E-2</c:v>
                </c:pt>
                <c:pt idx="4">
                  <c:v>2.3569848306964888E-2</c:v>
                </c:pt>
                <c:pt idx="5">
                  <c:v>2.8148880745362634E-2</c:v>
                </c:pt>
                <c:pt idx="6">
                  <c:v>3.3950252415334115E-2</c:v>
                </c:pt>
                <c:pt idx="7">
                  <c:v>3.9244926157334999E-2</c:v>
                </c:pt>
                <c:pt idx="8">
                  <c:v>4.031405026952533E-2</c:v>
                </c:pt>
                <c:pt idx="9">
                  <c:v>4.0872509277167506E-2</c:v>
                </c:pt>
                <c:pt idx="10">
                  <c:v>4.1526961780006325E-2</c:v>
                </c:pt>
                <c:pt idx="11">
                  <c:v>4.1657994149536477E-2</c:v>
                </c:pt>
                <c:pt idx="12">
                  <c:v>4.1787073741811148E-2</c:v>
                </c:pt>
                <c:pt idx="13">
                  <c:v>4.2001315615652152E-2</c:v>
                </c:pt>
                <c:pt idx="14">
                  <c:v>4.2604830701725264E-2</c:v>
                </c:pt>
                <c:pt idx="15">
                  <c:v>4.6719971930329902E-2</c:v>
                </c:pt>
                <c:pt idx="16">
                  <c:v>4.9397032835483252E-2</c:v>
                </c:pt>
                <c:pt idx="17">
                  <c:v>5.4474352635816931E-2</c:v>
                </c:pt>
                <c:pt idx="18">
                  <c:v>5.8478499630521083E-2</c:v>
                </c:pt>
                <c:pt idx="19">
                  <c:v>6.3640817730684182E-2</c:v>
                </c:pt>
                <c:pt idx="20">
                  <c:v>6.6999445651221415E-2</c:v>
                </c:pt>
                <c:pt idx="21">
                  <c:v>6.9044545748799785E-2</c:v>
                </c:pt>
                <c:pt idx="22">
                  <c:v>7.0623166895993225E-2</c:v>
                </c:pt>
                <c:pt idx="23">
                  <c:v>7.1665448775852597E-2</c:v>
                </c:pt>
                <c:pt idx="24">
                  <c:v>7.2690973799633365E-2</c:v>
                </c:pt>
                <c:pt idx="25">
                  <c:v>7.3834159375815764E-2</c:v>
                </c:pt>
                <c:pt idx="26">
                  <c:v>7.5380128911334984E-2</c:v>
                </c:pt>
                <c:pt idx="27">
                  <c:v>7.7163689277209138E-2</c:v>
                </c:pt>
                <c:pt idx="28">
                  <c:v>7.9549493872358282E-2</c:v>
                </c:pt>
                <c:pt idx="29">
                  <c:v>8.2298754238922925E-2</c:v>
                </c:pt>
                <c:pt idx="30">
                  <c:v>8.4854710393597946E-2</c:v>
                </c:pt>
                <c:pt idx="31">
                  <c:v>8.7409173923020889E-2</c:v>
                </c:pt>
                <c:pt idx="32">
                  <c:v>0.14611929255912087</c:v>
                </c:pt>
                <c:pt idx="33">
                  <c:v>0.14784673365469669</c:v>
                </c:pt>
              </c:numCache>
            </c:numRef>
          </c:xVal>
          <c:yVal>
            <c:numRef>
              <c:f>diffusivitiesHTWin0601bNaive!$Y$4:$Y$37</c:f>
              <c:numCache>
                <c:formatCode>General</c:formatCode>
                <c:ptCount val="34"/>
                <c:pt idx="0">
                  <c:v>4.612198743683539</c:v>
                </c:pt>
                <c:pt idx="1">
                  <c:v>3.3837639577447938</c:v>
                </c:pt>
                <c:pt idx="2">
                  <c:v>2.6800335455765492</c:v>
                </c:pt>
                <c:pt idx="3">
                  <c:v>2.0791396247825702</c:v>
                </c:pt>
                <c:pt idx="4">
                  <c:v>1.6330636564107692</c:v>
                </c:pt>
                <c:pt idx="5">
                  <c:v>1.1493465082497885</c:v>
                </c:pt>
                <c:pt idx="6">
                  <c:v>0.8541552278750757</c:v>
                </c:pt>
                <c:pt idx="7">
                  <c:v>0.55006388095879188</c:v>
                </c:pt>
                <c:pt idx="8">
                  <c:v>0.52317406262204713</c:v>
                </c:pt>
                <c:pt idx="9">
                  <c:v>0.56999037838793853</c:v>
                </c:pt>
                <c:pt idx="10">
                  <c:v>0.84438799385756269</c:v>
                </c:pt>
                <c:pt idx="11">
                  <c:v>0.54036636550812389</c:v>
                </c:pt>
                <c:pt idx="12">
                  <c:v>1.2436058861766917</c:v>
                </c:pt>
                <c:pt idx="13">
                  <c:v>0.75989780579933353</c:v>
                </c:pt>
                <c:pt idx="14">
                  <c:v>0.27513058105351718</c:v>
                </c:pt>
                <c:pt idx="15">
                  <c:v>0.63762222310852579</c:v>
                </c:pt>
                <c:pt idx="16">
                  <c:v>0.65695727935371906</c:v>
                </c:pt>
                <c:pt idx="17">
                  <c:v>0.81913735592656423</c:v>
                </c:pt>
                <c:pt idx="18">
                  <c:v>0.55596083024159171</c:v>
                </c:pt>
                <c:pt idx="19">
                  <c:v>0.71366221421016363</c:v>
                </c:pt>
                <c:pt idx="20">
                  <c:v>0.46247031951800821</c:v>
                </c:pt>
                <c:pt idx="21">
                  <c:v>0.19372982370033043</c:v>
                </c:pt>
                <c:pt idx="22">
                  <c:v>0.18397315987389362</c:v>
                </c:pt>
                <c:pt idx="23">
                  <c:v>3.6314625449275439E-2</c:v>
                </c:pt>
                <c:pt idx="24">
                  <c:v>-2.2323536900429986E-2</c:v>
                </c:pt>
                <c:pt idx="25">
                  <c:v>-1.4504817189273211E-2</c:v>
                </c:pt>
                <c:pt idx="26">
                  <c:v>4.4892724853195176E-2</c:v>
                </c:pt>
                <c:pt idx="27">
                  <c:v>-4.5540878645535798E-2</c:v>
                </c:pt>
                <c:pt idx="28">
                  <c:v>4.750409718685944E-2</c:v>
                </c:pt>
                <c:pt idx="29">
                  <c:v>2.461597921943337E-2</c:v>
                </c:pt>
                <c:pt idx="30">
                  <c:v>-1.1675472611731408E-2</c:v>
                </c:pt>
                <c:pt idx="31">
                  <c:v>1.9341058824977608E-2</c:v>
                </c:pt>
                <c:pt idx="32">
                  <c:v>-4.517262011036749E-2</c:v>
                </c:pt>
                <c:pt idx="33">
                  <c:v>-3.3451160076410247E-2</c:v>
                </c:pt>
              </c:numCache>
            </c:numRef>
          </c:yVal>
          <c:smooth val="0"/>
          <c:extLst>
            <c:ext xmlns:c16="http://schemas.microsoft.com/office/drawing/2014/chart" uri="{C3380CC4-5D6E-409C-BE32-E72D297353CC}">
              <c16:uniqueId val="{00000000-DDA9-4305-8E54-2822F201E188}"/>
            </c:ext>
          </c:extLst>
        </c:ser>
        <c:ser>
          <c:idx val="1"/>
          <c:order val="1"/>
          <c:tx>
            <c:v>4He</c:v>
          </c:tx>
          <c:spPr>
            <a:ln w="25400" cap="rnd">
              <a:solidFill>
                <a:srgbClr val="FF0000">
                  <a:alpha val="36000"/>
                </a:srgbClr>
              </a:solidFill>
              <a:round/>
            </a:ln>
            <a:effectLst/>
          </c:spPr>
          <c:marker>
            <c:symbol val="circle"/>
            <c:size val="5"/>
            <c:spPr>
              <a:solidFill>
                <a:schemeClr val="accent5">
                  <a:lumMod val="60000"/>
                  <a:lumOff val="40000"/>
                </a:schemeClr>
              </a:solidFill>
              <a:ln w="9525">
                <a:solidFill>
                  <a:schemeClr val="accent5">
                    <a:lumMod val="75000"/>
                  </a:schemeClr>
                </a:solidFill>
              </a:ln>
              <a:effectLst/>
            </c:spPr>
          </c:marker>
          <c:errBars>
            <c:errDir val="y"/>
            <c:errBarType val="both"/>
            <c:errValType val="cust"/>
            <c:noEndCap val="0"/>
            <c:plus>
              <c:numRef>
                <c:f>diffusivitiesHTWin0601bNaive!$V$46:$V$79</c:f>
                <c:numCache>
                  <c:formatCode>General</c:formatCode>
                  <c:ptCount val="34"/>
                  <c:pt idx="0">
                    <c:v>0.67419552687620654</c:v>
                  </c:pt>
                  <c:pt idx="1">
                    <c:v>0.44634564367448376</c:v>
                  </c:pt>
                  <c:pt idx="2">
                    <c:v>0.23248049679204985</c:v>
                  </c:pt>
                  <c:pt idx="3">
                    <c:v>0.13428088893522222</c:v>
                  </c:pt>
                  <c:pt idx="4">
                    <c:v>0.11174030157699148</c:v>
                  </c:pt>
                  <c:pt idx="5">
                    <c:v>9.8125809215758808E-2</c:v>
                  </c:pt>
                  <c:pt idx="6">
                    <c:v>7.3293604026966733E-2</c:v>
                  </c:pt>
                  <c:pt idx="7">
                    <c:v>0.11378741229778255</c:v>
                  </c:pt>
                  <c:pt idx="8">
                    <c:v>0.31823392235505976</c:v>
                  </c:pt>
                  <c:pt idx="9">
                    <c:v>1.0217086145355556</c:v>
                  </c:pt>
                  <c:pt idx="10">
                    <c:v>2.3129780894294512</c:v>
                  </c:pt>
                  <c:pt idx="12">
                    <c:v>3.2857698530914781</c:v>
                  </c:pt>
                  <c:pt idx="13">
                    <c:v>2.2137116905802809</c:v>
                  </c:pt>
                  <c:pt idx="14">
                    <c:v>3.0113540409818316</c:v>
                  </c:pt>
                  <c:pt idx="15">
                    <c:v>1.7354503061946676</c:v>
                  </c:pt>
                  <c:pt idx="16">
                    <c:v>1.0004353520258071</c:v>
                  </c:pt>
                  <c:pt idx="17">
                    <c:v>0.68018736762932852</c:v>
                  </c:pt>
                  <c:pt idx="18">
                    <c:v>0.65905353381309673</c:v>
                  </c:pt>
                  <c:pt idx="19">
                    <c:v>0.59369415227831102</c:v>
                  </c:pt>
                  <c:pt idx="20">
                    <c:v>1.0498451621400875</c:v>
                  </c:pt>
                  <c:pt idx="21">
                    <c:v>1.654040722498052</c:v>
                  </c:pt>
                  <c:pt idx="22">
                    <c:v>2.0637344876264541</c:v>
                  </c:pt>
                  <c:pt idx="23">
                    <c:v>3.0712454590157798</c:v>
                  </c:pt>
                  <c:pt idx="24">
                    <c:v>4.2425277061484019</c:v>
                  </c:pt>
                  <c:pt idx="25">
                    <c:v>2.4979903654044149</c:v>
                  </c:pt>
                  <c:pt idx="26">
                    <c:v>1.886417550051732</c:v>
                  </c:pt>
                  <c:pt idx="27">
                    <c:v>1.5377354887539219</c:v>
                  </c:pt>
                  <c:pt idx="28">
                    <c:v>1.1279512779565373</c:v>
                  </c:pt>
                  <c:pt idx="29">
                    <c:v>0.94235990580059337</c:v>
                  </c:pt>
                  <c:pt idx="30">
                    <c:v>1.1416777963599045</c:v>
                  </c:pt>
                  <c:pt idx="31">
                    <c:v>1.1585303745055551</c:v>
                  </c:pt>
                  <c:pt idx="32">
                    <c:v>0.64353718693300543</c:v>
                  </c:pt>
                  <c:pt idx="33">
                    <c:v>1.2084910037019327</c:v>
                  </c:pt>
                </c:numCache>
              </c:numRef>
            </c:plus>
            <c:minus>
              <c:numRef>
                <c:f>diffusivitiesHTWin0601bNaive!$V$46:$V$79</c:f>
                <c:numCache>
                  <c:formatCode>General</c:formatCode>
                  <c:ptCount val="34"/>
                  <c:pt idx="0">
                    <c:v>0.67419552687620654</c:v>
                  </c:pt>
                  <c:pt idx="1">
                    <c:v>0.44634564367448376</c:v>
                  </c:pt>
                  <c:pt idx="2">
                    <c:v>0.23248049679204985</c:v>
                  </c:pt>
                  <c:pt idx="3">
                    <c:v>0.13428088893522222</c:v>
                  </c:pt>
                  <c:pt idx="4">
                    <c:v>0.11174030157699148</c:v>
                  </c:pt>
                  <c:pt idx="5">
                    <c:v>9.8125809215758808E-2</c:v>
                  </c:pt>
                  <c:pt idx="6">
                    <c:v>7.3293604026966733E-2</c:v>
                  </c:pt>
                  <c:pt idx="7">
                    <c:v>0.11378741229778255</c:v>
                  </c:pt>
                  <c:pt idx="8">
                    <c:v>0.31823392235505976</c:v>
                  </c:pt>
                  <c:pt idx="9">
                    <c:v>1.0217086145355556</c:v>
                  </c:pt>
                  <c:pt idx="10">
                    <c:v>2.3129780894294512</c:v>
                  </c:pt>
                  <c:pt idx="12">
                    <c:v>3.2857698530914781</c:v>
                  </c:pt>
                  <c:pt idx="13">
                    <c:v>2.2137116905802809</c:v>
                  </c:pt>
                  <c:pt idx="14">
                    <c:v>3.0113540409818316</c:v>
                  </c:pt>
                  <c:pt idx="15">
                    <c:v>1.7354503061946676</c:v>
                  </c:pt>
                  <c:pt idx="16">
                    <c:v>1.0004353520258071</c:v>
                  </c:pt>
                  <c:pt idx="17">
                    <c:v>0.68018736762932852</c:v>
                  </c:pt>
                  <c:pt idx="18">
                    <c:v>0.65905353381309673</c:v>
                  </c:pt>
                  <c:pt idx="19">
                    <c:v>0.59369415227831102</c:v>
                  </c:pt>
                  <c:pt idx="20">
                    <c:v>1.0498451621400875</c:v>
                  </c:pt>
                  <c:pt idx="21">
                    <c:v>1.654040722498052</c:v>
                  </c:pt>
                  <c:pt idx="22">
                    <c:v>2.0637344876264541</c:v>
                  </c:pt>
                  <c:pt idx="23">
                    <c:v>3.0712454590157798</c:v>
                  </c:pt>
                  <c:pt idx="24">
                    <c:v>4.2425277061484019</c:v>
                  </c:pt>
                  <c:pt idx="25">
                    <c:v>2.4979903654044149</c:v>
                  </c:pt>
                  <c:pt idx="26">
                    <c:v>1.886417550051732</c:v>
                  </c:pt>
                  <c:pt idx="27">
                    <c:v>1.5377354887539219</c:v>
                  </c:pt>
                  <c:pt idx="28">
                    <c:v>1.1279512779565373</c:v>
                  </c:pt>
                  <c:pt idx="29">
                    <c:v>0.94235990580059337</c:v>
                  </c:pt>
                  <c:pt idx="30">
                    <c:v>1.1416777963599045</c:v>
                  </c:pt>
                  <c:pt idx="31">
                    <c:v>1.1585303745055551</c:v>
                  </c:pt>
                  <c:pt idx="32">
                    <c:v>0.64353718693300543</c:v>
                  </c:pt>
                  <c:pt idx="33">
                    <c:v>1.2084910037019327</c:v>
                  </c:pt>
                </c:numCache>
              </c:numRef>
            </c:minus>
            <c:spPr>
              <a:noFill/>
              <a:ln w="9525" cap="flat" cmpd="sng" algn="ctr">
                <a:solidFill>
                  <a:schemeClr val="accent5">
                    <a:lumMod val="60000"/>
                    <a:lumOff val="40000"/>
                    <a:alpha val="44000"/>
                  </a:schemeClr>
                </a:solidFill>
                <a:round/>
              </a:ln>
              <a:effectLst/>
            </c:spPr>
          </c:errBars>
          <c:xVal>
            <c:numRef>
              <c:f>diffusivitiesHTWin0601bNaive!$I$4:$I$37</c:f>
              <c:numCache>
                <c:formatCode>0.00E+00</c:formatCode>
                <c:ptCount val="34"/>
                <c:pt idx="0">
                  <c:v>7.9353018444338775E-3</c:v>
                </c:pt>
                <c:pt idx="1">
                  <c:v>1.1696695263584267E-2</c:v>
                </c:pt>
                <c:pt idx="2">
                  <c:v>1.564951767140554E-2</c:v>
                </c:pt>
                <c:pt idx="3">
                  <c:v>1.9340024698823025E-2</c:v>
                </c:pt>
                <c:pt idx="4">
                  <c:v>2.3569848306964888E-2</c:v>
                </c:pt>
                <c:pt idx="5">
                  <c:v>2.8148880745362634E-2</c:v>
                </c:pt>
                <c:pt idx="6">
                  <c:v>3.3950252415334115E-2</c:v>
                </c:pt>
                <c:pt idx="7">
                  <c:v>3.9244926157334999E-2</c:v>
                </c:pt>
                <c:pt idx="8">
                  <c:v>4.031405026952533E-2</c:v>
                </c:pt>
                <c:pt idx="9">
                  <c:v>4.0872509277167506E-2</c:v>
                </c:pt>
                <c:pt idx="10">
                  <c:v>4.1526961780006325E-2</c:v>
                </c:pt>
                <c:pt idx="11">
                  <c:v>4.1657994149536477E-2</c:v>
                </c:pt>
                <c:pt idx="12">
                  <c:v>4.1787073741811148E-2</c:v>
                </c:pt>
                <c:pt idx="13">
                  <c:v>4.2001315615652152E-2</c:v>
                </c:pt>
                <c:pt idx="14">
                  <c:v>4.2604830701725264E-2</c:v>
                </c:pt>
                <c:pt idx="15">
                  <c:v>4.6719971930329902E-2</c:v>
                </c:pt>
                <c:pt idx="16">
                  <c:v>4.9397032835483252E-2</c:v>
                </c:pt>
                <c:pt idx="17">
                  <c:v>5.4474352635816931E-2</c:v>
                </c:pt>
                <c:pt idx="18">
                  <c:v>5.8478499630521083E-2</c:v>
                </c:pt>
                <c:pt idx="19">
                  <c:v>6.3640817730684182E-2</c:v>
                </c:pt>
                <c:pt idx="20">
                  <c:v>6.6999445651221415E-2</c:v>
                </c:pt>
                <c:pt idx="21">
                  <c:v>6.9044545748799785E-2</c:v>
                </c:pt>
                <c:pt idx="22">
                  <c:v>7.0623166895993225E-2</c:v>
                </c:pt>
                <c:pt idx="23">
                  <c:v>7.1665448775852597E-2</c:v>
                </c:pt>
                <c:pt idx="24">
                  <c:v>7.2690973799633365E-2</c:v>
                </c:pt>
                <c:pt idx="25">
                  <c:v>7.3834159375815764E-2</c:v>
                </c:pt>
                <c:pt idx="26">
                  <c:v>7.5380128911334984E-2</c:v>
                </c:pt>
                <c:pt idx="27">
                  <c:v>7.7163689277209138E-2</c:v>
                </c:pt>
                <c:pt idx="28">
                  <c:v>7.9549493872358282E-2</c:v>
                </c:pt>
                <c:pt idx="29">
                  <c:v>8.2298754238922925E-2</c:v>
                </c:pt>
                <c:pt idx="30">
                  <c:v>8.4854710393597946E-2</c:v>
                </c:pt>
                <c:pt idx="31">
                  <c:v>8.7409173923020889E-2</c:v>
                </c:pt>
                <c:pt idx="32">
                  <c:v>0.14611929255912087</c:v>
                </c:pt>
                <c:pt idx="33">
                  <c:v>0.14784673365469669</c:v>
                </c:pt>
              </c:numCache>
            </c:numRef>
          </c:xVal>
          <c:yVal>
            <c:numRef>
              <c:f>diffusivitiesHTWin0601bNaive!$Y$46:$Y$79</c:f>
              <c:numCache>
                <c:formatCode>General</c:formatCode>
                <c:ptCount val="34"/>
                <c:pt idx="0">
                  <c:v>-3.8439718450984621</c:v>
                </c:pt>
                <c:pt idx="1">
                  <c:v>-3.4299081919308492</c:v>
                </c:pt>
                <c:pt idx="2">
                  <c:v>-2.9000237392747366</c:v>
                </c:pt>
                <c:pt idx="3">
                  <c:v>-2.3326182366179893</c:v>
                </c:pt>
                <c:pt idx="4">
                  <c:v>-2.1664538258147061</c:v>
                </c:pt>
                <c:pt idx="5">
                  <c:v>-2.0765439493156634</c:v>
                </c:pt>
                <c:pt idx="6">
                  <c:v>-1.8542162377609372</c:v>
                </c:pt>
                <c:pt idx="7">
                  <c:v>-1.8244461092506441</c:v>
                </c:pt>
                <c:pt idx="8">
                  <c:v>-1.7067532477933511</c:v>
                </c:pt>
                <c:pt idx="9">
                  <c:v>-1.7834630258466326</c:v>
                </c:pt>
                <c:pt idx="10">
                  <c:v>-1.9294640115641783</c:v>
                </c:pt>
                <c:pt idx="12">
                  <c:v>-0.43405296145637351</c:v>
                </c:pt>
                <c:pt idx="13">
                  <c:v>-1.442036859142803</c:v>
                </c:pt>
                <c:pt idx="14">
                  <c:v>-1.5316857529381522</c:v>
                </c:pt>
                <c:pt idx="15">
                  <c:v>-1.6939130790504429</c:v>
                </c:pt>
                <c:pt idx="16">
                  <c:v>-1.2839733436374985</c:v>
                </c:pt>
                <c:pt idx="17">
                  <c:v>-1.099313178792066</c:v>
                </c:pt>
                <c:pt idx="18">
                  <c:v>-1.0225524681756255</c:v>
                </c:pt>
                <c:pt idx="19">
                  <c:v>-0.91065396198984061</c:v>
                </c:pt>
                <c:pt idx="20">
                  <c:v>-1.05283722828786</c:v>
                </c:pt>
                <c:pt idx="21">
                  <c:v>-1.2903926206084293</c:v>
                </c:pt>
                <c:pt idx="22">
                  <c:v>-1.2554401965949111</c:v>
                </c:pt>
                <c:pt idx="23">
                  <c:v>-1.3807268900007443</c:v>
                </c:pt>
                <c:pt idx="24">
                  <c:v>-1.5403486231270236</c:v>
                </c:pt>
                <c:pt idx="25">
                  <c:v>-1.4764305559277844</c:v>
                </c:pt>
                <c:pt idx="26">
                  <c:v>-1.3620311437440336</c:v>
                </c:pt>
                <c:pt idx="27">
                  <c:v>-1.3796443833201693</c:v>
                </c:pt>
                <c:pt idx="28">
                  <c:v>-1.2528859801209826</c:v>
                </c:pt>
                <c:pt idx="29">
                  <c:v>-1.2215399283967656</c:v>
                </c:pt>
                <c:pt idx="30">
                  <c:v>-1.2885261057818447</c:v>
                </c:pt>
                <c:pt idx="31">
                  <c:v>-1.2532035233334646</c:v>
                </c:pt>
                <c:pt idx="32">
                  <c:v>-0.95572922762677592</c:v>
                </c:pt>
                <c:pt idx="33">
                  <c:v>-0.91404233011218139</c:v>
                </c:pt>
              </c:numCache>
            </c:numRef>
          </c:yVal>
          <c:smooth val="0"/>
          <c:extLst>
            <c:ext xmlns:c16="http://schemas.microsoft.com/office/drawing/2014/chart" uri="{C3380CC4-5D6E-409C-BE32-E72D297353CC}">
              <c16:uniqueId val="{00000001-DDA9-4305-8E54-2822F201E188}"/>
            </c:ext>
          </c:extLst>
        </c:ser>
        <c:dLbls>
          <c:showLegendKey val="0"/>
          <c:showVal val="0"/>
          <c:showCatName val="0"/>
          <c:showSerName val="0"/>
          <c:showPercent val="0"/>
          <c:showBubbleSize val="0"/>
        </c:dLbls>
        <c:axId val="996476207"/>
        <c:axId val="996477647"/>
      </c:scatterChart>
      <c:valAx>
        <c:axId val="996476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3He Fractional</a:t>
                </a:r>
                <a:r>
                  <a:rPr lang="en-US" baseline="0"/>
                  <a:t> Yield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7647"/>
        <c:crosses val="autoZero"/>
        <c:crossBetween val="midCat"/>
      </c:valAx>
      <c:valAx>
        <c:axId val="996477647"/>
        <c:scaling>
          <c:orientation val="minMax"/>
          <c:max val="5"/>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Delta</a:t>
                </a:r>
                <a:r>
                  <a:rPr lang="en-US" baseline="0"/>
                  <a:t> ln(D/a</a:t>
                </a:r>
                <a:r>
                  <a:rPr lang="en-US" baseline="30000"/>
                  <a:t>2</a:t>
                </a:r>
                <a:r>
                  <a:rPr lang="en-US" baseline="0"/>
                  <a: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62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Naive</a:t>
            </a:r>
            <a:r>
              <a:rPr lang="en-US" baseline="0"/>
              <a:t> Method Apparent 3He Permeabilities for 1560 seconds of cooling time</a:t>
            </a:r>
            <a:endParaRPr lang="en-US"/>
          </a:p>
        </c:rich>
      </c:tx>
      <c:layout>
        <c:manualLayout>
          <c:xMode val="edge"/>
          <c:yMode val="edge"/>
          <c:x val="0.23705243442761825"/>
          <c:y val="2.5688734615228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Swets et al., 1961; Jones 1954. Anhydrous</c:v>
          </c:tx>
          <c:spPr>
            <a:ln w="25400" cap="rnd">
              <a:solidFill>
                <a:schemeClr val="accent6">
                  <a:lumMod val="40000"/>
                  <a:lumOff val="60000"/>
                </a:schemeClr>
              </a:solidFill>
              <a:round/>
            </a:ln>
            <a:effectLst/>
          </c:spPr>
          <c:marker>
            <c:symbol val="circle"/>
            <c:size val="5"/>
            <c:spPr>
              <a:solidFill>
                <a:schemeClr val="accent3"/>
              </a:solidFill>
              <a:ln w="9525">
                <a:solidFill>
                  <a:schemeClr val="accent3"/>
                </a:solidFill>
              </a:ln>
              <a:effectLst/>
            </c:spPr>
          </c:marker>
          <c:xVal>
            <c:numRef>
              <c:f>'Naive Apparent Lambdas'!$P$2:$P$6</c:f>
              <c:numCache>
                <c:formatCode>General</c:formatCode>
                <c:ptCount val="5"/>
                <c:pt idx="0">
                  <c:v>27.548209366391184</c:v>
                </c:pt>
                <c:pt idx="1">
                  <c:v>27.173913043478262</c:v>
                </c:pt>
                <c:pt idx="2">
                  <c:v>26.809651474530831</c:v>
                </c:pt>
                <c:pt idx="3">
                  <c:v>26.455026455026456</c:v>
                </c:pt>
                <c:pt idx="4">
                  <c:v>26.109660574412533</c:v>
                </c:pt>
              </c:numCache>
            </c:numRef>
          </c:xVal>
          <c:yVal>
            <c:numRef>
              <c:f>'Naive Apparent Lambdas'!$Q$2:$Q$6</c:f>
              <c:numCache>
                <c:formatCode>General</c:formatCode>
                <c:ptCount val="5"/>
                <c:pt idx="0">
                  <c:v>25.018107203522302</c:v>
                </c:pt>
                <c:pt idx="1">
                  <c:v>25.111483493038101</c:v>
                </c:pt>
                <c:pt idx="2">
                  <c:v>25.2023563967761</c:v>
                </c:pt>
                <c:pt idx="3">
                  <c:v>25.290825255441501</c:v>
                </c:pt>
                <c:pt idx="4">
                  <c:v>25.376984222235901</c:v>
                </c:pt>
              </c:numCache>
            </c:numRef>
          </c:yVal>
          <c:smooth val="0"/>
          <c:extLst>
            <c:ext xmlns:c16="http://schemas.microsoft.com/office/drawing/2014/chart" uri="{C3380CC4-5D6E-409C-BE32-E72D297353CC}">
              <c16:uniqueId val="{00000006-316A-4F36-907B-E04AA03543F9}"/>
            </c:ext>
          </c:extLst>
        </c:ser>
        <c:ser>
          <c:idx val="4"/>
          <c:order val="1"/>
          <c:tx>
            <c:v>Diffusion Model with cooling, Anhydrous</c:v>
          </c:tx>
          <c:spPr>
            <a:ln w="25400" cap="rnd">
              <a:noFill/>
              <a:round/>
            </a:ln>
            <a:effectLst/>
          </c:spPr>
          <c:marker>
            <c:symbol val="circle"/>
            <c:size val="5"/>
            <c:spPr>
              <a:noFill/>
              <a:ln w="9525">
                <a:solidFill>
                  <a:schemeClr val="accent5"/>
                </a:solidFill>
              </a:ln>
              <a:effectLst/>
            </c:spPr>
          </c:marker>
          <c:xVal>
            <c:numRef>
              <c:f>'Naive Apparent Lambdas'!$E$2:$E$11</c:f>
              <c:numCache>
                <c:formatCode>General</c:formatCode>
                <c:ptCount val="10"/>
                <c:pt idx="0">
                  <c:v>26.455026455026456</c:v>
                </c:pt>
                <c:pt idx="1">
                  <c:v>26.11034230658764</c:v>
                </c:pt>
                <c:pt idx="2">
                  <c:v>26.819717856568147</c:v>
                </c:pt>
                <c:pt idx="3">
                  <c:v>27.173913043478262</c:v>
                </c:pt>
                <c:pt idx="4">
                  <c:v>26.455726341966717</c:v>
                </c:pt>
                <c:pt idx="5">
                  <c:v>26.809651474530831</c:v>
                </c:pt>
                <c:pt idx="6">
                  <c:v>27.173913043478262</c:v>
                </c:pt>
                <c:pt idx="7">
                  <c:v>27.548209366391184</c:v>
                </c:pt>
                <c:pt idx="8">
                  <c:v>27.548209366391184</c:v>
                </c:pt>
                <c:pt idx="9">
                  <c:v>26.810370251213168</c:v>
                </c:pt>
              </c:numCache>
            </c:numRef>
          </c:xVal>
          <c:yVal>
            <c:numRef>
              <c:f>'Naive Apparent Lambdas'!$S$2:$S$12</c:f>
              <c:numCache>
                <c:formatCode>General</c:formatCode>
                <c:ptCount val="11"/>
              </c:numCache>
            </c:numRef>
          </c:yVal>
          <c:smooth val="0"/>
          <c:extLst>
            <c:ext xmlns:c16="http://schemas.microsoft.com/office/drawing/2014/chart" uri="{C3380CC4-5D6E-409C-BE32-E72D297353CC}">
              <c16:uniqueId val="{00000007-316A-4F36-907B-E04AA03543F9}"/>
            </c:ext>
          </c:extLst>
        </c:ser>
        <c:ser>
          <c:idx val="0"/>
          <c:order val="2"/>
          <c:tx>
            <c:v>95% Confidence Interval For Prediction</c:v>
          </c:tx>
          <c:spPr>
            <a:ln w="25400" cap="rnd">
              <a:solidFill>
                <a:schemeClr val="accent4">
                  <a:alpha val="24000"/>
                </a:schemeClr>
              </a:solidFill>
              <a:round/>
            </a:ln>
            <a:effectLst/>
          </c:spPr>
          <c:marker>
            <c:symbol val="none"/>
          </c:marker>
          <c:xVal>
            <c:numRef>
              <c:f>'Naive Apparent Lambdas'!$S$24:$S$25</c:f>
              <c:numCache>
                <c:formatCode>General</c:formatCode>
                <c:ptCount val="2"/>
                <c:pt idx="0">
                  <c:v>27.6</c:v>
                </c:pt>
                <c:pt idx="1">
                  <c:v>26.1</c:v>
                </c:pt>
              </c:numCache>
            </c:numRef>
          </c:xVal>
          <c:yVal>
            <c:numRef>
              <c:f>'Naive Apparent Lambdas'!$T$24:$T$25</c:f>
              <c:numCache>
                <c:formatCode>General</c:formatCode>
                <c:ptCount val="2"/>
                <c:pt idx="0">
                  <c:v>25.186615555018591</c:v>
                </c:pt>
                <c:pt idx="1">
                  <c:v>25.956044192272408</c:v>
                </c:pt>
              </c:numCache>
            </c:numRef>
          </c:yVal>
          <c:smooth val="0"/>
          <c:extLst>
            <c:ext xmlns:c16="http://schemas.microsoft.com/office/drawing/2014/chart" uri="{C3380CC4-5D6E-409C-BE32-E72D297353CC}">
              <c16:uniqueId val="{0000000C-316A-4F36-907B-E04AA03543F9}"/>
            </c:ext>
          </c:extLst>
        </c:ser>
        <c:ser>
          <c:idx val="1"/>
          <c:order val="3"/>
          <c:spPr>
            <a:ln w="25400" cap="rnd">
              <a:solidFill>
                <a:schemeClr val="accent4">
                  <a:alpha val="23000"/>
                </a:schemeClr>
              </a:solidFill>
              <a:round/>
            </a:ln>
            <a:effectLst/>
          </c:spPr>
          <c:marker>
            <c:symbol val="none"/>
          </c:marker>
          <c:xVal>
            <c:numRef>
              <c:f>'Naive Apparent Lambdas'!$S$24:$S$25</c:f>
              <c:numCache>
                <c:formatCode>General</c:formatCode>
                <c:ptCount val="2"/>
                <c:pt idx="0">
                  <c:v>27.6</c:v>
                </c:pt>
                <c:pt idx="1">
                  <c:v>26.1</c:v>
                </c:pt>
              </c:numCache>
            </c:numRef>
          </c:xVal>
          <c:yVal>
            <c:numRef>
              <c:f>'Naive Apparent Lambdas'!$U$24:$U$25</c:f>
              <c:numCache>
                <c:formatCode>General</c:formatCode>
                <c:ptCount val="2"/>
                <c:pt idx="0">
                  <c:v>24.922091194719243</c:v>
                </c:pt>
                <c:pt idx="1">
                  <c:v>25.691519831973061</c:v>
                </c:pt>
              </c:numCache>
            </c:numRef>
          </c:yVal>
          <c:smooth val="0"/>
          <c:extLst>
            <c:ext xmlns:c16="http://schemas.microsoft.com/office/drawing/2014/chart" uri="{C3380CC4-5D6E-409C-BE32-E72D297353CC}">
              <c16:uniqueId val="{0000000D-316A-4F36-907B-E04AA03543F9}"/>
            </c:ext>
          </c:extLst>
        </c:ser>
        <c:ser>
          <c:idx val="3"/>
          <c:order val="4"/>
          <c:tx>
            <c:v>Naïve Method Fit Values: Goethite Tube</c:v>
          </c:tx>
          <c:spPr>
            <a:ln w="25400" cap="rnd">
              <a:noFill/>
              <a:round/>
            </a:ln>
            <a:effectLst/>
          </c:spPr>
          <c:marker>
            <c:symbol val="circle"/>
            <c:size val="5"/>
            <c:spPr>
              <a:noFill/>
              <a:ln w="9525">
                <a:solidFill>
                  <a:schemeClr val="accent4"/>
                </a:solidFill>
              </a:ln>
              <a:effectLst/>
            </c:spPr>
          </c:marker>
          <c:trendline>
            <c:spPr>
              <a:ln w="19050" cap="rnd">
                <a:solidFill>
                  <a:schemeClr val="accent4"/>
                </a:solidFill>
                <a:prstDash val="sysDot"/>
              </a:ln>
              <a:effectLst/>
            </c:spPr>
            <c:trendlineType val="linear"/>
            <c:dispRSqr val="1"/>
            <c:dispEq val="1"/>
            <c:trendlineLbl>
              <c:layout>
                <c:manualLayout>
                  <c:x val="-2.6592169985074857E-2"/>
                  <c:y val="-0.18062819288432094"/>
                </c:manualLayout>
              </c:layout>
              <c:numFmt formatCode="#,##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errBars>
            <c:errDir val="y"/>
            <c:errBarType val="both"/>
            <c:errValType val="cust"/>
            <c:noEndCap val="0"/>
            <c:plus>
              <c:numRef>
                <c:f>('Naive Apparent Lambdas'!$K$2:$K$9,'Naive Apparent Lambdas'!$K$10:$K$11)</c:f>
                <c:numCache>
                  <c:formatCode>General</c:formatCode>
                  <c:ptCount val="10"/>
                  <c:pt idx="0">
                    <c:v>0.2780704838388533</c:v>
                  </c:pt>
                  <c:pt idx="1">
                    <c:v>0.2905139067122256</c:v>
                  </c:pt>
                  <c:pt idx="2">
                    <c:v>0.29177748762405553</c:v>
                  </c:pt>
                  <c:pt idx="3">
                    <c:v>8.2537522318560291E-2</c:v>
                  </c:pt>
                  <c:pt idx="4">
                    <c:v>0.12206887264114533</c:v>
                  </c:pt>
                  <c:pt idx="5">
                    <c:v>0.11203846260278623</c:v>
                  </c:pt>
                  <c:pt idx="6">
                    <c:v>0.45701608510159564</c:v>
                  </c:pt>
                  <c:pt idx="7">
                    <c:v>0.18026466020520085</c:v>
                  </c:pt>
                  <c:pt idx="8">
                    <c:v>0.30138077852519563</c:v>
                  </c:pt>
                  <c:pt idx="9">
                    <c:v>0.31142098031239968</c:v>
                  </c:pt>
                </c:numCache>
              </c:numRef>
            </c:plus>
            <c:minus>
              <c:numRef>
                <c:f>('Naive Apparent Lambdas'!$K$2:$K$9,'Naive Apparent Lambdas'!$K$10:$K$11)</c:f>
                <c:numCache>
                  <c:formatCode>General</c:formatCode>
                  <c:ptCount val="10"/>
                  <c:pt idx="0">
                    <c:v>0.2780704838388533</c:v>
                  </c:pt>
                  <c:pt idx="1">
                    <c:v>0.2905139067122256</c:v>
                  </c:pt>
                  <c:pt idx="2">
                    <c:v>0.29177748762405553</c:v>
                  </c:pt>
                  <c:pt idx="3">
                    <c:v>8.2537522318560291E-2</c:v>
                  </c:pt>
                  <c:pt idx="4">
                    <c:v>0.12206887264114533</c:v>
                  </c:pt>
                  <c:pt idx="5">
                    <c:v>0.11203846260278623</c:v>
                  </c:pt>
                  <c:pt idx="6">
                    <c:v>0.45701608510159564</c:v>
                  </c:pt>
                  <c:pt idx="7">
                    <c:v>0.18026466020520085</c:v>
                  </c:pt>
                  <c:pt idx="8">
                    <c:v>0.30138077852519563</c:v>
                  </c:pt>
                  <c:pt idx="9">
                    <c:v>0.31142098031239968</c:v>
                  </c:pt>
                </c:numCache>
              </c:numRef>
            </c:minus>
            <c:spPr>
              <a:noFill/>
              <a:ln w="9525" cap="flat" cmpd="sng" algn="ctr">
                <a:solidFill>
                  <a:schemeClr val="tx1"/>
                </a:solidFill>
                <a:round/>
              </a:ln>
              <a:effectLst/>
            </c:spPr>
          </c:errBars>
          <c:xVal>
            <c:numRef>
              <c:f>('Naive Apparent Lambdas'!$E$2:$E$9,'Naive Apparent Lambdas'!$E$10:$E$11)</c:f>
              <c:numCache>
                <c:formatCode>General</c:formatCode>
                <c:ptCount val="10"/>
                <c:pt idx="0">
                  <c:v>26.455026455026456</c:v>
                </c:pt>
                <c:pt idx="1">
                  <c:v>26.11034230658764</c:v>
                </c:pt>
                <c:pt idx="2">
                  <c:v>26.819717856568147</c:v>
                </c:pt>
                <c:pt idx="3">
                  <c:v>27.173913043478262</c:v>
                </c:pt>
                <c:pt idx="4">
                  <c:v>26.455726341966717</c:v>
                </c:pt>
                <c:pt idx="5">
                  <c:v>26.809651474530831</c:v>
                </c:pt>
                <c:pt idx="6">
                  <c:v>27.173913043478262</c:v>
                </c:pt>
                <c:pt idx="7">
                  <c:v>27.548209366391184</c:v>
                </c:pt>
                <c:pt idx="8">
                  <c:v>27.548209366391184</c:v>
                </c:pt>
                <c:pt idx="9">
                  <c:v>26.810370251213168</c:v>
                </c:pt>
              </c:numCache>
            </c:numRef>
          </c:xVal>
          <c:yVal>
            <c:numRef>
              <c:f>('Naive Apparent Lambdas'!$J$2:$J$9,'Naive Apparent Lambdas'!$J$10:$J$11)</c:f>
              <c:numCache>
                <c:formatCode>General</c:formatCode>
                <c:ptCount val="10"/>
                <c:pt idx="0">
                  <c:v>25.629131653354218</c:v>
                </c:pt>
                <c:pt idx="1">
                  <c:v>25.871766715804515</c:v>
                </c:pt>
                <c:pt idx="2">
                  <c:v>25.529309592783147</c:v>
                </c:pt>
                <c:pt idx="3">
                  <c:v>25.206273361069854</c:v>
                </c:pt>
                <c:pt idx="4">
                  <c:v>25.664758346341085</c:v>
                </c:pt>
                <c:pt idx="5">
                  <c:v>25.363494923060479</c:v>
                </c:pt>
                <c:pt idx="6">
                  <c:v>25.275979068148281</c:v>
                </c:pt>
                <c:pt idx="7">
                  <c:v>25.07087478801504</c:v>
                </c:pt>
                <c:pt idx="8">
                  <c:v>25.177040312668698</c:v>
                </c:pt>
                <c:pt idx="9">
                  <c:v>25.394261659047757</c:v>
                </c:pt>
              </c:numCache>
            </c:numRef>
          </c:yVal>
          <c:smooth val="0"/>
          <c:extLst>
            <c:ext xmlns:c16="http://schemas.microsoft.com/office/drawing/2014/chart" uri="{C3380CC4-5D6E-409C-BE32-E72D297353CC}">
              <c16:uniqueId val="{00000001-316A-4F36-907B-E04AA03543F9}"/>
            </c:ext>
          </c:extLst>
        </c:ser>
        <c:ser>
          <c:idx val="5"/>
          <c:order val="5"/>
          <c:tx>
            <c:v>100°C Empty H2O Tube Experiment</c:v>
          </c:tx>
          <c:spPr>
            <a:ln w="19050" cap="rnd">
              <a:solidFill>
                <a:srgbClr val="FF0000"/>
              </a:solidFill>
              <a:round/>
            </a:ln>
            <a:effectLst/>
          </c:spPr>
          <c:marker>
            <c:symbol val="circle"/>
            <c:size val="5"/>
            <c:spPr>
              <a:solidFill>
                <a:srgbClr val="FF0000"/>
              </a:solidFill>
              <a:ln w="9525">
                <a:solidFill>
                  <a:srgbClr val="FF0000"/>
                </a:solidFill>
              </a:ln>
              <a:effectLst/>
            </c:spPr>
          </c:marker>
          <c:errBars>
            <c:errDir val="y"/>
            <c:errBarType val="both"/>
            <c:errValType val="cust"/>
            <c:noEndCap val="0"/>
            <c:plus>
              <c:numRef>
                <c:f>'Naive Apparent Lambdas'!$K$16</c:f>
                <c:numCache>
                  <c:formatCode>General</c:formatCode>
                  <c:ptCount val="1"/>
                  <c:pt idx="0">
                    <c:v>0.16318686556120893</c:v>
                  </c:pt>
                </c:numCache>
              </c:numRef>
            </c:plus>
            <c:minus>
              <c:numRef>
                <c:f>'Naive Apparent Lambdas'!$K$16</c:f>
                <c:numCache>
                  <c:formatCode>General</c:formatCode>
                  <c:ptCount val="1"/>
                  <c:pt idx="0">
                    <c:v>0.16318686556120893</c:v>
                  </c:pt>
                </c:numCache>
              </c:numRef>
            </c:minus>
            <c:spPr>
              <a:noFill/>
              <a:ln w="12700" cap="flat" cmpd="sng" algn="ctr">
                <a:solidFill>
                  <a:srgbClr val="FF0000">
                    <a:alpha val="99000"/>
                  </a:srgbClr>
                </a:solidFill>
                <a:round/>
              </a:ln>
              <a:effectLst/>
            </c:spPr>
          </c:errBars>
          <c:xVal>
            <c:numRef>
              <c:f>'Naive Apparent Lambdas'!$E$16</c:f>
              <c:numCache>
                <c:formatCode>General</c:formatCode>
                <c:ptCount val="1"/>
                <c:pt idx="0">
                  <c:v>26.809651474530831</c:v>
                </c:pt>
              </c:numCache>
            </c:numRef>
          </c:xVal>
          <c:yVal>
            <c:numRef>
              <c:f>'Naive Apparent Lambdas'!$J$16</c:f>
              <c:numCache>
                <c:formatCode>General</c:formatCode>
                <c:ptCount val="1"/>
                <c:pt idx="0">
                  <c:v>25.576550693091161</c:v>
                </c:pt>
              </c:numCache>
            </c:numRef>
          </c:yVal>
          <c:smooth val="0"/>
          <c:extLst>
            <c:ext xmlns:c16="http://schemas.microsoft.com/office/drawing/2014/chart" uri="{C3380CC4-5D6E-409C-BE32-E72D297353CC}">
              <c16:uniqueId val="{0000000F-316A-4F36-907B-E04AA03543F9}"/>
            </c:ext>
          </c:extLst>
        </c:ser>
        <c:dLbls>
          <c:showLegendKey val="0"/>
          <c:showVal val="0"/>
          <c:showCatName val="0"/>
          <c:showSerName val="0"/>
          <c:showPercent val="0"/>
          <c:showBubbleSize val="0"/>
        </c:dLbls>
        <c:axId val="849359472"/>
        <c:axId val="849359952"/>
      </c:scatterChart>
      <c:valAx>
        <c:axId val="849359472"/>
        <c:scaling>
          <c:orientation val="minMax"/>
          <c:max val="27.6"/>
          <c:min val="26.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a:t>
                </a:r>
                <a:r>
                  <a:rPr lang="en-US" baseline="0"/>
                  <a:t> (K)</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359952"/>
        <c:crosses val="autoZero"/>
        <c:crossBetween val="midCat"/>
      </c:valAx>
      <c:valAx>
        <c:axId val="849359952"/>
        <c:scaling>
          <c:orientation val="minMax"/>
          <c:max val="26.2"/>
          <c:min val="24.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ln(K) Log</a:t>
                </a:r>
                <a:r>
                  <a:rPr lang="en-US" baseline="0"/>
                  <a:t> Permeability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359472"/>
        <c:crosses val="autoZero"/>
        <c:crossBetween val="midCat"/>
      </c:valAx>
      <c:spPr>
        <a:noFill/>
        <a:ln>
          <a:noFill/>
        </a:ln>
        <a:effectLst/>
      </c:spPr>
    </c:plotArea>
    <c:legend>
      <c:legendPos val="b"/>
      <c:legendEntry>
        <c:idx val="3"/>
        <c:delete val="1"/>
      </c:legendEntry>
      <c:legendEntry>
        <c:idx val="6"/>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Apparent 3He</a:t>
            </a:r>
            <a:r>
              <a:rPr lang="en-US" baseline="0"/>
              <a:t> Silica Glass</a:t>
            </a:r>
            <a:r>
              <a:rPr lang="en-US"/>
              <a:t> Permeabilities with 26ºC Permeability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Cold permeability (26°C) and Apparent Permeabilities (90-110°C)</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2.6006280230650626E-4"/>
                  <c:y val="-0.1814899785633330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errBars>
            <c:errDir val="y"/>
            <c:errBarType val="both"/>
            <c:errValType val="cust"/>
            <c:noEndCap val="0"/>
            <c:plus>
              <c:numRef>
                <c:f>('Naive Apparent Lambdas'!$K$2:$K$11,'Naive Apparent Lambdas'!$K$13,'Naive Apparent Lambdas'!$K$14)</c:f>
                <c:numCache>
                  <c:formatCode>General</c:formatCode>
                  <c:ptCount val="12"/>
                  <c:pt idx="0">
                    <c:v>0.2780704838388533</c:v>
                  </c:pt>
                  <c:pt idx="1">
                    <c:v>0.2905139067122256</c:v>
                  </c:pt>
                  <c:pt idx="2">
                    <c:v>0.29177748762405553</c:v>
                  </c:pt>
                  <c:pt idx="3">
                    <c:v>8.2537522318560291E-2</c:v>
                  </c:pt>
                  <c:pt idx="4">
                    <c:v>0.12206887264114533</c:v>
                  </c:pt>
                  <c:pt idx="5">
                    <c:v>0.11203846260278623</c:v>
                  </c:pt>
                  <c:pt idx="6">
                    <c:v>0.45701608510159564</c:v>
                  </c:pt>
                  <c:pt idx="7">
                    <c:v>0.18026466020520085</c:v>
                  </c:pt>
                  <c:pt idx="8">
                    <c:v>0.30138077852519563</c:v>
                  </c:pt>
                  <c:pt idx="9">
                    <c:v>0.31142098031239968</c:v>
                  </c:pt>
                  <c:pt idx="10">
                    <c:v>0.29737614390776274</c:v>
                  </c:pt>
                </c:numCache>
              </c:numRef>
            </c:plus>
            <c:minus>
              <c:numRef>
                <c:f>('Naive Apparent Lambdas'!$K$2:$K$11,'Naive Apparent Lambdas'!$K$13,'Naive Apparent Lambdas'!$K$14)</c:f>
                <c:numCache>
                  <c:formatCode>General</c:formatCode>
                  <c:ptCount val="12"/>
                  <c:pt idx="0">
                    <c:v>0.2780704838388533</c:v>
                  </c:pt>
                  <c:pt idx="1">
                    <c:v>0.2905139067122256</c:v>
                  </c:pt>
                  <c:pt idx="2">
                    <c:v>0.29177748762405553</c:v>
                  </c:pt>
                  <c:pt idx="3">
                    <c:v>8.2537522318560291E-2</c:v>
                  </c:pt>
                  <c:pt idx="4">
                    <c:v>0.12206887264114533</c:v>
                  </c:pt>
                  <c:pt idx="5">
                    <c:v>0.11203846260278623</c:v>
                  </c:pt>
                  <c:pt idx="6">
                    <c:v>0.45701608510159564</c:v>
                  </c:pt>
                  <c:pt idx="7">
                    <c:v>0.18026466020520085</c:v>
                  </c:pt>
                  <c:pt idx="8">
                    <c:v>0.30138077852519563</c:v>
                  </c:pt>
                  <c:pt idx="9">
                    <c:v>0.31142098031239968</c:v>
                  </c:pt>
                  <c:pt idx="10">
                    <c:v>0.29737614390776274</c:v>
                  </c:pt>
                </c:numCache>
              </c:numRef>
            </c:minus>
            <c:spPr>
              <a:noFill/>
              <a:ln w="9525" cap="flat" cmpd="sng" algn="ctr">
                <a:solidFill>
                  <a:schemeClr val="tx1">
                    <a:lumMod val="65000"/>
                    <a:lumOff val="35000"/>
                  </a:schemeClr>
                </a:solidFill>
                <a:round/>
              </a:ln>
              <a:effectLst/>
            </c:spPr>
          </c:errBars>
          <c:xVal>
            <c:numRef>
              <c:f>('Naive Apparent Lambdas'!$E$2:$E$11,'Naive Apparent Lambdas'!$E$13,'Naive Apparent Lambdas'!$E$14)</c:f>
              <c:numCache>
                <c:formatCode>General</c:formatCode>
                <c:ptCount val="12"/>
                <c:pt idx="0">
                  <c:v>26.455026455026456</c:v>
                </c:pt>
                <c:pt idx="1">
                  <c:v>26.11034230658764</c:v>
                </c:pt>
                <c:pt idx="2">
                  <c:v>26.819717856568147</c:v>
                </c:pt>
                <c:pt idx="3">
                  <c:v>27.173913043478262</c:v>
                </c:pt>
                <c:pt idx="4">
                  <c:v>26.455726341966717</c:v>
                </c:pt>
                <c:pt idx="5">
                  <c:v>26.809651474530831</c:v>
                </c:pt>
                <c:pt idx="6">
                  <c:v>27.173913043478262</c:v>
                </c:pt>
                <c:pt idx="7">
                  <c:v>27.548209366391184</c:v>
                </c:pt>
                <c:pt idx="8">
                  <c:v>27.548209366391184</c:v>
                </c:pt>
                <c:pt idx="9">
                  <c:v>26.810370251213168</c:v>
                </c:pt>
                <c:pt idx="10">
                  <c:v>33.444816053511708</c:v>
                </c:pt>
              </c:numCache>
            </c:numRef>
          </c:xVal>
          <c:yVal>
            <c:numRef>
              <c:f>('Naive Apparent Lambdas'!$J$2:$J$11,'Naive Apparent Lambdas'!$J$13,'Naive Apparent Lambdas'!$J$14)</c:f>
              <c:numCache>
                <c:formatCode>General</c:formatCode>
                <c:ptCount val="12"/>
                <c:pt idx="0">
                  <c:v>25.629131653354218</c:v>
                </c:pt>
                <c:pt idx="1">
                  <c:v>25.871766715804515</c:v>
                </c:pt>
                <c:pt idx="2">
                  <c:v>25.529309592783147</c:v>
                </c:pt>
                <c:pt idx="3">
                  <c:v>25.206273361069854</c:v>
                </c:pt>
                <c:pt idx="4">
                  <c:v>25.664758346341085</c:v>
                </c:pt>
                <c:pt idx="5">
                  <c:v>25.363494923060479</c:v>
                </c:pt>
                <c:pt idx="6">
                  <c:v>25.275979068148281</c:v>
                </c:pt>
                <c:pt idx="7">
                  <c:v>25.07087478801504</c:v>
                </c:pt>
                <c:pt idx="8">
                  <c:v>25.177040312668698</c:v>
                </c:pt>
                <c:pt idx="9">
                  <c:v>25.394261659047757</c:v>
                </c:pt>
                <c:pt idx="10">
                  <c:v>23.967765998188856</c:v>
                </c:pt>
              </c:numCache>
            </c:numRef>
          </c:yVal>
          <c:smooth val="0"/>
          <c:extLst>
            <c:ext xmlns:c16="http://schemas.microsoft.com/office/drawing/2014/chart" uri="{C3380CC4-5D6E-409C-BE32-E72D297353CC}">
              <c16:uniqueId val="{00000000-9165-43EA-8BB9-2DC386AA61DA}"/>
            </c:ext>
          </c:extLst>
        </c:ser>
        <c:ser>
          <c:idx val="1"/>
          <c:order val="1"/>
          <c:tx>
            <c:v>Trendline from high temperature regression</c:v>
          </c:tx>
          <c:spPr>
            <a:ln w="25400" cap="rnd">
              <a:solidFill>
                <a:schemeClr val="accent6">
                  <a:lumMod val="40000"/>
                  <a:lumOff val="60000"/>
                </a:schemeClr>
              </a:solidFill>
              <a:round/>
            </a:ln>
            <a:effectLst/>
          </c:spPr>
          <c:marker>
            <c:symbol val="none"/>
          </c:marker>
          <c:xVal>
            <c:numRef>
              <c:f>'Naive Apparent Lambdas'!$T$29:$T$30</c:f>
              <c:numCache>
                <c:formatCode>General</c:formatCode>
                <c:ptCount val="2"/>
                <c:pt idx="0">
                  <c:v>26</c:v>
                </c:pt>
                <c:pt idx="1">
                  <c:v>33.5</c:v>
                </c:pt>
              </c:numCache>
            </c:numRef>
          </c:xVal>
          <c:yVal>
            <c:numRef>
              <c:f>'Naive Apparent Lambdas'!$U$29:$U$30</c:f>
              <c:numCache>
                <c:formatCode>General</c:formatCode>
                <c:ptCount val="2"/>
                <c:pt idx="0">
                  <c:v>25.875077254606325</c:v>
                </c:pt>
                <c:pt idx="1">
                  <c:v>22.027934068337224</c:v>
                </c:pt>
              </c:numCache>
            </c:numRef>
          </c:yVal>
          <c:smooth val="0"/>
          <c:extLst>
            <c:ext xmlns:c16="http://schemas.microsoft.com/office/drawing/2014/chart" uri="{C3380CC4-5D6E-409C-BE32-E72D297353CC}">
              <c16:uniqueId val="{00000002-9165-43EA-8BB9-2DC386AA61DA}"/>
            </c:ext>
          </c:extLst>
        </c:ser>
        <c:ser>
          <c:idx val="2"/>
          <c:order val="2"/>
          <c:tx>
            <c:v>Swets et al., 1961 and Jones 1954</c:v>
          </c:tx>
          <c:spPr>
            <a:ln w="25400" cap="rnd">
              <a:solidFill>
                <a:srgbClr val="0070C0">
                  <a:alpha val="60000"/>
                </a:srgbClr>
              </a:solidFill>
              <a:round/>
            </a:ln>
            <a:effectLst/>
          </c:spPr>
          <c:marker>
            <c:symbol val="none"/>
          </c:marker>
          <c:xVal>
            <c:numRef>
              <c:f>'Naive Apparent Lambdas'!$P$2:$P$7</c:f>
              <c:numCache>
                <c:formatCode>General</c:formatCode>
                <c:ptCount val="6"/>
                <c:pt idx="0">
                  <c:v>27.548209366391184</c:v>
                </c:pt>
                <c:pt idx="1">
                  <c:v>27.173913043478262</c:v>
                </c:pt>
                <c:pt idx="2">
                  <c:v>26.809651474530831</c:v>
                </c:pt>
                <c:pt idx="3">
                  <c:v>26.455026455026456</c:v>
                </c:pt>
                <c:pt idx="4">
                  <c:v>26.109660574412533</c:v>
                </c:pt>
                <c:pt idx="5">
                  <c:v>33.444816053511708</c:v>
                </c:pt>
              </c:numCache>
            </c:numRef>
          </c:xVal>
          <c:yVal>
            <c:numRef>
              <c:f>'Naive Apparent Lambdas'!$Q$2:$Q$7</c:f>
              <c:numCache>
                <c:formatCode>General</c:formatCode>
                <c:ptCount val="6"/>
                <c:pt idx="0">
                  <c:v>25.018107203522302</c:v>
                </c:pt>
                <c:pt idx="1">
                  <c:v>25.111483493038101</c:v>
                </c:pt>
                <c:pt idx="2">
                  <c:v>25.2023563967761</c:v>
                </c:pt>
                <c:pt idx="3">
                  <c:v>25.290825255441501</c:v>
                </c:pt>
                <c:pt idx="4">
                  <c:v>25.376984222235901</c:v>
                </c:pt>
                <c:pt idx="5">
                  <c:v>23.486009099755101</c:v>
                </c:pt>
              </c:numCache>
            </c:numRef>
          </c:yVal>
          <c:smooth val="0"/>
          <c:extLst>
            <c:ext xmlns:c16="http://schemas.microsoft.com/office/drawing/2014/chart" uri="{C3380CC4-5D6E-409C-BE32-E72D297353CC}">
              <c16:uniqueId val="{00000003-9165-43EA-8BB9-2DC386AA61DA}"/>
            </c:ext>
          </c:extLst>
        </c:ser>
        <c:dLbls>
          <c:showLegendKey val="0"/>
          <c:showVal val="0"/>
          <c:showCatName val="0"/>
          <c:showSerName val="0"/>
          <c:showPercent val="0"/>
          <c:showBubbleSize val="0"/>
        </c:dLbls>
        <c:axId val="359791583"/>
        <c:axId val="359790623"/>
      </c:scatterChart>
      <c:valAx>
        <c:axId val="359791583"/>
        <c:scaling>
          <c:orientation val="minMax"/>
          <c:min val="2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90623"/>
        <c:crosses val="autoZero"/>
        <c:crossBetween val="midCat"/>
      </c:valAx>
      <c:valAx>
        <c:axId val="359790623"/>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ln(K) Log Permeability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791583"/>
        <c:crosses val="autoZero"/>
        <c:crossBetween val="midCat"/>
      </c:valAx>
      <c:spPr>
        <a:noFill/>
        <a:ln>
          <a:noFill/>
        </a:ln>
        <a:effectLst/>
      </c:spPr>
    </c:plotArea>
    <c:legend>
      <c:legendPos val="b"/>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Series 1 First Order </a:t>
            </a:r>
            <a:r>
              <a:rPr lang="en-US" sz="1400"/>
              <a:t>Fit </a:t>
            </a:r>
            <a:r>
              <a:rPr lang="en-US" sz="1400" b="0" i="0" u="none" strike="noStrike" kern="1200" spc="0" baseline="0">
                <a:solidFill>
                  <a:sysClr val="windowText" lastClr="000000">
                    <a:lumMod val="65000"/>
                    <a:lumOff val="35000"/>
                  </a:sysClr>
                </a:solidFill>
              </a:rPr>
              <a:t>105°C</a:t>
            </a:r>
            <a:r>
              <a:rPr lang="en-US" sz="1100" b="0" i="0" u="none" strike="noStrike" kern="1200" spc="0" baseline="0">
                <a:solidFill>
                  <a:sysClr val="windowText" lastClr="000000">
                    <a:lumMod val="65000"/>
                    <a:lumOff val="35000"/>
                  </a:sysClr>
                </a:solidFill>
              </a:rPr>
              <a:t> </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errBars>
            <c:errDir val="x"/>
            <c:errBarType val="both"/>
            <c:errValType val="fixedVal"/>
            <c:noEndCap val="0"/>
            <c:val val="1"/>
            <c:spPr>
              <a:noFill/>
              <a:ln w="9525" cap="flat" cmpd="sng" algn="ctr">
                <a:solidFill>
                  <a:schemeClr val="tx1">
                    <a:lumMod val="65000"/>
                    <a:lumOff val="35000"/>
                  </a:schemeClr>
                </a:solidFill>
                <a:round/>
              </a:ln>
              <a:effectLst/>
            </c:spPr>
          </c:errBars>
          <c:xVal>
            <c:numRef>
              <c:f>'Naive Apparent Lambdas'!$Q$42:$Q$44</c:f>
              <c:numCache>
                <c:formatCode>General</c:formatCode>
                <c:ptCount val="3"/>
                <c:pt idx="0">
                  <c:v>9000</c:v>
                </c:pt>
                <c:pt idx="1">
                  <c:v>18000</c:v>
                </c:pt>
                <c:pt idx="2">
                  <c:v>27000</c:v>
                </c:pt>
              </c:numCache>
            </c:numRef>
          </c:xVal>
          <c:yVal>
            <c:numRef>
              <c:f>'Naive Apparent Lambdas'!$R$42:$R$44</c:f>
              <c:numCache>
                <c:formatCode>General</c:formatCode>
                <c:ptCount val="3"/>
                <c:pt idx="0">
                  <c:v>1.9048754235121E-2</c:v>
                </c:pt>
                <c:pt idx="1">
                  <c:v>3.0182693164507002E-2</c:v>
                </c:pt>
                <c:pt idx="2">
                  <c:v>3.8210152874778004E-2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'Naive Apparent Lambdas'!$Q$41:$Q$44</c:f>
              <c:numCache>
                <c:formatCode>General</c:formatCode>
                <c:ptCount val="4"/>
                <c:pt idx="0">
                  <c:v>0</c:v>
                </c:pt>
                <c:pt idx="1">
                  <c:v>9000</c:v>
                </c:pt>
                <c:pt idx="2">
                  <c:v>18000</c:v>
                </c:pt>
                <c:pt idx="3">
                  <c:v>27000</c:v>
                </c:pt>
              </c:numCache>
            </c:numRef>
          </c:xVal>
          <c:yVal>
            <c:numRef>
              <c:f>'Naive Apparent Lambdas'!$Y$41:$Y$44</c:f>
              <c:numCache>
                <c:formatCode>0.00E+00</c:formatCode>
                <c:ptCount val="4"/>
                <c:pt idx="0" formatCode="General">
                  <c:v>0</c:v>
                </c:pt>
                <c:pt idx="1">
                  <c:v>1.8490262207783874E-2</c:v>
                </c:pt>
                <c:pt idx="2">
                  <c:v>3.0423587020813315E-2</c:v>
                </c:pt>
                <c:pt idx="3">
                  <c:v>3.8125167425298652E-2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Series 2 First Order Fit 110</a:t>
            </a:r>
            <a:r>
              <a:rPr lang="en-US" sz="1400" b="0" i="0" u="none" strike="noStrike" kern="1200" spc="0" baseline="0">
                <a:solidFill>
                  <a:sysClr val="windowText" lastClr="000000">
                    <a:lumMod val="65000"/>
                    <a:lumOff val="35000"/>
                  </a:sysClr>
                </a:solidFill>
              </a:rPr>
              <a:t>°C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errBars>
            <c:errDir val="x"/>
            <c:errBarType val="both"/>
            <c:errValType val="fixedVal"/>
            <c:noEndCap val="0"/>
            <c:val val="1"/>
            <c:spPr>
              <a:noFill/>
              <a:ln w="9525" cap="flat" cmpd="sng" algn="ctr">
                <a:solidFill>
                  <a:schemeClr val="tx1">
                    <a:lumMod val="65000"/>
                    <a:lumOff val="35000"/>
                  </a:schemeClr>
                </a:solidFill>
                <a:round/>
              </a:ln>
              <a:effectLst/>
            </c:spPr>
          </c:errBars>
          <c:xVal>
            <c:numRef>
              <c:f>'Naive Apparent Lambdas'!$Q$45:$Q$48</c:f>
              <c:numCache>
                <c:formatCode>General</c:formatCode>
                <c:ptCount val="4"/>
                <c:pt idx="0">
                  <c:v>0</c:v>
                </c:pt>
                <c:pt idx="1">
                  <c:v>9000</c:v>
                </c:pt>
                <c:pt idx="2">
                  <c:v>18000</c:v>
                </c:pt>
                <c:pt idx="3">
                  <c:v>27000</c:v>
                </c:pt>
              </c:numCache>
            </c:numRef>
          </c:xVal>
          <c:yVal>
            <c:numRef>
              <c:f>'Naive Apparent Lambdas'!$R$45:$R$48</c:f>
              <c:numCache>
                <c:formatCode>General</c:formatCode>
                <c:ptCount val="4"/>
                <c:pt idx="1">
                  <c:v>2.2915433059576801E-2</c:v>
                </c:pt>
                <c:pt idx="2">
                  <c:v>3.4426968790461102E-2</c:v>
                </c:pt>
                <c:pt idx="3">
                  <c:v>4.1944576422616502E-2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'Naive Apparent Lambdas'!$Q$45:$Q$48</c:f>
              <c:numCache>
                <c:formatCode>General</c:formatCode>
                <c:ptCount val="4"/>
                <c:pt idx="0">
                  <c:v>0</c:v>
                </c:pt>
                <c:pt idx="1">
                  <c:v>9000</c:v>
                </c:pt>
                <c:pt idx="2">
                  <c:v>18000</c:v>
                </c:pt>
                <c:pt idx="3">
                  <c:v>27000</c:v>
                </c:pt>
              </c:numCache>
            </c:numRef>
          </c:xVal>
          <c:yVal>
            <c:numRef>
              <c:f>'Naive Apparent Lambdas'!$Y$45:$Y$48</c:f>
              <c:numCache>
                <c:formatCode>0.00E+00</c:formatCode>
                <c:ptCount val="4"/>
                <c:pt idx="0" formatCode="General">
                  <c:v>0</c:v>
                </c:pt>
                <c:pt idx="1">
                  <c:v>2.1949042074935577E-2</c:v>
                </c:pt>
                <c:pt idx="2">
                  <c:v>3.4417404901164038E-2</c:v>
                </c:pt>
                <c:pt idx="3">
                  <c:v>4.1500177399194885E-2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Series 3 First Order Fit 100</a:t>
            </a:r>
            <a:r>
              <a:rPr lang="en-US" sz="1400" b="0" i="0" u="none" strike="noStrike" kern="1200" spc="0" baseline="0">
                <a:solidFill>
                  <a:sysClr val="windowText" lastClr="000000">
                    <a:lumMod val="65000"/>
                    <a:lumOff val="35000"/>
                  </a:sysClr>
                </a:solidFill>
              </a:rPr>
              <a:t>°C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'Naive Apparent Lambdas'!$Q$50:$Q$53</c:f>
              <c:numCache>
                <c:formatCode>General</c:formatCode>
                <c:ptCount val="4"/>
                <c:pt idx="0">
                  <c:v>7200</c:v>
                </c:pt>
                <c:pt idx="1">
                  <c:v>14400</c:v>
                </c:pt>
                <c:pt idx="2">
                  <c:v>21600</c:v>
                </c:pt>
                <c:pt idx="3">
                  <c:v>28800</c:v>
                </c:pt>
              </c:numCache>
            </c:numRef>
          </c:xVal>
          <c:yVal>
            <c:numRef>
              <c:f>'Naive Apparent Lambdas'!$R$50:$R$53</c:f>
              <c:numCache>
                <c:formatCode>General</c:formatCode>
                <c:ptCount val="4"/>
                <c:pt idx="0">
                  <c:v>1.0583749730168899E-2</c:v>
                </c:pt>
                <c:pt idx="1">
                  <c:v>1.8031448733201061E-2</c:v>
                </c:pt>
                <c:pt idx="2">
                  <c:v>2.2947916571494961E-2</c:v>
                </c:pt>
                <c:pt idx="3">
                  <c:v>2.7210821920297799E-2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'Naive Apparent Lambdas'!$Q$49:$Q$53</c:f>
              <c:numCache>
                <c:formatCode>General</c:formatCode>
                <c:ptCount val="5"/>
                <c:pt idx="0">
                  <c:v>0</c:v>
                </c:pt>
                <c:pt idx="1">
                  <c:v>7200</c:v>
                </c:pt>
                <c:pt idx="2">
                  <c:v>14400</c:v>
                </c:pt>
                <c:pt idx="3">
                  <c:v>21600</c:v>
                </c:pt>
                <c:pt idx="4">
                  <c:v>28800</c:v>
                </c:pt>
              </c:numCache>
            </c:numRef>
          </c:xVal>
          <c:yVal>
            <c:numRef>
              <c:f>'Naive Apparent Lambdas'!$Y$49:$Y$53</c:f>
              <c:numCache>
                <c:formatCode>0.00E+00</c:formatCode>
                <c:ptCount val="5"/>
                <c:pt idx="0" formatCode="General">
                  <c:v>0</c:v>
                </c:pt>
                <c:pt idx="1">
                  <c:v>1.0112522360450618E-2</c:v>
                </c:pt>
                <c:pt idx="2">
                  <c:v>1.7509265844379354E-2</c:v>
                </c:pt>
                <c:pt idx="3">
                  <c:v>2.291956925008715E-2</c:v>
                </c:pt>
                <c:pt idx="4">
                  <c:v>2.6876903042371919E-2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max val="3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Series 4 First Order Fit 95</a:t>
            </a:r>
            <a:r>
              <a:rPr lang="en-US" sz="1400" b="0" i="0" u="none" strike="noStrike" kern="1200" spc="0" baseline="0">
                <a:solidFill>
                  <a:sysClr val="windowText" lastClr="000000">
                    <a:lumMod val="65000"/>
                    <a:lumOff val="35000"/>
                  </a:sysClr>
                </a:solidFill>
              </a:rPr>
              <a:t>°C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'Naive Apparent Lambdas'!$Q$55:$Q$57</c:f>
              <c:numCache>
                <c:formatCode>General</c:formatCode>
                <c:ptCount val="3"/>
                <c:pt idx="0">
                  <c:v>9000</c:v>
                </c:pt>
                <c:pt idx="1">
                  <c:v>18000</c:v>
                </c:pt>
                <c:pt idx="2">
                  <c:v>27000</c:v>
                </c:pt>
              </c:numCache>
            </c:numRef>
          </c:xVal>
          <c:yVal>
            <c:numRef>
              <c:f>'Naive Apparent Lambdas'!$R$55:$R$57</c:f>
              <c:numCache>
                <c:formatCode>General</c:formatCode>
                <c:ptCount val="3"/>
                <c:pt idx="0">
                  <c:v>1.09007113136644E-2</c:v>
                </c:pt>
                <c:pt idx="1">
                  <c:v>1.8972086478673392E-2</c:v>
                </c:pt>
                <c:pt idx="2">
                  <c:v>2.5195613456325341E-2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'Naive Apparent Lambdas'!$Q$54:$Q$57</c:f>
              <c:numCache>
                <c:formatCode>General</c:formatCode>
                <c:ptCount val="4"/>
                <c:pt idx="0">
                  <c:v>0</c:v>
                </c:pt>
                <c:pt idx="1">
                  <c:v>9000</c:v>
                </c:pt>
                <c:pt idx="2">
                  <c:v>18000</c:v>
                </c:pt>
                <c:pt idx="3">
                  <c:v>27000</c:v>
                </c:pt>
              </c:numCache>
            </c:numRef>
          </c:xVal>
          <c:yVal>
            <c:numRef>
              <c:f>'Naive Apparent Lambdas'!$Y$54:$Y$57</c:f>
              <c:numCache>
                <c:formatCode>0.00E+00</c:formatCode>
                <c:ptCount val="4"/>
                <c:pt idx="0" formatCode="General">
                  <c:v>0</c:v>
                </c:pt>
                <c:pt idx="1">
                  <c:v>1.0818906032035015E-2</c:v>
                </c:pt>
                <c:pt idx="2">
                  <c:v>1.9001257356592974E-2</c:v>
                </c:pt>
                <c:pt idx="3">
                  <c:v>2.5189579262731396E-2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Series 5 First</a:t>
            </a:r>
            <a:r>
              <a:rPr lang="en-US" baseline="0"/>
              <a:t> Order Fit 105</a:t>
            </a:r>
            <a:r>
              <a:rPr lang="en-US" sz="1400" b="0" i="0" u="none" strike="noStrike" kern="1200" spc="0" baseline="0">
                <a:solidFill>
                  <a:sysClr val="windowText" lastClr="000000">
                    <a:lumMod val="65000"/>
                    <a:lumOff val="35000"/>
                  </a:sysClr>
                </a:solidFill>
              </a:rPr>
              <a:t>°C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'Naive Apparent Lambdas'!$Q$59:$Q$61</c:f>
              <c:numCache>
                <c:formatCode>General</c:formatCode>
                <c:ptCount val="3"/>
                <c:pt idx="0">
                  <c:v>7200</c:v>
                </c:pt>
                <c:pt idx="1">
                  <c:v>14400</c:v>
                </c:pt>
                <c:pt idx="2">
                  <c:v>21600</c:v>
                </c:pt>
              </c:numCache>
            </c:numRef>
          </c:xVal>
          <c:yVal>
            <c:numRef>
              <c:f>'Naive Apparent Lambdas'!$R$59:$R$61</c:f>
              <c:numCache>
                <c:formatCode>General</c:formatCode>
                <c:ptCount val="3"/>
                <c:pt idx="0">
                  <c:v>2.1450411924402099E-2</c:v>
                </c:pt>
                <c:pt idx="1">
                  <c:v>3.5822168458043702E-2</c:v>
                </c:pt>
                <c:pt idx="2">
                  <c:v>4.6203019521873404E-2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'Naive Apparent Lambdas'!$Q$58:$Q$61</c:f>
              <c:numCache>
                <c:formatCode>General</c:formatCode>
                <c:ptCount val="4"/>
                <c:pt idx="0">
                  <c:v>0</c:v>
                </c:pt>
                <c:pt idx="1">
                  <c:v>7200</c:v>
                </c:pt>
                <c:pt idx="2">
                  <c:v>14400</c:v>
                </c:pt>
                <c:pt idx="3">
                  <c:v>21600</c:v>
                </c:pt>
              </c:numCache>
            </c:numRef>
          </c:xVal>
          <c:yVal>
            <c:numRef>
              <c:f>'Naive Apparent Lambdas'!$Y$58:$Y$61</c:f>
              <c:numCache>
                <c:formatCode>0.00E+00</c:formatCode>
                <c:ptCount val="4"/>
                <c:pt idx="0" formatCode="General">
                  <c:v>0</c:v>
                </c:pt>
                <c:pt idx="1">
                  <c:v>2.1175124455190708E-2</c:v>
                </c:pt>
                <c:pt idx="2">
                  <c:v>3.5903902231256016E-2</c:v>
                </c:pt>
                <c:pt idx="3">
                  <c:v>4.6148795725779838E-2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Series 6 First Order Fit 100°C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'Naive Apparent Lambdas'!$Q$63:$Q$65</c:f>
              <c:numCache>
                <c:formatCode>General</c:formatCode>
                <c:ptCount val="3"/>
                <c:pt idx="0">
                  <c:v>7200</c:v>
                </c:pt>
                <c:pt idx="1">
                  <c:v>14400</c:v>
                </c:pt>
                <c:pt idx="2">
                  <c:v>21600</c:v>
                </c:pt>
              </c:numCache>
            </c:numRef>
          </c:xVal>
          <c:yVal>
            <c:numRef>
              <c:f>'Naive Apparent Lambdas'!$R$63:$R$65</c:f>
              <c:numCache>
                <c:formatCode>General</c:formatCode>
                <c:ptCount val="3"/>
                <c:pt idx="0">
                  <c:v>1.2600300247310899E-2</c:v>
                </c:pt>
                <c:pt idx="1">
                  <c:v>2.1977111696086439E-2</c:v>
                </c:pt>
                <c:pt idx="2">
                  <c:v>2.9332229706766109E-2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'Naive Apparent Lambdas'!$Q$62:$Q$65</c:f>
              <c:numCache>
                <c:formatCode>General</c:formatCode>
                <c:ptCount val="4"/>
                <c:pt idx="0">
                  <c:v>0</c:v>
                </c:pt>
                <c:pt idx="1">
                  <c:v>7200</c:v>
                </c:pt>
                <c:pt idx="2">
                  <c:v>14400</c:v>
                </c:pt>
                <c:pt idx="3">
                  <c:v>21600</c:v>
                </c:pt>
              </c:numCache>
            </c:numRef>
          </c:xVal>
          <c:yVal>
            <c:numRef>
              <c:f>'Naive Apparent Lambdas'!$Y$62:$Y$65</c:f>
              <c:numCache>
                <c:formatCode>0.00E+00</c:formatCode>
                <c:ptCount val="4"/>
                <c:pt idx="0" formatCode="General">
                  <c:v>0</c:v>
                </c:pt>
                <c:pt idx="1">
                  <c:v>1.2435955654637581E-2</c:v>
                </c:pt>
                <c:pt idx="2">
                  <c:v>2.1976424498567019E-2</c:v>
                </c:pt>
                <c:pt idx="3">
                  <c:v>2.9295568140579376E-2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Series 7 First Order Fit 95°C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'Naive Apparent Lambdas'!$Q$67:$Q$69</c:f>
              <c:numCache>
                <c:formatCode>General</c:formatCode>
                <c:ptCount val="3"/>
                <c:pt idx="0">
                  <c:v>7200</c:v>
                </c:pt>
                <c:pt idx="1">
                  <c:v>14400</c:v>
                </c:pt>
                <c:pt idx="2">
                  <c:v>21600</c:v>
                </c:pt>
              </c:numCache>
            </c:numRef>
          </c:xVal>
          <c:yVal>
            <c:numRef>
              <c:f>'Naive Apparent Lambdas'!$R$67:$R$69</c:f>
              <c:numCache>
                <c:formatCode>General</c:formatCode>
                <c:ptCount val="3"/>
                <c:pt idx="0">
                  <c:v>7.2031858407079598E-3</c:v>
                </c:pt>
                <c:pt idx="1">
                  <c:v>1.346490265486725E-2</c:v>
                </c:pt>
                <c:pt idx="2">
                  <c:v>1.792582300884955E-2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'Naive Apparent Lambdas'!$Q$66:$Q$69</c:f>
              <c:numCache>
                <c:formatCode>General</c:formatCode>
                <c:ptCount val="4"/>
                <c:pt idx="0">
                  <c:v>0</c:v>
                </c:pt>
                <c:pt idx="1">
                  <c:v>7200</c:v>
                </c:pt>
                <c:pt idx="2">
                  <c:v>14400</c:v>
                </c:pt>
                <c:pt idx="3">
                  <c:v>21600</c:v>
                </c:pt>
              </c:numCache>
            </c:numRef>
          </c:xVal>
          <c:yVal>
            <c:numRef>
              <c:f>'Naive Apparent Lambdas'!$Y$66:$Y$69</c:f>
              <c:numCache>
                <c:formatCode>0.00E+00</c:formatCode>
                <c:ptCount val="4"/>
                <c:pt idx="0" formatCode="General">
                  <c:v>0</c:v>
                </c:pt>
                <c:pt idx="1">
                  <c:v>7.4222583746082265E-3</c:v>
                </c:pt>
                <c:pt idx="2">
                  <c:v>1.326324237094525E-2</c:v>
                </c:pt>
                <c:pt idx="3">
                  <c:v>1.7859834448927983E-2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Series 8 First Order Fit 90°C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'Naive Apparent Lambdas'!$Q$71:$Q$73</c:f>
              <c:numCache>
                <c:formatCode>General</c:formatCode>
                <c:ptCount val="3"/>
                <c:pt idx="0">
                  <c:v>9000</c:v>
                </c:pt>
                <c:pt idx="1">
                  <c:v>18000</c:v>
                </c:pt>
                <c:pt idx="2">
                  <c:v>27000</c:v>
                </c:pt>
              </c:numCache>
            </c:numRef>
          </c:xVal>
          <c:yVal>
            <c:numRef>
              <c:f>'Naive Apparent Lambdas'!$R$71:$R$73</c:f>
              <c:numCache>
                <c:formatCode>General</c:formatCode>
                <c:ptCount val="3"/>
                <c:pt idx="0">
                  <c:v>5.8985677804217701E-3</c:v>
                </c:pt>
                <c:pt idx="1">
                  <c:v>1.0710375589833211E-2</c:v>
                </c:pt>
                <c:pt idx="2">
                  <c:v>1.4345691022214542E-2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'Naive Apparent Lambdas'!$Q$70:$Q$73</c:f>
              <c:numCache>
                <c:formatCode>General</c:formatCode>
                <c:ptCount val="4"/>
                <c:pt idx="0">
                  <c:v>0</c:v>
                </c:pt>
                <c:pt idx="1">
                  <c:v>9000</c:v>
                </c:pt>
                <c:pt idx="2">
                  <c:v>18000</c:v>
                </c:pt>
                <c:pt idx="3">
                  <c:v>27000</c:v>
                </c:pt>
              </c:numCache>
            </c:numRef>
          </c:xVal>
          <c:yVal>
            <c:numRef>
              <c:f>'Naive Apparent Lambdas'!$Y$70:$Y$73</c:f>
              <c:numCache>
                <c:formatCode>0.00E+00</c:formatCode>
                <c:ptCount val="4"/>
                <c:pt idx="0" formatCode="General">
                  <c:v>0</c:v>
                </c:pt>
                <c:pt idx="1">
                  <c:v>5.9633500598698453E-3</c:v>
                </c:pt>
                <c:pt idx="2">
                  <c:v>1.065132941308267E-2</c:v>
                </c:pt>
                <c:pt idx="3">
                  <c:v>1.4336699246399047E-2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Series 9 First Order Fit 90°C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'Naive Apparent Lambdas'!$Q$75:$Q$77</c:f>
              <c:numCache>
                <c:formatCode>General</c:formatCode>
                <c:ptCount val="3"/>
                <c:pt idx="0">
                  <c:v>10800</c:v>
                </c:pt>
                <c:pt idx="1">
                  <c:v>21600</c:v>
                </c:pt>
                <c:pt idx="2">
                  <c:v>32400</c:v>
                </c:pt>
              </c:numCache>
            </c:numRef>
          </c:xVal>
          <c:yVal>
            <c:numRef>
              <c:f>'Naive Apparent Lambdas'!$R$75:$R$77</c:f>
              <c:numCache>
                <c:formatCode>General</c:formatCode>
                <c:ptCount val="3"/>
                <c:pt idx="0">
                  <c:v>9.9865548646648102E-3</c:v>
                </c:pt>
                <c:pt idx="1">
                  <c:v>1.6734387315144261E-2</c:v>
                </c:pt>
                <c:pt idx="2">
                  <c:v>2.210401439564371E-2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'Naive Apparent Lambdas'!$Q$74:$Q$77</c:f>
              <c:numCache>
                <c:formatCode>General</c:formatCode>
                <c:ptCount val="4"/>
                <c:pt idx="0">
                  <c:v>0</c:v>
                </c:pt>
                <c:pt idx="1">
                  <c:v>10800</c:v>
                </c:pt>
                <c:pt idx="2">
                  <c:v>21600</c:v>
                </c:pt>
                <c:pt idx="3">
                  <c:v>32400</c:v>
                </c:pt>
              </c:numCache>
            </c:numRef>
          </c:xVal>
          <c:yVal>
            <c:numRef>
              <c:f>'Naive Apparent Lambdas'!$Y$74:$Y$77</c:f>
              <c:numCache>
                <c:formatCode>0.00E+00</c:formatCode>
                <c:ptCount val="4"/>
                <c:pt idx="0" formatCode="General">
                  <c:v>0</c:v>
                </c:pt>
                <c:pt idx="1">
                  <c:v>9.7977349442485862E-3</c:v>
                </c:pt>
                <c:pt idx="2">
                  <c:v>1.6904533195063218E-2</c:v>
                </c:pt>
                <c:pt idx="3">
                  <c:v>2.2059457436755428E-2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Series 10 First Order Fit 100°C</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'Naive Apparent Lambdas'!$Q$79:$Q$81</c:f>
              <c:numCache>
                <c:formatCode>General</c:formatCode>
                <c:ptCount val="3"/>
                <c:pt idx="0">
                  <c:v>9000</c:v>
                </c:pt>
                <c:pt idx="1">
                  <c:v>18000</c:v>
                </c:pt>
                <c:pt idx="2">
                  <c:v>27000</c:v>
                </c:pt>
              </c:numCache>
            </c:numRef>
          </c:xVal>
          <c:yVal>
            <c:numRef>
              <c:f>'Naive Apparent Lambdas'!$R$79:$R$81</c:f>
              <c:numCache>
                <c:formatCode>General</c:formatCode>
                <c:ptCount val="3"/>
                <c:pt idx="0">
                  <c:v>1.03504087609835E-2</c:v>
                </c:pt>
                <c:pt idx="1">
                  <c:v>1.7182221731492572E-2</c:v>
                </c:pt>
                <c:pt idx="2">
                  <c:v>2.2559270322611291E-2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'Naive Apparent Lambdas'!$Q$78:$Q$81</c:f>
              <c:numCache>
                <c:formatCode>General</c:formatCode>
                <c:ptCount val="4"/>
                <c:pt idx="0">
                  <c:v>0</c:v>
                </c:pt>
                <c:pt idx="1">
                  <c:v>9000</c:v>
                </c:pt>
                <c:pt idx="2">
                  <c:v>18000</c:v>
                </c:pt>
                <c:pt idx="3">
                  <c:v>27000</c:v>
                </c:pt>
              </c:numCache>
            </c:numRef>
          </c:xVal>
          <c:yVal>
            <c:numRef>
              <c:f>'Naive Apparent Lambdas'!$Y$78:$Y$81</c:f>
              <c:numCache>
                <c:formatCode>0.00E+00</c:formatCode>
                <c:ptCount val="4"/>
                <c:pt idx="0" formatCode="General">
                  <c:v>0</c:v>
                </c:pt>
                <c:pt idx="1">
                  <c:v>1.0145447192675038E-2</c:v>
                </c:pt>
                <c:pt idx="2">
                  <c:v>1.7354739446959644E-2</c:v>
                </c:pt>
                <c:pt idx="3">
                  <c:v>2.2477618095937579E-2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Win-06-01b Two Isotope Helium Arrhenius</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3He</c:v>
          </c:tx>
          <c:spPr>
            <a:ln w="1905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diffusivitiesHTWin0601bLB!#REF!</c:f>
                <c:numCache>
                  <c:formatCode>General</c:formatCode>
                  <c:ptCount val="1"/>
                  <c:pt idx="0">
                    <c:v>1</c:v>
                  </c:pt>
                </c:numCache>
              </c:numRef>
            </c:plus>
            <c:minus>
              <c:numRef>
                <c:f>diffusivitiesHTWin0601bLB!#REF!</c:f>
                <c:numCache>
                  <c:formatCode>General</c:formatCode>
                  <c:ptCount val="1"/>
                  <c:pt idx="0">
                    <c:v>1</c:v>
                  </c:pt>
                </c:numCache>
              </c:numRef>
            </c:minus>
            <c:spPr>
              <a:noFill/>
              <a:ln w="9525" cap="flat" cmpd="sng" algn="ctr">
                <a:solidFill>
                  <a:schemeClr val="accent4">
                    <a:lumMod val="75000"/>
                  </a:schemeClr>
                </a:solidFill>
                <a:round/>
              </a:ln>
              <a:effectLst/>
            </c:spPr>
          </c:errBars>
          <c:xVal>
            <c:numRef>
              <c:f>diffusivitiesHTWin0601bM!$O$4:$O$37</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diffusivitiesHTWin0601bM!$P$4:$P$37</c:f>
              <c:numCache>
                <c:formatCode>General</c:formatCode>
                <c:ptCount val="34"/>
                <c:pt idx="0">
                  <c:v>-22.281654637856661</c:v>
                </c:pt>
                <c:pt idx="1">
                  <c:v>-22.344315124242808</c:v>
                </c:pt>
                <c:pt idx="2">
                  <c:v>-22.119635610696058</c:v>
                </c:pt>
                <c:pt idx="3">
                  <c:v>-21.775275755109799</c:v>
                </c:pt>
                <c:pt idx="4">
                  <c:v>-21.406243033772043</c:v>
                </c:pt>
                <c:pt idx="5">
                  <c:v>-21.067846504886631</c:v>
                </c:pt>
                <c:pt idx="6">
                  <c:v>-20.604277154842471</c:v>
                </c:pt>
                <c:pt idx="7">
                  <c:v>-21.245538331793281</c:v>
                </c:pt>
                <c:pt idx="8">
                  <c:v>-22.123783561871615</c:v>
                </c:pt>
                <c:pt idx="9">
                  <c:v>-22.86311258578305</c:v>
                </c:pt>
                <c:pt idx="10">
                  <c:v>-23.731260504599646</c:v>
                </c:pt>
                <c:pt idx="11">
                  <c:v>-24.404485468823875</c:v>
                </c:pt>
                <c:pt idx="12">
                  <c:v>-24.846627930338666</c:v>
                </c:pt>
                <c:pt idx="13">
                  <c:v>-23.360464998895949</c:v>
                </c:pt>
                <c:pt idx="14">
                  <c:v>-22.757572285673085</c:v>
                </c:pt>
                <c:pt idx="15">
                  <c:v>-21.553324557830241</c:v>
                </c:pt>
                <c:pt idx="16">
                  <c:v>-20.810869629433277</c:v>
                </c:pt>
                <c:pt idx="17">
                  <c:v>-19.912587763702412</c:v>
                </c:pt>
                <c:pt idx="18">
                  <c:v>-19.778438484483498</c:v>
                </c:pt>
                <c:pt idx="19">
                  <c:v>-19.29642152604136</c:v>
                </c:pt>
                <c:pt idx="20">
                  <c:v>-19.873986017490029</c:v>
                </c:pt>
                <c:pt idx="21">
                  <c:v>-20.486617275176307</c:v>
                </c:pt>
                <c:pt idx="22">
                  <c:v>-20.863677493380901</c:v>
                </c:pt>
                <c:pt idx="23">
                  <c:v>-21.421486021426901</c:v>
                </c:pt>
                <c:pt idx="24">
                  <c:v>-21.780509658844522</c:v>
                </c:pt>
                <c:pt idx="25">
                  <c:v>-21.46158767704717</c:v>
                </c:pt>
                <c:pt idx="26">
                  <c:v>-21.107353028945408</c:v>
                </c:pt>
                <c:pt idx="27">
                  <c:v>-20.750170505014115</c:v>
                </c:pt>
                <c:pt idx="28">
                  <c:v>-20.325970081429222</c:v>
                </c:pt>
                <c:pt idx="29">
                  <c:v>-19.972898386996384</c:v>
                </c:pt>
                <c:pt idx="30">
                  <c:v>-19.958755788067709</c:v>
                </c:pt>
                <c:pt idx="31">
                  <c:v>-19.978984285999768</c:v>
                </c:pt>
                <c:pt idx="32">
                  <c:v>-19.976436533434331</c:v>
                </c:pt>
                <c:pt idx="33">
                  <c:v>-20.777833299546604</c:v>
                </c:pt>
              </c:numCache>
            </c:numRef>
          </c:yVal>
          <c:smooth val="0"/>
          <c:extLst>
            <c:ext xmlns:c16="http://schemas.microsoft.com/office/drawing/2014/chart" uri="{C3380CC4-5D6E-409C-BE32-E72D297353CC}">
              <c16:uniqueId val="{00000000-A383-4AE8-B2DE-377F50C87285}"/>
            </c:ext>
          </c:extLst>
        </c:ser>
        <c:ser>
          <c:idx val="2"/>
          <c:order val="1"/>
          <c:tx>
            <c:v>4He</c:v>
          </c:tx>
          <c:spPr>
            <a:ln w="19050" cap="rnd">
              <a:solidFill>
                <a:srgbClr val="FF0000">
                  <a:alpha val="36000"/>
                </a:srgbClr>
              </a:solidFill>
              <a:round/>
            </a:ln>
            <a:effectLst/>
          </c:spPr>
          <c:marker>
            <c:symbol val="circle"/>
            <c:size val="5"/>
            <c:spPr>
              <a:solidFill>
                <a:schemeClr val="accent5">
                  <a:lumMod val="60000"/>
                  <a:lumOff val="40000"/>
                </a:schemeClr>
              </a:solidFill>
              <a:ln w="9525">
                <a:solidFill>
                  <a:schemeClr val="accent5">
                    <a:lumMod val="75000"/>
                  </a:schemeClr>
                </a:solidFill>
              </a:ln>
              <a:effectLst/>
            </c:spPr>
          </c:marker>
          <c:errBars>
            <c:errDir val="y"/>
            <c:errBarType val="both"/>
            <c:errValType val="cust"/>
            <c:noEndCap val="0"/>
            <c:plus>
              <c:numRef>
                <c:f>diffusivitiesHTWin0601bLB!#REF!</c:f>
                <c:numCache>
                  <c:formatCode>General</c:formatCode>
                  <c:ptCount val="1"/>
                  <c:pt idx="0">
                    <c:v>1</c:v>
                  </c:pt>
                </c:numCache>
              </c:numRef>
            </c:plus>
            <c:minus>
              <c:numRef>
                <c:f>diffusivitiesHTWin0601bLB!#REF!</c:f>
                <c:numCache>
                  <c:formatCode>General</c:formatCode>
                  <c:ptCount val="1"/>
                  <c:pt idx="0">
                    <c:v>1</c:v>
                  </c:pt>
                </c:numCache>
              </c:numRef>
            </c:minus>
            <c:spPr>
              <a:noFill/>
              <a:ln w="9525" cap="flat" cmpd="sng" algn="ctr">
                <a:solidFill>
                  <a:srgbClr val="FF0000">
                    <a:alpha val="29000"/>
                  </a:srgbClr>
                </a:solidFill>
                <a:round/>
              </a:ln>
              <a:effectLst/>
            </c:spPr>
          </c:errBars>
          <c:xVal>
            <c:numRef>
              <c:f>diffusivitiesHTWin0601bM!$O$46:$O$79</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diffusivitiesHTWin0601bM!$P$46:$P$79</c:f>
              <c:numCache>
                <c:formatCode>General</c:formatCode>
                <c:ptCount val="34"/>
                <c:pt idx="0">
                  <c:v>-30.107081280015766</c:v>
                </c:pt>
                <c:pt idx="1">
                  <c:v>-28.802162139252854</c:v>
                </c:pt>
                <c:pt idx="2">
                  <c:v>-27.367140312929163</c:v>
                </c:pt>
                <c:pt idx="3">
                  <c:v>-25.965489193301369</c:v>
                </c:pt>
                <c:pt idx="4">
                  <c:v>-25.022478590860661</c:v>
                </c:pt>
                <c:pt idx="5">
                  <c:v>-24.152316123169705</c:v>
                </c:pt>
                <c:pt idx="6">
                  <c:v>-23.213237351391214</c:v>
                </c:pt>
                <c:pt idx="7">
                  <c:v>-23.527418891787594</c:v>
                </c:pt>
                <c:pt idx="8">
                  <c:v>-24.225356315852288</c:v>
                </c:pt>
                <c:pt idx="9">
                  <c:v>-24.941715457793016</c:v>
                </c:pt>
                <c:pt idx="10">
                  <c:v>-25.796117875990454</c:v>
                </c:pt>
                <c:pt idx="11">
                  <c:v>-26.808469165899151</c:v>
                </c:pt>
                <c:pt idx="12">
                  <c:v>-26.340027368508252</c:v>
                </c:pt>
                <c:pt idx="13">
                  <c:v>-25.411412184357076</c:v>
                </c:pt>
                <c:pt idx="14">
                  <c:v>-23.02126614124526</c:v>
                </c:pt>
                <c:pt idx="15">
                  <c:v>-23.302000138628294</c:v>
                </c:pt>
                <c:pt idx="16">
                  <c:v>-22.24926395630877</c:v>
                </c:pt>
                <c:pt idx="17">
                  <c:v>-21.203470761543723</c:v>
                </c:pt>
                <c:pt idx="18">
                  <c:v>-20.899261145317748</c:v>
                </c:pt>
                <c:pt idx="19">
                  <c:v>-20.469126380797665</c:v>
                </c:pt>
                <c:pt idx="20">
                  <c:v>-20.981099959146345</c:v>
                </c:pt>
                <c:pt idx="21">
                  <c:v>-21.574807107483927</c:v>
                </c:pt>
                <c:pt idx="22">
                  <c:v>-21.921680885825463</c:v>
                </c:pt>
                <c:pt idx="23">
                  <c:v>-22.447692443396171</c:v>
                </c:pt>
                <c:pt idx="24">
                  <c:v>-22.863152381128653</c:v>
                </c:pt>
                <c:pt idx="25">
                  <c:v>-22.523128619878921</c:v>
                </c:pt>
                <c:pt idx="26">
                  <c:v>-22.1283944689241</c:v>
                </c:pt>
                <c:pt idx="27">
                  <c:v>-21.718970933358566</c:v>
                </c:pt>
                <c:pt idx="28">
                  <c:v>-21.290022144076861</c:v>
                </c:pt>
                <c:pt idx="29">
                  <c:v>-20.906014286044595</c:v>
                </c:pt>
                <c:pt idx="30">
                  <c:v>-20.907714930278434</c:v>
                </c:pt>
                <c:pt idx="31">
                  <c:v>-20.932394344829309</c:v>
                </c:pt>
                <c:pt idx="32">
                  <c:v>-20.690682926843483</c:v>
                </c:pt>
                <c:pt idx="33">
                  <c:v>-21.422039592324584</c:v>
                </c:pt>
              </c:numCache>
            </c:numRef>
          </c:yVal>
          <c:smooth val="0"/>
          <c:extLst>
            <c:ext xmlns:c16="http://schemas.microsoft.com/office/drawing/2014/chart" uri="{C3380CC4-5D6E-409C-BE32-E72D297353CC}">
              <c16:uniqueId val="{00000001-A383-4AE8-B2DE-377F50C87285}"/>
            </c:ext>
          </c:extLst>
        </c:ser>
        <c:dLbls>
          <c:showLegendKey val="0"/>
          <c:showVal val="0"/>
          <c:showCatName val="0"/>
          <c:showSerName val="0"/>
          <c:showPercent val="0"/>
          <c:showBubbleSize val="0"/>
        </c:dLbls>
        <c:axId val="2132438240"/>
        <c:axId val="2132437280"/>
      </c:scatterChart>
      <c:valAx>
        <c:axId val="213243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7280"/>
        <c:crosses val="autoZero"/>
        <c:crossBetween val="midCat"/>
      </c:valAx>
      <c:valAx>
        <c:axId val="2132437280"/>
        <c:scaling>
          <c:orientation val="minMax"/>
          <c:max val="-18"/>
          <c:min val="-3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ln(D/a</a:t>
                </a:r>
                <a:r>
                  <a:rPr lang="en-US" baseline="30000"/>
                  <a:t>2</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82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Win-0601b 3He Arrhenius</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6">
                    <a:lumMod val="75000"/>
                  </a:schemeClr>
                </a:solidFill>
                <a:prstDash val="sysDot"/>
              </a:ln>
              <a:effectLst/>
            </c:spPr>
            <c:trendlineType val="linear"/>
            <c:forward val="1.5"/>
            <c:backward val="0.2"/>
            <c:dispRSqr val="1"/>
            <c:dispEq val="1"/>
            <c:trendlineLbl>
              <c:layout>
                <c:manualLayout>
                  <c:x val="-0.31770282915786463"/>
                  <c:y val="-0.2826382509177228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diffusivitiesHTWin0601bM!$O$27:$O$37</c:f>
              <c:numCache>
                <c:formatCode>General</c:formatCode>
                <c:ptCount val="11"/>
                <c:pt idx="0">
                  <c:v>19.880715705765407</c:v>
                </c:pt>
                <c:pt idx="1">
                  <c:v>20.080321285140563</c:v>
                </c:pt>
                <c:pt idx="2">
                  <c:v>19.880715705765407</c:v>
                </c:pt>
                <c:pt idx="3">
                  <c:v>19.68891514077578</c:v>
                </c:pt>
                <c:pt idx="4">
                  <c:v>19.49317738791423</c:v>
                </c:pt>
                <c:pt idx="5">
                  <c:v>19.305019305019304</c:v>
                </c:pt>
                <c:pt idx="6">
                  <c:v>19.120458891013385</c:v>
                </c:pt>
                <c:pt idx="7">
                  <c:v>19.121555729774173</c:v>
                </c:pt>
                <c:pt idx="8">
                  <c:v>19.121190102872003</c:v>
                </c:pt>
                <c:pt idx="9">
                  <c:v>19.120458891013385</c:v>
                </c:pt>
                <c:pt idx="10">
                  <c:v>19.49317738791423</c:v>
                </c:pt>
              </c:numCache>
            </c:numRef>
          </c:xVal>
          <c:yVal>
            <c:numRef>
              <c:f>diffusivitiesHTWin0601bM!$P$27:$P$37</c:f>
              <c:numCache>
                <c:formatCode>General</c:formatCode>
                <c:ptCount val="11"/>
                <c:pt idx="0">
                  <c:v>-21.421486021426901</c:v>
                </c:pt>
                <c:pt idx="1">
                  <c:v>-21.780509658844522</c:v>
                </c:pt>
                <c:pt idx="2">
                  <c:v>-21.46158767704717</c:v>
                </c:pt>
                <c:pt idx="3">
                  <c:v>-21.107353028945408</c:v>
                </c:pt>
                <c:pt idx="4">
                  <c:v>-20.750170505014115</c:v>
                </c:pt>
                <c:pt idx="5">
                  <c:v>-20.325970081429222</c:v>
                </c:pt>
                <c:pt idx="6">
                  <c:v>-19.972898386996384</c:v>
                </c:pt>
                <c:pt idx="7">
                  <c:v>-19.958755788067709</c:v>
                </c:pt>
                <c:pt idx="8">
                  <c:v>-19.978984285999768</c:v>
                </c:pt>
                <c:pt idx="9">
                  <c:v>-19.976436533434331</c:v>
                </c:pt>
                <c:pt idx="10">
                  <c:v>-20.777833299546604</c:v>
                </c:pt>
              </c:numCache>
            </c:numRef>
          </c:yVal>
          <c:smooth val="0"/>
          <c:extLst>
            <c:ext xmlns:c16="http://schemas.microsoft.com/office/drawing/2014/chart" uri="{C3380CC4-5D6E-409C-BE32-E72D297353CC}">
              <c16:uniqueId val="{00000001-BAB3-43C8-9710-27E5FCA56F66}"/>
            </c:ext>
          </c:extLst>
        </c:ser>
        <c:ser>
          <c:idx val="0"/>
          <c:order val="1"/>
          <c:spPr>
            <a:ln w="1905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xVal>
            <c:numRef>
              <c:f>diffusivitiesHTWin0601bM!$O$4:$O$37</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diffusivitiesHTWin0601bM!$P$4:$P$37</c:f>
              <c:numCache>
                <c:formatCode>General</c:formatCode>
                <c:ptCount val="34"/>
                <c:pt idx="0">
                  <c:v>-22.281654637856661</c:v>
                </c:pt>
                <c:pt idx="1">
                  <c:v>-22.344315124242808</c:v>
                </c:pt>
                <c:pt idx="2">
                  <c:v>-22.119635610696058</c:v>
                </c:pt>
                <c:pt idx="3">
                  <c:v>-21.775275755109799</c:v>
                </c:pt>
                <c:pt idx="4">
                  <c:v>-21.406243033772043</c:v>
                </c:pt>
                <c:pt idx="5">
                  <c:v>-21.067846504886631</c:v>
                </c:pt>
                <c:pt idx="6">
                  <c:v>-20.604277154842471</c:v>
                </c:pt>
                <c:pt idx="7">
                  <c:v>-21.245538331793281</c:v>
                </c:pt>
                <c:pt idx="8">
                  <c:v>-22.123783561871615</c:v>
                </c:pt>
                <c:pt idx="9">
                  <c:v>-22.86311258578305</c:v>
                </c:pt>
                <c:pt idx="10">
                  <c:v>-23.731260504599646</c:v>
                </c:pt>
                <c:pt idx="11">
                  <c:v>-24.404485468823875</c:v>
                </c:pt>
                <c:pt idx="12">
                  <c:v>-24.846627930338666</c:v>
                </c:pt>
                <c:pt idx="13">
                  <c:v>-23.360464998895949</c:v>
                </c:pt>
                <c:pt idx="14">
                  <c:v>-22.757572285673085</c:v>
                </c:pt>
                <c:pt idx="15">
                  <c:v>-21.553324557830241</c:v>
                </c:pt>
                <c:pt idx="16">
                  <c:v>-20.810869629433277</c:v>
                </c:pt>
                <c:pt idx="17">
                  <c:v>-19.912587763702412</c:v>
                </c:pt>
                <c:pt idx="18">
                  <c:v>-19.778438484483498</c:v>
                </c:pt>
                <c:pt idx="19">
                  <c:v>-19.29642152604136</c:v>
                </c:pt>
                <c:pt idx="20">
                  <c:v>-19.873986017490029</c:v>
                </c:pt>
                <c:pt idx="21">
                  <c:v>-20.486617275176307</c:v>
                </c:pt>
                <c:pt idx="22">
                  <c:v>-20.863677493380901</c:v>
                </c:pt>
                <c:pt idx="23">
                  <c:v>-21.421486021426901</c:v>
                </c:pt>
                <c:pt idx="24">
                  <c:v>-21.780509658844522</c:v>
                </c:pt>
                <c:pt idx="25">
                  <c:v>-21.46158767704717</c:v>
                </c:pt>
                <c:pt idx="26">
                  <c:v>-21.107353028945408</c:v>
                </c:pt>
                <c:pt idx="27">
                  <c:v>-20.750170505014115</c:v>
                </c:pt>
                <c:pt idx="28">
                  <c:v>-20.325970081429222</c:v>
                </c:pt>
                <c:pt idx="29">
                  <c:v>-19.972898386996384</c:v>
                </c:pt>
                <c:pt idx="30">
                  <c:v>-19.958755788067709</c:v>
                </c:pt>
                <c:pt idx="31">
                  <c:v>-19.978984285999768</c:v>
                </c:pt>
                <c:pt idx="32">
                  <c:v>-19.976436533434331</c:v>
                </c:pt>
                <c:pt idx="33">
                  <c:v>-20.777833299546604</c:v>
                </c:pt>
              </c:numCache>
            </c:numRef>
          </c:yVal>
          <c:smooth val="0"/>
          <c:extLst>
            <c:ext xmlns:c16="http://schemas.microsoft.com/office/drawing/2014/chart" uri="{C3380CC4-5D6E-409C-BE32-E72D297353CC}">
              <c16:uniqueId val="{00000002-BAB3-43C8-9710-27E5FCA56F66}"/>
            </c:ext>
          </c:extLst>
        </c:ser>
        <c:dLbls>
          <c:showLegendKey val="0"/>
          <c:showVal val="0"/>
          <c:showCatName val="0"/>
          <c:showSerName val="0"/>
          <c:showPercent val="0"/>
          <c:showBubbleSize val="0"/>
        </c:dLbls>
        <c:axId val="2132438240"/>
        <c:axId val="2132437280"/>
      </c:scatterChart>
      <c:valAx>
        <c:axId val="213243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7280"/>
        <c:crosses val="autoZero"/>
        <c:crossBetween val="midCat"/>
      </c:valAx>
      <c:valAx>
        <c:axId val="2132437280"/>
        <c:scaling>
          <c:orientation val="minMax"/>
          <c:max val="-18"/>
          <c:min val="-25.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ln(D/a</a:t>
                </a:r>
                <a:r>
                  <a:rPr lang="en-US" baseline="30000"/>
                  <a:t>2</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8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Delta Plot</a:t>
            </a:r>
            <a:r>
              <a:rPr lang="en-US" baseline="0"/>
              <a:t> with Regression Reference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3He</c:v>
          </c:tx>
          <c:spPr>
            <a:ln w="2540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xVal>
            <c:numRef>
              <c:f>diffusivitiesHTWin0601bM!$I$4:$I$37</c:f>
              <c:numCache>
                <c:formatCode>0.00E+00</c:formatCode>
                <c:ptCount val="34"/>
                <c:pt idx="0">
                  <c:v>6.5888972971654648E-3</c:v>
                </c:pt>
                <c:pt idx="1">
                  <c:v>1.0312402771947718E-2</c:v>
                </c:pt>
                <c:pt idx="2">
                  <c:v>1.4733799945984585E-2</c:v>
                </c:pt>
                <c:pt idx="3">
                  <c:v>1.8680911479575162E-2</c:v>
                </c:pt>
                <c:pt idx="4">
                  <c:v>2.2864727664058754E-2</c:v>
                </c:pt>
                <c:pt idx="5">
                  <c:v>2.7459666666294711E-2</c:v>
                </c:pt>
                <c:pt idx="6">
                  <c:v>3.3151298972164712E-2</c:v>
                </c:pt>
                <c:pt idx="7">
                  <c:v>3.8589664705639036E-2</c:v>
                </c:pt>
                <c:pt idx="8">
                  <c:v>3.9861572100335876E-2</c:v>
                </c:pt>
                <c:pt idx="9">
                  <c:v>4.056961951137996E-2</c:v>
                </c:pt>
                <c:pt idx="10">
                  <c:v>4.1164865104671378E-2</c:v>
                </c:pt>
                <c:pt idx="11">
                  <c:v>4.1377691350399613E-2</c:v>
                </c:pt>
                <c:pt idx="12">
                  <c:v>4.1595067667484796E-2</c:v>
                </c:pt>
                <c:pt idx="13">
                  <c:v>4.1764428816819993E-2</c:v>
                </c:pt>
                <c:pt idx="14">
                  <c:v>4.2349444641459622E-2</c:v>
                </c:pt>
                <c:pt idx="15">
                  <c:v>4.6308968338022075E-2</c:v>
                </c:pt>
                <c:pt idx="16">
                  <c:v>4.8836231234161594E-2</c:v>
                </c:pt>
                <c:pt idx="17">
                  <c:v>5.3595930306659219E-2</c:v>
                </c:pt>
                <c:pt idx="18">
                  <c:v>5.7565221066069434E-2</c:v>
                </c:pt>
                <c:pt idx="19">
                  <c:v>6.2729222921459701E-2</c:v>
                </c:pt>
                <c:pt idx="20">
                  <c:v>6.6196057684242957E-2</c:v>
                </c:pt>
                <c:pt idx="21">
                  <c:v>6.8467246826706643E-2</c:v>
                </c:pt>
                <c:pt idx="22">
                  <c:v>7.0172825961903204E-2</c:v>
                </c:pt>
                <c:pt idx="23">
                  <c:v>7.1253581006734179E-2</c:v>
                </c:pt>
                <c:pt idx="24">
                  <c:v>7.2373764947306893E-2</c:v>
                </c:pt>
                <c:pt idx="25">
                  <c:v>7.3526606394483718E-2</c:v>
                </c:pt>
                <c:pt idx="26">
                  <c:v>7.4946332357804998E-2</c:v>
                </c:pt>
                <c:pt idx="27">
                  <c:v>7.6677376244942572E-2</c:v>
                </c:pt>
                <c:pt idx="28">
                  <c:v>7.9013960117321896E-2</c:v>
                </c:pt>
                <c:pt idx="29">
                  <c:v>8.1701603404673556E-2</c:v>
                </c:pt>
                <c:pt idx="30">
                  <c:v>8.4343323971656128E-2</c:v>
                </c:pt>
                <c:pt idx="31">
                  <c:v>8.6858185962353299E-2</c:v>
                </c:pt>
                <c:pt idx="32">
                  <c:v>0.14505568075559766</c:v>
                </c:pt>
                <c:pt idx="33">
                  <c:v>0.14673347963924613</c:v>
                </c:pt>
              </c:numCache>
            </c:numRef>
          </c:xVal>
          <c:yVal>
            <c:numRef>
              <c:f>diffusivitiesHTWin0601bM!$S$4:$S$37</c:f>
              <c:numCache>
                <c:formatCode>General</c:formatCode>
                <c:ptCount val="34"/>
                <c:pt idx="0">
                  <c:v>4.3351630658050588</c:v>
                </c:pt>
                <c:pt idx="1">
                  <c:v>3.315889563096448</c:v>
                </c:pt>
                <c:pt idx="2">
                  <c:v>2.6252784368357602</c:v>
                </c:pt>
                <c:pt idx="3">
                  <c:v>2.0930491595831739</c:v>
                </c:pt>
                <c:pt idx="4">
                  <c:v>1.6217904347420777</c:v>
                </c:pt>
                <c:pt idx="5">
                  <c:v>1.1539844199305413</c:v>
                </c:pt>
                <c:pt idx="6">
                  <c:v>0.84340699342275727</c:v>
                </c:pt>
                <c:pt idx="7">
                  <c:v>0.58533292574916373</c:v>
                </c:pt>
                <c:pt idx="8">
                  <c:v>0.49701849881197546</c:v>
                </c:pt>
                <c:pt idx="9">
                  <c:v>0.58067177608106491</c:v>
                </c:pt>
                <c:pt idx="10">
                  <c:v>0.57067634225612451</c:v>
                </c:pt>
                <c:pt idx="11">
                  <c:v>0.7930777706651142</c:v>
                </c:pt>
                <c:pt idx="12">
                  <c:v>1.2865450228832387</c:v>
                </c:pt>
                <c:pt idx="13">
                  <c:v>0.50785991579702383</c:v>
                </c:pt>
                <c:pt idx="14">
                  <c:v>0.27128409398628506</c:v>
                </c:pt>
                <c:pt idx="15">
                  <c:v>0.67008613017653573</c:v>
                </c:pt>
                <c:pt idx="16">
                  <c:v>0.63757329010143948</c:v>
                </c:pt>
                <c:pt idx="17">
                  <c:v>0.79113076889009548</c:v>
                </c:pt>
                <c:pt idx="18">
                  <c:v>0.56406894320226542</c:v>
                </c:pt>
                <c:pt idx="19">
                  <c:v>0.69248316693911249</c:v>
                </c:pt>
                <c:pt idx="20">
                  <c:v>0.47496157034469633</c:v>
                </c:pt>
                <c:pt idx="21">
                  <c:v>0.21783073499798533</c:v>
                </c:pt>
                <c:pt idx="22">
                  <c:v>0.20836259893933828</c:v>
                </c:pt>
                <c:pt idx="23">
                  <c:v>2.619812683832734E-2</c:v>
                </c:pt>
                <c:pt idx="24">
                  <c:v>5.0361598697922005E-2</c:v>
                </c:pt>
                <c:pt idx="25">
                  <c:v>-1.3903528781941787E-2</c:v>
                </c:pt>
                <c:pt idx="26">
                  <c:v>-2.7872536540812121E-2</c:v>
                </c:pt>
                <c:pt idx="27">
                  <c:v>-4.6451972421607479E-2</c:v>
                </c:pt>
                <c:pt idx="28">
                  <c:v>1.6537346256541241E-2</c:v>
                </c:pt>
                <c:pt idx="29">
                  <c:v>1.5304457864996124E-2</c:v>
                </c:pt>
                <c:pt idx="30">
                  <c:v>3.1552681673524319E-2</c:v>
                </c:pt>
                <c:pt idx="31">
                  <c:v>1.0622281940143807E-2</c:v>
                </c:pt>
                <c:pt idx="32">
                  <c:v>1.1766311427049203E-2</c:v>
                </c:pt>
                <c:pt idx="33">
                  <c:v>-7.4114766954096467E-2</c:v>
                </c:pt>
              </c:numCache>
            </c:numRef>
          </c:yVal>
          <c:smooth val="0"/>
          <c:extLst>
            <c:ext xmlns:c16="http://schemas.microsoft.com/office/drawing/2014/chart" uri="{C3380CC4-5D6E-409C-BE32-E72D297353CC}">
              <c16:uniqueId val="{00000000-2857-4F8E-926A-A90FF4A14C8F}"/>
            </c:ext>
          </c:extLst>
        </c:ser>
        <c:ser>
          <c:idx val="1"/>
          <c:order val="1"/>
          <c:tx>
            <c:v>4He</c:v>
          </c:tx>
          <c:spPr>
            <a:ln w="25400" cap="rnd">
              <a:solidFill>
                <a:srgbClr val="FF0000">
                  <a:alpha val="36000"/>
                </a:srgbClr>
              </a:solidFill>
              <a:round/>
            </a:ln>
            <a:effectLst/>
          </c:spPr>
          <c:marker>
            <c:symbol val="circle"/>
            <c:size val="5"/>
            <c:spPr>
              <a:solidFill>
                <a:schemeClr val="accent5">
                  <a:lumMod val="60000"/>
                  <a:lumOff val="40000"/>
                </a:schemeClr>
              </a:solidFill>
              <a:ln w="9525">
                <a:solidFill>
                  <a:schemeClr val="accent5">
                    <a:lumMod val="75000"/>
                  </a:schemeClr>
                </a:solidFill>
              </a:ln>
              <a:effectLst/>
            </c:spPr>
          </c:marker>
          <c:xVal>
            <c:numRef>
              <c:f>diffusivitiesHTWin0601bM!$I$4:$I$37</c:f>
              <c:numCache>
                <c:formatCode>0.00E+00</c:formatCode>
                <c:ptCount val="34"/>
                <c:pt idx="0">
                  <c:v>6.5888972971654648E-3</c:v>
                </c:pt>
                <c:pt idx="1">
                  <c:v>1.0312402771947718E-2</c:v>
                </c:pt>
                <c:pt idx="2">
                  <c:v>1.4733799945984585E-2</c:v>
                </c:pt>
                <c:pt idx="3">
                  <c:v>1.8680911479575162E-2</c:v>
                </c:pt>
                <c:pt idx="4">
                  <c:v>2.2864727664058754E-2</c:v>
                </c:pt>
                <c:pt idx="5">
                  <c:v>2.7459666666294711E-2</c:v>
                </c:pt>
                <c:pt idx="6">
                  <c:v>3.3151298972164712E-2</c:v>
                </c:pt>
                <c:pt idx="7">
                  <c:v>3.8589664705639036E-2</c:v>
                </c:pt>
                <c:pt idx="8">
                  <c:v>3.9861572100335876E-2</c:v>
                </c:pt>
                <c:pt idx="9">
                  <c:v>4.056961951137996E-2</c:v>
                </c:pt>
                <c:pt idx="10">
                  <c:v>4.1164865104671378E-2</c:v>
                </c:pt>
                <c:pt idx="11">
                  <c:v>4.1377691350399613E-2</c:v>
                </c:pt>
                <c:pt idx="12">
                  <c:v>4.1595067667484796E-2</c:v>
                </c:pt>
                <c:pt idx="13">
                  <c:v>4.1764428816819993E-2</c:v>
                </c:pt>
                <c:pt idx="14">
                  <c:v>4.2349444641459622E-2</c:v>
                </c:pt>
                <c:pt idx="15">
                  <c:v>4.6308968338022075E-2</c:v>
                </c:pt>
                <c:pt idx="16">
                  <c:v>4.8836231234161594E-2</c:v>
                </c:pt>
                <c:pt idx="17">
                  <c:v>5.3595930306659219E-2</c:v>
                </c:pt>
                <c:pt idx="18">
                  <c:v>5.7565221066069434E-2</c:v>
                </c:pt>
                <c:pt idx="19">
                  <c:v>6.2729222921459701E-2</c:v>
                </c:pt>
                <c:pt idx="20">
                  <c:v>6.6196057684242957E-2</c:v>
                </c:pt>
                <c:pt idx="21">
                  <c:v>6.8467246826706643E-2</c:v>
                </c:pt>
                <c:pt idx="22">
                  <c:v>7.0172825961903204E-2</c:v>
                </c:pt>
                <c:pt idx="23">
                  <c:v>7.1253581006734179E-2</c:v>
                </c:pt>
                <c:pt idx="24">
                  <c:v>7.2373764947306893E-2</c:v>
                </c:pt>
                <c:pt idx="25">
                  <c:v>7.3526606394483718E-2</c:v>
                </c:pt>
                <c:pt idx="26">
                  <c:v>7.4946332357804998E-2</c:v>
                </c:pt>
                <c:pt idx="27">
                  <c:v>7.6677376244942572E-2</c:v>
                </c:pt>
                <c:pt idx="28">
                  <c:v>7.9013960117321896E-2</c:v>
                </c:pt>
                <c:pt idx="29">
                  <c:v>8.1701603404673556E-2</c:v>
                </c:pt>
                <c:pt idx="30">
                  <c:v>8.4343323971656128E-2</c:v>
                </c:pt>
                <c:pt idx="31">
                  <c:v>8.6858185962353299E-2</c:v>
                </c:pt>
                <c:pt idx="32">
                  <c:v>0.14505568075559766</c:v>
                </c:pt>
                <c:pt idx="33">
                  <c:v>0.14673347963924613</c:v>
                </c:pt>
              </c:numCache>
            </c:numRef>
          </c:xVal>
          <c:yVal>
            <c:numRef>
              <c:f>diffusivitiesHTWin0601bM!$S$46:$S$79</c:f>
              <c:numCache>
                <c:formatCode>General</c:formatCode>
                <c:ptCount val="34"/>
                <c:pt idx="0">
                  <c:v>-3.4902635763540459</c:v>
                </c:pt>
                <c:pt idx="1">
                  <c:v>-3.1419574519135978</c:v>
                </c:pt>
                <c:pt idx="2">
                  <c:v>-2.6222262653973445</c:v>
                </c:pt>
                <c:pt idx="3">
                  <c:v>-2.0971642786083962</c:v>
                </c:pt>
                <c:pt idx="4">
                  <c:v>-1.9944451223465407</c:v>
                </c:pt>
                <c:pt idx="5">
                  <c:v>-1.9304851983525317</c:v>
                </c:pt>
                <c:pt idx="6">
                  <c:v>-1.765553203125986</c:v>
                </c:pt>
                <c:pt idx="7">
                  <c:v>-1.6965476342451495</c:v>
                </c:pt>
                <c:pt idx="8">
                  <c:v>-1.6045542551686971</c:v>
                </c:pt>
                <c:pt idx="9">
                  <c:v>-1.4979310959289016</c:v>
                </c:pt>
                <c:pt idx="10">
                  <c:v>-1.4941810291346833</c:v>
                </c:pt>
                <c:pt idx="11">
                  <c:v>-1.6109059264101617</c:v>
                </c:pt>
                <c:pt idx="12">
                  <c:v>-0.2068544152863474</c:v>
                </c:pt>
                <c:pt idx="13">
                  <c:v>-1.5430872696641025</c:v>
                </c:pt>
                <c:pt idx="14">
                  <c:v>7.5902384141102175E-3</c:v>
                </c:pt>
                <c:pt idx="15">
                  <c:v>-1.0785894506215179</c:v>
                </c:pt>
                <c:pt idx="16">
                  <c:v>-0.80082103677405314</c:v>
                </c:pt>
                <c:pt idx="17">
                  <c:v>-0.49975222895121618</c:v>
                </c:pt>
                <c:pt idx="18">
                  <c:v>-0.55675371763198456</c:v>
                </c:pt>
                <c:pt idx="19">
                  <c:v>-0.48022168781719188</c:v>
                </c:pt>
                <c:pt idx="20">
                  <c:v>-0.63215237131161928</c:v>
                </c:pt>
                <c:pt idx="21">
                  <c:v>-0.87035909730963468</c:v>
                </c:pt>
                <c:pt idx="22">
                  <c:v>-0.84964079350522326</c:v>
                </c:pt>
                <c:pt idx="23">
                  <c:v>-1.000008295130943</c:v>
                </c:pt>
                <c:pt idx="24">
                  <c:v>-1.032281123586209</c:v>
                </c:pt>
                <c:pt idx="25">
                  <c:v>-1.0754444716136931</c:v>
                </c:pt>
                <c:pt idx="26">
                  <c:v>-1.0489139765195041</c:v>
                </c:pt>
                <c:pt idx="27">
                  <c:v>-1.0152524007660588</c:v>
                </c:pt>
                <c:pt idx="28">
                  <c:v>-0.94751471639109752</c:v>
                </c:pt>
                <c:pt idx="29">
                  <c:v>-0.91781144118321478</c:v>
                </c:pt>
                <c:pt idx="30">
                  <c:v>-0.91740646053720099</c:v>
                </c:pt>
                <c:pt idx="31">
                  <c:v>-0.94278777688939641</c:v>
                </c:pt>
                <c:pt idx="32">
                  <c:v>-0.70248008198210243</c:v>
                </c:pt>
                <c:pt idx="33">
                  <c:v>-0.71832105973207661</c:v>
                </c:pt>
              </c:numCache>
            </c:numRef>
          </c:yVal>
          <c:smooth val="0"/>
          <c:extLst>
            <c:ext xmlns:c16="http://schemas.microsoft.com/office/drawing/2014/chart" uri="{C3380CC4-5D6E-409C-BE32-E72D297353CC}">
              <c16:uniqueId val="{00000001-2857-4F8E-926A-A90FF4A14C8F}"/>
            </c:ext>
          </c:extLst>
        </c:ser>
        <c:dLbls>
          <c:showLegendKey val="0"/>
          <c:showVal val="0"/>
          <c:showCatName val="0"/>
          <c:showSerName val="0"/>
          <c:showPercent val="0"/>
          <c:showBubbleSize val="0"/>
        </c:dLbls>
        <c:axId val="996476207"/>
        <c:axId val="996477647"/>
      </c:scatterChart>
      <c:valAx>
        <c:axId val="996476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3He Fractional</a:t>
                </a:r>
                <a:r>
                  <a:rPr lang="en-US" baseline="0"/>
                  <a:t> Yield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7647"/>
        <c:crosses val="autoZero"/>
        <c:crossBetween val="midCat"/>
      </c:valAx>
      <c:valAx>
        <c:axId val="996477647"/>
        <c:scaling>
          <c:orientation val="minMax"/>
          <c:max val="5"/>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Delta</a:t>
                </a:r>
                <a:r>
                  <a:rPr lang="en-US" baseline="0"/>
                  <a:t> ln(D/a</a:t>
                </a:r>
                <a:r>
                  <a:rPr lang="en-US" baseline="30000"/>
                  <a:t>2</a:t>
                </a:r>
                <a:r>
                  <a:rPr lang="en-US" baseline="0"/>
                  <a: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62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Win-06-01b Two Isotope Helium Arrhenius</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3He</c:v>
          </c:tx>
          <c:spPr>
            <a:ln w="1905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diffusivitiesHTWin0601bLB!#REF!</c:f>
                <c:numCache>
                  <c:formatCode>General</c:formatCode>
                  <c:ptCount val="1"/>
                  <c:pt idx="0">
                    <c:v>1</c:v>
                  </c:pt>
                </c:numCache>
              </c:numRef>
            </c:plus>
            <c:minus>
              <c:numRef>
                <c:f>diffusivitiesHTWin0601bLB!#REF!</c:f>
                <c:numCache>
                  <c:formatCode>General</c:formatCode>
                  <c:ptCount val="1"/>
                  <c:pt idx="0">
                    <c:v>1</c:v>
                  </c:pt>
                </c:numCache>
              </c:numRef>
            </c:minus>
            <c:spPr>
              <a:noFill/>
              <a:ln w="9525" cap="flat" cmpd="sng" algn="ctr">
                <a:solidFill>
                  <a:schemeClr val="accent4">
                    <a:lumMod val="75000"/>
                  </a:schemeClr>
                </a:solidFill>
                <a:round/>
              </a:ln>
              <a:effectLst/>
            </c:spPr>
          </c:errBars>
          <c:xVal>
            <c:numRef>
              <c:f>diffusivitiesHTWin0601bUB!$O$4:$O$37</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diffusivitiesHTWin0601bUB!$P$4:$P$37</c:f>
              <c:numCache>
                <c:formatCode>General</c:formatCode>
                <c:ptCount val="34"/>
                <c:pt idx="0">
                  <c:v>0</c:v>
                </c:pt>
                <c:pt idx="1">
                  <c:v>0</c:v>
                </c:pt>
                <c:pt idx="2">
                  <c:v>0</c:v>
                </c:pt>
                <c:pt idx="3">
                  <c:v>-21.520567901581238</c:v>
                </c:pt>
                <c:pt idx="4">
                  <c:v>-21.175614813786677</c:v>
                </c:pt>
                <c:pt idx="5">
                  <c:v>-20.856695509367281</c:v>
                </c:pt>
                <c:pt idx="6">
                  <c:v>-20.406872324531065</c:v>
                </c:pt>
                <c:pt idx="7">
                  <c:v>-21.153774497666316</c:v>
                </c:pt>
                <c:pt idx="8">
                  <c:v>-21.914166803456055</c:v>
                </c:pt>
                <c:pt idx="9">
                  <c:v>-22.658709731485072</c:v>
                </c:pt>
                <c:pt idx="10">
                  <c:v>-23.626830382476633</c:v>
                </c:pt>
                <c:pt idx="11">
                  <c:v>-24.218750169297149</c:v>
                </c:pt>
                <c:pt idx="12">
                  <c:v>-24.675431332215506</c:v>
                </c:pt>
                <c:pt idx="13">
                  <c:v>-22.885106553635847</c:v>
                </c:pt>
                <c:pt idx="14">
                  <c:v>-22.567168437584321</c:v>
                </c:pt>
                <c:pt idx="15">
                  <c:v>-21.479975920918818</c:v>
                </c:pt>
                <c:pt idx="16">
                  <c:v>-20.595047518458308</c:v>
                </c:pt>
                <c:pt idx="17">
                  <c:v>-19.684586826374321</c:v>
                </c:pt>
                <c:pt idx="18">
                  <c:v>-19.498958125568596</c:v>
                </c:pt>
                <c:pt idx="19">
                  <c:v>-18.975302492057391</c:v>
                </c:pt>
                <c:pt idx="20">
                  <c:v>-19.620353186284586</c:v>
                </c:pt>
                <c:pt idx="21">
                  <c:v>-20.266230310424152</c:v>
                </c:pt>
                <c:pt idx="22">
                  <c:v>-20.664597766470717</c:v>
                </c:pt>
                <c:pt idx="23">
                  <c:v>-21.237651720072424</c:v>
                </c:pt>
                <c:pt idx="24">
                  <c:v>-21.658477164915524</c:v>
                </c:pt>
                <c:pt idx="25">
                  <c:v>-21.309445616356477</c:v>
                </c:pt>
                <c:pt idx="26">
                  <c:v>-20.946813164840766</c:v>
                </c:pt>
                <c:pt idx="27">
                  <c:v>-20.578613090386732</c:v>
                </c:pt>
                <c:pt idx="28">
                  <c:v>-20.138714600171095</c:v>
                </c:pt>
                <c:pt idx="29">
                  <c:v>-19.763606921949123</c:v>
                </c:pt>
                <c:pt idx="30">
                  <c:v>-19.749578720721583</c:v>
                </c:pt>
                <c:pt idx="31">
                  <c:v>-19.770118298249781</c:v>
                </c:pt>
                <c:pt idx="32">
                  <c:v>-19.969456302973004</c:v>
                </c:pt>
                <c:pt idx="33">
                  <c:v>-20.694577265579092</c:v>
                </c:pt>
              </c:numCache>
            </c:numRef>
          </c:yVal>
          <c:smooth val="0"/>
          <c:extLst>
            <c:ext xmlns:c16="http://schemas.microsoft.com/office/drawing/2014/chart" uri="{C3380CC4-5D6E-409C-BE32-E72D297353CC}">
              <c16:uniqueId val="{00000000-BE50-49C0-831A-F5410CB3F6DE}"/>
            </c:ext>
          </c:extLst>
        </c:ser>
        <c:ser>
          <c:idx val="2"/>
          <c:order val="1"/>
          <c:tx>
            <c:v>4He</c:v>
          </c:tx>
          <c:spPr>
            <a:ln w="19050" cap="rnd">
              <a:solidFill>
                <a:srgbClr val="FF0000">
                  <a:alpha val="36000"/>
                </a:srgbClr>
              </a:solidFill>
              <a:round/>
            </a:ln>
            <a:effectLst/>
          </c:spPr>
          <c:marker>
            <c:symbol val="circle"/>
            <c:size val="5"/>
            <c:spPr>
              <a:solidFill>
                <a:schemeClr val="accent5">
                  <a:lumMod val="60000"/>
                  <a:lumOff val="40000"/>
                </a:schemeClr>
              </a:solidFill>
              <a:ln w="9525">
                <a:solidFill>
                  <a:schemeClr val="accent5">
                    <a:lumMod val="75000"/>
                  </a:schemeClr>
                </a:solidFill>
              </a:ln>
              <a:effectLst/>
            </c:spPr>
          </c:marker>
          <c:errBars>
            <c:errDir val="y"/>
            <c:errBarType val="both"/>
            <c:errValType val="cust"/>
            <c:noEndCap val="0"/>
            <c:plus>
              <c:numRef>
                <c:f>diffusivitiesHTWin0601bLB!#REF!</c:f>
                <c:numCache>
                  <c:formatCode>General</c:formatCode>
                  <c:ptCount val="1"/>
                  <c:pt idx="0">
                    <c:v>1</c:v>
                  </c:pt>
                </c:numCache>
              </c:numRef>
            </c:plus>
            <c:minus>
              <c:numRef>
                <c:f>diffusivitiesHTWin0601bLB!#REF!</c:f>
                <c:numCache>
                  <c:formatCode>General</c:formatCode>
                  <c:ptCount val="1"/>
                  <c:pt idx="0">
                    <c:v>1</c:v>
                  </c:pt>
                </c:numCache>
              </c:numRef>
            </c:minus>
            <c:spPr>
              <a:noFill/>
              <a:ln w="9525" cap="flat" cmpd="sng" algn="ctr">
                <a:solidFill>
                  <a:srgbClr val="FF0000">
                    <a:alpha val="29000"/>
                  </a:srgbClr>
                </a:solidFill>
                <a:round/>
              </a:ln>
              <a:effectLst/>
            </c:spPr>
          </c:errBars>
          <c:xVal>
            <c:numRef>
              <c:f>diffusivitiesHTWin0601bUB!$O$46:$O$79</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diffusivitiesHTWin0601bUB!$P$46:$P$79</c:f>
              <c:numCache>
                <c:formatCode>General</c:formatCode>
                <c:ptCount val="34"/>
                <c:pt idx="0">
                  <c:v>0</c:v>
                </c:pt>
                <c:pt idx="1">
                  <c:v>0</c:v>
                </c:pt>
                <c:pt idx="2">
                  <c:v>0</c:v>
                </c:pt>
                <c:pt idx="3">
                  <c:v>-25.635404809558572</c:v>
                </c:pt>
                <c:pt idx="4">
                  <c:v>-24.731839379296861</c:v>
                </c:pt>
                <c:pt idx="5">
                  <c:v>-23.888786473120522</c:v>
                </c:pt>
                <c:pt idx="6">
                  <c:v>-22.967767111271531</c:v>
                </c:pt>
                <c:pt idx="7">
                  <c:v>-23.417744683327065</c:v>
                </c:pt>
                <c:pt idx="8">
                  <c:v>-23.987875651110066</c:v>
                </c:pt>
                <c:pt idx="9">
                  <c:v>-24.712237600618572</c:v>
                </c:pt>
                <c:pt idx="10">
                  <c:v>-25.679897671599665</c:v>
                </c:pt>
                <c:pt idx="11">
                  <c:v>-26.602172248627561</c:v>
                </c:pt>
                <c:pt idx="12">
                  <c:v>-26.14979714354185</c:v>
                </c:pt>
                <c:pt idx="13">
                  <c:v>-24.86985324266238</c:v>
                </c:pt>
                <c:pt idx="14">
                  <c:v>-22.796373040929073</c:v>
                </c:pt>
                <c:pt idx="15">
                  <c:v>-23.217985951766057</c:v>
                </c:pt>
                <c:pt idx="16">
                  <c:v>-22.004574554842819</c:v>
                </c:pt>
                <c:pt idx="17">
                  <c:v>-20.943450743110784</c:v>
                </c:pt>
                <c:pt idx="18">
                  <c:v>-20.57989697236324</c:v>
                </c:pt>
                <c:pt idx="19">
                  <c:v>-20.10318000580558</c:v>
                </c:pt>
                <c:pt idx="20">
                  <c:v>-20.694233191127601</c:v>
                </c:pt>
                <c:pt idx="21">
                  <c:v>-21.32694993665357</c:v>
                </c:pt>
                <c:pt idx="22">
                  <c:v>-21.698387184354686</c:v>
                </c:pt>
                <c:pt idx="23">
                  <c:v>-22.242004468301641</c:v>
                </c:pt>
                <c:pt idx="24">
                  <c:v>-22.727277201998646</c:v>
                </c:pt>
                <c:pt idx="25">
                  <c:v>-22.353297925448476</c:v>
                </c:pt>
                <c:pt idx="26">
                  <c:v>-21.948869049273398</c:v>
                </c:pt>
                <c:pt idx="27">
                  <c:v>-21.52667530799128</c:v>
                </c:pt>
                <c:pt idx="28">
                  <c:v>-21.079682846013057</c:v>
                </c:pt>
                <c:pt idx="29">
                  <c:v>-20.670284066746259</c:v>
                </c:pt>
                <c:pt idx="30">
                  <c:v>-20.672359901062741</c:v>
                </c:pt>
                <c:pt idx="31">
                  <c:v>-20.657935596118342</c:v>
                </c:pt>
                <c:pt idx="32">
                  <c:v>-20.682576511620262</c:v>
                </c:pt>
                <c:pt idx="33">
                  <c:v>-21.329403263236756</c:v>
                </c:pt>
              </c:numCache>
            </c:numRef>
          </c:yVal>
          <c:smooth val="0"/>
          <c:extLst>
            <c:ext xmlns:c16="http://schemas.microsoft.com/office/drawing/2014/chart" uri="{C3380CC4-5D6E-409C-BE32-E72D297353CC}">
              <c16:uniqueId val="{00000001-BE50-49C0-831A-F5410CB3F6DE}"/>
            </c:ext>
          </c:extLst>
        </c:ser>
        <c:dLbls>
          <c:showLegendKey val="0"/>
          <c:showVal val="0"/>
          <c:showCatName val="0"/>
          <c:showSerName val="0"/>
          <c:showPercent val="0"/>
          <c:showBubbleSize val="0"/>
        </c:dLbls>
        <c:axId val="2132438240"/>
        <c:axId val="2132437280"/>
      </c:scatterChart>
      <c:valAx>
        <c:axId val="213243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7280"/>
        <c:crosses val="autoZero"/>
        <c:crossBetween val="midCat"/>
      </c:valAx>
      <c:valAx>
        <c:axId val="2132437280"/>
        <c:scaling>
          <c:orientation val="minMax"/>
          <c:max val="-18"/>
          <c:min val="-3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ln(D/a</a:t>
                </a:r>
                <a:r>
                  <a:rPr lang="en-US" baseline="30000"/>
                  <a:t>2</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82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Win-0601b 3He Arrhenius</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6">
                    <a:lumMod val="75000"/>
                  </a:schemeClr>
                </a:solidFill>
                <a:prstDash val="sysDot"/>
              </a:ln>
              <a:effectLst/>
            </c:spPr>
            <c:trendlineType val="linear"/>
            <c:forward val="1.5"/>
            <c:backward val="0.2"/>
            <c:dispRSqr val="1"/>
            <c:dispEq val="1"/>
            <c:trendlineLbl>
              <c:layout>
                <c:manualLayout>
                  <c:x val="-0.31770282915786463"/>
                  <c:y val="-0.2826382509177228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diffusivitiesHTWin0601bUB!$O$27:$O$37</c:f>
              <c:numCache>
                <c:formatCode>General</c:formatCode>
                <c:ptCount val="11"/>
                <c:pt idx="0">
                  <c:v>19.880715705765407</c:v>
                </c:pt>
                <c:pt idx="1">
                  <c:v>20.080321285140563</c:v>
                </c:pt>
                <c:pt idx="2">
                  <c:v>19.880715705765407</c:v>
                </c:pt>
                <c:pt idx="3">
                  <c:v>19.68891514077578</c:v>
                </c:pt>
                <c:pt idx="4">
                  <c:v>19.49317738791423</c:v>
                </c:pt>
                <c:pt idx="5">
                  <c:v>19.305019305019304</c:v>
                </c:pt>
                <c:pt idx="6">
                  <c:v>19.120458891013385</c:v>
                </c:pt>
                <c:pt idx="7">
                  <c:v>19.121555729774173</c:v>
                </c:pt>
                <c:pt idx="8">
                  <c:v>19.121190102872003</c:v>
                </c:pt>
                <c:pt idx="9">
                  <c:v>19.120458891013385</c:v>
                </c:pt>
                <c:pt idx="10">
                  <c:v>19.49317738791423</c:v>
                </c:pt>
              </c:numCache>
            </c:numRef>
          </c:xVal>
          <c:yVal>
            <c:numRef>
              <c:f>diffusivitiesHTWin0601bUB!$P$27:$P$37</c:f>
              <c:numCache>
                <c:formatCode>General</c:formatCode>
                <c:ptCount val="11"/>
                <c:pt idx="0">
                  <c:v>-21.237651720072424</c:v>
                </c:pt>
                <c:pt idx="1">
                  <c:v>-21.658477164915524</c:v>
                </c:pt>
                <c:pt idx="2">
                  <c:v>-21.309445616356477</c:v>
                </c:pt>
                <c:pt idx="3">
                  <c:v>-20.946813164840766</c:v>
                </c:pt>
                <c:pt idx="4">
                  <c:v>-20.578613090386732</c:v>
                </c:pt>
                <c:pt idx="5">
                  <c:v>-20.138714600171095</c:v>
                </c:pt>
                <c:pt idx="6">
                  <c:v>-19.763606921949123</c:v>
                </c:pt>
                <c:pt idx="7">
                  <c:v>-19.749578720721583</c:v>
                </c:pt>
                <c:pt idx="8">
                  <c:v>-19.770118298249781</c:v>
                </c:pt>
                <c:pt idx="9">
                  <c:v>-19.969456302973004</c:v>
                </c:pt>
                <c:pt idx="10">
                  <c:v>-20.694577265579092</c:v>
                </c:pt>
              </c:numCache>
            </c:numRef>
          </c:yVal>
          <c:smooth val="0"/>
          <c:extLst>
            <c:ext xmlns:c16="http://schemas.microsoft.com/office/drawing/2014/chart" uri="{C3380CC4-5D6E-409C-BE32-E72D297353CC}">
              <c16:uniqueId val="{00000001-D732-4FBA-9C53-5A10E52C418F}"/>
            </c:ext>
          </c:extLst>
        </c:ser>
        <c:ser>
          <c:idx val="0"/>
          <c:order val="1"/>
          <c:spPr>
            <a:ln w="1905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xVal>
            <c:numRef>
              <c:f>diffusivitiesHTWin0601bUB!$O$4:$O$37</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diffusivitiesHTWin0601bUB!$P$4:$P$37</c:f>
              <c:numCache>
                <c:formatCode>General</c:formatCode>
                <c:ptCount val="34"/>
                <c:pt idx="0">
                  <c:v>0</c:v>
                </c:pt>
                <c:pt idx="1">
                  <c:v>0</c:v>
                </c:pt>
                <c:pt idx="2">
                  <c:v>0</c:v>
                </c:pt>
                <c:pt idx="3">
                  <c:v>-21.520567901581238</c:v>
                </c:pt>
                <c:pt idx="4">
                  <c:v>-21.175614813786677</c:v>
                </c:pt>
                <c:pt idx="5">
                  <c:v>-20.856695509367281</c:v>
                </c:pt>
                <c:pt idx="6">
                  <c:v>-20.406872324531065</c:v>
                </c:pt>
                <c:pt idx="7">
                  <c:v>-21.153774497666316</c:v>
                </c:pt>
                <c:pt idx="8">
                  <c:v>-21.914166803456055</c:v>
                </c:pt>
                <c:pt idx="9">
                  <c:v>-22.658709731485072</c:v>
                </c:pt>
                <c:pt idx="10">
                  <c:v>-23.626830382476633</c:v>
                </c:pt>
                <c:pt idx="11">
                  <c:v>-24.218750169297149</c:v>
                </c:pt>
                <c:pt idx="12">
                  <c:v>-24.675431332215506</c:v>
                </c:pt>
                <c:pt idx="13">
                  <c:v>-22.885106553635847</c:v>
                </c:pt>
                <c:pt idx="14">
                  <c:v>-22.567168437584321</c:v>
                </c:pt>
                <c:pt idx="15">
                  <c:v>-21.479975920918818</c:v>
                </c:pt>
                <c:pt idx="16">
                  <c:v>-20.595047518458308</c:v>
                </c:pt>
                <c:pt idx="17">
                  <c:v>-19.684586826374321</c:v>
                </c:pt>
                <c:pt idx="18">
                  <c:v>-19.498958125568596</c:v>
                </c:pt>
                <c:pt idx="19">
                  <c:v>-18.975302492057391</c:v>
                </c:pt>
                <c:pt idx="20">
                  <c:v>-19.620353186284586</c:v>
                </c:pt>
                <c:pt idx="21">
                  <c:v>-20.266230310424152</c:v>
                </c:pt>
                <c:pt idx="22">
                  <c:v>-20.664597766470717</c:v>
                </c:pt>
                <c:pt idx="23">
                  <c:v>-21.237651720072424</c:v>
                </c:pt>
                <c:pt idx="24">
                  <c:v>-21.658477164915524</c:v>
                </c:pt>
                <c:pt idx="25">
                  <c:v>-21.309445616356477</c:v>
                </c:pt>
                <c:pt idx="26">
                  <c:v>-20.946813164840766</c:v>
                </c:pt>
                <c:pt idx="27">
                  <c:v>-20.578613090386732</c:v>
                </c:pt>
                <c:pt idx="28">
                  <c:v>-20.138714600171095</c:v>
                </c:pt>
                <c:pt idx="29">
                  <c:v>-19.763606921949123</c:v>
                </c:pt>
                <c:pt idx="30">
                  <c:v>-19.749578720721583</c:v>
                </c:pt>
                <c:pt idx="31">
                  <c:v>-19.770118298249781</c:v>
                </c:pt>
                <c:pt idx="32">
                  <c:v>-19.969456302973004</c:v>
                </c:pt>
                <c:pt idx="33">
                  <c:v>-20.694577265579092</c:v>
                </c:pt>
              </c:numCache>
            </c:numRef>
          </c:yVal>
          <c:smooth val="0"/>
          <c:extLst>
            <c:ext xmlns:c16="http://schemas.microsoft.com/office/drawing/2014/chart" uri="{C3380CC4-5D6E-409C-BE32-E72D297353CC}">
              <c16:uniqueId val="{00000002-D732-4FBA-9C53-5A10E52C418F}"/>
            </c:ext>
          </c:extLst>
        </c:ser>
        <c:dLbls>
          <c:showLegendKey val="0"/>
          <c:showVal val="0"/>
          <c:showCatName val="0"/>
          <c:showSerName val="0"/>
          <c:showPercent val="0"/>
          <c:showBubbleSize val="0"/>
        </c:dLbls>
        <c:axId val="2132438240"/>
        <c:axId val="2132437280"/>
      </c:scatterChart>
      <c:valAx>
        <c:axId val="213243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7280"/>
        <c:crosses val="autoZero"/>
        <c:crossBetween val="midCat"/>
      </c:valAx>
      <c:valAx>
        <c:axId val="2132437280"/>
        <c:scaling>
          <c:orientation val="minMax"/>
          <c:max val="-18"/>
          <c:min val="-25.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ln(D/a</a:t>
                </a:r>
                <a:r>
                  <a:rPr lang="en-US" baseline="30000"/>
                  <a:t>2</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8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Delta Plot</a:t>
            </a:r>
            <a:r>
              <a:rPr lang="en-US" baseline="0"/>
              <a:t> with Regression Reference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3He</c:v>
          </c:tx>
          <c:spPr>
            <a:ln w="2540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xVal>
            <c:numRef>
              <c:f>diffusivitiesHTWin0601bUB!$I$4:$I$37</c:f>
              <c:numCache>
                <c:formatCode>0.00E+00</c:formatCode>
                <c:ptCount val="34"/>
                <c:pt idx="0">
                  <c:v>0</c:v>
                </c:pt>
                <c:pt idx="1">
                  <c:v>6.5888972971654648E-3</c:v>
                </c:pt>
                <c:pt idx="2">
                  <c:v>1.1112810265020163E-2</c:v>
                </c:pt>
                <c:pt idx="3">
                  <c:v>1.9590903335256735E-2</c:v>
                </c:pt>
                <c:pt idx="4">
                  <c:v>2.378204055408159E-2</c:v>
                </c:pt>
                <c:pt idx="5">
                  <c:v>2.8382566587591966E-2</c:v>
                </c:pt>
                <c:pt idx="6">
                  <c:v>3.4217499170847467E-2</c:v>
                </c:pt>
                <c:pt idx="7">
                  <c:v>3.9048067234145722E-2</c:v>
                </c:pt>
                <c:pt idx="8">
                  <c:v>4.0084017423669405E-2</c:v>
                </c:pt>
                <c:pt idx="9">
                  <c:v>4.068704242768665E-2</c:v>
                </c:pt>
                <c:pt idx="10">
                  <c:v>4.1215051037304641E-2</c:v>
                </c:pt>
                <c:pt idx="11">
                  <c:v>4.1409291606592132E-2</c:v>
                </c:pt>
                <c:pt idx="12">
                  <c:v>4.1618047493810324E-2</c:v>
                </c:pt>
                <c:pt idx="13">
                  <c:v>4.1857531273545134E-2</c:v>
                </c:pt>
                <c:pt idx="14">
                  <c:v>4.246506285032705E-2</c:v>
                </c:pt>
                <c:pt idx="15">
                  <c:v>4.6595560809531714E-2</c:v>
                </c:pt>
                <c:pt idx="16">
                  <c:v>4.940765446350881E-2</c:v>
                </c:pt>
                <c:pt idx="17">
                  <c:v>5.4716053536801035E-2</c:v>
                </c:pt>
                <c:pt idx="18">
                  <c:v>5.8734823059068672E-2</c:v>
                </c:pt>
                <c:pt idx="19">
                  <c:v>6.4430307830220912E-2</c:v>
                </c:pt>
                <c:pt idx="20">
                  <c:v>6.7086659342801974E-2</c:v>
                </c:pt>
                <c:pt idx="21">
                  <c:v>6.8940283389150994E-2</c:v>
                </c:pt>
                <c:pt idx="22">
                  <c:v>7.049975113080649E-2</c:v>
                </c:pt>
                <c:pt idx="23">
                  <c:v>7.1445290782890108E-2</c:v>
                </c:pt>
                <c:pt idx="24">
                  <c:v>7.2505294383318694E-2</c:v>
                </c:pt>
                <c:pt idx="25">
                  <c:v>7.36993108733483E-2</c:v>
                </c:pt>
                <c:pt idx="26">
                  <c:v>7.517626413793925E-2</c:v>
                </c:pt>
                <c:pt idx="27">
                  <c:v>7.6983632790946874E-2</c:v>
                </c:pt>
                <c:pt idx="28">
                  <c:v>7.9450078375738253E-2</c:v>
                </c:pt>
                <c:pt idx="29">
                  <c:v>8.2281520131255947E-2</c:v>
                </c:pt>
                <c:pt idx="30">
                  <c:v>8.491155503850388E-2</c:v>
                </c:pt>
                <c:pt idx="31">
                  <c:v>8.7397012983002245E-2</c:v>
                </c:pt>
                <c:pt idx="32">
                  <c:v>0.14537289926922331</c:v>
                </c:pt>
                <c:pt idx="33">
                  <c:v>0.14686693887837576</c:v>
                </c:pt>
              </c:numCache>
            </c:numRef>
          </c:xVal>
          <c:yVal>
            <c:numRef>
              <c:f>diffusivitiesHTWin0601bUB!$S$4:$S$37</c:f>
              <c:numCache>
                <c:formatCode>General</c:formatCode>
                <c:ptCount val="34"/>
                <c:pt idx="0">
                  <c:v>0</c:v>
                </c:pt>
                <c:pt idx="1">
                  <c:v>0</c:v>
                </c:pt>
                <c:pt idx="2">
                  <c:v>0</c:v>
                </c:pt>
                <c:pt idx="3">
                  <c:v>2.2192697856776427</c:v>
                </c:pt>
                <c:pt idx="4">
                  <c:v>1.7171789708164695</c:v>
                </c:pt>
                <c:pt idx="5">
                  <c:v>1.2234172083876729</c:v>
                </c:pt>
                <c:pt idx="6">
                  <c:v>0.89287268887462901</c:v>
                </c:pt>
                <c:pt idx="7">
                  <c:v>0.53223685935803644</c:v>
                </c:pt>
                <c:pt idx="8">
                  <c:v>0.56812312258545106</c:v>
                </c:pt>
                <c:pt idx="9">
                  <c:v>0.65317585851154547</c:v>
                </c:pt>
                <c:pt idx="10">
                  <c:v>0.55010367762702472</c:v>
                </c:pt>
                <c:pt idx="11">
                  <c:v>0.86100740327630376</c:v>
                </c:pt>
                <c:pt idx="12">
                  <c:v>1.3474543739201366</c:v>
                </c:pt>
                <c:pt idx="13">
                  <c:v>0.85473113362303366</c:v>
                </c:pt>
                <c:pt idx="14">
                  <c:v>0.32645487095505032</c:v>
                </c:pt>
                <c:pt idx="15">
                  <c:v>0.60172925476662797</c:v>
                </c:pt>
                <c:pt idx="16">
                  <c:v>0.70546236358939396</c:v>
                </c:pt>
                <c:pt idx="17">
                  <c:v>0.86521417485947083</c:v>
                </c:pt>
                <c:pt idx="18">
                  <c:v>0.68672913230373922</c:v>
                </c:pt>
                <c:pt idx="19">
                  <c:v>0.85394053238077561</c:v>
                </c:pt>
                <c:pt idx="20">
                  <c:v>0.57182598390116368</c:v>
                </c:pt>
                <c:pt idx="21">
                  <c:v>0.28430603036425595</c:v>
                </c:pt>
                <c:pt idx="22">
                  <c:v>0.25648457149778636</c:v>
                </c:pt>
                <c:pt idx="23">
                  <c:v>6.2093293333269628E-2</c:v>
                </c:pt>
                <c:pt idx="24">
                  <c:v>2.7534192108827682E-2</c:v>
                </c:pt>
                <c:pt idx="25">
                  <c:v>-9.7006029507831215E-3</c:v>
                </c:pt>
                <c:pt idx="26">
                  <c:v>-1.823063684482662E-2</c:v>
                </c:pt>
                <c:pt idx="27">
                  <c:v>-2.8812089152939535E-2</c:v>
                </c:pt>
                <c:pt idx="28">
                  <c:v>4.6972657701239484E-2</c:v>
                </c:pt>
                <c:pt idx="29">
                  <c:v>6.4928614423358511E-2</c:v>
                </c:pt>
                <c:pt idx="30">
                  <c:v>8.1079361017586393E-2</c:v>
                </c:pt>
                <c:pt idx="31">
                  <c:v>5.983224131010445E-2</c:v>
                </c:pt>
                <c:pt idx="32">
                  <c:v>-0.140920766600523</c:v>
                </c:pt>
                <c:pt idx="33">
                  <c:v>-0.14477626434529967</c:v>
                </c:pt>
              </c:numCache>
            </c:numRef>
          </c:yVal>
          <c:smooth val="0"/>
          <c:extLst>
            <c:ext xmlns:c16="http://schemas.microsoft.com/office/drawing/2014/chart" uri="{C3380CC4-5D6E-409C-BE32-E72D297353CC}">
              <c16:uniqueId val="{00000000-26D5-4780-BE10-B6DA853D803A}"/>
            </c:ext>
          </c:extLst>
        </c:ser>
        <c:ser>
          <c:idx val="1"/>
          <c:order val="1"/>
          <c:tx>
            <c:v>4He</c:v>
          </c:tx>
          <c:spPr>
            <a:ln w="25400" cap="rnd">
              <a:solidFill>
                <a:srgbClr val="FF0000">
                  <a:alpha val="36000"/>
                </a:srgbClr>
              </a:solidFill>
              <a:round/>
            </a:ln>
            <a:effectLst/>
          </c:spPr>
          <c:marker>
            <c:symbol val="circle"/>
            <c:size val="5"/>
            <c:spPr>
              <a:solidFill>
                <a:schemeClr val="accent5">
                  <a:lumMod val="60000"/>
                  <a:lumOff val="40000"/>
                </a:schemeClr>
              </a:solidFill>
              <a:ln w="9525">
                <a:solidFill>
                  <a:schemeClr val="accent5">
                    <a:lumMod val="75000"/>
                  </a:schemeClr>
                </a:solidFill>
              </a:ln>
              <a:effectLst/>
            </c:spPr>
          </c:marker>
          <c:xVal>
            <c:numRef>
              <c:f>diffusivitiesHTWin0601bUB!$I$4:$I$37</c:f>
              <c:numCache>
                <c:formatCode>0.00E+00</c:formatCode>
                <c:ptCount val="34"/>
                <c:pt idx="0">
                  <c:v>0</c:v>
                </c:pt>
                <c:pt idx="1">
                  <c:v>6.5888972971654648E-3</c:v>
                </c:pt>
                <c:pt idx="2">
                  <c:v>1.1112810265020163E-2</c:v>
                </c:pt>
                <c:pt idx="3">
                  <c:v>1.9590903335256735E-2</c:v>
                </c:pt>
                <c:pt idx="4">
                  <c:v>2.378204055408159E-2</c:v>
                </c:pt>
                <c:pt idx="5">
                  <c:v>2.8382566587591966E-2</c:v>
                </c:pt>
                <c:pt idx="6">
                  <c:v>3.4217499170847467E-2</c:v>
                </c:pt>
                <c:pt idx="7">
                  <c:v>3.9048067234145722E-2</c:v>
                </c:pt>
                <c:pt idx="8">
                  <c:v>4.0084017423669405E-2</c:v>
                </c:pt>
                <c:pt idx="9">
                  <c:v>4.068704242768665E-2</c:v>
                </c:pt>
                <c:pt idx="10">
                  <c:v>4.1215051037304641E-2</c:v>
                </c:pt>
                <c:pt idx="11">
                  <c:v>4.1409291606592132E-2</c:v>
                </c:pt>
                <c:pt idx="12">
                  <c:v>4.1618047493810324E-2</c:v>
                </c:pt>
                <c:pt idx="13">
                  <c:v>4.1857531273545134E-2</c:v>
                </c:pt>
                <c:pt idx="14">
                  <c:v>4.246506285032705E-2</c:v>
                </c:pt>
                <c:pt idx="15">
                  <c:v>4.6595560809531714E-2</c:v>
                </c:pt>
                <c:pt idx="16">
                  <c:v>4.940765446350881E-2</c:v>
                </c:pt>
                <c:pt idx="17">
                  <c:v>5.4716053536801035E-2</c:v>
                </c:pt>
                <c:pt idx="18">
                  <c:v>5.8734823059068672E-2</c:v>
                </c:pt>
                <c:pt idx="19">
                  <c:v>6.4430307830220912E-2</c:v>
                </c:pt>
                <c:pt idx="20">
                  <c:v>6.7086659342801974E-2</c:v>
                </c:pt>
                <c:pt idx="21">
                  <c:v>6.8940283389150994E-2</c:v>
                </c:pt>
                <c:pt idx="22">
                  <c:v>7.049975113080649E-2</c:v>
                </c:pt>
                <c:pt idx="23">
                  <c:v>7.1445290782890108E-2</c:v>
                </c:pt>
                <c:pt idx="24">
                  <c:v>7.2505294383318694E-2</c:v>
                </c:pt>
                <c:pt idx="25">
                  <c:v>7.36993108733483E-2</c:v>
                </c:pt>
                <c:pt idx="26">
                  <c:v>7.517626413793925E-2</c:v>
                </c:pt>
                <c:pt idx="27">
                  <c:v>7.6983632790946874E-2</c:v>
                </c:pt>
                <c:pt idx="28">
                  <c:v>7.9450078375738253E-2</c:v>
                </c:pt>
                <c:pt idx="29">
                  <c:v>8.2281520131255947E-2</c:v>
                </c:pt>
                <c:pt idx="30">
                  <c:v>8.491155503850388E-2</c:v>
                </c:pt>
                <c:pt idx="31">
                  <c:v>8.7397012983002245E-2</c:v>
                </c:pt>
                <c:pt idx="32">
                  <c:v>0.14537289926922331</c:v>
                </c:pt>
                <c:pt idx="33">
                  <c:v>0.14686693887837576</c:v>
                </c:pt>
              </c:numCache>
            </c:numRef>
          </c:xVal>
          <c:yVal>
            <c:numRef>
              <c:f>diffusivitiesHTWin0601bUB!$S$46:$S$79</c:f>
              <c:numCache>
                <c:formatCode>General</c:formatCode>
                <c:ptCount val="34"/>
                <c:pt idx="0">
                  <c:v>0</c:v>
                </c:pt>
                <c:pt idx="1">
                  <c:v>0</c:v>
                </c:pt>
                <c:pt idx="2">
                  <c:v>0</c:v>
                </c:pt>
                <c:pt idx="3">
                  <c:v>-1.8955671222996919</c:v>
                </c:pt>
                <c:pt idx="4">
                  <c:v>-1.8390455946937152</c:v>
                </c:pt>
                <c:pt idx="5">
                  <c:v>-1.8086737553655681</c:v>
                </c:pt>
                <c:pt idx="6">
                  <c:v>-1.6680220978658369</c:v>
                </c:pt>
                <c:pt idx="7">
                  <c:v>-1.731733326302713</c:v>
                </c:pt>
                <c:pt idx="8">
                  <c:v>-1.5055857250685598</c:v>
                </c:pt>
                <c:pt idx="9">
                  <c:v>-1.4003520106219547</c:v>
                </c:pt>
                <c:pt idx="10">
                  <c:v>-1.502963611496007</c:v>
                </c:pt>
                <c:pt idx="11">
                  <c:v>-1.5224146760541082</c:v>
                </c:pt>
                <c:pt idx="12">
                  <c:v>-0.12691143740620703</c:v>
                </c:pt>
                <c:pt idx="13">
                  <c:v>-1.1300155554034994</c:v>
                </c:pt>
                <c:pt idx="14">
                  <c:v>9.725026761029909E-2</c:v>
                </c:pt>
                <c:pt idx="15">
                  <c:v>-1.1362807760806106</c:v>
                </c:pt>
                <c:pt idx="16">
                  <c:v>-0.70406467279511631</c:v>
                </c:pt>
                <c:pt idx="17">
                  <c:v>-0.39364974187699175</c:v>
                </c:pt>
                <c:pt idx="18">
                  <c:v>-0.39420971449090558</c:v>
                </c:pt>
                <c:pt idx="19">
                  <c:v>-0.27393698136741307</c:v>
                </c:pt>
                <c:pt idx="20">
                  <c:v>-0.50205402094185203</c:v>
                </c:pt>
                <c:pt idx="21">
                  <c:v>-0.77641359586516145</c:v>
                </c:pt>
                <c:pt idx="22">
                  <c:v>-0.77730484638618336</c:v>
                </c:pt>
                <c:pt idx="23">
                  <c:v>-0.94225945489594665</c:v>
                </c:pt>
                <c:pt idx="24">
                  <c:v>-1.0412658449742942</c:v>
                </c:pt>
                <c:pt idx="25">
                  <c:v>-1.0535529120427825</c:v>
                </c:pt>
                <c:pt idx="26">
                  <c:v>-1.020286521277459</c:v>
                </c:pt>
                <c:pt idx="27">
                  <c:v>-0.97687430675748743</c:v>
                </c:pt>
                <c:pt idx="28">
                  <c:v>-0.89399558814072222</c:v>
                </c:pt>
                <c:pt idx="29">
                  <c:v>-0.84174853037377773</c:v>
                </c:pt>
                <c:pt idx="30">
                  <c:v>-0.84170181932357124</c:v>
                </c:pt>
                <c:pt idx="31">
                  <c:v>-0.82798505655845744</c:v>
                </c:pt>
                <c:pt idx="32">
                  <c:v>-0.85404097524778066</c:v>
                </c:pt>
                <c:pt idx="33">
                  <c:v>-0.7796022620029639</c:v>
                </c:pt>
              </c:numCache>
            </c:numRef>
          </c:yVal>
          <c:smooth val="0"/>
          <c:extLst>
            <c:ext xmlns:c16="http://schemas.microsoft.com/office/drawing/2014/chart" uri="{C3380CC4-5D6E-409C-BE32-E72D297353CC}">
              <c16:uniqueId val="{00000001-26D5-4780-BE10-B6DA853D803A}"/>
            </c:ext>
          </c:extLst>
        </c:ser>
        <c:dLbls>
          <c:showLegendKey val="0"/>
          <c:showVal val="0"/>
          <c:showCatName val="0"/>
          <c:showSerName val="0"/>
          <c:showPercent val="0"/>
          <c:showBubbleSize val="0"/>
        </c:dLbls>
        <c:axId val="996476207"/>
        <c:axId val="996477647"/>
      </c:scatterChart>
      <c:valAx>
        <c:axId val="996476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3He Fractional</a:t>
                </a:r>
                <a:r>
                  <a:rPr lang="en-US" baseline="0"/>
                  <a:t> Yield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7647"/>
        <c:crosses val="autoZero"/>
        <c:crossBetween val="midCat"/>
      </c:valAx>
      <c:valAx>
        <c:axId val="996477647"/>
        <c:scaling>
          <c:orientation val="minMax"/>
          <c:max val="5"/>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Delta</a:t>
                </a:r>
                <a:r>
                  <a:rPr lang="en-US" baseline="0"/>
                  <a:t> ln(D/a</a:t>
                </a:r>
                <a:r>
                  <a:rPr lang="en-US" baseline="30000"/>
                  <a:t>2</a:t>
                </a:r>
                <a:r>
                  <a:rPr lang="en-US" baseline="0"/>
                  <a: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62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Win-06-01b Two Isotope Helium Arrhenius</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3He</c:v>
          </c:tx>
          <c:spPr>
            <a:ln w="1905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diffusivitiesHTWin0601bLB!#REF!</c:f>
                <c:numCache>
                  <c:formatCode>General</c:formatCode>
                  <c:ptCount val="1"/>
                  <c:pt idx="0">
                    <c:v>1</c:v>
                  </c:pt>
                </c:numCache>
              </c:numRef>
            </c:plus>
            <c:minus>
              <c:numRef>
                <c:f>diffusivitiesHTWin0601bLB!#REF!</c:f>
                <c:numCache>
                  <c:formatCode>General</c:formatCode>
                  <c:ptCount val="1"/>
                  <c:pt idx="0">
                    <c:v>1</c:v>
                  </c:pt>
                </c:numCache>
              </c:numRef>
            </c:minus>
            <c:spPr>
              <a:noFill/>
              <a:ln w="9525" cap="flat" cmpd="sng" algn="ctr">
                <a:solidFill>
                  <a:schemeClr val="accent4">
                    <a:lumMod val="75000"/>
                  </a:schemeClr>
                </a:solidFill>
                <a:round/>
              </a:ln>
              <a:effectLst/>
            </c:spPr>
          </c:errBars>
          <c:xVal>
            <c:numRef>
              <c:f>diffusivitiesHTWin0601bLB!$O$4:$O$37</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diffusivitiesHTWin0601bLB!$P$4:$P$37</c:f>
              <c:numCache>
                <c:formatCode>General</c:formatCode>
                <c:ptCount val="34"/>
                <c:pt idx="0">
                  <c:v>-22.281654637856661</c:v>
                </c:pt>
                <c:pt idx="1">
                  <c:v>0</c:v>
                </c:pt>
                <c:pt idx="2">
                  <c:v>-22.493858710923494</c:v>
                </c:pt>
                <c:pt idx="3">
                  <c:v>-22.013137756699276</c:v>
                </c:pt>
                <c:pt idx="4">
                  <c:v>-21.588208143850281</c:v>
                </c:pt>
                <c:pt idx="5">
                  <c:v>-21.228418891204242</c:v>
                </c:pt>
                <c:pt idx="6">
                  <c:v>-20.727935256026949</c:v>
                </c:pt>
                <c:pt idx="7">
                  <c:v>-21.415947023841984</c:v>
                </c:pt>
                <c:pt idx="8">
                  <c:v>-22.520538844320015</c:v>
                </c:pt>
                <c:pt idx="9">
                  <c:v>-23.099269295054707</c:v>
                </c:pt>
                <c:pt idx="10">
                  <c:v>-23.902244298803726</c:v>
                </c:pt>
                <c:pt idx="11">
                  <c:v>-24.187087425822416</c:v>
                </c:pt>
                <c:pt idx="12">
                  <c:v>-25.01572931025866</c:v>
                </c:pt>
                <c:pt idx="13">
                  <c:v>-23.334189457236437</c:v>
                </c:pt>
                <c:pt idx="14">
                  <c:v>-22.95894630412992</c:v>
                </c:pt>
                <c:pt idx="15">
                  <c:v>-21.5634872056396</c:v>
                </c:pt>
                <c:pt idx="16">
                  <c:v>-20.886148344686578</c:v>
                </c:pt>
                <c:pt idx="17">
                  <c:v>-20.011208840114652</c:v>
                </c:pt>
                <c:pt idx="18">
                  <c:v>-20.013727180198856</c:v>
                </c:pt>
                <c:pt idx="19">
                  <c:v>-19.535882746310033</c:v>
                </c:pt>
                <c:pt idx="20">
                  <c:v>-20.593388624555541</c:v>
                </c:pt>
                <c:pt idx="21">
                  <c:v>-21.00623519822075</c:v>
                </c:pt>
                <c:pt idx="22">
                  <c:v>-21.176356981950615</c:v>
                </c:pt>
                <c:pt idx="23">
                  <c:v>-21.74799137895377</c:v>
                </c:pt>
                <c:pt idx="24">
                  <c:v>-21.90640522713781</c:v>
                </c:pt>
                <c:pt idx="25">
                  <c:v>-21.519982337730923</c:v>
                </c:pt>
                <c:pt idx="26">
                  <c:v>-21.199864852937989</c:v>
                </c:pt>
                <c:pt idx="27">
                  <c:v>-20.79362859368554</c:v>
                </c:pt>
                <c:pt idx="28">
                  <c:v>-20.419167118344568</c:v>
                </c:pt>
                <c:pt idx="29">
                  <c:v>-20.111773839697516</c:v>
                </c:pt>
                <c:pt idx="30">
                  <c:v>-20.184956367216881</c:v>
                </c:pt>
                <c:pt idx="31">
                  <c:v>-20.203539654923759</c:v>
                </c:pt>
                <c:pt idx="32">
                  <c:v>-19.981207021763495</c:v>
                </c:pt>
                <c:pt idx="33">
                  <c:v>-20.520082993287787</c:v>
                </c:pt>
              </c:numCache>
            </c:numRef>
          </c:yVal>
          <c:smooth val="0"/>
          <c:extLst>
            <c:ext xmlns:c16="http://schemas.microsoft.com/office/drawing/2014/chart" uri="{C3380CC4-5D6E-409C-BE32-E72D297353CC}">
              <c16:uniqueId val="{00000000-B78F-4D40-9889-C1E174A1CC39}"/>
            </c:ext>
          </c:extLst>
        </c:ser>
        <c:ser>
          <c:idx val="2"/>
          <c:order val="1"/>
          <c:tx>
            <c:v>4He</c:v>
          </c:tx>
          <c:spPr>
            <a:ln w="19050" cap="rnd">
              <a:solidFill>
                <a:srgbClr val="FF0000">
                  <a:alpha val="36000"/>
                </a:srgbClr>
              </a:solidFill>
              <a:round/>
            </a:ln>
            <a:effectLst/>
          </c:spPr>
          <c:marker>
            <c:symbol val="circle"/>
            <c:size val="5"/>
            <c:spPr>
              <a:solidFill>
                <a:schemeClr val="accent5">
                  <a:lumMod val="60000"/>
                  <a:lumOff val="40000"/>
                </a:schemeClr>
              </a:solidFill>
              <a:ln w="9525">
                <a:solidFill>
                  <a:schemeClr val="accent5">
                    <a:lumMod val="75000"/>
                  </a:schemeClr>
                </a:solidFill>
              </a:ln>
              <a:effectLst/>
            </c:spPr>
          </c:marker>
          <c:errBars>
            <c:errDir val="y"/>
            <c:errBarType val="both"/>
            <c:errValType val="cust"/>
            <c:noEndCap val="0"/>
            <c:plus>
              <c:numRef>
                <c:f>diffusivitiesHTWin0601bLB!#REF!</c:f>
                <c:numCache>
                  <c:formatCode>General</c:formatCode>
                  <c:ptCount val="1"/>
                  <c:pt idx="0">
                    <c:v>1</c:v>
                  </c:pt>
                </c:numCache>
              </c:numRef>
            </c:plus>
            <c:minus>
              <c:numRef>
                <c:f>diffusivitiesHTWin0601bLB!#REF!</c:f>
                <c:numCache>
                  <c:formatCode>General</c:formatCode>
                  <c:ptCount val="1"/>
                  <c:pt idx="0">
                    <c:v>1</c:v>
                  </c:pt>
                </c:numCache>
              </c:numRef>
            </c:minus>
            <c:spPr>
              <a:noFill/>
              <a:ln w="9525" cap="flat" cmpd="sng" algn="ctr">
                <a:solidFill>
                  <a:srgbClr val="FF0000">
                    <a:alpha val="29000"/>
                  </a:srgbClr>
                </a:solidFill>
                <a:round/>
              </a:ln>
              <a:effectLst/>
            </c:spPr>
          </c:errBars>
          <c:xVal>
            <c:numRef>
              <c:f>diffusivitiesHTWin0601bLB!$O$46:$O$79</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diffusivitiesHTWin0601bLB!$P$46:$P$79</c:f>
              <c:numCache>
                <c:formatCode>General</c:formatCode>
                <c:ptCount val="34"/>
                <c:pt idx="0">
                  <c:v>-30.107081280015766</c:v>
                </c:pt>
                <c:pt idx="1">
                  <c:v>-28.791129966205627</c:v>
                </c:pt>
                <c:pt idx="2">
                  <c:v>-27.2037621959138</c:v>
                </c:pt>
                <c:pt idx="3">
                  <c:v>-25.974514256878816</c:v>
                </c:pt>
                <c:pt idx="4">
                  <c:v>-25.122243282258715</c:v>
                </c:pt>
                <c:pt idx="5">
                  <c:v>-24.214028178958579</c:v>
                </c:pt>
                <c:pt idx="6">
                  <c:v>-23.260927493777352</c:v>
                </c:pt>
                <c:pt idx="7">
                  <c:v>-23.660023341853201</c:v>
                </c:pt>
                <c:pt idx="8">
                  <c:v>-24.546427912449627</c:v>
                </c:pt>
                <c:pt idx="9">
                  <c:v>-25.004012575918988</c:v>
                </c:pt>
                <c:pt idx="10">
                  <c:v>-25.488453418915022</c:v>
                </c:pt>
                <c:pt idx="11">
                  <c:v>-24.931223184904997</c:v>
                </c:pt>
                <c:pt idx="12">
                  <c:v>-25.615414710781138</c:v>
                </c:pt>
                <c:pt idx="13">
                  <c:v>-24.987966713603452</c:v>
                </c:pt>
                <c:pt idx="14">
                  <c:v>-23.060882786664525</c:v>
                </c:pt>
                <c:pt idx="15">
                  <c:v>-22.319051211121977</c:v>
                </c:pt>
                <c:pt idx="16">
                  <c:v>-21.42289860701776</c:v>
                </c:pt>
                <c:pt idx="17">
                  <c:v>-21.201624612573944</c:v>
                </c:pt>
                <c:pt idx="18">
                  <c:v>-20.697497264856157</c:v>
                </c:pt>
                <c:pt idx="19">
                  <c:v>-20.718845220789209</c:v>
                </c:pt>
                <c:pt idx="20">
                  <c:v>-21.648711320402946</c:v>
                </c:pt>
                <c:pt idx="21">
                  <c:v>-22.093505143338248</c:v>
                </c:pt>
                <c:pt idx="22">
                  <c:v>-22.214249374288766</c:v>
                </c:pt>
                <c:pt idx="23">
                  <c:v>-22.751735180208161</c:v>
                </c:pt>
                <c:pt idx="24">
                  <c:v>-22.963342528423325</c:v>
                </c:pt>
                <c:pt idx="25">
                  <c:v>-22.445302885357012</c:v>
                </c:pt>
                <c:pt idx="26">
                  <c:v>-22.170532603875763</c:v>
                </c:pt>
                <c:pt idx="27">
                  <c:v>-21.723362705020939</c:v>
                </c:pt>
                <c:pt idx="28">
                  <c:v>-21.337375963395466</c:v>
                </c:pt>
                <c:pt idx="29">
                  <c:v>-21.032164188724931</c:v>
                </c:pt>
                <c:pt idx="30">
                  <c:v>-21.135786184692897</c:v>
                </c:pt>
                <c:pt idx="31">
                  <c:v>-21.132871308171339</c:v>
                </c:pt>
                <c:pt idx="32">
                  <c:v>-20.69319521420865</c:v>
                </c:pt>
                <c:pt idx="33">
                  <c:v>-21.416016051831246</c:v>
                </c:pt>
              </c:numCache>
            </c:numRef>
          </c:yVal>
          <c:smooth val="0"/>
          <c:extLst>
            <c:ext xmlns:c16="http://schemas.microsoft.com/office/drawing/2014/chart" uri="{C3380CC4-5D6E-409C-BE32-E72D297353CC}">
              <c16:uniqueId val="{00000001-B78F-4D40-9889-C1E174A1CC39}"/>
            </c:ext>
          </c:extLst>
        </c:ser>
        <c:dLbls>
          <c:showLegendKey val="0"/>
          <c:showVal val="0"/>
          <c:showCatName val="0"/>
          <c:showSerName val="0"/>
          <c:showPercent val="0"/>
          <c:showBubbleSize val="0"/>
        </c:dLbls>
        <c:axId val="2132438240"/>
        <c:axId val="2132437280"/>
      </c:scatterChart>
      <c:valAx>
        <c:axId val="213243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7280"/>
        <c:crosses val="autoZero"/>
        <c:crossBetween val="midCat"/>
      </c:valAx>
      <c:valAx>
        <c:axId val="2132437280"/>
        <c:scaling>
          <c:orientation val="minMax"/>
          <c:max val="-18"/>
          <c:min val="-3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ln(D/a</a:t>
                </a:r>
                <a:r>
                  <a:rPr lang="en-US" baseline="30000"/>
                  <a:t>2</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82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Win-0601b 3He Arrhenius</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6">
                    <a:lumMod val="75000"/>
                  </a:schemeClr>
                </a:solidFill>
                <a:prstDash val="sysDot"/>
              </a:ln>
              <a:effectLst/>
            </c:spPr>
            <c:trendlineType val="linear"/>
            <c:forward val="1.5"/>
            <c:backward val="0.2"/>
            <c:dispRSqr val="1"/>
            <c:dispEq val="1"/>
            <c:trendlineLbl>
              <c:layout>
                <c:manualLayout>
                  <c:x val="-0.31770282915786463"/>
                  <c:y val="-0.2826382509177228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diffusivitiesHTWin0601bLB!$O$27:$O$37</c:f>
              <c:numCache>
                <c:formatCode>General</c:formatCode>
                <c:ptCount val="11"/>
                <c:pt idx="0">
                  <c:v>19.880715705765407</c:v>
                </c:pt>
                <c:pt idx="1">
                  <c:v>20.080321285140563</c:v>
                </c:pt>
                <c:pt idx="2">
                  <c:v>19.880715705765407</c:v>
                </c:pt>
                <c:pt idx="3">
                  <c:v>19.68891514077578</c:v>
                </c:pt>
                <c:pt idx="4">
                  <c:v>19.49317738791423</c:v>
                </c:pt>
                <c:pt idx="5">
                  <c:v>19.305019305019304</c:v>
                </c:pt>
                <c:pt idx="6">
                  <c:v>19.120458891013385</c:v>
                </c:pt>
                <c:pt idx="7">
                  <c:v>19.121555729774173</c:v>
                </c:pt>
                <c:pt idx="8">
                  <c:v>19.121190102872003</c:v>
                </c:pt>
                <c:pt idx="9">
                  <c:v>19.120458891013385</c:v>
                </c:pt>
                <c:pt idx="10">
                  <c:v>19.49317738791423</c:v>
                </c:pt>
              </c:numCache>
            </c:numRef>
          </c:xVal>
          <c:yVal>
            <c:numRef>
              <c:f>diffusivitiesHTWin0601bLB!$P$27:$P$37</c:f>
              <c:numCache>
                <c:formatCode>General</c:formatCode>
                <c:ptCount val="11"/>
                <c:pt idx="0">
                  <c:v>-21.74799137895377</c:v>
                </c:pt>
                <c:pt idx="1">
                  <c:v>-21.90640522713781</c:v>
                </c:pt>
                <c:pt idx="2">
                  <c:v>-21.519982337730923</c:v>
                </c:pt>
                <c:pt idx="3">
                  <c:v>-21.199864852937989</c:v>
                </c:pt>
                <c:pt idx="4">
                  <c:v>-20.79362859368554</c:v>
                </c:pt>
                <c:pt idx="5">
                  <c:v>-20.419167118344568</c:v>
                </c:pt>
                <c:pt idx="6">
                  <c:v>-20.111773839697516</c:v>
                </c:pt>
                <c:pt idx="7">
                  <c:v>-20.184956367216881</c:v>
                </c:pt>
                <c:pt idx="8">
                  <c:v>-20.203539654923759</c:v>
                </c:pt>
                <c:pt idx="9">
                  <c:v>-19.981207021763495</c:v>
                </c:pt>
                <c:pt idx="10">
                  <c:v>-20.520082993287787</c:v>
                </c:pt>
              </c:numCache>
            </c:numRef>
          </c:yVal>
          <c:smooth val="0"/>
          <c:extLst>
            <c:ext xmlns:c16="http://schemas.microsoft.com/office/drawing/2014/chart" uri="{C3380CC4-5D6E-409C-BE32-E72D297353CC}">
              <c16:uniqueId val="{00000001-58B8-4C33-BCEB-E7C6303A5477}"/>
            </c:ext>
          </c:extLst>
        </c:ser>
        <c:ser>
          <c:idx val="0"/>
          <c:order val="1"/>
          <c:spPr>
            <a:ln w="1905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xVal>
            <c:numRef>
              <c:f>diffusivitiesHTWin0601bLB!$O$4:$O$37</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diffusivitiesHTWin0601bLB!$P$4:$P$37</c:f>
              <c:numCache>
                <c:formatCode>General</c:formatCode>
                <c:ptCount val="34"/>
                <c:pt idx="0">
                  <c:v>-22.281654637856661</c:v>
                </c:pt>
                <c:pt idx="1">
                  <c:v>0</c:v>
                </c:pt>
                <c:pt idx="2">
                  <c:v>-22.493858710923494</c:v>
                </c:pt>
                <c:pt idx="3">
                  <c:v>-22.013137756699276</c:v>
                </c:pt>
                <c:pt idx="4">
                  <c:v>-21.588208143850281</c:v>
                </c:pt>
                <c:pt idx="5">
                  <c:v>-21.228418891204242</c:v>
                </c:pt>
                <c:pt idx="6">
                  <c:v>-20.727935256026949</c:v>
                </c:pt>
                <c:pt idx="7">
                  <c:v>-21.415947023841984</c:v>
                </c:pt>
                <c:pt idx="8">
                  <c:v>-22.520538844320015</c:v>
                </c:pt>
                <c:pt idx="9">
                  <c:v>-23.099269295054707</c:v>
                </c:pt>
                <c:pt idx="10">
                  <c:v>-23.902244298803726</c:v>
                </c:pt>
                <c:pt idx="11">
                  <c:v>-24.187087425822416</c:v>
                </c:pt>
                <c:pt idx="12">
                  <c:v>-25.01572931025866</c:v>
                </c:pt>
                <c:pt idx="13">
                  <c:v>-23.334189457236437</c:v>
                </c:pt>
                <c:pt idx="14">
                  <c:v>-22.95894630412992</c:v>
                </c:pt>
                <c:pt idx="15">
                  <c:v>-21.5634872056396</c:v>
                </c:pt>
                <c:pt idx="16">
                  <c:v>-20.886148344686578</c:v>
                </c:pt>
                <c:pt idx="17">
                  <c:v>-20.011208840114652</c:v>
                </c:pt>
                <c:pt idx="18">
                  <c:v>-20.013727180198856</c:v>
                </c:pt>
                <c:pt idx="19">
                  <c:v>-19.535882746310033</c:v>
                </c:pt>
                <c:pt idx="20">
                  <c:v>-20.593388624555541</c:v>
                </c:pt>
                <c:pt idx="21">
                  <c:v>-21.00623519822075</c:v>
                </c:pt>
                <c:pt idx="22">
                  <c:v>-21.176356981950615</c:v>
                </c:pt>
                <c:pt idx="23">
                  <c:v>-21.74799137895377</c:v>
                </c:pt>
                <c:pt idx="24">
                  <c:v>-21.90640522713781</c:v>
                </c:pt>
                <c:pt idx="25">
                  <c:v>-21.519982337730923</c:v>
                </c:pt>
                <c:pt idx="26">
                  <c:v>-21.199864852937989</c:v>
                </c:pt>
                <c:pt idx="27">
                  <c:v>-20.79362859368554</c:v>
                </c:pt>
                <c:pt idx="28">
                  <c:v>-20.419167118344568</c:v>
                </c:pt>
                <c:pt idx="29">
                  <c:v>-20.111773839697516</c:v>
                </c:pt>
                <c:pt idx="30">
                  <c:v>-20.184956367216881</c:v>
                </c:pt>
                <c:pt idx="31">
                  <c:v>-20.203539654923759</c:v>
                </c:pt>
                <c:pt idx="32">
                  <c:v>-19.981207021763495</c:v>
                </c:pt>
                <c:pt idx="33">
                  <c:v>-20.520082993287787</c:v>
                </c:pt>
              </c:numCache>
            </c:numRef>
          </c:yVal>
          <c:smooth val="0"/>
          <c:extLst>
            <c:ext xmlns:c16="http://schemas.microsoft.com/office/drawing/2014/chart" uri="{C3380CC4-5D6E-409C-BE32-E72D297353CC}">
              <c16:uniqueId val="{00000002-58B8-4C33-BCEB-E7C6303A5477}"/>
            </c:ext>
          </c:extLst>
        </c:ser>
        <c:dLbls>
          <c:showLegendKey val="0"/>
          <c:showVal val="0"/>
          <c:showCatName val="0"/>
          <c:showSerName val="0"/>
          <c:showPercent val="0"/>
          <c:showBubbleSize val="0"/>
        </c:dLbls>
        <c:axId val="2132438240"/>
        <c:axId val="2132437280"/>
      </c:scatterChart>
      <c:valAx>
        <c:axId val="213243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7280"/>
        <c:crosses val="autoZero"/>
        <c:crossBetween val="midCat"/>
      </c:valAx>
      <c:valAx>
        <c:axId val="2132437280"/>
        <c:scaling>
          <c:orientation val="minMax"/>
          <c:max val="-18"/>
          <c:min val="-25.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ln(D/a</a:t>
                </a:r>
                <a:r>
                  <a:rPr lang="en-US" baseline="30000"/>
                  <a:t>2</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8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Delta Plot</a:t>
            </a:r>
            <a:r>
              <a:rPr lang="en-US" baseline="0"/>
              <a:t> with Regression Reference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3He</c:v>
          </c:tx>
          <c:spPr>
            <a:ln w="2540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xVal>
            <c:numRef>
              <c:f>diffusivitiesHTWin0601bLB!$I$4:$I$37</c:f>
              <c:numCache>
                <c:formatCode>0.00E+00</c:formatCode>
                <c:ptCount val="34"/>
                <c:pt idx="0">
                  <c:v>1.487441111628816E-2</c:v>
                </c:pt>
                <c:pt idx="1">
                  <c:v>1.2827496190105848E-2</c:v>
                </c:pt>
                <c:pt idx="2">
                  <c:v>1.6223143766698915E-2</c:v>
                </c:pt>
                <c:pt idx="3">
                  <c:v>1.993244933533532E-2</c:v>
                </c:pt>
                <c:pt idx="4">
                  <c:v>2.4149185237211546E-2</c:v>
                </c:pt>
                <c:pt idx="5">
                  <c:v>2.8775013601890304E-2</c:v>
                </c:pt>
                <c:pt idx="6">
                  <c:v>3.4646718585756409E-2</c:v>
                </c:pt>
                <c:pt idx="7">
                  <c:v>3.9402287786003215E-2</c:v>
                </c:pt>
                <c:pt idx="8">
                  <c:v>4.0295983838787221E-2</c:v>
                </c:pt>
                <c:pt idx="9">
                  <c:v>4.0836755391586717E-2</c:v>
                </c:pt>
                <c:pt idx="10">
                  <c:v>4.1279276948030519E-2</c:v>
                </c:pt>
                <c:pt idx="11">
                  <c:v>4.1506955249661234E-2</c:v>
                </c:pt>
                <c:pt idx="12">
                  <c:v>4.1636382075851984E-2</c:v>
                </c:pt>
                <c:pt idx="13">
                  <c:v>4.1909924520358882E-2</c:v>
                </c:pt>
                <c:pt idx="14">
                  <c:v>4.2492432535388945E-2</c:v>
                </c:pt>
                <c:pt idx="15">
                  <c:v>4.6706491174214812E-2</c:v>
                </c:pt>
                <c:pt idx="16">
                  <c:v>4.9607464714307464E-2</c:v>
                </c:pt>
                <c:pt idx="17">
                  <c:v>5.5030270094261424E-2</c:v>
                </c:pt>
                <c:pt idx="18">
                  <c:v>5.9325919540102627E-2</c:v>
                </c:pt>
                <c:pt idx="19">
                  <c:v>6.4988223767104711E-2</c:v>
                </c:pt>
                <c:pt idx="20">
                  <c:v>6.7516050827434601E-2</c:v>
                </c:pt>
                <c:pt idx="21">
                  <c:v>6.9200155094268523E-2</c:v>
                </c:pt>
                <c:pt idx="22">
                  <c:v>7.0662928286546689E-2</c:v>
                </c:pt>
                <c:pt idx="23">
                  <c:v>7.1567104009655352E-2</c:v>
                </c:pt>
                <c:pt idx="24">
                  <c:v>7.2612600171836419E-2</c:v>
                </c:pt>
                <c:pt idx="25">
                  <c:v>7.3803528405134974E-2</c:v>
                </c:pt>
                <c:pt idx="26">
                  <c:v>7.5275084652989641E-2</c:v>
                </c:pt>
                <c:pt idx="27">
                  <c:v>7.7201889485565833E-2</c:v>
                </c:pt>
                <c:pt idx="28">
                  <c:v>7.9649209263041101E-2</c:v>
                </c:pt>
                <c:pt idx="29">
                  <c:v>8.2520408958367694E-2</c:v>
                </c:pt>
                <c:pt idx="30">
                  <c:v>8.5134999039653644E-2</c:v>
                </c:pt>
                <c:pt idx="31">
                  <c:v>8.7618226397759486E-2</c:v>
                </c:pt>
                <c:pt idx="32">
                  <c:v>0.14553757711108031</c:v>
                </c:pt>
                <c:pt idx="33">
                  <c:v>0.14767925184328876</c:v>
                </c:pt>
              </c:numCache>
            </c:numRef>
          </c:xVal>
          <c:yVal>
            <c:numRef>
              <c:f>diffusivitiesHTWin0601bLB!$S$4:$S$37</c:f>
              <c:numCache>
                <c:formatCode>General</c:formatCode>
                <c:ptCount val="34"/>
                <c:pt idx="0">
                  <c:v>4.4675318297826756</c:v>
                </c:pt>
                <c:pt idx="1">
                  <c:v>0</c:v>
                </c:pt>
                <c:pt idx="2">
                  <c:v>2.372542429800653</c:v>
                </c:pt>
                <c:pt idx="3">
                  <c:v>1.9715785004905939</c:v>
                </c:pt>
                <c:pt idx="4">
                  <c:v>1.5513319206348832</c:v>
                </c:pt>
                <c:pt idx="5">
                  <c:v>1.1002320472173857</c:v>
                </c:pt>
                <c:pt idx="6">
                  <c:v>0.82206866869946538</c:v>
                </c:pt>
                <c:pt idx="7">
                  <c:v>0.51947153718136008</c:v>
                </c:pt>
                <c:pt idx="8">
                  <c:v>0.20940251202035043</c:v>
                </c:pt>
                <c:pt idx="9">
                  <c:v>0.45843848820589983</c:v>
                </c:pt>
                <c:pt idx="10">
                  <c:v>0.51860454500619113</c:v>
                </c:pt>
                <c:pt idx="11">
                  <c:v>1.1345942279057866</c:v>
                </c:pt>
                <c:pt idx="12">
                  <c:v>1.2470009038306031</c:v>
                </c:pt>
                <c:pt idx="13">
                  <c:v>0.65052679995343254</c:v>
                </c:pt>
                <c:pt idx="14">
                  <c:v>0.18142145521258612</c:v>
                </c:pt>
                <c:pt idx="15">
                  <c:v>0.76675267938387037</c:v>
                </c:pt>
                <c:pt idx="16">
                  <c:v>0.66461876216622784</c:v>
                </c:pt>
                <c:pt idx="17">
                  <c:v>0.79050467963762117</c:v>
                </c:pt>
                <c:pt idx="18">
                  <c:v>0.42467545760168335</c:v>
                </c:pt>
                <c:pt idx="19">
                  <c:v>0.54686160839454345</c:v>
                </c:pt>
                <c:pt idx="20">
                  <c:v>-0.14850838894074769</c:v>
                </c:pt>
                <c:pt idx="21">
                  <c:v>-0.20378796031861057</c:v>
                </c:pt>
                <c:pt idx="22">
                  <c:v>-4.1807912318105878E-3</c:v>
                </c:pt>
                <c:pt idx="23">
                  <c:v>-0.19798745422735564</c:v>
                </c:pt>
                <c:pt idx="24">
                  <c:v>2.9013333885533399E-2</c:v>
                </c:pt>
                <c:pt idx="25">
                  <c:v>3.0021586995491845E-2</c:v>
                </c:pt>
                <c:pt idx="26">
                  <c:v>-2.0205009917248162E-2</c:v>
                </c:pt>
                <c:pt idx="27">
                  <c:v>8.0849260667328338E-3</c:v>
                </c:pt>
                <c:pt idx="28">
                  <c:v>1.9235519455971684E-2</c:v>
                </c:pt>
                <c:pt idx="29">
                  <c:v>-2.9735413065694161E-2</c:v>
                </c:pt>
                <c:pt idx="30">
                  <c:v>-0.10080007537613511</c:v>
                </c:pt>
                <c:pt idx="31">
                  <c:v>-0.12008934515005265</c:v>
                </c:pt>
                <c:pt idx="32">
                  <c:v>0.10083140486832676</c:v>
                </c:pt>
                <c:pt idx="33">
                  <c:v>0.28163052646448605</c:v>
                </c:pt>
              </c:numCache>
            </c:numRef>
          </c:yVal>
          <c:smooth val="0"/>
          <c:extLst>
            <c:ext xmlns:c16="http://schemas.microsoft.com/office/drawing/2014/chart" uri="{C3380CC4-5D6E-409C-BE32-E72D297353CC}">
              <c16:uniqueId val="{00000000-855E-4883-B42C-58FDCDA56DA9}"/>
            </c:ext>
          </c:extLst>
        </c:ser>
        <c:ser>
          <c:idx val="1"/>
          <c:order val="1"/>
          <c:tx>
            <c:v>4He</c:v>
          </c:tx>
          <c:spPr>
            <a:ln w="25400" cap="rnd">
              <a:solidFill>
                <a:srgbClr val="FF0000">
                  <a:alpha val="36000"/>
                </a:srgbClr>
              </a:solidFill>
              <a:round/>
            </a:ln>
            <a:effectLst/>
          </c:spPr>
          <c:marker>
            <c:symbol val="circle"/>
            <c:size val="5"/>
            <c:spPr>
              <a:solidFill>
                <a:schemeClr val="accent5">
                  <a:lumMod val="60000"/>
                  <a:lumOff val="40000"/>
                </a:schemeClr>
              </a:solidFill>
              <a:ln w="9525">
                <a:solidFill>
                  <a:schemeClr val="accent5">
                    <a:lumMod val="75000"/>
                  </a:schemeClr>
                </a:solidFill>
              </a:ln>
              <a:effectLst/>
            </c:spPr>
          </c:marker>
          <c:xVal>
            <c:numRef>
              <c:f>diffusivitiesHTWin0601bLB!$I$4:$I$37</c:f>
              <c:numCache>
                <c:formatCode>0.00E+00</c:formatCode>
                <c:ptCount val="34"/>
                <c:pt idx="0">
                  <c:v>1.487441111628816E-2</c:v>
                </c:pt>
                <c:pt idx="1">
                  <c:v>1.2827496190105848E-2</c:v>
                </c:pt>
                <c:pt idx="2">
                  <c:v>1.6223143766698915E-2</c:v>
                </c:pt>
                <c:pt idx="3">
                  <c:v>1.993244933533532E-2</c:v>
                </c:pt>
                <c:pt idx="4">
                  <c:v>2.4149185237211546E-2</c:v>
                </c:pt>
                <c:pt idx="5">
                  <c:v>2.8775013601890304E-2</c:v>
                </c:pt>
                <c:pt idx="6">
                  <c:v>3.4646718585756409E-2</c:v>
                </c:pt>
                <c:pt idx="7">
                  <c:v>3.9402287786003215E-2</c:v>
                </c:pt>
                <c:pt idx="8">
                  <c:v>4.0295983838787221E-2</c:v>
                </c:pt>
                <c:pt idx="9">
                  <c:v>4.0836755391586717E-2</c:v>
                </c:pt>
                <c:pt idx="10">
                  <c:v>4.1279276948030519E-2</c:v>
                </c:pt>
                <c:pt idx="11">
                  <c:v>4.1506955249661234E-2</c:v>
                </c:pt>
                <c:pt idx="12">
                  <c:v>4.1636382075851984E-2</c:v>
                </c:pt>
                <c:pt idx="13">
                  <c:v>4.1909924520358882E-2</c:v>
                </c:pt>
                <c:pt idx="14">
                  <c:v>4.2492432535388945E-2</c:v>
                </c:pt>
                <c:pt idx="15">
                  <c:v>4.6706491174214812E-2</c:v>
                </c:pt>
                <c:pt idx="16">
                  <c:v>4.9607464714307464E-2</c:v>
                </c:pt>
                <c:pt idx="17">
                  <c:v>5.5030270094261424E-2</c:v>
                </c:pt>
                <c:pt idx="18">
                  <c:v>5.9325919540102627E-2</c:v>
                </c:pt>
                <c:pt idx="19">
                  <c:v>6.4988223767104711E-2</c:v>
                </c:pt>
                <c:pt idx="20">
                  <c:v>6.7516050827434601E-2</c:v>
                </c:pt>
                <c:pt idx="21">
                  <c:v>6.9200155094268523E-2</c:v>
                </c:pt>
                <c:pt idx="22">
                  <c:v>7.0662928286546689E-2</c:v>
                </c:pt>
                <c:pt idx="23">
                  <c:v>7.1567104009655352E-2</c:v>
                </c:pt>
                <c:pt idx="24">
                  <c:v>7.2612600171836419E-2</c:v>
                </c:pt>
                <c:pt idx="25">
                  <c:v>7.3803528405134974E-2</c:v>
                </c:pt>
                <c:pt idx="26">
                  <c:v>7.5275084652989641E-2</c:v>
                </c:pt>
                <c:pt idx="27">
                  <c:v>7.7201889485565833E-2</c:v>
                </c:pt>
                <c:pt idx="28">
                  <c:v>7.9649209263041101E-2</c:v>
                </c:pt>
                <c:pt idx="29">
                  <c:v>8.2520408958367694E-2</c:v>
                </c:pt>
                <c:pt idx="30">
                  <c:v>8.5134999039653644E-2</c:v>
                </c:pt>
                <c:pt idx="31">
                  <c:v>8.7618226397759486E-2</c:v>
                </c:pt>
                <c:pt idx="32">
                  <c:v>0.14553757711108031</c:v>
                </c:pt>
                <c:pt idx="33">
                  <c:v>0.14767925184328876</c:v>
                </c:pt>
              </c:numCache>
            </c:numRef>
          </c:xVal>
          <c:yVal>
            <c:numRef>
              <c:f>diffusivitiesHTWin0601bLB!$S$46:$S$79</c:f>
              <c:numCache>
                <c:formatCode>General</c:formatCode>
                <c:ptCount val="34"/>
                <c:pt idx="0">
                  <c:v>-3.3578948123764292</c:v>
                </c:pt>
                <c:pt idx="1">
                  <c:v>-3.0041174570229572</c:v>
                </c:pt>
                <c:pt idx="2">
                  <c:v>-2.3373610551896533</c:v>
                </c:pt>
                <c:pt idx="3">
                  <c:v>-1.9897979996889461</c:v>
                </c:pt>
                <c:pt idx="4">
                  <c:v>-1.9827032177735511</c:v>
                </c:pt>
                <c:pt idx="5">
                  <c:v>-1.8853772405369504</c:v>
                </c:pt>
                <c:pt idx="6">
                  <c:v>-1.7109235690509372</c:v>
                </c:pt>
                <c:pt idx="7">
                  <c:v>-1.724604780829857</c:v>
                </c:pt>
                <c:pt idx="8">
                  <c:v>-1.8164865561092611</c:v>
                </c:pt>
                <c:pt idx="9">
                  <c:v>-1.4463047926583812</c:v>
                </c:pt>
                <c:pt idx="10">
                  <c:v>-1.0676045751051042</c:v>
                </c:pt>
                <c:pt idx="11">
                  <c:v>0.3904584688232049</c:v>
                </c:pt>
                <c:pt idx="12">
                  <c:v>0.64731550330812482</c:v>
                </c:pt>
                <c:pt idx="13">
                  <c:v>-1.003250456413582</c:v>
                </c:pt>
                <c:pt idx="14">
                  <c:v>7.9484972677981602E-2</c:v>
                </c:pt>
                <c:pt idx="15">
                  <c:v>1.1188673901493473E-2</c:v>
                </c:pt>
                <c:pt idx="16">
                  <c:v>0.12786849983504567</c:v>
                </c:pt>
                <c:pt idx="17">
                  <c:v>-0.39991109282167159</c:v>
                </c:pt>
                <c:pt idx="18">
                  <c:v>-0.25909462705561737</c:v>
                </c:pt>
                <c:pt idx="19">
                  <c:v>-0.63610086608463234</c:v>
                </c:pt>
                <c:pt idx="20">
                  <c:v>-1.2038310847881526</c:v>
                </c:pt>
                <c:pt idx="21">
                  <c:v>-1.2910579054361087</c:v>
                </c:pt>
                <c:pt idx="22">
                  <c:v>-1.0420731835699613</c:v>
                </c:pt>
                <c:pt idx="23">
                  <c:v>-1.2017312554817465</c:v>
                </c:pt>
                <c:pt idx="24">
                  <c:v>-1.0279239673999818</c:v>
                </c:pt>
                <c:pt idx="25">
                  <c:v>-0.89529896063059766</c:v>
                </c:pt>
                <c:pt idx="26">
                  <c:v>-0.99087276085502296</c:v>
                </c:pt>
                <c:pt idx="27">
                  <c:v>-0.92164918526866657</c:v>
                </c:pt>
                <c:pt idx="28">
                  <c:v>-0.89897332559492682</c:v>
                </c:pt>
                <c:pt idx="29">
                  <c:v>-0.95012576209310851</c:v>
                </c:pt>
                <c:pt idx="30">
                  <c:v>-1.0516298928521515</c:v>
                </c:pt>
                <c:pt idx="31">
                  <c:v>-1.0494209983976326</c:v>
                </c:pt>
                <c:pt idx="32">
                  <c:v>-0.61115678757682801</c:v>
                </c:pt>
                <c:pt idx="33">
                  <c:v>-0.61430253207897323</c:v>
                </c:pt>
              </c:numCache>
            </c:numRef>
          </c:yVal>
          <c:smooth val="0"/>
          <c:extLst>
            <c:ext xmlns:c16="http://schemas.microsoft.com/office/drawing/2014/chart" uri="{C3380CC4-5D6E-409C-BE32-E72D297353CC}">
              <c16:uniqueId val="{00000001-855E-4883-B42C-58FDCDA56DA9}"/>
            </c:ext>
          </c:extLst>
        </c:ser>
        <c:dLbls>
          <c:showLegendKey val="0"/>
          <c:showVal val="0"/>
          <c:showCatName val="0"/>
          <c:showSerName val="0"/>
          <c:showPercent val="0"/>
          <c:showBubbleSize val="0"/>
        </c:dLbls>
        <c:axId val="996476207"/>
        <c:axId val="996477647"/>
      </c:scatterChart>
      <c:valAx>
        <c:axId val="996476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3He Fractional</a:t>
                </a:r>
                <a:r>
                  <a:rPr lang="en-US" baseline="0"/>
                  <a:t> Yield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7647"/>
        <c:crosses val="autoZero"/>
        <c:crossBetween val="midCat"/>
      </c:valAx>
      <c:valAx>
        <c:axId val="996477647"/>
        <c:scaling>
          <c:orientation val="minMax"/>
          <c:max val="5"/>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Delta</a:t>
                </a:r>
                <a:r>
                  <a:rPr lang="en-US" baseline="0"/>
                  <a:t> ln(D/a</a:t>
                </a:r>
                <a:r>
                  <a:rPr lang="en-US" baseline="30000"/>
                  <a:t>2</a:t>
                </a:r>
                <a:r>
                  <a:rPr lang="en-US" baseline="0"/>
                  <a: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62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Cooling_Rate!$D$1</c:f>
              <c:strCache>
                <c:ptCount val="1"/>
                <c:pt idx="0">
                  <c:v>dTdt</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intercept val="0"/>
            <c:dispRSqr val="1"/>
            <c:dispEq val="1"/>
            <c:trendlineLbl>
              <c:layout>
                <c:manualLayout>
                  <c:x val="-0.13544597550306217"/>
                  <c:y val="-9.9940215806357618E-2"/>
                </c:manualLayout>
              </c:layout>
              <c:numFmt formatCode="0.00000E+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Cooling_Rate!$C$2:$C$728</c:f>
              <c:numCache>
                <c:formatCode>General</c:formatCode>
                <c:ptCount val="727"/>
                <c:pt idx="0">
                  <c:v>71</c:v>
                </c:pt>
                <c:pt idx="1">
                  <c:v>70.5</c:v>
                </c:pt>
                <c:pt idx="2">
                  <c:v>69.5</c:v>
                </c:pt>
                <c:pt idx="3">
                  <c:v>68.5</c:v>
                </c:pt>
                <c:pt idx="4">
                  <c:v>62</c:v>
                </c:pt>
                <c:pt idx="5">
                  <c:v>61.5</c:v>
                </c:pt>
                <c:pt idx="6">
                  <c:v>61</c:v>
                </c:pt>
                <c:pt idx="7">
                  <c:v>62</c:v>
                </c:pt>
                <c:pt idx="8">
                  <c:v>61.5</c:v>
                </c:pt>
                <c:pt idx="9">
                  <c:v>61</c:v>
                </c:pt>
                <c:pt idx="10">
                  <c:v>60.5</c:v>
                </c:pt>
                <c:pt idx="11">
                  <c:v>60</c:v>
                </c:pt>
                <c:pt idx="12">
                  <c:v>61.5</c:v>
                </c:pt>
                <c:pt idx="13">
                  <c:v>61.5</c:v>
                </c:pt>
                <c:pt idx="14">
                  <c:v>61</c:v>
                </c:pt>
                <c:pt idx="15">
                  <c:v>60</c:v>
                </c:pt>
                <c:pt idx="16">
                  <c:v>59.5</c:v>
                </c:pt>
                <c:pt idx="17">
                  <c:v>156.5</c:v>
                </c:pt>
                <c:pt idx="18">
                  <c:v>154.5</c:v>
                </c:pt>
                <c:pt idx="19">
                  <c:v>153</c:v>
                </c:pt>
                <c:pt idx="20">
                  <c:v>76.5</c:v>
                </c:pt>
                <c:pt idx="21">
                  <c:v>75.5</c:v>
                </c:pt>
                <c:pt idx="22">
                  <c:v>74.5</c:v>
                </c:pt>
                <c:pt idx="23">
                  <c:v>74</c:v>
                </c:pt>
                <c:pt idx="24">
                  <c:v>73.5</c:v>
                </c:pt>
                <c:pt idx="25">
                  <c:v>72.5</c:v>
                </c:pt>
                <c:pt idx="26">
                  <c:v>71.5</c:v>
                </c:pt>
                <c:pt idx="27">
                  <c:v>71.5</c:v>
                </c:pt>
                <c:pt idx="28">
                  <c:v>76.5</c:v>
                </c:pt>
                <c:pt idx="29">
                  <c:v>75.5</c:v>
                </c:pt>
                <c:pt idx="30">
                  <c:v>74.5</c:v>
                </c:pt>
                <c:pt idx="31">
                  <c:v>74</c:v>
                </c:pt>
                <c:pt idx="32">
                  <c:v>73.5</c:v>
                </c:pt>
                <c:pt idx="33">
                  <c:v>72.5</c:v>
                </c:pt>
                <c:pt idx="34">
                  <c:v>76</c:v>
                </c:pt>
                <c:pt idx="35">
                  <c:v>75.5</c:v>
                </c:pt>
                <c:pt idx="36">
                  <c:v>74.5</c:v>
                </c:pt>
                <c:pt idx="37">
                  <c:v>74</c:v>
                </c:pt>
                <c:pt idx="38">
                  <c:v>73.5</c:v>
                </c:pt>
                <c:pt idx="39">
                  <c:v>73</c:v>
                </c:pt>
                <c:pt idx="40">
                  <c:v>72</c:v>
                </c:pt>
                <c:pt idx="41">
                  <c:v>71.5</c:v>
                </c:pt>
                <c:pt idx="42">
                  <c:v>70.5</c:v>
                </c:pt>
                <c:pt idx="43">
                  <c:v>166</c:v>
                </c:pt>
                <c:pt idx="44">
                  <c:v>163.5</c:v>
                </c:pt>
                <c:pt idx="45">
                  <c:v>161.5</c:v>
                </c:pt>
                <c:pt idx="46">
                  <c:v>80.5</c:v>
                </c:pt>
                <c:pt idx="47">
                  <c:v>80</c:v>
                </c:pt>
                <c:pt idx="48">
                  <c:v>79</c:v>
                </c:pt>
                <c:pt idx="49">
                  <c:v>78.5</c:v>
                </c:pt>
                <c:pt idx="50">
                  <c:v>77.5</c:v>
                </c:pt>
                <c:pt idx="51">
                  <c:v>76.5</c:v>
                </c:pt>
                <c:pt idx="52">
                  <c:v>76.5</c:v>
                </c:pt>
                <c:pt idx="53">
                  <c:v>75.5</c:v>
                </c:pt>
                <c:pt idx="54">
                  <c:v>74.5</c:v>
                </c:pt>
                <c:pt idx="55">
                  <c:v>80.5</c:v>
                </c:pt>
                <c:pt idx="56">
                  <c:v>80</c:v>
                </c:pt>
                <c:pt idx="57">
                  <c:v>79</c:v>
                </c:pt>
                <c:pt idx="58">
                  <c:v>78.5</c:v>
                </c:pt>
                <c:pt idx="59">
                  <c:v>78</c:v>
                </c:pt>
                <c:pt idx="60">
                  <c:v>76.5</c:v>
                </c:pt>
                <c:pt idx="61">
                  <c:v>76.5</c:v>
                </c:pt>
                <c:pt idx="62">
                  <c:v>80</c:v>
                </c:pt>
                <c:pt idx="63">
                  <c:v>80</c:v>
                </c:pt>
                <c:pt idx="64">
                  <c:v>78.5</c:v>
                </c:pt>
                <c:pt idx="65">
                  <c:v>77.5</c:v>
                </c:pt>
                <c:pt idx="66">
                  <c:v>76.5</c:v>
                </c:pt>
                <c:pt idx="67">
                  <c:v>76.5</c:v>
                </c:pt>
                <c:pt idx="68">
                  <c:v>173</c:v>
                </c:pt>
                <c:pt idx="69">
                  <c:v>171</c:v>
                </c:pt>
                <c:pt idx="70">
                  <c:v>168</c:v>
                </c:pt>
                <c:pt idx="71">
                  <c:v>85.5</c:v>
                </c:pt>
                <c:pt idx="72">
                  <c:v>84</c:v>
                </c:pt>
                <c:pt idx="73">
                  <c:v>83</c:v>
                </c:pt>
                <c:pt idx="74">
                  <c:v>82</c:v>
                </c:pt>
                <c:pt idx="75">
                  <c:v>82</c:v>
                </c:pt>
                <c:pt idx="76">
                  <c:v>85.5</c:v>
                </c:pt>
                <c:pt idx="77">
                  <c:v>84.5</c:v>
                </c:pt>
                <c:pt idx="78">
                  <c:v>83.5</c:v>
                </c:pt>
                <c:pt idx="79">
                  <c:v>83</c:v>
                </c:pt>
                <c:pt idx="80">
                  <c:v>82</c:v>
                </c:pt>
                <c:pt idx="81">
                  <c:v>85.5</c:v>
                </c:pt>
                <c:pt idx="82">
                  <c:v>84.5</c:v>
                </c:pt>
                <c:pt idx="83">
                  <c:v>83.5</c:v>
                </c:pt>
                <c:pt idx="84">
                  <c:v>83</c:v>
                </c:pt>
                <c:pt idx="85">
                  <c:v>82.5</c:v>
                </c:pt>
                <c:pt idx="86">
                  <c:v>81.5</c:v>
                </c:pt>
                <c:pt idx="87">
                  <c:v>80.5</c:v>
                </c:pt>
                <c:pt idx="88">
                  <c:v>80</c:v>
                </c:pt>
                <c:pt idx="89">
                  <c:v>79.5</c:v>
                </c:pt>
                <c:pt idx="90">
                  <c:v>178.5</c:v>
                </c:pt>
                <c:pt idx="91">
                  <c:v>176</c:v>
                </c:pt>
                <c:pt idx="92">
                  <c:v>58</c:v>
                </c:pt>
                <c:pt idx="93">
                  <c:v>57</c:v>
                </c:pt>
                <c:pt idx="94">
                  <c:v>56.5</c:v>
                </c:pt>
                <c:pt idx="95">
                  <c:v>56</c:v>
                </c:pt>
                <c:pt idx="96">
                  <c:v>56</c:v>
                </c:pt>
                <c:pt idx="97">
                  <c:v>55</c:v>
                </c:pt>
                <c:pt idx="98">
                  <c:v>54.5</c:v>
                </c:pt>
                <c:pt idx="99">
                  <c:v>54</c:v>
                </c:pt>
                <c:pt idx="100">
                  <c:v>54</c:v>
                </c:pt>
                <c:pt idx="101">
                  <c:v>58</c:v>
                </c:pt>
                <c:pt idx="102">
                  <c:v>57.5</c:v>
                </c:pt>
                <c:pt idx="103">
                  <c:v>57</c:v>
                </c:pt>
                <c:pt idx="104">
                  <c:v>56</c:v>
                </c:pt>
                <c:pt idx="105">
                  <c:v>56</c:v>
                </c:pt>
                <c:pt idx="106">
                  <c:v>55.5</c:v>
                </c:pt>
                <c:pt idx="107">
                  <c:v>55</c:v>
                </c:pt>
                <c:pt idx="108">
                  <c:v>54.5</c:v>
                </c:pt>
                <c:pt idx="109">
                  <c:v>71.5</c:v>
                </c:pt>
                <c:pt idx="110">
                  <c:v>71.5</c:v>
                </c:pt>
                <c:pt idx="111">
                  <c:v>70.5</c:v>
                </c:pt>
                <c:pt idx="112">
                  <c:v>70</c:v>
                </c:pt>
                <c:pt idx="113">
                  <c:v>69</c:v>
                </c:pt>
                <c:pt idx="114">
                  <c:v>69</c:v>
                </c:pt>
                <c:pt idx="115">
                  <c:v>71.5</c:v>
                </c:pt>
                <c:pt idx="116">
                  <c:v>70.5</c:v>
                </c:pt>
                <c:pt idx="117">
                  <c:v>70.5</c:v>
                </c:pt>
                <c:pt idx="118">
                  <c:v>69</c:v>
                </c:pt>
                <c:pt idx="119">
                  <c:v>69</c:v>
                </c:pt>
                <c:pt idx="120">
                  <c:v>71.5</c:v>
                </c:pt>
                <c:pt idx="121">
                  <c:v>70.5</c:v>
                </c:pt>
                <c:pt idx="122">
                  <c:v>70.5</c:v>
                </c:pt>
                <c:pt idx="123">
                  <c:v>69</c:v>
                </c:pt>
                <c:pt idx="124">
                  <c:v>69</c:v>
                </c:pt>
                <c:pt idx="125">
                  <c:v>68</c:v>
                </c:pt>
                <c:pt idx="126">
                  <c:v>67.5</c:v>
                </c:pt>
                <c:pt idx="127">
                  <c:v>71.5</c:v>
                </c:pt>
                <c:pt idx="128">
                  <c:v>70.5</c:v>
                </c:pt>
                <c:pt idx="129">
                  <c:v>70.5</c:v>
                </c:pt>
                <c:pt idx="130">
                  <c:v>69.5</c:v>
                </c:pt>
                <c:pt idx="131">
                  <c:v>69</c:v>
                </c:pt>
                <c:pt idx="132">
                  <c:v>68</c:v>
                </c:pt>
                <c:pt idx="133">
                  <c:v>68</c:v>
                </c:pt>
                <c:pt idx="134">
                  <c:v>67</c:v>
                </c:pt>
                <c:pt idx="135">
                  <c:v>171</c:v>
                </c:pt>
                <c:pt idx="136">
                  <c:v>168</c:v>
                </c:pt>
                <c:pt idx="137">
                  <c:v>166</c:v>
                </c:pt>
                <c:pt idx="138">
                  <c:v>80</c:v>
                </c:pt>
                <c:pt idx="139">
                  <c:v>79</c:v>
                </c:pt>
                <c:pt idx="140">
                  <c:v>78.5</c:v>
                </c:pt>
                <c:pt idx="141">
                  <c:v>78</c:v>
                </c:pt>
                <c:pt idx="142">
                  <c:v>76.5</c:v>
                </c:pt>
                <c:pt idx="143">
                  <c:v>79.5</c:v>
                </c:pt>
                <c:pt idx="144">
                  <c:v>79</c:v>
                </c:pt>
                <c:pt idx="145">
                  <c:v>78.5</c:v>
                </c:pt>
                <c:pt idx="146">
                  <c:v>77.5</c:v>
                </c:pt>
                <c:pt idx="147">
                  <c:v>76.5</c:v>
                </c:pt>
                <c:pt idx="148">
                  <c:v>76.5</c:v>
                </c:pt>
                <c:pt idx="149">
                  <c:v>80.5</c:v>
                </c:pt>
                <c:pt idx="150">
                  <c:v>79.5</c:v>
                </c:pt>
                <c:pt idx="151">
                  <c:v>79</c:v>
                </c:pt>
                <c:pt idx="152">
                  <c:v>78.5</c:v>
                </c:pt>
                <c:pt idx="153">
                  <c:v>80.5</c:v>
                </c:pt>
                <c:pt idx="154">
                  <c:v>80</c:v>
                </c:pt>
                <c:pt idx="155">
                  <c:v>79.5</c:v>
                </c:pt>
                <c:pt idx="156">
                  <c:v>78.5</c:v>
                </c:pt>
                <c:pt idx="157">
                  <c:v>77.5</c:v>
                </c:pt>
                <c:pt idx="158">
                  <c:v>76.5</c:v>
                </c:pt>
                <c:pt idx="159">
                  <c:v>76.5</c:v>
                </c:pt>
                <c:pt idx="160">
                  <c:v>75.5</c:v>
                </c:pt>
                <c:pt idx="161">
                  <c:v>164.5</c:v>
                </c:pt>
                <c:pt idx="162">
                  <c:v>162</c:v>
                </c:pt>
                <c:pt idx="163">
                  <c:v>85.5</c:v>
                </c:pt>
                <c:pt idx="164">
                  <c:v>84.5</c:v>
                </c:pt>
                <c:pt idx="165">
                  <c:v>84</c:v>
                </c:pt>
                <c:pt idx="166">
                  <c:v>83.5</c:v>
                </c:pt>
                <c:pt idx="167">
                  <c:v>82.5</c:v>
                </c:pt>
                <c:pt idx="168">
                  <c:v>81.5</c:v>
                </c:pt>
                <c:pt idx="169">
                  <c:v>81.5</c:v>
                </c:pt>
                <c:pt idx="170">
                  <c:v>80.5</c:v>
                </c:pt>
                <c:pt idx="171">
                  <c:v>85.5</c:v>
                </c:pt>
                <c:pt idx="172">
                  <c:v>85</c:v>
                </c:pt>
                <c:pt idx="173">
                  <c:v>84</c:v>
                </c:pt>
                <c:pt idx="174">
                  <c:v>83.5</c:v>
                </c:pt>
                <c:pt idx="175">
                  <c:v>82.5</c:v>
                </c:pt>
                <c:pt idx="176">
                  <c:v>81.5</c:v>
                </c:pt>
                <c:pt idx="177">
                  <c:v>81.5</c:v>
                </c:pt>
                <c:pt idx="178">
                  <c:v>85.5</c:v>
                </c:pt>
                <c:pt idx="179">
                  <c:v>85</c:v>
                </c:pt>
                <c:pt idx="180">
                  <c:v>84.5</c:v>
                </c:pt>
                <c:pt idx="181">
                  <c:v>83.5</c:v>
                </c:pt>
                <c:pt idx="182">
                  <c:v>83</c:v>
                </c:pt>
                <c:pt idx="183">
                  <c:v>81.5</c:v>
                </c:pt>
                <c:pt idx="184">
                  <c:v>81.5</c:v>
                </c:pt>
                <c:pt idx="185">
                  <c:v>80.5</c:v>
                </c:pt>
                <c:pt idx="186">
                  <c:v>80</c:v>
                </c:pt>
                <c:pt idx="187">
                  <c:v>66.5</c:v>
                </c:pt>
                <c:pt idx="188">
                  <c:v>66</c:v>
                </c:pt>
                <c:pt idx="189">
                  <c:v>65.5</c:v>
                </c:pt>
                <c:pt idx="190">
                  <c:v>65</c:v>
                </c:pt>
                <c:pt idx="191">
                  <c:v>64</c:v>
                </c:pt>
                <c:pt idx="192">
                  <c:v>64</c:v>
                </c:pt>
                <c:pt idx="193">
                  <c:v>67</c:v>
                </c:pt>
                <c:pt idx="194">
                  <c:v>66.5</c:v>
                </c:pt>
                <c:pt idx="195">
                  <c:v>66</c:v>
                </c:pt>
                <c:pt idx="196">
                  <c:v>65.5</c:v>
                </c:pt>
                <c:pt idx="197">
                  <c:v>65</c:v>
                </c:pt>
                <c:pt idx="198">
                  <c:v>64</c:v>
                </c:pt>
                <c:pt idx="199">
                  <c:v>64</c:v>
                </c:pt>
                <c:pt idx="200">
                  <c:v>63</c:v>
                </c:pt>
                <c:pt idx="201">
                  <c:v>148</c:v>
                </c:pt>
                <c:pt idx="202">
                  <c:v>145.5</c:v>
                </c:pt>
                <c:pt idx="203">
                  <c:v>144</c:v>
                </c:pt>
                <c:pt idx="204">
                  <c:v>66.5</c:v>
                </c:pt>
                <c:pt idx="205">
                  <c:v>66</c:v>
                </c:pt>
                <c:pt idx="206">
                  <c:v>65.5</c:v>
                </c:pt>
                <c:pt idx="207">
                  <c:v>65</c:v>
                </c:pt>
                <c:pt idx="208">
                  <c:v>64</c:v>
                </c:pt>
                <c:pt idx="209">
                  <c:v>64</c:v>
                </c:pt>
                <c:pt idx="210">
                  <c:v>66.5</c:v>
                </c:pt>
                <c:pt idx="211">
                  <c:v>66.5</c:v>
                </c:pt>
                <c:pt idx="212">
                  <c:v>65.5</c:v>
                </c:pt>
                <c:pt idx="213">
                  <c:v>65</c:v>
                </c:pt>
                <c:pt idx="214">
                  <c:v>64</c:v>
                </c:pt>
                <c:pt idx="215">
                  <c:v>64</c:v>
                </c:pt>
                <c:pt idx="216">
                  <c:v>67</c:v>
                </c:pt>
                <c:pt idx="217">
                  <c:v>66.5</c:v>
                </c:pt>
                <c:pt idx="218">
                  <c:v>66</c:v>
                </c:pt>
                <c:pt idx="219">
                  <c:v>65.5</c:v>
                </c:pt>
                <c:pt idx="220">
                  <c:v>65</c:v>
                </c:pt>
                <c:pt idx="221">
                  <c:v>64</c:v>
                </c:pt>
                <c:pt idx="222">
                  <c:v>64</c:v>
                </c:pt>
                <c:pt idx="223">
                  <c:v>63</c:v>
                </c:pt>
                <c:pt idx="224">
                  <c:v>136</c:v>
                </c:pt>
                <c:pt idx="225">
                  <c:v>134.5</c:v>
                </c:pt>
                <c:pt idx="226">
                  <c:v>132.5</c:v>
                </c:pt>
                <c:pt idx="227">
                  <c:v>84.5</c:v>
                </c:pt>
                <c:pt idx="228">
                  <c:v>83.5</c:v>
                </c:pt>
                <c:pt idx="229">
                  <c:v>83</c:v>
                </c:pt>
                <c:pt idx="230">
                  <c:v>82</c:v>
                </c:pt>
                <c:pt idx="231">
                  <c:v>81.5</c:v>
                </c:pt>
                <c:pt idx="232">
                  <c:v>80.5</c:v>
                </c:pt>
                <c:pt idx="233">
                  <c:v>80</c:v>
                </c:pt>
                <c:pt idx="234">
                  <c:v>85.5</c:v>
                </c:pt>
                <c:pt idx="235">
                  <c:v>84.5</c:v>
                </c:pt>
                <c:pt idx="236">
                  <c:v>83.5</c:v>
                </c:pt>
                <c:pt idx="237">
                  <c:v>82.5</c:v>
                </c:pt>
                <c:pt idx="238">
                  <c:v>82</c:v>
                </c:pt>
                <c:pt idx="239">
                  <c:v>81.5</c:v>
                </c:pt>
                <c:pt idx="240">
                  <c:v>80.5</c:v>
                </c:pt>
                <c:pt idx="241">
                  <c:v>85.5</c:v>
                </c:pt>
                <c:pt idx="242">
                  <c:v>84.5</c:v>
                </c:pt>
                <c:pt idx="243">
                  <c:v>83.5</c:v>
                </c:pt>
                <c:pt idx="244">
                  <c:v>83</c:v>
                </c:pt>
                <c:pt idx="245">
                  <c:v>82</c:v>
                </c:pt>
                <c:pt idx="246">
                  <c:v>62</c:v>
                </c:pt>
                <c:pt idx="247">
                  <c:v>61.5</c:v>
                </c:pt>
                <c:pt idx="248">
                  <c:v>61</c:v>
                </c:pt>
                <c:pt idx="249">
                  <c:v>60.5</c:v>
                </c:pt>
                <c:pt idx="250">
                  <c:v>60</c:v>
                </c:pt>
                <c:pt idx="251">
                  <c:v>59</c:v>
                </c:pt>
                <c:pt idx="252">
                  <c:v>59</c:v>
                </c:pt>
                <c:pt idx="253">
                  <c:v>166</c:v>
                </c:pt>
                <c:pt idx="254">
                  <c:v>163.5</c:v>
                </c:pt>
                <c:pt idx="255">
                  <c:v>75.5</c:v>
                </c:pt>
                <c:pt idx="256">
                  <c:v>75.5</c:v>
                </c:pt>
                <c:pt idx="257">
                  <c:v>74.5</c:v>
                </c:pt>
                <c:pt idx="258">
                  <c:v>74</c:v>
                </c:pt>
                <c:pt idx="259">
                  <c:v>73</c:v>
                </c:pt>
                <c:pt idx="260">
                  <c:v>73</c:v>
                </c:pt>
                <c:pt idx="261">
                  <c:v>71.5</c:v>
                </c:pt>
                <c:pt idx="262">
                  <c:v>71.5</c:v>
                </c:pt>
                <c:pt idx="263">
                  <c:v>76</c:v>
                </c:pt>
                <c:pt idx="264">
                  <c:v>75</c:v>
                </c:pt>
                <c:pt idx="265">
                  <c:v>74</c:v>
                </c:pt>
                <c:pt idx="266">
                  <c:v>73</c:v>
                </c:pt>
                <c:pt idx="267">
                  <c:v>73</c:v>
                </c:pt>
                <c:pt idx="268">
                  <c:v>72</c:v>
                </c:pt>
                <c:pt idx="269">
                  <c:v>71.5</c:v>
                </c:pt>
                <c:pt idx="270">
                  <c:v>76</c:v>
                </c:pt>
                <c:pt idx="271">
                  <c:v>75</c:v>
                </c:pt>
                <c:pt idx="272">
                  <c:v>74.5</c:v>
                </c:pt>
                <c:pt idx="273">
                  <c:v>73.5</c:v>
                </c:pt>
                <c:pt idx="274">
                  <c:v>73</c:v>
                </c:pt>
                <c:pt idx="275">
                  <c:v>71.5</c:v>
                </c:pt>
                <c:pt idx="276">
                  <c:v>72</c:v>
                </c:pt>
                <c:pt idx="277">
                  <c:v>71.5</c:v>
                </c:pt>
                <c:pt idx="278">
                  <c:v>71</c:v>
                </c:pt>
                <c:pt idx="279">
                  <c:v>70.5</c:v>
                </c:pt>
                <c:pt idx="280">
                  <c:v>69.5</c:v>
                </c:pt>
                <c:pt idx="281">
                  <c:v>71.5</c:v>
                </c:pt>
                <c:pt idx="282">
                  <c:v>71</c:v>
                </c:pt>
                <c:pt idx="283">
                  <c:v>70.5</c:v>
                </c:pt>
                <c:pt idx="284">
                  <c:v>70</c:v>
                </c:pt>
                <c:pt idx="285">
                  <c:v>69</c:v>
                </c:pt>
                <c:pt idx="286">
                  <c:v>69</c:v>
                </c:pt>
                <c:pt idx="287">
                  <c:v>68</c:v>
                </c:pt>
                <c:pt idx="288">
                  <c:v>68</c:v>
                </c:pt>
                <c:pt idx="289">
                  <c:v>71.5</c:v>
                </c:pt>
                <c:pt idx="290">
                  <c:v>71</c:v>
                </c:pt>
                <c:pt idx="291">
                  <c:v>70.5</c:v>
                </c:pt>
                <c:pt idx="292">
                  <c:v>70</c:v>
                </c:pt>
                <c:pt idx="293">
                  <c:v>69</c:v>
                </c:pt>
                <c:pt idx="294">
                  <c:v>69</c:v>
                </c:pt>
                <c:pt idx="295">
                  <c:v>68</c:v>
                </c:pt>
                <c:pt idx="296">
                  <c:v>194</c:v>
                </c:pt>
                <c:pt idx="297">
                  <c:v>190.5</c:v>
                </c:pt>
                <c:pt idx="298">
                  <c:v>187.5</c:v>
                </c:pt>
                <c:pt idx="299">
                  <c:v>184.5</c:v>
                </c:pt>
                <c:pt idx="300">
                  <c:v>182</c:v>
                </c:pt>
                <c:pt idx="301">
                  <c:v>67</c:v>
                </c:pt>
                <c:pt idx="302">
                  <c:v>66.5</c:v>
                </c:pt>
                <c:pt idx="303">
                  <c:v>66</c:v>
                </c:pt>
                <c:pt idx="304">
                  <c:v>65.5</c:v>
                </c:pt>
                <c:pt idx="305">
                  <c:v>65</c:v>
                </c:pt>
                <c:pt idx="306">
                  <c:v>64</c:v>
                </c:pt>
                <c:pt idx="307">
                  <c:v>64</c:v>
                </c:pt>
                <c:pt idx="308">
                  <c:v>67</c:v>
                </c:pt>
                <c:pt idx="309">
                  <c:v>66.5</c:v>
                </c:pt>
                <c:pt idx="310">
                  <c:v>66</c:v>
                </c:pt>
                <c:pt idx="311">
                  <c:v>65.5</c:v>
                </c:pt>
                <c:pt idx="312">
                  <c:v>65</c:v>
                </c:pt>
                <c:pt idx="313">
                  <c:v>64</c:v>
                </c:pt>
                <c:pt idx="314">
                  <c:v>64</c:v>
                </c:pt>
                <c:pt idx="315">
                  <c:v>67</c:v>
                </c:pt>
                <c:pt idx="316">
                  <c:v>66.5</c:v>
                </c:pt>
                <c:pt idx="317">
                  <c:v>66</c:v>
                </c:pt>
                <c:pt idx="318">
                  <c:v>65.5</c:v>
                </c:pt>
                <c:pt idx="319">
                  <c:v>65</c:v>
                </c:pt>
                <c:pt idx="320">
                  <c:v>64</c:v>
                </c:pt>
                <c:pt idx="321">
                  <c:v>64</c:v>
                </c:pt>
                <c:pt idx="322">
                  <c:v>62.5</c:v>
                </c:pt>
                <c:pt idx="323">
                  <c:v>62</c:v>
                </c:pt>
                <c:pt idx="324">
                  <c:v>61.5</c:v>
                </c:pt>
                <c:pt idx="325">
                  <c:v>61</c:v>
                </c:pt>
                <c:pt idx="326">
                  <c:v>61.5</c:v>
                </c:pt>
                <c:pt idx="327">
                  <c:v>61</c:v>
                </c:pt>
                <c:pt idx="328">
                  <c:v>61</c:v>
                </c:pt>
                <c:pt idx="329">
                  <c:v>60</c:v>
                </c:pt>
                <c:pt idx="330">
                  <c:v>59.5</c:v>
                </c:pt>
                <c:pt idx="331">
                  <c:v>60.5</c:v>
                </c:pt>
                <c:pt idx="332">
                  <c:v>60.5</c:v>
                </c:pt>
                <c:pt idx="333">
                  <c:v>59.5</c:v>
                </c:pt>
                <c:pt idx="334">
                  <c:v>59</c:v>
                </c:pt>
                <c:pt idx="335">
                  <c:v>58</c:v>
                </c:pt>
                <c:pt idx="336">
                  <c:v>58</c:v>
                </c:pt>
                <c:pt idx="337">
                  <c:v>57.5</c:v>
                </c:pt>
                <c:pt idx="338">
                  <c:v>196</c:v>
                </c:pt>
                <c:pt idx="339">
                  <c:v>193</c:v>
                </c:pt>
                <c:pt idx="340">
                  <c:v>190.5</c:v>
                </c:pt>
                <c:pt idx="341">
                  <c:v>80.5</c:v>
                </c:pt>
                <c:pt idx="342">
                  <c:v>80</c:v>
                </c:pt>
                <c:pt idx="343">
                  <c:v>79</c:v>
                </c:pt>
                <c:pt idx="344">
                  <c:v>78.5</c:v>
                </c:pt>
                <c:pt idx="345">
                  <c:v>78</c:v>
                </c:pt>
                <c:pt idx="346">
                  <c:v>76.5</c:v>
                </c:pt>
                <c:pt idx="347">
                  <c:v>76.5</c:v>
                </c:pt>
                <c:pt idx="348">
                  <c:v>80.5</c:v>
                </c:pt>
                <c:pt idx="349">
                  <c:v>80</c:v>
                </c:pt>
                <c:pt idx="350">
                  <c:v>79</c:v>
                </c:pt>
                <c:pt idx="351">
                  <c:v>78.5</c:v>
                </c:pt>
                <c:pt idx="352">
                  <c:v>78</c:v>
                </c:pt>
                <c:pt idx="353">
                  <c:v>76.5</c:v>
                </c:pt>
                <c:pt idx="354">
                  <c:v>76.5</c:v>
                </c:pt>
                <c:pt idx="355">
                  <c:v>75.5</c:v>
                </c:pt>
                <c:pt idx="356">
                  <c:v>80</c:v>
                </c:pt>
                <c:pt idx="357">
                  <c:v>78.5</c:v>
                </c:pt>
                <c:pt idx="358">
                  <c:v>78.5</c:v>
                </c:pt>
                <c:pt idx="359">
                  <c:v>77.5</c:v>
                </c:pt>
                <c:pt idx="360">
                  <c:v>76.5</c:v>
                </c:pt>
                <c:pt idx="361">
                  <c:v>205</c:v>
                </c:pt>
                <c:pt idx="362">
                  <c:v>199.5</c:v>
                </c:pt>
                <c:pt idx="363">
                  <c:v>196.5</c:v>
                </c:pt>
                <c:pt idx="364">
                  <c:v>76</c:v>
                </c:pt>
                <c:pt idx="365">
                  <c:v>75.5</c:v>
                </c:pt>
                <c:pt idx="366">
                  <c:v>74.5</c:v>
                </c:pt>
                <c:pt idx="367">
                  <c:v>74</c:v>
                </c:pt>
                <c:pt idx="368">
                  <c:v>73.5</c:v>
                </c:pt>
                <c:pt idx="369">
                  <c:v>73</c:v>
                </c:pt>
                <c:pt idx="370">
                  <c:v>72</c:v>
                </c:pt>
                <c:pt idx="371">
                  <c:v>71.5</c:v>
                </c:pt>
                <c:pt idx="372">
                  <c:v>76.5</c:v>
                </c:pt>
                <c:pt idx="373">
                  <c:v>75.5</c:v>
                </c:pt>
                <c:pt idx="374">
                  <c:v>75</c:v>
                </c:pt>
                <c:pt idx="375">
                  <c:v>74</c:v>
                </c:pt>
                <c:pt idx="376">
                  <c:v>73.5</c:v>
                </c:pt>
                <c:pt idx="377">
                  <c:v>72.5</c:v>
                </c:pt>
                <c:pt idx="378">
                  <c:v>72</c:v>
                </c:pt>
                <c:pt idx="379">
                  <c:v>71.5</c:v>
                </c:pt>
                <c:pt idx="380">
                  <c:v>76.5</c:v>
                </c:pt>
                <c:pt idx="381">
                  <c:v>75.5</c:v>
                </c:pt>
                <c:pt idx="382">
                  <c:v>75</c:v>
                </c:pt>
                <c:pt idx="383">
                  <c:v>74</c:v>
                </c:pt>
                <c:pt idx="384">
                  <c:v>73.5</c:v>
                </c:pt>
                <c:pt idx="385">
                  <c:v>73</c:v>
                </c:pt>
                <c:pt idx="386">
                  <c:v>72.5</c:v>
                </c:pt>
                <c:pt idx="387">
                  <c:v>71.5</c:v>
                </c:pt>
                <c:pt idx="388">
                  <c:v>71.5</c:v>
                </c:pt>
                <c:pt idx="389">
                  <c:v>71</c:v>
                </c:pt>
                <c:pt idx="390">
                  <c:v>70.5</c:v>
                </c:pt>
                <c:pt idx="391">
                  <c:v>69.5</c:v>
                </c:pt>
                <c:pt idx="392">
                  <c:v>69</c:v>
                </c:pt>
                <c:pt idx="393">
                  <c:v>68.5</c:v>
                </c:pt>
                <c:pt idx="394">
                  <c:v>71.5</c:v>
                </c:pt>
                <c:pt idx="395">
                  <c:v>71</c:v>
                </c:pt>
                <c:pt idx="396">
                  <c:v>70.5</c:v>
                </c:pt>
                <c:pt idx="397">
                  <c:v>70</c:v>
                </c:pt>
                <c:pt idx="398">
                  <c:v>69</c:v>
                </c:pt>
                <c:pt idx="399">
                  <c:v>69</c:v>
                </c:pt>
                <c:pt idx="400">
                  <c:v>68</c:v>
                </c:pt>
                <c:pt idx="401">
                  <c:v>71.5</c:v>
                </c:pt>
                <c:pt idx="402">
                  <c:v>71</c:v>
                </c:pt>
                <c:pt idx="403">
                  <c:v>70.5</c:v>
                </c:pt>
                <c:pt idx="404">
                  <c:v>70</c:v>
                </c:pt>
                <c:pt idx="405">
                  <c:v>69</c:v>
                </c:pt>
                <c:pt idx="406">
                  <c:v>69</c:v>
                </c:pt>
                <c:pt idx="407">
                  <c:v>68</c:v>
                </c:pt>
                <c:pt idx="408">
                  <c:v>68</c:v>
                </c:pt>
                <c:pt idx="409">
                  <c:v>192</c:v>
                </c:pt>
                <c:pt idx="410">
                  <c:v>189</c:v>
                </c:pt>
                <c:pt idx="411">
                  <c:v>187.5</c:v>
                </c:pt>
                <c:pt idx="412">
                  <c:v>184</c:v>
                </c:pt>
                <c:pt idx="413">
                  <c:v>67</c:v>
                </c:pt>
                <c:pt idx="414">
                  <c:v>66.5</c:v>
                </c:pt>
                <c:pt idx="415">
                  <c:v>66</c:v>
                </c:pt>
                <c:pt idx="416">
                  <c:v>65.5</c:v>
                </c:pt>
                <c:pt idx="417">
                  <c:v>65</c:v>
                </c:pt>
                <c:pt idx="418">
                  <c:v>67</c:v>
                </c:pt>
                <c:pt idx="419">
                  <c:v>66.5</c:v>
                </c:pt>
                <c:pt idx="420">
                  <c:v>66</c:v>
                </c:pt>
                <c:pt idx="421">
                  <c:v>65.5</c:v>
                </c:pt>
                <c:pt idx="422">
                  <c:v>65</c:v>
                </c:pt>
                <c:pt idx="423">
                  <c:v>64</c:v>
                </c:pt>
                <c:pt idx="424">
                  <c:v>64</c:v>
                </c:pt>
                <c:pt idx="425">
                  <c:v>63</c:v>
                </c:pt>
                <c:pt idx="426">
                  <c:v>67</c:v>
                </c:pt>
                <c:pt idx="427">
                  <c:v>66.5</c:v>
                </c:pt>
                <c:pt idx="428">
                  <c:v>66</c:v>
                </c:pt>
                <c:pt idx="429">
                  <c:v>65.5</c:v>
                </c:pt>
                <c:pt idx="430">
                  <c:v>65</c:v>
                </c:pt>
                <c:pt idx="431">
                  <c:v>64</c:v>
                </c:pt>
                <c:pt idx="432">
                  <c:v>64</c:v>
                </c:pt>
                <c:pt idx="433">
                  <c:v>63</c:v>
                </c:pt>
                <c:pt idx="434">
                  <c:v>188</c:v>
                </c:pt>
                <c:pt idx="435">
                  <c:v>184.5</c:v>
                </c:pt>
                <c:pt idx="436">
                  <c:v>182</c:v>
                </c:pt>
                <c:pt idx="437">
                  <c:v>179</c:v>
                </c:pt>
                <c:pt idx="438">
                  <c:v>177</c:v>
                </c:pt>
                <c:pt idx="439">
                  <c:v>62</c:v>
                </c:pt>
                <c:pt idx="440">
                  <c:v>61</c:v>
                </c:pt>
                <c:pt idx="441">
                  <c:v>61</c:v>
                </c:pt>
                <c:pt idx="442">
                  <c:v>60.5</c:v>
                </c:pt>
                <c:pt idx="443">
                  <c:v>60</c:v>
                </c:pt>
                <c:pt idx="444">
                  <c:v>59</c:v>
                </c:pt>
                <c:pt idx="445">
                  <c:v>205</c:v>
                </c:pt>
                <c:pt idx="446">
                  <c:v>199.5</c:v>
                </c:pt>
                <c:pt idx="447">
                  <c:v>196.5</c:v>
                </c:pt>
                <c:pt idx="448">
                  <c:v>76</c:v>
                </c:pt>
                <c:pt idx="449">
                  <c:v>75.5</c:v>
                </c:pt>
                <c:pt idx="450">
                  <c:v>74.5</c:v>
                </c:pt>
                <c:pt idx="451">
                  <c:v>74</c:v>
                </c:pt>
                <c:pt idx="452">
                  <c:v>73.5</c:v>
                </c:pt>
                <c:pt idx="453">
                  <c:v>73</c:v>
                </c:pt>
                <c:pt idx="454">
                  <c:v>72</c:v>
                </c:pt>
                <c:pt idx="455">
                  <c:v>71.5</c:v>
                </c:pt>
                <c:pt idx="456">
                  <c:v>76.5</c:v>
                </c:pt>
                <c:pt idx="457">
                  <c:v>75.5</c:v>
                </c:pt>
                <c:pt idx="458">
                  <c:v>75</c:v>
                </c:pt>
                <c:pt idx="459">
                  <c:v>74</c:v>
                </c:pt>
                <c:pt idx="460">
                  <c:v>73.5</c:v>
                </c:pt>
                <c:pt idx="461">
                  <c:v>72.5</c:v>
                </c:pt>
                <c:pt idx="462">
                  <c:v>72</c:v>
                </c:pt>
                <c:pt idx="463">
                  <c:v>71.5</c:v>
                </c:pt>
                <c:pt idx="464">
                  <c:v>76.5</c:v>
                </c:pt>
                <c:pt idx="465">
                  <c:v>75.5</c:v>
                </c:pt>
                <c:pt idx="466">
                  <c:v>75</c:v>
                </c:pt>
                <c:pt idx="467">
                  <c:v>74</c:v>
                </c:pt>
                <c:pt idx="468">
                  <c:v>73.5</c:v>
                </c:pt>
                <c:pt idx="469">
                  <c:v>73</c:v>
                </c:pt>
                <c:pt idx="470">
                  <c:v>72.5</c:v>
                </c:pt>
                <c:pt idx="471">
                  <c:v>71.5</c:v>
                </c:pt>
                <c:pt idx="472">
                  <c:v>71.5</c:v>
                </c:pt>
                <c:pt idx="473">
                  <c:v>71</c:v>
                </c:pt>
                <c:pt idx="474">
                  <c:v>70.5</c:v>
                </c:pt>
                <c:pt idx="475">
                  <c:v>69.5</c:v>
                </c:pt>
                <c:pt idx="476">
                  <c:v>69</c:v>
                </c:pt>
                <c:pt idx="477">
                  <c:v>68.5</c:v>
                </c:pt>
                <c:pt idx="478">
                  <c:v>71.5</c:v>
                </c:pt>
                <c:pt idx="479">
                  <c:v>71</c:v>
                </c:pt>
                <c:pt idx="480">
                  <c:v>70.5</c:v>
                </c:pt>
                <c:pt idx="481">
                  <c:v>70</c:v>
                </c:pt>
                <c:pt idx="482">
                  <c:v>69</c:v>
                </c:pt>
                <c:pt idx="483">
                  <c:v>69</c:v>
                </c:pt>
                <c:pt idx="484">
                  <c:v>68</c:v>
                </c:pt>
                <c:pt idx="485">
                  <c:v>71.5</c:v>
                </c:pt>
                <c:pt idx="486">
                  <c:v>71</c:v>
                </c:pt>
                <c:pt idx="487">
                  <c:v>70.5</c:v>
                </c:pt>
                <c:pt idx="488">
                  <c:v>70</c:v>
                </c:pt>
                <c:pt idx="489">
                  <c:v>69</c:v>
                </c:pt>
                <c:pt idx="490">
                  <c:v>69</c:v>
                </c:pt>
                <c:pt idx="491">
                  <c:v>68</c:v>
                </c:pt>
                <c:pt idx="492">
                  <c:v>68</c:v>
                </c:pt>
                <c:pt idx="493">
                  <c:v>192</c:v>
                </c:pt>
                <c:pt idx="494">
                  <c:v>189</c:v>
                </c:pt>
                <c:pt idx="495">
                  <c:v>187.5</c:v>
                </c:pt>
                <c:pt idx="496">
                  <c:v>184</c:v>
                </c:pt>
                <c:pt idx="497">
                  <c:v>67</c:v>
                </c:pt>
                <c:pt idx="498">
                  <c:v>66.5</c:v>
                </c:pt>
                <c:pt idx="499">
                  <c:v>66</c:v>
                </c:pt>
                <c:pt idx="500">
                  <c:v>65.5</c:v>
                </c:pt>
                <c:pt idx="501">
                  <c:v>65</c:v>
                </c:pt>
                <c:pt idx="502">
                  <c:v>67</c:v>
                </c:pt>
                <c:pt idx="503">
                  <c:v>66.5</c:v>
                </c:pt>
                <c:pt idx="504">
                  <c:v>66</c:v>
                </c:pt>
                <c:pt idx="505">
                  <c:v>65.5</c:v>
                </c:pt>
                <c:pt idx="506">
                  <c:v>65</c:v>
                </c:pt>
                <c:pt idx="507">
                  <c:v>64</c:v>
                </c:pt>
                <c:pt idx="508">
                  <c:v>64</c:v>
                </c:pt>
                <c:pt idx="509">
                  <c:v>63</c:v>
                </c:pt>
                <c:pt idx="510">
                  <c:v>67</c:v>
                </c:pt>
                <c:pt idx="511">
                  <c:v>66.5</c:v>
                </c:pt>
                <c:pt idx="512">
                  <c:v>66</c:v>
                </c:pt>
                <c:pt idx="513">
                  <c:v>65.5</c:v>
                </c:pt>
                <c:pt idx="514">
                  <c:v>65</c:v>
                </c:pt>
                <c:pt idx="515">
                  <c:v>64</c:v>
                </c:pt>
                <c:pt idx="516">
                  <c:v>64</c:v>
                </c:pt>
                <c:pt idx="517">
                  <c:v>63</c:v>
                </c:pt>
                <c:pt idx="518">
                  <c:v>188</c:v>
                </c:pt>
                <c:pt idx="519">
                  <c:v>184.5</c:v>
                </c:pt>
                <c:pt idx="520">
                  <c:v>182</c:v>
                </c:pt>
                <c:pt idx="521">
                  <c:v>179</c:v>
                </c:pt>
                <c:pt idx="522">
                  <c:v>177</c:v>
                </c:pt>
                <c:pt idx="523">
                  <c:v>62</c:v>
                </c:pt>
                <c:pt idx="524">
                  <c:v>61</c:v>
                </c:pt>
                <c:pt idx="525">
                  <c:v>61</c:v>
                </c:pt>
                <c:pt idx="526">
                  <c:v>60.5</c:v>
                </c:pt>
                <c:pt idx="527">
                  <c:v>60</c:v>
                </c:pt>
                <c:pt idx="528">
                  <c:v>59</c:v>
                </c:pt>
                <c:pt idx="529">
                  <c:v>62</c:v>
                </c:pt>
                <c:pt idx="530">
                  <c:v>61.5</c:v>
                </c:pt>
                <c:pt idx="531">
                  <c:v>61</c:v>
                </c:pt>
                <c:pt idx="532">
                  <c:v>60.5</c:v>
                </c:pt>
                <c:pt idx="533">
                  <c:v>60</c:v>
                </c:pt>
                <c:pt idx="534">
                  <c:v>59.5</c:v>
                </c:pt>
                <c:pt idx="535">
                  <c:v>59</c:v>
                </c:pt>
                <c:pt idx="536">
                  <c:v>62.5</c:v>
                </c:pt>
                <c:pt idx="537">
                  <c:v>61.5</c:v>
                </c:pt>
                <c:pt idx="538">
                  <c:v>61</c:v>
                </c:pt>
                <c:pt idx="539">
                  <c:v>60.5</c:v>
                </c:pt>
                <c:pt idx="540">
                  <c:v>60</c:v>
                </c:pt>
                <c:pt idx="541">
                  <c:v>59</c:v>
                </c:pt>
                <c:pt idx="542">
                  <c:v>183.5</c:v>
                </c:pt>
                <c:pt idx="543">
                  <c:v>179</c:v>
                </c:pt>
                <c:pt idx="544">
                  <c:v>177</c:v>
                </c:pt>
                <c:pt idx="545">
                  <c:v>174</c:v>
                </c:pt>
                <c:pt idx="546">
                  <c:v>172</c:v>
                </c:pt>
                <c:pt idx="547">
                  <c:v>58</c:v>
                </c:pt>
                <c:pt idx="548">
                  <c:v>57.5</c:v>
                </c:pt>
                <c:pt idx="549">
                  <c:v>57</c:v>
                </c:pt>
                <c:pt idx="550">
                  <c:v>56.5</c:v>
                </c:pt>
                <c:pt idx="551">
                  <c:v>56</c:v>
                </c:pt>
                <c:pt idx="552">
                  <c:v>58</c:v>
                </c:pt>
                <c:pt idx="553">
                  <c:v>57.5</c:v>
                </c:pt>
                <c:pt idx="554">
                  <c:v>57</c:v>
                </c:pt>
                <c:pt idx="555">
                  <c:v>56</c:v>
                </c:pt>
                <c:pt idx="556">
                  <c:v>56</c:v>
                </c:pt>
                <c:pt idx="557">
                  <c:v>56</c:v>
                </c:pt>
                <c:pt idx="558">
                  <c:v>55</c:v>
                </c:pt>
                <c:pt idx="559">
                  <c:v>54.5</c:v>
                </c:pt>
                <c:pt idx="560">
                  <c:v>54</c:v>
                </c:pt>
                <c:pt idx="561">
                  <c:v>58</c:v>
                </c:pt>
                <c:pt idx="562">
                  <c:v>57.5</c:v>
                </c:pt>
                <c:pt idx="563">
                  <c:v>57</c:v>
                </c:pt>
                <c:pt idx="564">
                  <c:v>56</c:v>
                </c:pt>
                <c:pt idx="565">
                  <c:v>71.5</c:v>
                </c:pt>
                <c:pt idx="566">
                  <c:v>71</c:v>
                </c:pt>
                <c:pt idx="567">
                  <c:v>70</c:v>
                </c:pt>
                <c:pt idx="568">
                  <c:v>69</c:v>
                </c:pt>
                <c:pt idx="569">
                  <c:v>71</c:v>
                </c:pt>
                <c:pt idx="570">
                  <c:v>70.5</c:v>
                </c:pt>
                <c:pt idx="571">
                  <c:v>70</c:v>
                </c:pt>
                <c:pt idx="572">
                  <c:v>69</c:v>
                </c:pt>
                <c:pt idx="573">
                  <c:v>69</c:v>
                </c:pt>
                <c:pt idx="574">
                  <c:v>68</c:v>
                </c:pt>
                <c:pt idx="575">
                  <c:v>68</c:v>
                </c:pt>
                <c:pt idx="576">
                  <c:v>184.5</c:v>
                </c:pt>
                <c:pt idx="577">
                  <c:v>182</c:v>
                </c:pt>
                <c:pt idx="578">
                  <c:v>178</c:v>
                </c:pt>
                <c:pt idx="579">
                  <c:v>80.5</c:v>
                </c:pt>
                <c:pt idx="580">
                  <c:v>79.5</c:v>
                </c:pt>
                <c:pt idx="581">
                  <c:v>79</c:v>
                </c:pt>
                <c:pt idx="582">
                  <c:v>78</c:v>
                </c:pt>
                <c:pt idx="583">
                  <c:v>77.5</c:v>
                </c:pt>
                <c:pt idx="584">
                  <c:v>76.5</c:v>
                </c:pt>
                <c:pt idx="585">
                  <c:v>76.5</c:v>
                </c:pt>
                <c:pt idx="586">
                  <c:v>81.5</c:v>
                </c:pt>
                <c:pt idx="587">
                  <c:v>80.5</c:v>
                </c:pt>
                <c:pt idx="588">
                  <c:v>79.5</c:v>
                </c:pt>
                <c:pt idx="589">
                  <c:v>79</c:v>
                </c:pt>
                <c:pt idx="590">
                  <c:v>78.5</c:v>
                </c:pt>
                <c:pt idx="591">
                  <c:v>77.5</c:v>
                </c:pt>
                <c:pt idx="592">
                  <c:v>76.5</c:v>
                </c:pt>
                <c:pt idx="593">
                  <c:v>76.5</c:v>
                </c:pt>
                <c:pt idx="594">
                  <c:v>75.5</c:v>
                </c:pt>
                <c:pt idx="595">
                  <c:v>81.5</c:v>
                </c:pt>
                <c:pt idx="596">
                  <c:v>80.5</c:v>
                </c:pt>
                <c:pt idx="597">
                  <c:v>79.5</c:v>
                </c:pt>
                <c:pt idx="598">
                  <c:v>79</c:v>
                </c:pt>
                <c:pt idx="599">
                  <c:v>78.5</c:v>
                </c:pt>
                <c:pt idx="600">
                  <c:v>77</c:v>
                </c:pt>
                <c:pt idx="601">
                  <c:v>76.5</c:v>
                </c:pt>
                <c:pt idx="602">
                  <c:v>75.5</c:v>
                </c:pt>
                <c:pt idx="603">
                  <c:v>75.5</c:v>
                </c:pt>
                <c:pt idx="604">
                  <c:v>74</c:v>
                </c:pt>
                <c:pt idx="605">
                  <c:v>73.5</c:v>
                </c:pt>
                <c:pt idx="606">
                  <c:v>73</c:v>
                </c:pt>
                <c:pt idx="607">
                  <c:v>72.5</c:v>
                </c:pt>
                <c:pt idx="608">
                  <c:v>71.5</c:v>
                </c:pt>
                <c:pt idx="609">
                  <c:v>76.5</c:v>
                </c:pt>
                <c:pt idx="610">
                  <c:v>75.5</c:v>
                </c:pt>
                <c:pt idx="611">
                  <c:v>75.5</c:v>
                </c:pt>
                <c:pt idx="612">
                  <c:v>74</c:v>
                </c:pt>
                <c:pt idx="613">
                  <c:v>74</c:v>
                </c:pt>
                <c:pt idx="614">
                  <c:v>73</c:v>
                </c:pt>
                <c:pt idx="615">
                  <c:v>76</c:v>
                </c:pt>
                <c:pt idx="616">
                  <c:v>75.5</c:v>
                </c:pt>
                <c:pt idx="617">
                  <c:v>75</c:v>
                </c:pt>
                <c:pt idx="618">
                  <c:v>74</c:v>
                </c:pt>
                <c:pt idx="619">
                  <c:v>73</c:v>
                </c:pt>
                <c:pt idx="620">
                  <c:v>72.5</c:v>
                </c:pt>
                <c:pt idx="621">
                  <c:v>71.5</c:v>
                </c:pt>
                <c:pt idx="622">
                  <c:v>71.5</c:v>
                </c:pt>
                <c:pt idx="623">
                  <c:v>193</c:v>
                </c:pt>
                <c:pt idx="624">
                  <c:v>190.5</c:v>
                </c:pt>
                <c:pt idx="625">
                  <c:v>187.5</c:v>
                </c:pt>
                <c:pt idx="626">
                  <c:v>67</c:v>
                </c:pt>
                <c:pt idx="627">
                  <c:v>66.5</c:v>
                </c:pt>
                <c:pt idx="628">
                  <c:v>66</c:v>
                </c:pt>
                <c:pt idx="629">
                  <c:v>65.5</c:v>
                </c:pt>
                <c:pt idx="630">
                  <c:v>65</c:v>
                </c:pt>
                <c:pt idx="631">
                  <c:v>67</c:v>
                </c:pt>
                <c:pt idx="632">
                  <c:v>66.5</c:v>
                </c:pt>
                <c:pt idx="633">
                  <c:v>66</c:v>
                </c:pt>
                <c:pt idx="634">
                  <c:v>65.5</c:v>
                </c:pt>
                <c:pt idx="635">
                  <c:v>65</c:v>
                </c:pt>
                <c:pt idx="636">
                  <c:v>64</c:v>
                </c:pt>
                <c:pt idx="637">
                  <c:v>196.5</c:v>
                </c:pt>
                <c:pt idx="638">
                  <c:v>193.5</c:v>
                </c:pt>
                <c:pt idx="639">
                  <c:v>189.5</c:v>
                </c:pt>
                <c:pt idx="640">
                  <c:v>63</c:v>
                </c:pt>
                <c:pt idx="641">
                  <c:v>62</c:v>
                </c:pt>
                <c:pt idx="642">
                  <c:v>61.5</c:v>
                </c:pt>
                <c:pt idx="643">
                  <c:v>60.5</c:v>
                </c:pt>
                <c:pt idx="644">
                  <c:v>63</c:v>
                </c:pt>
                <c:pt idx="645">
                  <c:v>62</c:v>
                </c:pt>
                <c:pt idx="646">
                  <c:v>61.5</c:v>
                </c:pt>
                <c:pt idx="647">
                  <c:v>61</c:v>
                </c:pt>
                <c:pt idx="648">
                  <c:v>61</c:v>
                </c:pt>
                <c:pt idx="649">
                  <c:v>60</c:v>
                </c:pt>
                <c:pt idx="650">
                  <c:v>59.5</c:v>
                </c:pt>
                <c:pt idx="651">
                  <c:v>62.5</c:v>
                </c:pt>
                <c:pt idx="652">
                  <c:v>62</c:v>
                </c:pt>
                <c:pt idx="653">
                  <c:v>61</c:v>
                </c:pt>
                <c:pt idx="654">
                  <c:v>61</c:v>
                </c:pt>
                <c:pt idx="655">
                  <c:v>60.5</c:v>
                </c:pt>
                <c:pt idx="656">
                  <c:v>60</c:v>
                </c:pt>
                <c:pt idx="657">
                  <c:v>200</c:v>
                </c:pt>
                <c:pt idx="658">
                  <c:v>196.5</c:v>
                </c:pt>
                <c:pt idx="659">
                  <c:v>57.5</c:v>
                </c:pt>
                <c:pt idx="660">
                  <c:v>57</c:v>
                </c:pt>
                <c:pt idx="661">
                  <c:v>56</c:v>
                </c:pt>
                <c:pt idx="662">
                  <c:v>56</c:v>
                </c:pt>
                <c:pt idx="663">
                  <c:v>55.5</c:v>
                </c:pt>
                <c:pt idx="664">
                  <c:v>55</c:v>
                </c:pt>
                <c:pt idx="665">
                  <c:v>54</c:v>
                </c:pt>
                <c:pt idx="666">
                  <c:v>58</c:v>
                </c:pt>
                <c:pt idx="667">
                  <c:v>57.5</c:v>
                </c:pt>
                <c:pt idx="668">
                  <c:v>57</c:v>
                </c:pt>
                <c:pt idx="669">
                  <c:v>56</c:v>
                </c:pt>
                <c:pt idx="670">
                  <c:v>56</c:v>
                </c:pt>
                <c:pt idx="671">
                  <c:v>55.5</c:v>
                </c:pt>
                <c:pt idx="672">
                  <c:v>55</c:v>
                </c:pt>
                <c:pt idx="673">
                  <c:v>54</c:v>
                </c:pt>
                <c:pt idx="674">
                  <c:v>200</c:v>
                </c:pt>
                <c:pt idx="675">
                  <c:v>196.5</c:v>
                </c:pt>
                <c:pt idx="676">
                  <c:v>193.5</c:v>
                </c:pt>
                <c:pt idx="677">
                  <c:v>190</c:v>
                </c:pt>
                <c:pt idx="678">
                  <c:v>186.5</c:v>
                </c:pt>
                <c:pt idx="679">
                  <c:v>71.5</c:v>
                </c:pt>
                <c:pt idx="680">
                  <c:v>71</c:v>
                </c:pt>
                <c:pt idx="681">
                  <c:v>70.5</c:v>
                </c:pt>
                <c:pt idx="682">
                  <c:v>69</c:v>
                </c:pt>
                <c:pt idx="683">
                  <c:v>69</c:v>
                </c:pt>
                <c:pt idx="684">
                  <c:v>71.5</c:v>
                </c:pt>
                <c:pt idx="685">
                  <c:v>71</c:v>
                </c:pt>
                <c:pt idx="686">
                  <c:v>70.5</c:v>
                </c:pt>
                <c:pt idx="687">
                  <c:v>69.5</c:v>
                </c:pt>
                <c:pt idx="688">
                  <c:v>69</c:v>
                </c:pt>
                <c:pt idx="689">
                  <c:v>68.5</c:v>
                </c:pt>
                <c:pt idx="690">
                  <c:v>68</c:v>
                </c:pt>
                <c:pt idx="691">
                  <c:v>68</c:v>
                </c:pt>
                <c:pt idx="692">
                  <c:v>71.5</c:v>
                </c:pt>
                <c:pt idx="693">
                  <c:v>71</c:v>
                </c:pt>
                <c:pt idx="694">
                  <c:v>70.5</c:v>
                </c:pt>
                <c:pt idx="695">
                  <c:v>69.5</c:v>
                </c:pt>
                <c:pt idx="696">
                  <c:v>69</c:v>
                </c:pt>
                <c:pt idx="697">
                  <c:v>68.5</c:v>
                </c:pt>
                <c:pt idx="698">
                  <c:v>68</c:v>
                </c:pt>
                <c:pt idx="699">
                  <c:v>198.5</c:v>
                </c:pt>
                <c:pt idx="700">
                  <c:v>195</c:v>
                </c:pt>
                <c:pt idx="701">
                  <c:v>191.5</c:v>
                </c:pt>
                <c:pt idx="702">
                  <c:v>188</c:v>
                </c:pt>
                <c:pt idx="703">
                  <c:v>71.5</c:v>
                </c:pt>
                <c:pt idx="704">
                  <c:v>70.5</c:v>
                </c:pt>
                <c:pt idx="705">
                  <c:v>70.5</c:v>
                </c:pt>
                <c:pt idx="706">
                  <c:v>70</c:v>
                </c:pt>
                <c:pt idx="707">
                  <c:v>69</c:v>
                </c:pt>
                <c:pt idx="708">
                  <c:v>72</c:v>
                </c:pt>
                <c:pt idx="709">
                  <c:v>71.5</c:v>
                </c:pt>
                <c:pt idx="710">
                  <c:v>71</c:v>
                </c:pt>
                <c:pt idx="711">
                  <c:v>70.5</c:v>
                </c:pt>
                <c:pt idx="712">
                  <c:v>69.5</c:v>
                </c:pt>
                <c:pt idx="713">
                  <c:v>69</c:v>
                </c:pt>
                <c:pt idx="714">
                  <c:v>68.5</c:v>
                </c:pt>
                <c:pt idx="715">
                  <c:v>68</c:v>
                </c:pt>
                <c:pt idx="716">
                  <c:v>67</c:v>
                </c:pt>
                <c:pt idx="717">
                  <c:v>72</c:v>
                </c:pt>
                <c:pt idx="718">
                  <c:v>71.5</c:v>
                </c:pt>
                <c:pt idx="719">
                  <c:v>71</c:v>
                </c:pt>
                <c:pt idx="720">
                  <c:v>70.5</c:v>
                </c:pt>
                <c:pt idx="721">
                  <c:v>69.5</c:v>
                </c:pt>
                <c:pt idx="722">
                  <c:v>69</c:v>
                </c:pt>
                <c:pt idx="723">
                  <c:v>68.5</c:v>
                </c:pt>
                <c:pt idx="724">
                  <c:v>68</c:v>
                </c:pt>
                <c:pt idx="725">
                  <c:v>67</c:v>
                </c:pt>
                <c:pt idx="726">
                  <c:v>0</c:v>
                </c:pt>
              </c:numCache>
            </c:numRef>
          </c:xVal>
          <c:yVal>
            <c:numRef>
              <c:f>Cooling_Rate!$D$2:$D$728</c:f>
              <c:numCache>
                <c:formatCode>General</c:formatCode>
                <c:ptCount val="727"/>
                <c:pt idx="0">
                  <c:v>-0.16117983599999999</c:v>
                </c:pt>
                <c:pt idx="1">
                  <c:v>-0.120870266</c:v>
                </c:pt>
                <c:pt idx="2">
                  <c:v>-0.120865396</c:v>
                </c:pt>
                <c:pt idx="3">
                  <c:v>-0.120860527</c:v>
                </c:pt>
                <c:pt idx="4">
                  <c:v>-8.0580177000000003E-2</c:v>
                </c:pt>
                <c:pt idx="5">
                  <c:v>-0.120860527</c:v>
                </c:pt>
                <c:pt idx="6">
                  <c:v>-8.0573685000000006E-2</c:v>
                </c:pt>
                <c:pt idx="7">
                  <c:v>-8.0593165999999994E-2</c:v>
                </c:pt>
                <c:pt idx="8">
                  <c:v>-0.120870266</c:v>
                </c:pt>
                <c:pt idx="9">
                  <c:v>-8.0586670999999999E-2</c:v>
                </c:pt>
                <c:pt idx="10">
                  <c:v>-0.120884877</c:v>
                </c:pt>
                <c:pt idx="11">
                  <c:v>-8.0576931000000004E-2</c:v>
                </c:pt>
                <c:pt idx="12">
                  <c:v>-9.6689979999999995E-2</c:v>
                </c:pt>
                <c:pt idx="13">
                  <c:v>-9.6693096000000006E-2</c:v>
                </c:pt>
                <c:pt idx="14">
                  <c:v>-8.0576931000000004E-2</c:v>
                </c:pt>
                <c:pt idx="15">
                  <c:v>-8.0576931000000004E-2</c:v>
                </c:pt>
                <c:pt idx="16">
                  <c:v>-4.0286842000000003E-2</c:v>
                </c:pt>
                <c:pt idx="17">
                  <c:v>-0.354529926</c:v>
                </c:pt>
                <c:pt idx="18">
                  <c:v>-0.354575637</c:v>
                </c:pt>
                <c:pt idx="19">
                  <c:v>-0.32232070899999998</c:v>
                </c:pt>
                <c:pt idx="20">
                  <c:v>-0.12085079</c:v>
                </c:pt>
                <c:pt idx="21">
                  <c:v>-0.120841054</c:v>
                </c:pt>
                <c:pt idx="22">
                  <c:v>-0.120836186</c:v>
                </c:pt>
                <c:pt idx="23">
                  <c:v>-8.0570438999999994E-2</c:v>
                </c:pt>
                <c:pt idx="24">
                  <c:v>-0.120865396</c:v>
                </c:pt>
                <c:pt idx="25">
                  <c:v>-0.120884877</c:v>
                </c:pt>
                <c:pt idx="26">
                  <c:v>-0.12089461999999999</c:v>
                </c:pt>
                <c:pt idx="27">
                  <c:v>-0.120889749</c:v>
                </c:pt>
                <c:pt idx="28">
                  <c:v>-0.120880006</c:v>
                </c:pt>
                <c:pt idx="29">
                  <c:v>-0.12087513599999999</c:v>
                </c:pt>
                <c:pt idx="30">
                  <c:v>-0.12089461999999999</c:v>
                </c:pt>
                <c:pt idx="31">
                  <c:v>-8.0596413000000006E-2</c:v>
                </c:pt>
                <c:pt idx="32">
                  <c:v>-0.120899492</c:v>
                </c:pt>
                <c:pt idx="33">
                  <c:v>-0.120899492</c:v>
                </c:pt>
                <c:pt idx="34">
                  <c:v>-8.0576931000000004E-2</c:v>
                </c:pt>
                <c:pt idx="35">
                  <c:v>-0.120860527</c:v>
                </c:pt>
                <c:pt idx="36">
                  <c:v>-0.12085079</c:v>
                </c:pt>
                <c:pt idx="37">
                  <c:v>-8.0554213E-2</c:v>
                </c:pt>
                <c:pt idx="38">
                  <c:v>-0.120841054</c:v>
                </c:pt>
                <c:pt idx="39">
                  <c:v>-8.0567192999999995E-2</c:v>
                </c:pt>
                <c:pt idx="40">
                  <c:v>-8.0576931000000004E-2</c:v>
                </c:pt>
                <c:pt idx="41">
                  <c:v>-0.120889749</c:v>
                </c:pt>
                <c:pt idx="42">
                  <c:v>-0.12089461999999999</c:v>
                </c:pt>
                <c:pt idx="43">
                  <c:v>-0.322294739</c:v>
                </c:pt>
                <c:pt idx="44">
                  <c:v>-0.36262540799999998</c:v>
                </c:pt>
                <c:pt idx="45">
                  <c:v>-0.36255236899999999</c:v>
                </c:pt>
                <c:pt idx="46">
                  <c:v>-0.12087513599999999</c:v>
                </c:pt>
                <c:pt idx="47">
                  <c:v>-0.161173342</c:v>
                </c:pt>
                <c:pt idx="48">
                  <c:v>-8.0596413000000006E-2</c:v>
                </c:pt>
                <c:pt idx="49">
                  <c:v>-0.120904365</c:v>
                </c:pt>
                <c:pt idx="50">
                  <c:v>-0.120889749</c:v>
                </c:pt>
                <c:pt idx="51">
                  <c:v>-0.120880006</c:v>
                </c:pt>
                <c:pt idx="52">
                  <c:v>-0.120880006</c:v>
                </c:pt>
                <c:pt idx="53">
                  <c:v>-0.120860527</c:v>
                </c:pt>
                <c:pt idx="54">
                  <c:v>-0.120860527</c:v>
                </c:pt>
                <c:pt idx="55">
                  <c:v>-0.120860527</c:v>
                </c:pt>
                <c:pt idx="56">
                  <c:v>-0.161166848</c:v>
                </c:pt>
                <c:pt idx="57">
                  <c:v>-8.0573685000000006E-2</c:v>
                </c:pt>
                <c:pt idx="58">
                  <c:v>-0.120870266</c:v>
                </c:pt>
                <c:pt idx="59">
                  <c:v>-8.0586670999999999E-2</c:v>
                </c:pt>
                <c:pt idx="60">
                  <c:v>-0.120880006</c:v>
                </c:pt>
                <c:pt idx="61">
                  <c:v>-0.120899492</c:v>
                </c:pt>
                <c:pt idx="62">
                  <c:v>-0.12891581799999999</c:v>
                </c:pt>
                <c:pt idx="63">
                  <c:v>-0.128924128</c:v>
                </c:pt>
                <c:pt idx="64">
                  <c:v>-9.6702446999999997E-2</c:v>
                </c:pt>
                <c:pt idx="65">
                  <c:v>-0.120889749</c:v>
                </c:pt>
                <c:pt idx="66">
                  <c:v>-0.120889749</c:v>
                </c:pt>
                <c:pt idx="67">
                  <c:v>-0.120884877</c:v>
                </c:pt>
                <c:pt idx="68">
                  <c:v>-0.38648587699999998</c:v>
                </c:pt>
                <c:pt idx="69">
                  <c:v>-0.38644853800000001</c:v>
                </c:pt>
                <c:pt idx="70">
                  <c:v>-0.38647343000000001</c:v>
                </c:pt>
                <c:pt idx="71">
                  <c:v>-0.120855658</c:v>
                </c:pt>
                <c:pt idx="72">
                  <c:v>-0.12891997299999999</c:v>
                </c:pt>
                <c:pt idx="73">
                  <c:v>-0.12889089400000001</c:v>
                </c:pt>
                <c:pt idx="74">
                  <c:v>-0.12889920099999999</c:v>
                </c:pt>
                <c:pt idx="75">
                  <c:v>-0.12889920099999999</c:v>
                </c:pt>
                <c:pt idx="76">
                  <c:v>-0.12087513599999999</c:v>
                </c:pt>
                <c:pt idx="77">
                  <c:v>-0.120865396</c:v>
                </c:pt>
                <c:pt idx="78">
                  <c:v>-0.12087513599999999</c:v>
                </c:pt>
                <c:pt idx="79">
                  <c:v>-8.0573685000000006E-2</c:v>
                </c:pt>
                <c:pt idx="80">
                  <c:v>-0.161088961</c:v>
                </c:pt>
                <c:pt idx="81">
                  <c:v>-0.120860527</c:v>
                </c:pt>
                <c:pt idx="82">
                  <c:v>-0.120860527</c:v>
                </c:pt>
                <c:pt idx="83">
                  <c:v>-0.120865396</c:v>
                </c:pt>
                <c:pt idx="84">
                  <c:v>-8.0580177000000003E-2</c:v>
                </c:pt>
                <c:pt idx="85">
                  <c:v>-0.12087513599999999</c:v>
                </c:pt>
                <c:pt idx="86">
                  <c:v>-0.120884877</c:v>
                </c:pt>
                <c:pt idx="87">
                  <c:v>-0.12089461999999999</c:v>
                </c:pt>
                <c:pt idx="88">
                  <c:v>-0.161173342</c:v>
                </c:pt>
                <c:pt idx="89">
                  <c:v>-0.12087513599999999</c:v>
                </c:pt>
                <c:pt idx="90">
                  <c:v>-0.44310171199999998</c:v>
                </c:pt>
                <c:pt idx="91">
                  <c:v>-0.402852194</c:v>
                </c:pt>
                <c:pt idx="92">
                  <c:v>-8.0563947999999996E-2</c:v>
                </c:pt>
                <c:pt idx="93">
                  <c:v>-8.0573685000000006E-2</c:v>
                </c:pt>
                <c:pt idx="94">
                  <c:v>-0.120865396</c:v>
                </c:pt>
                <c:pt idx="95">
                  <c:v>-8.0589917999999997E-2</c:v>
                </c:pt>
                <c:pt idx="96">
                  <c:v>-8.0583424000000001E-2</c:v>
                </c:pt>
                <c:pt idx="97">
                  <c:v>-8.0580177000000003E-2</c:v>
                </c:pt>
                <c:pt idx="98">
                  <c:v>-4.0291712E-2</c:v>
                </c:pt>
                <c:pt idx="99">
                  <c:v>-8.0573685000000006E-2</c:v>
                </c:pt>
                <c:pt idx="100">
                  <c:v>-8.0580177000000003E-2</c:v>
                </c:pt>
                <c:pt idx="101">
                  <c:v>-8.0576931000000004E-2</c:v>
                </c:pt>
                <c:pt idx="102">
                  <c:v>-4.0291712E-2</c:v>
                </c:pt>
                <c:pt idx="103">
                  <c:v>-8.0576931000000004E-2</c:v>
                </c:pt>
                <c:pt idx="104">
                  <c:v>-8.0580177000000003E-2</c:v>
                </c:pt>
                <c:pt idx="105">
                  <c:v>-8.0586670999999999E-2</c:v>
                </c:pt>
                <c:pt idx="106">
                  <c:v>-0.120870266</c:v>
                </c:pt>
                <c:pt idx="107">
                  <c:v>-8.0583424000000001E-2</c:v>
                </c:pt>
                <c:pt idx="108">
                  <c:v>-4.0290089000000001E-2</c:v>
                </c:pt>
                <c:pt idx="109">
                  <c:v>-0.12087513599999999</c:v>
                </c:pt>
                <c:pt idx="110">
                  <c:v>-0.12087513599999999</c:v>
                </c:pt>
                <c:pt idx="111">
                  <c:v>-0.120855658</c:v>
                </c:pt>
                <c:pt idx="112">
                  <c:v>-8.0576931000000004E-2</c:v>
                </c:pt>
                <c:pt idx="113">
                  <c:v>-8.0583424000000001E-2</c:v>
                </c:pt>
                <c:pt idx="114">
                  <c:v>-8.0586670999999999E-2</c:v>
                </c:pt>
                <c:pt idx="115">
                  <c:v>-0.12087513599999999</c:v>
                </c:pt>
                <c:pt idx="116">
                  <c:v>-0.120841054</c:v>
                </c:pt>
                <c:pt idx="117">
                  <c:v>-0.120860527</c:v>
                </c:pt>
                <c:pt idx="118">
                  <c:v>-8.0563947999999996E-2</c:v>
                </c:pt>
                <c:pt idx="119">
                  <c:v>-8.0557457999999998E-2</c:v>
                </c:pt>
                <c:pt idx="120">
                  <c:v>-0.120865396</c:v>
                </c:pt>
                <c:pt idx="121">
                  <c:v>-0.120860527</c:v>
                </c:pt>
                <c:pt idx="122">
                  <c:v>-0.120860527</c:v>
                </c:pt>
                <c:pt idx="123">
                  <c:v>-8.0580177000000003E-2</c:v>
                </c:pt>
                <c:pt idx="124">
                  <c:v>-8.0583424000000001E-2</c:v>
                </c:pt>
                <c:pt idx="125">
                  <c:v>-8.0576931000000004E-2</c:v>
                </c:pt>
                <c:pt idx="126">
                  <c:v>-9.6702446999999997E-2</c:v>
                </c:pt>
                <c:pt idx="127">
                  <c:v>-0.120889749</c:v>
                </c:pt>
                <c:pt idx="128">
                  <c:v>-0.120899492</c:v>
                </c:pt>
                <c:pt idx="129">
                  <c:v>-0.120899492</c:v>
                </c:pt>
                <c:pt idx="130">
                  <c:v>-0.12089461999999999</c:v>
                </c:pt>
                <c:pt idx="131">
                  <c:v>-8.0596413000000006E-2</c:v>
                </c:pt>
                <c:pt idx="132">
                  <c:v>-8.0589917999999997E-2</c:v>
                </c:pt>
                <c:pt idx="133">
                  <c:v>-8.0586670999999999E-2</c:v>
                </c:pt>
                <c:pt idx="134">
                  <c:v>-8.0589917999999997E-2</c:v>
                </c:pt>
                <c:pt idx="135">
                  <c:v>-0.40288465400000001</c:v>
                </c:pt>
                <c:pt idx="136">
                  <c:v>-0.40286842299999998</c:v>
                </c:pt>
                <c:pt idx="137">
                  <c:v>-0.40286842299999998</c:v>
                </c:pt>
                <c:pt idx="138">
                  <c:v>-0.16119932300000001</c:v>
                </c:pt>
                <c:pt idx="139">
                  <c:v>-8.0596413000000006E-2</c:v>
                </c:pt>
                <c:pt idx="140">
                  <c:v>-0.120899492</c:v>
                </c:pt>
                <c:pt idx="141">
                  <c:v>-8.0589917999999997E-2</c:v>
                </c:pt>
                <c:pt idx="142">
                  <c:v>-0.12087513599999999</c:v>
                </c:pt>
                <c:pt idx="143">
                  <c:v>-0.120841054</c:v>
                </c:pt>
                <c:pt idx="144">
                  <c:v>-8.0550969E-2</c:v>
                </c:pt>
                <c:pt idx="145">
                  <c:v>-0.12083131900000001</c:v>
                </c:pt>
                <c:pt idx="146">
                  <c:v>-0.120841054</c:v>
                </c:pt>
                <c:pt idx="147">
                  <c:v>-0.12085079</c:v>
                </c:pt>
                <c:pt idx="148">
                  <c:v>-0.12085079</c:v>
                </c:pt>
                <c:pt idx="149">
                  <c:v>-0.116786048</c:v>
                </c:pt>
                <c:pt idx="150">
                  <c:v>-0.120884877</c:v>
                </c:pt>
                <c:pt idx="151">
                  <c:v>-8.0586670999999999E-2</c:v>
                </c:pt>
                <c:pt idx="152">
                  <c:v>-0.120865396</c:v>
                </c:pt>
                <c:pt idx="153">
                  <c:v>-0.12087513599999999</c:v>
                </c:pt>
                <c:pt idx="154">
                  <c:v>-0.16114736900000001</c:v>
                </c:pt>
                <c:pt idx="155">
                  <c:v>-0.120870266</c:v>
                </c:pt>
                <c:pt idx="156">
                  <c:v>-0.120880006</c:v>
                </c:pt>
                <c:pt idx="157">
                  <c:v>-0.120865396</c:v>
                </c:pt>
                <c:pt idx="158">
                  <c:v>-0.120865396</c:v>
                </c:pt>
                <c:pt idx="159">
                  <c:v>-0.120870266</c:v>
                </c:pt>
                <c:pt idx="160">
                  <c:v>-0.120855658</c:v>
                </c:pt>
                <c:pt idx="161">
                  <c:v>-0.36269847700000002</c:v>
                </c:pt>
                <c:pt idx="162">
                  <c:v>-0.322333696</c:v>
                </c:pt>
                <c:pt idx="163">
                  <c:v>-0.120855658</c:v>
                </c:pt>
                <c:pt idx="164">
                  <c:v>-0.12085079</c:v>
                </c:pt>
                <c:pt idx="165">
                  <c:v>-8.0576931000000004E-2</c:v>
                </c:pt>
                <c:pt idx="166">
                  <c:v>-0.120884877</c:v>
                </c:pt>
                <c:pt idx="167">
                  <c:v>-0.120880006</c:v>
                </c:pt>
                <c:pt idx="168">
                  <c:v>-0.12089461999999999</c:v>
                </c:pt>
                <c:pt idx="169">
                  <c:v>-0.120880006</c:v>
                </c:pt>
                <c:pt idx="170">
                  <c:v>-0.120870266</c:v>
                </c:pt>
                <c:pt idx="171">
                  <c:v>-0.120899492</c:v>
                </c:pt>
                <c:pt idx="172">
                  <c:v>-0.16119282700000001</c:v>
                </c:pt>
                <c:pt idx="173">
                  <c:v>-8.0580177000000003E-2</c:v>
                </c:pt>
                <c:pt idx="174">
                  <c:v>-0.12087513599999999</c:v>
                </c:pt>
                <c:pt idx="175">
                  <c:v>-0.120855658</c:v>
                </c:pt>
                <c:pt idx="176">
                  <c:v>-0.120855658</c:v>
                </c:pt>
                <c:pt idx="177">
                  <c:v>-0.12085079</c:v>
                </c:pt>
                <c:pt idx="178">
                  <c:v>-0.12087513599999999</c:v>
                </c:pt>
                <c:pt idx="179">
                  <c:v>-0.161166848</c:v>
                </c:pt>
                <c:pt idx="180">
                  <c:v>-0.120870266</c:v>
                </c:pt>
                <c:pt idx="181">
                  <c:v>-0.120865396</c:v>
                </c:pt>
                <c:pt idx="182">
                  <c:v>-8.0576931000000004E-2</c:v>
                </c:pt>
                <c:pt idx="183">
                  <c:v>-0.12085079</c:v>
                </c:pt>
                <c:pt idx="184">
                  <c:v>-0.120855658</c:v>
                </c:pt>
                <c:pt idx="185">
                  <c:v>-0.120860527</c:v>
                </c:pt>
                <c:pt idx="186">
                  <c:v>-0.16116035500000001</c:v>
                </c:pt>
                <c:pt idx="187">
                  <c:v>-0.120855658</c:v>
                </c:pt>
                <c:pt idx="188">
                  <c:v>-8.0576931000000004E-2</c:v>
                </c:pt>
                <c:pt idx="189">
                  <c:v>-0.120880006</c:v>
                </c:pt>
                <c:pt idx="190">
                  <c:v>-8.0589917999999997E-2</c:v>
                </c:pt>
                <c:pt idx="191">
                  <c:v>-8.0583424000000001E-2</c:v>
                </c:pt>
                <c:pt idx="192">
                  <c:v>-8.0573685000000006E-2</c:v>
                </c:pt>
                <c:pt idx="193">
                  <c:v>-8.0599661000000003E-2</c:v>
                </c:pt>
                <c:pt idx="194">
                  <c:v>-0.120889749</c:v>
                </c:pt>
                <c:pt idx="195">
                  <c:v>-8.0589917999999997E-2</c:v>
                </c:pt>
                <c:pt idx="196">
                  <c:v>-0.12087513599999999</c:v>
                </c:pt>
                <c:pt idx="197">
                  <c:v>-8.0580177000000003E-2</c:v>
                </c:pt>
                <c:pt idx="198">
                  <c:v>-8.0580177000000003E-2</c:v>
                </c:pt>
                <c:pt idx="199">
                  <c:v>-8.0583424000000001E-2</c:v>
                </c:pt>
                <c:pt idx="200">
                  <c:v>-8.0576931000000004E-2</c:v>
                </c:pt>
                <c:pt idx="201">
                  <c:v>-0.32235967300000001</c:v>
                </c:pt>
                <c:pt idx="202">
                  <c:v>-0.28206471399999999</c:v>
                </c:pt>
                <c:pt idx="203">
                  <c:v>-0.32234668399999999</c:v>
                </c:pt>
                <c:pt idx="204">
                  <c:v>-0.120880006</c:v>
                </c:pt>
                <c:pt idx="205">
                  <c:v>-8.0599661000000003E-2</c:v>
                </c:pt>
                <c:pt idx="206">
                  <c:v>-0.120889749</c:v>
                </c:pt>
                <c:pt idx="207">
                  <c:v>-8.0586670999999999E-2</c:v>
                </c:pt>
                <c:pt idx="208">
                  <c:v>-8.0583424000000001E-2</c:v>
                </c:pt>
                <c:pt idx="209">
                  <c:v>-8.0573685000000006E-2</c:v>
                </c:pt>
                <c:pt idx="210">
                  <c:v>-9.6711799000000001E-2</c:v>
                </c:pt>
                <c:pt idx="211">
                  <c:v>-9.6711799000000001E-2</c:v>
                </c:pt>
                <c:pt idx="212">
                  <c:v>-9.6693096000000006E-2</c:v>
                </c:pt>
                <c:pt idx="213">
                  <c:v>-8.0583424000000001E-2</c:v>
                </c:pt>
                <c:pt idx="214">
                  <c:v>-8.0586670999999999E-2</c:v>
                </c:pt>
                <c:pt idx="215">
                  <c:v>-8.0589917999999997E-2</c:v>
                </c:pt>
                <c:pt idx="216">
                  <c:v>-8.0560701999999998E-2</c:v>
                </c:pt>
                <c:pt idx="217">
                  <c:v>-0.120860527</c:v>
                </c:pt>
                <c:pt idx="218">
                  <c:v>-8.0573685000000006E-2</c:v>
                </c:pt>
                <c:pt idx="219">
                  <c:v>-0.120865396</c:v>
                </c:pt>
                <c:pt idx="220">
                  <c:v>-8.0576931000000004E-2</c:v>
                </c:pt>
                <c:pt idx="221">
                  <c:v>-8.0570438999999994E-2</c:v>
                </c:pt>
                <c:pt idx="222">
                  <c:v>-8.0573685000000006E-2</c:v>
                </c:pt>
                <c:pt idx="223">
                  <c:v>-8.0576931000000004E-2</c:v>
                </c:pt>
                <c:pt idx="224">
                  <c:v>-0.241769755</c:v>
                </c:pt>
                <c:pt idx="225">
                  <c:v>-0.28201925799999999</c:v>
                </c:pt>
                <c:pt idx="226">
                  <c:v>-0.28203062000000001</c:v>
                </c:pt>
                <c:pt idx="227">
                  <c:v>-0.120884877</c:v>
                </c:pt>
                <c:pt idx="228">
                  <c:v>-0.120880006</c:v>
                </c:pt>
                <c:pt idx="229">
                  <c:v>-8.0596413000000006E-2</c:v>
                </c:pt>
                <c:pt idx="230">
                  <c:v>-0.16118633099999999</c:v>
                </c:pt>
                <c:pt idx="231">
                  <c:v>-0.12087513599999999</c:v>
                </c:pt>
                <c:pt idx="232">
                  <c:v>-0.12087513599999999</c:v>
                </c:pt>
                <c:pt idx="233">
                  <c:v>-0.16116035500000001</c:v>
                </c:pt>
                <c:pt idx="234">
                  <c:v>-0.120880006</c:v>
                </c:pt>
                <c:pt idx="235">
                  <c:v>-0.120884877</c:v>
                </c:pt>
                <c:pt idx="236">
                  <c:v>-0.120865396</c:v>
                </c:pt>
                <c:pt idx="237">
                  <c:v>-0.120860527</c:v>
                </c:pt>
                <c:pt idx="238">
                  <c:v>-0.16113438599999999</c:v>
                </c:pt>
                <c:pt idx="239">
                  <c:v>-0.12085079</c:v>
                </c:pt>
                <c:pt idx="240">
                  <c:v>-0.120855658</c:v>
                </c:pt>
                <c:pt idx="241">
                  <c:v>-0.120855658</c:v>
                </c:pt>
                <c:pt idx="242">
                  <c:v>-0.120870266</c:v>
                </c:pt>
                <c:pt idx="243">
                  <c:v>-0.120870266</c:v>
                </c:pt>
                <c:pt idx="244">
                  <c:v>-8.0589917999999997E-2</c:v>
                </c:pt>
                <c:pt idx="245">
                  <c:v>-0.16117983599999999</c:v>
                </c:pt>
                <c:pt idx="246">
                  <c:v>-7.9872204000000002E-2</c:v>
                </c:pt>
                <c:pt idx="247">
                  <c:v>-0.119808307</c:v>
                </c:pt>
                <c:pt idx="248">
                  <c:v>-7.6248570000000002E-2</c:v>
                </c:pt>
                <c:pt idx="249">
                  <c:v>-0.11437285599999999</c:v>
                </c:pt>
                <c:pt idx="250">
                  <c:v>-7.6896459E-2</c:v>
                </c:pt>
                <c:pt idx="251">
                  <c:v>-7.6899415999999998E-2</c:v>
                </c:pt>
                <c:pt idx="252">
                  <c:v>-8.0596413000000006E-2</c:v>
                </c:pt>
                <c:pt idx="253">
                  <c:v>-0.38677238400000002</c:v>
                </c:pt>
                <c:pt idx="254">
                  <c:v>-0.35449564900000002</c:v>
                </c:pt>
                <c:pt idx="255">
                  <c:v>-0.12087513599999999</c:v>
                </c:pt>
                <c:pt idx="256">
                  <c:v>-0.120884877</c:v>
                </c:pt>
                <c:pt idx="257">
                  <c:v>-0.12087513599999999</c:v>
                </c:pt>
                <c:pt idx="258">
                  <c:v>-8.0586670999999999E-2</c:v>
                </c:pt>
                <c:pt idx="259">
                  <c:v>-8.0586670999999999E-2</c:v>
                </c:pt>
                <c:pt idx="260">
                  <c:v>-8.0583424000000001E-2</c:v>
                </c:pt>
                <c:pt idx="261">
                  <c:v>-0.120870266</c:v>
                </c:pt>
                <c:pt idx="262">
                  <c:v>-0.120865396</c:v>
                </c:pt>
                <c:pt idx="263">
                  <c:v>-0.12893659499999999</c:v>
                </c:pt>
                <c:pt idx="264">
                  <c:v>-0.12893659499999999</c:v>
                </c:pt>
                <c:pt idx="265">
                  <c:v>-8.0596413000000006E-2</c:v>
                </c:pt>
                <c:pt idx="266">
                  <c:v>-8.0583424000000001E-2</c:v>
                </c:pt>
                <c:pt idx="267">
                  <c:v>-8.0589917999999997E-2</c:v>
                </c:pt>
                <c:pt idx="268">
                  <c:v>-8.0580177000000003E-2</c:v>
                </c:pt>
                <c:pt idx="269">
                  <c:v>-0.120880006</c:v>
                </c:pt>
                <c:pt idx="270">
                  <c:v>-0.161166848</c:v>
                </c:pt>
                <c:pt idx="271">
                  <c:v>-0.12893659499999999</c:v>
                </c:pt>
                <c:pt idx="272">
                  <c:v>-9.6702446999999997E-2</c:v>
                </c:pt>
                <c:pt idx="273">
                  <c:v>-9.6696213000000003E-2</c:v>
                </c:pt>
                <c:pt idx="274">
                  <c:v>-6.4459985999999997E-2</c:v>
                </c:pt>
                <c:pt idx="275">
                  <c:v>-0.120865396</c:v>
                </c:pt>
                <c:pt idx="276">
                  <c:v>-8.0570438999999994E-2</c:v>
                </c:pt>
                <c:pt idx="277">
                  <c:v>-0.120841054</c:v>
                </c:pt>
                <c:pt idx="278">
                  <c:v>-8.0563947999999996E-2</c:v>
                </c:pt>
                <c:pt idx="279">
                  <c:v>-0.12085079</c:v>
                </c:pt>
                <c:pt idx="280">
                  <c:v>-0.12087513599999999</c:v>
                </c:pt>
                <c:pt idx="281">
                  <c:v>-0.120865396</c:v>
                </c:pt>
                <c:pt idx="282">
                  <c:v>-8.0586670999999999E-2</c:v>
                </c:pt>
                <c:pt idx="283">
                  <c:v>-0.12087513599999999</c:v>
                </c:pt>
                <c:pt idx="284">
                  <c:v>-8.0580177000000003E-2</c:v>
                </c:pt>
                <c:pt idx="285">
                  <c:v>-8.0589917999999997E-2</c:v>
                </c:pt>
                <c:pt idx="286">
                  <c:v>-8.0589917999999997E-2</c:v>
                </c:pt>
                <c:pt idx="287">
                  <c:v>-8.0593165999999994E-2</c:v>
                </c:pt>
                <c:pt idx="288">
                  <c:v>-8.0589917999999997E-2</c:v>
                </c:pt>
                <c:pt idx="289">
                  <c:v>-0.120880006</c:v>
                </c:pt>
                <c:pt idx="290">
                  <c:v>-8.0567192999999995E-2</c:v>
                </c:pt>
                <c:pt idx="291">
                  <c:v>-0.120855658</c:v>
                </c:pt>
                <c:pt idx="292">
                  <c:v>-8.0567192999999995E-2</c:v>
                </c:pt>
                <c:pt idx="293">
                  <c:v>-8.0563947999999996E-2</c:v>
                </c:pt>
                <c:pt idx="294">
                  <c:v>-8.0586670999999999E-2</c:v>
                </c:pt>
                <c:pt idx="295">
                  <c:v>-8.0583424000000001E-2</c:v>
                </c:pt>
                <c:pt idx="296">
                  <c:v>-0.48353950899999998</c:v>
                </c:pt>
                <c:pt idx="297">
                  <c:v>-0.52381336099999998</c:v>
                </c:pt>
                <c:pt idx="298">
                  <c:v>-0.52379225600000001</c:v>
                </c:pt>
                <c:pt idx="299">
                  <c:v>-0.52381336099999998</c:v>
                </c:pt>
                <c:pt idx="300">
                  <c:v>-0.48348106400000002</c:v>
                </c:pt>
                <c:pt idx="301">
                  <c:v>-8.0557457999999998E-2</c:v>
                </c:pt>
                <c:pt idx="302">
                  <c:v>-0.120826453</c:v>
                </c:pt>
                <c:pt idx="303">
                  <c:v>-8.0554213E-2</c:v>
                </c:pt>
                <c:pt idx="304">
                  <c:v>-0.12085079</c:v>
                </c:pt>
                <c:pt idx="305">
                  <c:v>-8.0586670999999999E-2</c:v>
                </c:pt>
                <c:pt idx="306">
                  <c:v>-8.0593165999999994E-2</c:v>
                </c:pt>
                <c:pt idx="307">
                  <c:v>-8.0593165999999994E-2</c:v>
                </c:pt>
                <c:pt idx="308">
                  <c:v>-8.0583424000000001E-2</c:v>
                </c:pt>
                <c:pt idx="309">
                  <c:v>-0.120865396</c:v>
                </c:pt>
                <c:pt idx="310">
                  <c:v>-8.0570438999999994E-2</c:v>
                </c:pt>
                <c:pt idx="311">
                  <c:v>-0.120841054</c:v>
                </c:pt>
                <c:pt idx="312">
                  <c:v>-8.0563947999999996E-2</c:v>
                </c:pt>
                <c:pt idx="313">
                  <c:v>-8.0570438999999994E-2</c:v>
                </c:pt>
                <c:pt idx="314">
                  <c:v>-8.0570438999999994E-2</c:v>
                </c:pt>
                <c:pt idx="315">
                  <c:v>-8.0589917999999997E-2</c:v>
                </c:pt>
                <c:pt idx="316">
                  <c:v>-0.120884877</c:v>
                </c:pt>
                <c:pt idx="317">
                  <c:v>-8.0583424000000001E-2</c:v>
                </c:pt>
                <c:pt idx="318">
                  <c:v>-0.12087513599999999</c:v>
                </c:pt>
                <c:pt idx="319">
                  <c:v>-8.0580177000000003E-2</c:v>
                </c:pt>
                <c:pt idx="320">
                  <c:v>-8.0573685000000006E-2</c:v>
                </c:pt>
                <c:pt idx="321">
                  <c:v>-8.0576931000000004E-2</c:v>
                </c:pt>
                <c:pt idx="322">
                  <c:v>-4.0277106E-2</c:v>
                </c:pt>
                <c:pt idx="323">
                  <c:v>-8.0567192999999995E-2</c:v>
                </c:pt>
                <c:pt idx="324">
                  <c:v>-0.120865396</c:v>
                </c:pt>
                <c:pt idx="325">
                  <c:v>-8.0589917999999997E-2</c:v>
                </c:pt>
                <c:pt idx="326">
                  <c:v>-0.120865396</c:v>
                </c:pt>
                <c:pt idx="327">
                  <c:v>-8.0576931000000004E-2</c:v>
                </c:pt>
                <c:pt idx="328">
                  <c:v>-8.0580177000000003E-2</c:v>
                </c:pt>
                <c:pt idx="329">
                  <c:v>-8.0593165999999994E-2</c:v>
                </c:pt>
                <c:pt idx="330">
                  <c:v>-4.0291712E-2</c:v>
                </c:pt>
                <c:pt idx="331">
                  <c:v>-0.120899492</c:v>
                </c:pt>
                <c:pt idx="332">
                  <c:v>-0.12087513599999999</c:v>
                </c:pt>
                <c:pt idx="333">
                  <c:v>-0.120865396</c:v>
                </c:pt>
                <c:pt idx="334">
                  <c:v>-8.0573685000000006E-2</c:v>
                </c:pt>
                <c:pt idx="335">
                  <c:v>-8.0563947999999996E-2</c:v>
                </c:pt>
                <c:pt idx="336">
                  <c:v>-8.0573685000000006E-2</c:v>
                </c:pt>
                <c:pt idx="337">
                  <c:v>-4.0293335E-2</c:v>
                </c:pt>
                <c:pt idx="338">
                  <c:v>-0.48346158500000003</c:v>
                </c:pt>
                <c:pt idx="339">
                  <c:v>-0.48346158500000003</c:v>
                </c:pt>
                <c:pt idx="340">
                  <c:v>-0.52372894999999997</c:v>
                </c:pt>
                <c:pt idx="341">
                  <c:v>-0.120880006</c:v>
                </c:pt>
                <c:pt idx="342">
                  <c:v>-0.16119282700000001</c:v>
                </c:pt>
                <c:pt idx="343">
                  <c:v>-8.0609406999999994E-2</c:v>
                </c:pt>
                <c:pt idx="344">
                  <c:v>-0.120909237</c:v>
                </c:pt>
                <c:pt idx="345">
                  <c:v>-8.0606157999999997E-2</c:v>
                </c:pt>
                <c:pt idx="346">
                  <c:v>-0.12089461999999999</c:v>
                </c:pt>
                <c:pt idx="347">
                  <c:v>-0.12087513599999999</c:v>
                </c:pt>
                <c:pt idx="348">
                  <c:v>-0.120870266</c:v>
                </c:pt>
                <c:pt idx="349">
                  <c:v>-0.161166848</c:v>
                </c:pt>
                <c:pt idx="350">
                  <c:v>-8.0583424000000001E-2</c:v>
                </c:pt>
                <c:pt idx="351">
                  <c:v>-0.12087513599999999</c:v>
                </c:pt>
                <c:pt idx="352">
                  <c:v>-8.0586670999999999E-2</c:v>
                </c:pt>
                <c:pt idx="353">
                  <c:v>-0.120865396</c:v>
                </c:pt>
                <c:pt idx="354">
                  <c:v>-0.12087513599999999</c:v>
                </c:pt>
                <c:pt idx="355">
                  <c:v>-0.12087513599999999</c:v>
                </c:pt>
                <c:pt idx="356">
                  <c:v>-0.16113438599999999</c:v>
                </c:pt>
                <c:pt idx="357">
                  <c:v>-0.120841054</c:v>
                </c:pt>
                <c:pt idx="358">
                  <c:v>-0.12082158699999999</c:v>
                </c:pt>
                <c:pt idx="359">
                  <c:v>-0.12085079</c:v>
                </c:pt>
                <c:pt idx="360">
                  <c:v>-0.120860527</c:v>
                </c:pt>
                <c:pt idx="361">
                  <c:v>-0.56408396800000005</c:v>
                </c:pt>
                <c:pt idx="362">
                  <c:v>-0.48354340600000001</c:v>
                </c:pt>
                <c:pt idx="363">
                  <c:v>-0.48348106400000002</c:v>
                </c:pt>
                <c:pt idx="364">
                  <c:v>-8.0599661000000003E-2</c:v>
                </c:pt>
                <c:pt idx="365">
                  <c:v>-0.120880006</c:v>
                </c:pt>
                <c:pt idx="366">
                  <c:v>-0.120860527</c:v>
                </c:pt>
                <c:pt idx="367">
                  <c:v>-8.0573685000000006E-2</c:v>
                </c:pt>
                <c:pt idx="368">
                  <c:v>-0.120860527</c:v>
                </c:pt>
                <c:pt idx="369">
                  <c:v>-8.0573685000000006E-2</c:v>
                </c:pt>
                <c:pt idx="370">
                  <c:v>-8.0576931000000004E-2</c:v>
                </c:pt>
                <c:pt idx="371">
                  <c:v>-0.120860527</c:v>
                </c:pt>
                <c:pt idx="372">
                  <c:v>-0.120870266</c:v>
                </c:pt>
                <c:pt idx="373">
                  <c:v>-0.120870266</c:v>
                </c:pt>
                <c:pt idx="374">
                  <c:v>-8.0580177000000003E-2</c:v>
                </c:pt>
                <c:pt idx="375">
                  <c:v>-8.0567192999999995E-2</c:v>
                </c:pt>
                <c:pt idx="376">
                  <c:v>-0.120870266</c:v>
                </c:pt>
                <c:pt idx="377">
                  <c:v>-9.6680632000000002E-2</c:v>
                </c:pt>
                <c:pt idx="378">
                  <c:v>-0.12891166300000001</c:v>
                </c:pt>
                <c:pt idx="379">
                  <c:v>-9.6680632000000002E-2</c:v>
                </c:pt>
                <c:pt idx="380">
                  <c:v>-0.120880006</c:v>
                </c:pt>
                <c:pt idx="381">
                  <c:v>-0.120880006</c:v>
                </c:pt>
                <c:pt idx="382">
                  <c:v>-8.0596413000000006E-2</c:v>
                </c:pt>
                <c:pt idx="383">
                  <c:v>-8.0593165999999994E-2</c:v>
                </c:pt>
                <c:pt idx="384">
                  <c:v>-0.120899492</c:v>
                </c:pt>
                <c:pt idx="385">
                  <c:v>-8.0583424000000001E-2</c:v>
                </c:pt>
                <c:pt idx="386">
                  <c:v>-0.120880006</c:v>
                </c:pt>
                <c:pt idx="387">
                  <c:v>-0.120889749</c:v>
                </c:pt>
                <c:pt idx="388">
                  <c:v>-0.120855658</c:v>
                </c:pt>
                <c:pt idx="389">
                  <c:v>-8.0576931000000004E-2</c:v>
                </c:pt>
                <c:pt idx="390">
                  <c:v>-0.120860527</c:v>
                </c:pt>
                <c:pt idx="391">
                  <c:v>-0.120884877</c:v>
                </c:pt>
                <c:pt idx="392">
                  <c:v>-8.0596413000000006E-2</c:v>
                </c:pt>
                <c:pt idx="393">
                  <c:v>-0.120889749</c:v>
                </c:pt>
                <c:pt idx="394">
                  <c:v>-0.120855658</c:v>
                </c:pt>
                <c:pt idx="395">
                  <c:v>-8.0596413000000006E-2</c:v>
                </c:pt>
                <c:pt idx="396">
                  <c:v>-0.12089461999999999</c:v>
                </c:pt>
                <c:pt idx="397">
                  <c:v>-8.0606157999999997E-2</c:v>
                </c:pt>
                <c:pt idx="398">
                  <c:v>-8.0593165999999994E-2</c:v>
                </c:pt>
                <c:pt idx="399">
                  <c:v>-8.0583424000000001E-2</c:v>
                </c:pt>
                <c:pt idx="400">
                  <c:v>-8.0586670999999999E-2</c:v>
                </c:pt>
                <c:pt idx="401">
                  <c:v>-0.120806991</c:v>
                </c:pt>
                <c:pt idx="402">
                  <c:v>-8.0541237000000002E-2</c:v>
                </c:pt>
                <c:pt idx="403">
                  <c:v>-0.120816721</c:v>
                </c:pt>
                <c:pt idx="404">
                  <c:v>-8.0541237000000002E-2</c:v>
                </c:pt>
                <c:pt idx="405">
                  <c:v>-8.0541237000000002E-2</c:v>
                </c:pt>
                <c:pt idx="406">
                  <c:v>-8.0544481000000001E-2</c:v>
                </c:pt>
                <c:pt idx="407">
                  <c:v>-8.0547725000000001E-2</c:v>
                </c:pt>
                <c:pt idx="408">
                  <c:v>-8.0554213E-2</c:v>
                </c:pt>
                <c:pt idx="409">
                  <c:v>-0.48355899400000002</c:v>
                </c:pt>
                <c:pt idx="410">
                  <c:v>-0.48353950899999998</c:v>
                </c:pt>
                <c:pt idx="411">
                  <c:v>-0.52379225600000001</c:v>
                </c:pt>
                <c:pt idx="412">
                  <c:v>-0.48350054399999998</c:v>
                </c:pt>
                <c:pt idx="413">
                  <c:v>-8.0573685000000006E-2</c:v>
                </c:pt>
                <c:pt idx="414">
                  <c:v>-0.120870266</c:v>
                </c:pt>
                <c:pt idx="415">
                  <c:v>-8.0563947999999996E-2</c:v>
                </c:pt>
                <c:pt idx="416">
                  <c:v>-0.120865396</c:v>
                </c:pt>
                <c:pt idx="417">
                  <c:v>-8.0576931000000004E-2</c:v>
                </c:pt>
                <c:pt idx="418">
                  <c:v>-8.0544481000000001E-2</c:v>
                </c:pt>
                <c:pt idx="419">
                  <c:v>-0.12082158699999999</c:v>
                </c:pt>
                <c:pt idx="420">
                  <c:v>-8.0554213E-2</c:v>
                </c:pt>
                <c:pt idx="421">
                  <c:v>-0.120826453</c:v>
                </c:pt>
                <c:pt idx="422">
                  <c:v>-8.0557457999999998E-2</c:v>
                </c:pt>
                <c:pt idx="423">
                  <c:v>-8.0557457999999998E-2</c:v>
                </c:pt>
                <c:pt idx="424">
                  <c:v>-8.0550969E-2</c:v>
                </c:pt>
                <c:pt idx="425">
                  <c:v>-8.0531508000000002E-2</c:v>
                </c:pt>
                <c:pt idx="426">
                  <c:v>-8.0576931000000004E-2</c:v>
                </c:pt>
                <c:pt idx="427">
                  <c:v>-0.120860527</c:v>
                </c:pt>
                <c:pt idx="428">
                  <c:v>-8.0570438999999994E-2</c:v>
                </c:pt>
                <c:pt idx="429">
                  <c:v>-0.12085079</c:v>
                </c:pt>
                <c:pt idx="430">
                  <c:v>-8.0567192999999995E-2</c:v>
                </c:pt>
                <c:pt idx="431">
                  <c:v>-8.0567192999999995E-2</c:v>
                </c:pt>
                <c:pt idx="432">
                  <c:v>-8.0567192999999995E-2</c:v>
                </c:pt>
                <c:pt idx="433">
                  <c:v>-8.0570438999999994E-2</c:v>
                </c:pt>
                <c:pt idx="434">
                  <c:v>-0.48338368599999998</c:v>
                </c:pt>
                <c:pt idx="435">
                  <c:v>-0.44310171199999998</c:v>
                </c:pt>
                <c:pt idx="436">
                  <c:v>-0.40281973799999998</c:v>
                </c:pt>
                <c:pt idx="437">
                  <c:v>-0.402852194</c:v>
                </c:pt>
                <c:pt idx="438">
                  <c:v>-0.402852194</c:v>
                </c:pt>
                <c:pt idx="439">
                  <c:v>-8.0550969E-2</c:v>
                </c:pt>
                <c:pt idx="440">
                  <c:v>-8.0541237000000002E-2</c:v>
                </c:pt>
                <c:pt idx="441">
                  <c:v>-8.0550969E-2</c:v>
                </c:pt>
                <c:pt idx="442">
                  <c:v>-0.120816721</c:v>
                </c:pt>
                <c:pt idx="443">
                  <c:v>-8.0544481000000001E-2</c:v>
                </c:pt>
                <c:pt idx="444">
                  <c:v>-8.0544481000000001E-2</c:v>
                </c:pt>
                <c:pt idx="445">
                  <c:v>-0.56408396800000005</c:v>
                </c:pt>
                <c:pt idx="446">
                  <c:v>-0.48354340600000001</c:v>
                </c:pt>
                <c:pt idx="447">
                  <c:v>-0.48348106400000002</c:v>
                </c:pt>
                <c:pt idx="448">
                  <c:v>-8.0599661000000003E-2</c:v>
                </c:pt>
                <c:pt idx="449">
                  <c:v>-0.120880006</c:v>
                </c:pt>
                <c:pt idx="450">
                  <c:v>-0.120860527</c:v>
                </c:pt>
                <c:pt idx="451">
                  <c:v>-8.0573685000000006E-2</c:v>
                </c:pt>
                <c:pt idx="452">
                  <c:v>-0.120860527</c:v>
                </c:pt>
                <c:pt idx="453">
                  <c:v>-8.0573685000000006E-2</c:v>
                </c:pt>
                <c:pt idx="454">
                  <c:v>-8.0576931000000004E-2</c:v>
                </c:pt>
                <c:pt idx="455">
                  <c:v>-0.120860527</c:v>
                </c:pt>
                <c:pt idx="456">
                  <c:v>-0.120870266</c:v>
                </c:pt>
                <c:pt idx="457">
                  <c:v>-0.120870266</c:v>
                </c:pt>
                <c:pt idx="458">
                  <c:v>-8.0580177000000003E-2</c:v>
                </c:pt>
                <c:pt idx="459">
                  <c:v>-8.0567192999999995E-2</c:v>
                </c:pt>
                <c:pt idx="460">
                  <c:v>-0.120870266</c:v>
                </c:pt>
                <c:pt idx="461">
                  <c:v>-9.6680632000000002E-2</c:v>
                </c:pt>
                <c:pt idx="462">
                  <c:v>-0.12891166300000001</c:v>
                </c:pt>
                <c:pt idx="463">
                  <c:v>-9.6680632000000002E-2</c:v>
                </c:pt>
                <c:pt idx="464">
                  <c:v>-0.120880006</c:v>
                </c:pt>
                <c:pt idx="465">
                  <c:v>-0.120880006</c:v>
                </c:pt>
                <c:pt idx="466">
                  <c:v>-8.0596413000000006E-2</c:v>
                </c:pt>
                <c:pt idx="467">
                  <c:v>-8.0593165999999994E-2</c:v>
                </c:pt>
                <c:pt idx="468">
                  <c:v>-0.120899492</c:v>
                </c:pt>
                <c:pt idx="469">
                  <c:v>-8.0583424000000001E-2</c:v>
                </c:pt>
                <c:pt idx="470">
                  <c:v>-0.120880006</c:v>
                </c:pt>
                <c:pt idx="471">
                  <c:v>-0.120889749</c:v>
                </c:pt>
                <c:pt idx="472">
                  <c:v>-0.120855658</c:v>
                </c:pt>
                <c:pt idx="473">
                  <c:v>-8.0576931000000004E-2</c:v>
                </c:pt>
                <c:pt idx="474">
                  <c:v>-0.120860527</c:v>
                </c:pt>
                <c:pt idx="475">
                  <c:v>-0.120884877</c:v>
                </c:pt>
                <c:pt idx="476">
                  <c:v>-8.0596413000000006E-2</c:v>
                </c:pt>
                <c:pt idx="477">
                  <c:v>-0.120889749</c:v>
                </c:pt>
                <c:pt idx="478">
                  <c:v>-0.120855658</c:v>
                </c:pt>
                <c:pt idx="479">
                  <c:v>-8.0596413000000006E-2</c:v>
                </c:pt>
                <c:pt idx="480">
                  <c:v>-0.12089461999999999</c:v>
                </c:pt>
                <c:pt idx="481">
                  <c:v>-8.0606157999999997E-2</c:v>
                </c:pt>
                <c:pt idx="482">
                  <c:v>-8.0593165999999994E-2</c:v>
                </c:pt>
                <c:pt idx="483">
                  <c:v>-8.0583424000000001E-2</c:v>
                </c:pt>
                <c:pt idx="484">
                  <c:v>-8.0586670999999999E-2</c:v>
                </c:pt>
                <c:pt idx="485">
                  <c:v>-0.120806991</c:v>
                </c:pt>
                <c:pt idx="486">
                  <c:v>-8.0541237000000002E-2</c:v>
                </c:pt>
                <c:pt idx="487">
                  <c:v>-0.120816721</c:v>
                </c:pt>
                <c:pt idx="488">
                  <c:v>-8.0541237000000002E-2</c:v>
                </c:pt>
                <c:pt idx="489">
                  <c:v>-8.0541237000000002E-2</c:v>
                </c:pt>
                <c:pt idx="490">
                  <c:v>-8.0544481000000001E-2</c:v>
                </c:pt>
                <c:pt idx="491">
                  <c:v>-8.0547725000000001E-2</c:v>
                </c:pt>
                <c:pt idx="492">
                  <c:v>-8.0554213E-2</c:v>
                </c:pt>
                <c:pt idx="493">
                  <c:v>-0.48355899400000002</c:v>
                </c:pt>
                <c:pt idx="494">
                  <c:v>-0.48353950899999998</c:v>
                </c:pt>
                <c:pt idx="495">
                  <c:v>-0.52379225600000001</c:v>
                </c:pt>
                <c:pt idx="496">
                  <c:v>-0.48350054399999998</c:v>
                </c:pt>
                <c:pt idx="497">
                  <c:v>-8.0573685000000006E-2</c:v>
                </c:pt>
                <c:pt idx="498">
                  <c:v>-0.120870266</c:v>
                </c:pt>
                <c:pt idx="499">
                  <c:v>-8.0563947999999996E-2</c:v>
                </c:pt>
                <c:pt idx="500">
                  <c:v>-0.120865396</c:v>
                </c:pt>
                <c:pt idx="501">
                  <c:v>-8.0576931000000004E-2</c:v>
                </c:pt>
                <c:pt idx="502">
                  <c:v>-8.0544481000000001E-2</c:v>
                </c:pt>
                <c:pt idx="503">
                  <c:v>-0.12082158699999999</c:v>
                </c:pt>
                <c:pt idx="504">
                  <c:v>-8.0554213E-2</c:v>
                </c:pt>
                <c:pt idx="505">
                  <c:v>-0.120826453</c:v>
                </c:pt>
                <c:pt idx="506">
                  <c:v>-8.0557457999999998E-2</c:v>
                </c:pt>
                <c:pt idx="507">
                  <c:v>-8.0557457999999998E-2</c:v>
                </c:pt>
                <c:pt idx="508">
                  <c:v>-8.0550969E-2</c:v>
                </c:pt>
                <c:pt idx="509">
                  <c:v>-8.0531508000000002E-2</c:v>
                </c:pt>
                <c:pt idx="510">
                  <c:v>-8.0576931000000004E-2</c:v>
                </c:pt>
                <c:pt idx="511">
                  <c:v>-0.120860527</c:v>
                </c:pt>
                <c:pt idx="512">
                  <c:v>-8.0570438999999994E-2</c:v>
                </c:pt>
                <c:pt idx="513">
                  <c:v>-0.12085079</c:v>
                </c:pt>
                <c:pt idx="514">
                  <c:v>-8.0567192999999995E-2</c:v>
                </c:pt>
                <c:pt idx="515">
                  <c:v>-8.0567192999999995E-2</c:v>
                </c:pt>
                <c:pt idx="516">
                  <c:v>-8.0567192999999995E-2</c:v>
                </c:pt>
                <c:pt idx="517">
                  <c:v>-8.0570438999999994E-2</c:v>
                </c:pt>
                <c:pt idx="518">
                  <c:v>-0.48338368599999998</c:v>
                </c:pt>
                <c:pt idx="519">
                  <c:v>-0.44310171199999998</c:v>
                </c:pt>
                <c:pt idx="520">
                  <c:v>-0.40281973799999998</c:v>
                </c:pt>
                <c:pt idx="521">
                  <c:v>-0.402852194</c:v>
                </c:pt>
                <c:pt idx="522">
                  <c:v>-0.402852194</c:v>
                </c:pt>
                <c:pt idx="523">
                  <c:v>-8.0550969E-2</c:v>
                </c:pt>
                <c:pt idx="524">
                  <c:v>-8.0541237000000002E-2</c:v>
                </c:pt>
                <c:pt idx="525">
                  <c:v>-8.0550969E-2</c:v>
                </c:pt>
                <c:pt idx="526">
                  <c:v>-0.120816721</c:v>
                </c:pt>
                <c:pt idx="527">
                  <c:v>-8.0544481000000001E-2</c:v>
                </c:pt>
                <c:pt idx="528">
                  <c:v>-8.0544481000000001E-2</c:v>
                </c:pt>
                <c:pt idx="529">
                  <c:v>-8.0544481000000001E-2</c:v>
                </c:pt>
                <c:pt idx="530">
                  <c:v>-0.120816721</c:v>
                </c:pt>
                <c:pt idx="531">
                  <c:v>-8.0541237000000002E-2</c:v>
                </c:pt>
                <c:pt idx="532">
                  <c:v>-0.120826453</c:v>
                </c:pt>
                <c:pt idx="533">
                  <c:v>-8.0550969E-2</c:v>
                </c:pt>
                <c:pt idx="534">
                  <c:v>-4.0273862000000001E-2</c:v>
                </c:pt>
                <c:pt idx="535">
                  <c:v>-8.0557457999999998E-2</c:v>
                </c:pt>
                <c:pt idx="536">
                  <c:v>-9.6702446999999997E-2</c:v>
                </c:pt>
                <c:pt idx="537">
                  <c:v>-0.120860527</c:v>
                </c:pt>
                <c:pt idx="538">
                  <c:v>-8.0567192999999995E-2</c:v>
                </c:pt>
                <c:pt idx="539">
                  <c:v>-0.120870266</c:v>
                </c:pt>
                <c:pt idx="540">
                  <c:v>-8.0589917999999997E-2</c:v>
                </c:pt>
                <c:pt idx="541">
                  <c:v>-8.0593165999999994E-2</c:v>
                </c:pt>
                <c:pt idx="542">
                  <c:v>-0.418908903</c:v>
                </c:pt>
                <c:pt idx="543">
                  <c:v>-0.40277106499999998</c:v>
                </c:pt>
                <c:pt idx="544">
                  <c:v>-0.40277106499999998</c:v>
                </c:pt>
                <c:pt idx="545">
                  <c:v>-0.40278728800000002</c:v>
                </c:pt>
                <c:pt idx="546">
                  <c:v>-0.40270618600000002</c:v>
                </c:pt>
                <c:pt idx="547">
                  <c:v>-8.0557457999999998E-2</c:v>
                </c:pt>
                <c:pt idx="548">
                  <c:v>-4.0277106E-2</c:v>
                </c:pt>
                <c:pt idx="549">
                  <c:v>-8.0550969E-2</c:v>
                </c:pt>
                <c:pt idx="550">
                  <c:v>-0.120816721</c:v>
                </c:pt>
                <c:pt idx="551">
                  <c:v>-8.0554213E-2</c:v>
                </c:pt>
                <c:pt idx="552">
                  <c:v>-8.0531508000000002E-2</c:v>
                </c:pt>
                <c:pt idx="553">
                  <c:v>-4.0268997000000001E-2</c:v>
                </c:pt>
                <c:pt idx="554">
                  <c:v>-8.0534751000000002E-2</c:v>
                </c:pt>
                <c:pt idx="555">
                  <c:v>-8.0534751000000002E-2</c:v>
                </c:pt>
                <c:pt idx="556">
                  <c:v>-8.0557457999999998E-2</c:v>
                </c:pt>
                <c:pt idx="557">
                  <c:v>-8.0557457999999998E-2</c:v>
                </c:pt>
                <c:pt idx="558">
                  <c:v>-8.0557457999999998E-2</c:v>
                </c:pt>
                <c:pt idx="559">
                  <c:v>-4.0275484E-2</c:v>
                </c:pt>
                <c:pt idx="560">
                  <c:v>-8.0547725000000001E-2</c:v>
                </c:pt>
                <c:pt idx="561">
                  <c:v>-7.6822616999999996E-2</c:v>
                </c:pt>
                <c:pt idx="562">
                  <c:v>-3.8409832999999997E-2</c:v>
                </c:pt>
                <c:pt idx="563">
                  <c:v>-8.0547725000000001E-2</c:v>
                </c:pt>
                <c:pt idx="564">
                  <c:v>-8.0563947999999996E-2</c:v>
                </c:pt>
                <c:pt idx="565">
                  <c:v>-9.6658827000000003E-2</c:v>
                </c:pt>
                <c:pt idx="566">
                  <c:v>-0.12887843500000001</c:v>
                </c:pt>
                <c:pt idx="567">
                  <c:v>-8.0550969E-2</c:v>
                </c:pt>
                <c:pt idx="568">
                  <c:v>-8.0554213E-2</c:v>
                </c:pt>
                <c:pt idx="569">
                  <c:v>-8.0537994000000002E-2</c:v>
                </c:pt>
                <c:pt idx="570">
                  <c:v>-0.12082158699999999</c:v>
                </c:pt>
                <c:pt idx="571">
                  <c:v>-8.0570438999999994E-2</c:v>
                </c:pt>
                <c:pt idx="572">
                  <c:v>-8.0573685000000006E-2</c:v>
                </c:pt>
                <c:pt idx="573">
                  <c:v>-8.0560701999999998E-2</c:v>
                </c:pt>
                <c:pt idx="574">
                  <c:v>-8.0547725000000001E-2</c:v>
                </c:pt>
                <c:pt idx="575">
                  <c:v>-8.0541237000000002E-2</c:v>
                </c:pt>
                <c:pt idx="576">
                  <c:v>-0.44322668999999998</c:v>
                </c:pt>
                <c:pt idx="577">
                  <c:v>-0.402852194</c:v>
                </c:pt>
                <c:pt idx="578">
                  <c:v>-0.38680978599999999</c:v>
                </c:pt>
                <c:pt idx="579">
                  <c:v>-0.12087513599999999</c:v>
                </c:pt>
                <c:pt idx="580">
                  <c:v>-0.120865396</c:v>
                </c:pt>
                <c:pt idx="581">
                  <c:v>-8.0576931000000004E-2</c:v>
                </c:pt>
                <c:pt idx="582">
                  <c:v>-8.0583424000000001E-2</c:v>
                </c:pt>
                <c:pt idx="583">
                  <c:v>-0.120870266</c:v>
                </c:pt>
                <c:pt idx="584">
                  <c:v>-0.120870266</c:v>
                </c:pt>
                <c:pt idx="585">
                  <c:v>-0.120860527</c:v>
                </c:pt>
                <c:pt idx="586">
                  <c:v>-0.12082158699999999</c:v>
                </c:pt>
                <c:pt idx="587">
                  <c:v>-0.120826453</c:v>
                </c:pt>
                <c:pt idx="588">
                  <c:v>-0.120836186</c:v>
                </c:pt>
                <c:pt idx="589">
                  <c:v>-8.0537994000000002E-2</c:v>
                </c:pt>
                <c:pt idx="590">
                  <c:v>-0.120806991</c:v>
                </c:pt>
                <c:pt idx="591">
                  <c:v>-0.120816721</c:v>
                </c:pt>
                <c:pt idx="592">
                  <c:v>-0.120811856</c:v>
                </c:pt>
                <c:pt idx="593">
                  <c:v>-0.12083131900000001</c:v>
                </c:pt>
                <c:pt idx="594">
                  <c:v>-0.120845921</c:v>
                </c:pt>
                <c:pt idx="595">
                  <c:v>-0.120802126</c:v>
                </c:pt>
                <c:pt idx="596">
                  <c:v>-0.120802126</c:v>
                </c:pt>
                <c:pt idx="597">
                  <c:v>-0.120811856</c:v>
                </c:pt>
                <c:pt idx="598">
                  <c:v>-8.0560701999999998E-2</c:v>
                </c:pt>
                <c:pt idx="599">
                  <c:v>-0.12083131900000001</c:v>
                </c:pt>
                <c:pt idx="600">
                  <c:v>-0.12888258799999999</c:v>
                </c:pt>
                <c:pt idx="601">
                  <c:v>-0.120855658</c:v>
                </c:pt>
                <c:pt idx="602">
                  <c:v>-0.120841054</c:v>
                </c:pt>
                <c:pt idx="603">
                  <c:v>-0.12085079</c:v>
                </c:pt>
                <c:pt idx="604">
                  <c:v>-8.0576931000000004E-2</c:v>
                </c:pt>
                <c:pt idx="605">
                  <c:v>-0.120880006</c:v>
                </c:pt>
                <c:pt idx="606">
                  <c:v>-8.0593165999999994E-2</c:v>
                </c:pt>
                <c:pt idx="607">
                  <c:v>-0.120880006</c:v>
                </c:pt>
                <c:pt idx="608">
                  <c:v>-0.12087513599999999</c:v>
                </c:pt>
                <c:pt idx="609">
                  <c:v>-0.120826453</c:v>
                </c:pt>
                <c:pt idx="610">
                  <c:v>-0.120836186</c:v>
                </c:pt>
                <c:pt idx="611">
                  <c:v>-0.120841054</c:v>
                </c:pt>
                <c:pt idx="612">
                  <c:v>-8.0570438999999994E-2</c:v>
                </c:pt>
                <c:pt idx="613">
                  <c:v>-8.0573685000000006E-2</c:v>
                </c:pt>
                <c:pt idx="614">
                  <c:v>-8.0583424000000001E-2</c:v>
                </c:pt>
                <c:pt idx="615">
                  <c:v>-0.128903355</c:v>
                </c:pt>
                <c:pt idx="616">
                  <c:v>-9.6680632000000002E-2</c:v>
                </c:pt>
                <c:pt idx="617">
                  <c:v>-0.128907509</c:v>
                </c:pt>
                <c:pt idx="618">
                  <c:v>-8.0567192999999995E-2</c:v>
                </c:pt>
                <c:pt idx="619">
                  <c:v>-8.0563947999999996E-2</c:v>
                </c:pt>
                <c:pt idx="620">
                  <c:v>-0.120816721</c:v>
                </c:pt>
                <c:pt idx="621">
                  <c:v>-0.12082158699999999</c:v>
                </c:pt>
                <c:pt idx="622">
                  <c:v>-0.120806991</c:v>
                </c:pt>
                <c:pt idx="623">
                  <c:v>-0.48346158500000003</c:v>
                </c:pt>
                <c:pt idx="624">
                  <c:v>-0.52381336099999998</c:v>
                </c:pt>
                <c:pt idx="625">
                  <c:v>-0.44324455000000001</c:v>
                </c:pt>
                <c:pt idx="626">
                  <c:v>-8.0583424000000001E-2</c:v>
                </c:pt>
                <c:pt idx="627">
                  <c:v>-0.120836186</c:v>
                </c:pt>
                <c:pt idx="628">
                  <c:v>-8.0554213E-2</c:v>
                </c:pt>
                <c:pt idx="629">
                  <c:v>-0.12082158699999999</c:v>
                </c:pt>
                <c:pt idx="630">
                  <c:v>-8.0550969E-2</c:v>
                </c:pt>
                <c:pt idx="631">
                  <c:v>-8.0554213E-2</c:v>
                </c:pt>
                <c:pt idx="632">
                  <c:v>-0.120826453</c:v>
                </c:pt>
                <c:pt idx="633">
                  <c:v>-8.0544481000000001E-2</c:v>
                </c:pt>
                <c:pt idx="634">
                  <c:v>-0.120845921</c:v>
                </c:pt>
                <c:pt idx="635">
                  <c:v>-8.0550969E-2</c:v>
                </c:pt>
                <c:pt idx="636">
                  <c:v>-8.0537994000000002E-2</c:v>
                </c:pt>
                <c:pt idx="637">
                  <c:v>-0.52385557699999996</c:v>
                </c:pt>
                <c:pt idx="638">
                  <c:v>-0.44326241100000002</c:v>
                </c:pt>
                <c:pt idx="639">
                  <c:v>-0.44319097499999999</c:v>
                </c:pt>
                <c:pt idx="640">
                  <c:v>-8.0576931000000004E-2</c:v>
                </c:pt>
                <c:pt idx="641">
                  <c:v>-8.0576931000000004E-2</c:v>
                </c:pt>
                <c:pt idx="642">
                  <c:v>-9.6693096000000006E-2</c:v>
                </c:pt>
                <c:pt idx="643">
                  <c:v>-9.6689979999999995E-2</c:v>
                </c:pt>
                <c:pt idx="644">
                  <c:v>-8.0567192999999995E-2</c:v>
                </c:pt>
                <c:pt idx="645">
                  <c:v>-8.0570438999999994E-2</c:v>
                </c:pt>
                <c:pt idx="646">
                  <c:v>-0.120845921</c:v>
                </c:pt>
                <c:pt idx="647">
                  <c:v>-8.0554213E-2</c:v>
                </c:pt>
                <c:pt idx="648">
                  <c:v>-8.0541237000000002E-2</c:v>
                </c:pt>
                <c:pt idx="649">
                  <c:v>-8.0544481000000001E-2</c:v>
                </c:pt>
                <c:pt idx="650">
                  <c:v>-4.0273862000000001E-2</c:v>
                </c:pt>
                <c:pt idx="651">
                  <c:v>-4.0277106E-2</c:v>
                </c:pt>
                <c:pt idx="652">
                  <c:v>-8.0557457999999998E-2</c:v>
                </c:pt>
                <c:pt idx="653">
                  <c:v>-8.0550969E-2</c:v>
                </c:pt>
                <c:pt idx="654">
                  <c:v>-8.0550969E-2</c:v>
                </c:pt>
                <c:pt idx="655">
                  <c:v>-0.120806991</c:v>
                </c:pt>
                <c:pt idx="656">
                  <c:v>-8.0537994000000002E-2</c:v>
                </c:pt>
                <c:pt idx="657">
                  <c:v>-0.56397035100000004</c:v>
                </c:pt>
                <c:pt idx="658">
                  <c:v>-0.52368675499999995</c:v>
                </c:pt>
                <c:pt idx="659">
                  <c:v>-4.0275484E-2</c:v>
                </c:pt>
                <c:pt idx="660">
                  <c:v>-8.0560701999999998E-2</c:v>
                </c:pt>
                <c:pt idx="661">
                  <c:v>-8.0547725000000001E-2</c:v>
                </c:pt>
                <c:pt idx="662">
                  <c:v>-8.0570438999999994E-2</c:v>
                </c:pt>
                <c:pt idx="663">
                  <c:v>-0.120855658</c:v>
                </c:pt>
                <c:pt idx="664">
                  <c:v>-8.0554213E-2</c:v>
                </c:pt>
                <c:pt idx="665">
                  <c:v>-8.0563947999999996E-2</c:v>
                </c:pt>
                <c:pt idx="666">
                  <c:v>-8.0557457999999998E-2</c:v>
                </c:pt>
                <c:pt idx="667">
                  <c:v>-4.0278728999999999E-2</c:v>
                </c:pt>
                <c:pt idx="668">
                  <c:v>-8.0560701999999998E-2</c:v>
                </c:pt>
                <c:pt idx="669">
                  <c:v>-8.0557457999999998E-2</c:v>
                </c:pt>
                <c:pt idx="670">
                  <c:v>-8.0554213E-2</c:v>
                </c:pt>
                <c:pt idx="671">
                  <c:v>-0.12082158699999999</c:v>
                </c:pt>
                <c:pt idx="672">
                  <c:v>-8.0550969E-2</c:v>
                </c:pt>
                <c:pt idx="673">
                  <c:v>-8.0550969E-2</c:v>
                </c:pt>
                <c:pt idx="674">
                  <c:v>-0.56376595699999998</c:v>
                </c:pt>
                <c:pt idx="675">
                  <c:v>-0.52347588</c:v>
                </c:pt>
                <c:pt idx="676">
                  <c:v>-0.52351804099999999</c:v>
                </c:pt>
                <c:pt idx="677">
                  <c:v>-0.48326688400000001</c:v>
                </c:pt>
                <c:pt idx="678">
                  <c:v>-0.52351804099999999</c:v>
                </c:pt>
                <c:pt idx="679">
                  <c:v>-0.120797262</c:v>
                </c:pt>
                <c:pt idx="680">
                  <c:v>-8.0537994000000002E-2</c:v>
                </c:pt>
                <c:pt idx="681">
                  <c:v>-0.120845921</c:v>
                </c:pt>
                <c:pt idx="682">
                  <c:v>-8.0560701999999998E-2</c:v>
                </c:pt>
                <c:pt idx="683">
                  <c:v>-8.0563947999999996E-2</c:v>
                </c:pt>
                <c:pt idx="684">
                  <c:v>-0.120811856</c:v>
                </c:pt>
                <c:pt idx="685">
                  <c:v>-8.0541237000000002E-2</c:v>
                </c:pt>
                <c:pt idx="686">
                  <c:v>-0.12082158699999999</c:v>
                </c:pt>
                <c:pt idx="687">
                  <c:v>-4.0280350999999999E-2</c:v>
                </c:pt>
                <c:pt idx="688">
                  <c:v>-8.0560701999999998E-2</c:v>
                </c:pt>
                <c:pt idx="689">
                  <c:v>-0.120826453</c:v>
                </c:pt>
                <c:pt idx="690">
                  <c:v>-8.0534751000000002E-2</c:v>
                </c:pt>
                <c:pt idx="691">
                  <c:v>-8.0528265000000002E-2</c:v>
                </c:pt>
                <c:pt idx="692">
                  <c:v>-0.120841054</c:v>
                </c:pt>
                <c:pt idx="693">
                  <c:v>-8.0554213E-2</c:v>
                </c:pt>
                <c:pt idx="694">
                  <c:v>-9.6671284999999996E-2</c:v>
                </c:pt>
                <c:pt idx="695">
                  <c:v>-9.6683747E-2</c:v>
                </c:pt>
                <c:pt idx="696">
                  <c:v>-6.4449599999999996E-2</c:v>
                </c:pt>
                <c:pt idx="697">
                  <c:v>-9.6686862999999998E-2</c:v>
                </c:pt>
                <c:pt idx="698">
                  <c:v>-8.0563947999999996E-2</c:v>
                </c:pt>
                <c:pt idx="699">
                  <c:v>-0.52343372499999996</c:v>
                </c:pt>
                <c:pt idx="700">
                  <c:v>-0.56381136499999995</c:v>
                </c:pt>
                <c:pt idx="701">
                  <c:v>-0.523560209</c:v>
                </c:pt>
                <c:pt idx="702">
                  <c:v>-0.48338368599999998</c:v>
                </c:pt>
                <c:pt idx="703">
                  <c:v>-0.120816721</c:v>
                </c:pt>
                <c:pt idx="704">
                  <c:v>-0.120836186</c:v>
                </c:pt>
                <c:pt idx="705">
                  <c:v>-0.120836186</c:v>
                </c:pt>
                <c:pt idx="706">
                  <c:v>-8.0557457999999998E-2</c:v>
                </c:pt>
                <c:pt idx="707">
                  <c:v>-8.0557457999999998E-2</c:v>
                </c:pt>
                <c:pt idx="708">
                  <c:v>-8.0557457999999998E-2</c:v>
                </c:pt>
                <c:pt idx="709">
                  <c:v>-0.12083131900000001</c:v>
                </c:pt>
                <c:pt idx="710">
                  <c:v>-8.0557457999999998E-2</c:v>
                </c:pt>
                <c:pt idx="711">
                  <c:v>-0.120816721</c:v>
                </c:pt>
                <c:pt idx="712">
                  <c:v>-0.120836186</c:v>
                </c:pt>
                <c:pt idx="713">
                  <c:v>-8.0557457999999998E-2</c:v>
                </c:pt>
                <c:pt idx="714">
                  <c:v>-0.120826453</c:v>
                </c:pt>
                <c:pt idx="715">
                  <c:v>-8.0550969E-2</c:v>
                </c:pt>
                <c:pt idx="716">
                  <c:v>-8.0547725000000001E-2</c:v>
                </c:pt>
                <c:pt idx="717">
                  <c:v>-8.0557457999999998E-2</c:v>
                </c:pt>
                <c:pt idx="718">
                  <c:v>-0.12083131900000001</c:v>
                </c:pt>
                <c:pt idx="719">
                  <c:v>-8.0557457999999998E-2</c:v>
                </c:pt>
                <c:pt idx="720">
                  <c:v>-0.120816721</c:v>
                </c:pt>
                <c:pt idx="721">
                  <c:v>-0.120836186</c:v>
                </c:pt>
                <c:pt idx="722">
                  <c:v>-8.0557457999999998E-2</c:v>
                </c:pt>
                <c:pt idx="723">
                  <c:v>-0.120826453</c:v>
                </c:pt>
                <c:pt idx="724">
                  <c:v>-8.0550969E-2</c:v>
                </c:pt>
                <c:pt idx="725">
                  <c:v>-8.0547725000000001E-2</c:v>
                </c:pt>
                <c:pt idx="726">
                  <c:v>0</c:v>
                </c:pt>
              </c:numCache>
            </c:numRef>
          </c:yVal>
          <c:smooth val="0"/>
          <c:extLst>
            <c:ext xmlns:c16="http://schemas.microsoft.com/office/drawing/2014/chart" uri="{C3380CC4-5D6E-409C-BE32-E72D297353CC}">
              <c16:uniqueId val="{00000001-E6D2-4C25-91C3-D8FD30E4CDC2}"/>
            </c:ext>
          </c:extLst>
        </c:ser>
        <c:dLbls>
          <c:showLegendKey val="0"/>
          <c:showVal val="0"/>
          <c:showCatName val="0"/>
          <c:showSerName val="0"/>
          <c:showPercent val="0"/>
          <c:showBubbleSize val="0"/>
        </c:dLbls>
        <c:axId val="425114671"/>
        <c:axId val="425115151"/>
      </c:scatterChart>
      <c:valAx>
        <c:axId val="42511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15151"/>
        <c:crosses val="autoZero"/>
        <c:crossBetween val="midCat"/>
      </c:valAx>
      <c:valAx>
        <c:axId val="42511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14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21</xdr:col>
      <xdr:colOff>31376</xdr:colOff>
      <xdr:row>13</xdr:row>
      <xdr:rowOff>149604</xdr:rowOff>
    </xdr:from>
    <xdr:to>
      <xdr:col>30</xdr:col>
      <xdr:colOff>159735</xdr:colOff>
      <xdr:row>39</xdr:row>
      <xdr:rowOff>42028</xdr:rowOff>
    </xdr:to>
    <xdr:graphicFrame macro="">
      <xdr:nvGraphicFramePr>
        <xdr:cNvPr id="8" name="Chart 7">
          <a:extLst>
            <a:ext uri="{FF2B5EF4-FFF2-40B4-BE49-F238E27FC236}">
              <a16:creationId xmlns:a16="http://schemas.microsoft.com/office/drawing/2014/main" id="{11DD547B-6696-687C-5E05-5082B3E3D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30</xdr:col>
      <xdr:colOff>229057</xdr:colOff>
      <xdr:row>44</xdr:row>
      <xdr:rowOff>133065</xdr:rowOff>
    </xdr:from>
    <xdr:to>
      <xdr:col>40</xdr:col>
      <xdr:colOff>579071</xdr:colOff>
      <xdr:row>70</xdr:row>
      <xdr:rowOff>121871</xdr:rowOff>
    </xdr:to>
    <xdr:graphicFrame macro="">
      <xdr:nvGraphicFramePr>
        <xdr:cNvPr id="2" name="Chart 1">
          <a:extLst>
            <a:ext uri="{FF2B5EF4-FFF2-40B4-BE49-F238E27FC236}">
              <a16:creationId xmlns:a16="http://schemas.microsoft.com/office/drawing/2014/main" id="{7C50AE61-F86F-59CA-BE86-1686A0CFE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539797</xdr:colOff>
      <xdr:row>1</xdr:row>
      <xdr:rowOff>155551</xdr:rowOff>
    </xdr:from>
    <xdr:to>
      <xdr:col>38</xdr:col>
      <xdr:colOff>415525</xdr:colOff>
      <xdr:row>23</xdr:row>
      <xdr:rowOff>7994</xdr:rowOff>
    </xdr:to>
    <xdr:graphicFrame macro="">
      <xdr:nvGraphicFramePr>
        <xdr:cNvPr id="8" name="Chart 7">
          <a:extLst>
            <a:ext uri="{FF2B5EF4-FFF2-40B4-BE49-F238E27FC236}">
              <a16:creationId xmlns:a16="http://schemas.microsoft.com/office/drawing/2014/main" id="{C296345B-AA23-4339-BEFD-F1EFF96FC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119206</xdr:colOff>
      <xdr:row>23</xdr:row>
      <xdr:rowOff>69051</xdr:rowOff>
    </xdr:from>
    <xdr:to>
      <xdr:col>47</xdr:col>
      <xdr:colOff>376639</xdr:colOff>
      <xdr:row>42</xdr:row>
      <xdr:rowOff>116540</xdr:rowOff>
    </xdr:to>
    <xdr:graphicFrame macro="">
      <xdr:nvGraphicFramePr>
        <xdr:cNvPr id="9" name="Chart 8">
          <a:extLst>
            <a:ext uri="{FF2B5EF4-FFF2-40B4-BE49-F238E27FC236}">
              <a16:creationId xmlns:a16="http://schemas.microsoft.com/office/drawing/2014/main" id="{DFDBBC8F-8288-B99D-192A-C4C169087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355781</xdr:colOff>
      <xdr:row>18</xdr:row>
      <xdr:rowOff>66479</xdr:rowOff>
    </xdr:from>
    <xdr:to>
      <xdr:col>17</xdr:col>
      <xdr:colOff>418410</xdr:colOff>
      <xdr:row>37</xdr:row>
      <xdr:rowOff>93761</xdr:rowOff>
    </xdr:to>
    <xdr:graphicFrame macro="">
      <xdr:nvGraphicFramePr>
        <xdr:cNvPr id="2" name="Chart 1">
          <a:extLst>
            <a:ext uri="{FF2B5EF4-FFF2-40B4-BE49-F238E27FC236}">
              <a16:creationId xmlns:a16="http://schemas.microsoft.com/office/drawing/2014/main" id="{7BF4B4A3-6B13-44BE-8D50-93D5A407F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63256</xdr:colOff>
      <xdr:row>18</xdr:row>
      <xdr:rowOff>57922</xdr:rowOff>
    </xdr:from>
    <xdr:to>
      <xdr:col>26</xdr:col>
      <xdr:colOff>484909</xdr:colOff>
      <xdr:row>37</xdr:row>
      <xdr:rowOff>69273</xdr:rowOff>
    </xdr:to>
    <xdr:graphicFrame macro="">
      <xdr:nvGraphicFramePr>
        <xdr:cNvPr id="8" name="Chart 7">
          <a:extLst>
            <a:ext uri="{FF2B5EF4-FFF2-40B4-BE49-F238E27FC236}">
              <a16:creationId xmlns:a16="http://schemas.microsoft.com/office/drawing/2014/main" id="{5ABC28C6-498B-C1ED-95B1-374B7A323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282389</xdr:colOff>
      <xdr:row>37</xdr:row>
      <xdr:rowOff>114822</xdr:rowOff>
    </xdr:from>
    <xdr:to>
      <xdr:col>33</xdr:col>
      <xdr:colOff>448849</xdr:colOff>
      <xdr:row>41</xdr:row>
      <xdr:rowOff>41753</xdr:rowOff>
    </xdr:to>
    <xdr:graphicFrame macro="">
      <xdr:nvGraphicFramePr>
        <xdr:cNvPr id="9" name="Chart 8">
          <a:extLst>
            <a:ext uri="{FF2B5EF4-FFF2-40B4-BE49-F238E27FC236}">
              <a16:creationId xmlns:a16="http://schemas.microsoft.com/office/drawing/2014/main" id="{87E89294-98C2-9B98-AEF3-4E2293B6A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521918</xdr:colOff>
      <xdr:row>39</xdr:row>
      <xdr:rowOff>0</xdr:rowOff>
    </xdr:from>
    <xdr:to>
      <xdr:col>38</xdr:col>
      <xdr:colOff>511480</xdr:colOff>
      <xdr:row>46</xdr:row>
      <xdr:rowOff>1774</xdr:rowOff>
    </xdr:to>
    <xdr:graphicFrame macro="">
      <xdr:nvGraphicFramePr>
        <xdr:cNvPr id="10" name="Chart 9">
          <a:extLst>
            <a:ext uri="{FF2B5EF4-FFF2-40B4-BE49-F238E27FC236}">
              <a16:creationId xmlns:a16="http://schemas.microsoft.com/office/drawing/2014/main" id="{A074F7FA-A9FE-B609-7770-335D8E3BD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281836</xdr:colOff>
      <xdr:row>41</xdr:row>
      <xdr:rowOff>167014</xdr:rowOff>
    </xdr:from>
    <xdr:to>
      <xdr:col>33</xdr:col>
      <xdr:colOff>459289</xdr:colOff>
      <xdr:row>52</xdr:row>
      <xdr:rowOff>104384</xdr:rowOff>
    </xdr:to>
    <xdr:graphicFrame macro="">
      <xdr:nvGraphicFramePr>
        <xdr:cNvPr id="12" name="Chart 11">
          <a:extLst>
            <a:ext uri="{FF2B5EF4-FFF2-40B4-BE49-F238E27FC236}">
              <a16:creationId xmlns:a16="http://schemas.microsoft.com/office/drawing/2014/main" id="{A0CC2753-0EB6-4D44-A96E-F84F89252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532357</xdr:colOff>
      <xdr:row>46</xdr:row>
      <xdr:rowOff>135700</xdr:rowOff>
    </xdr:from>
    <xdr:to>
      <xdr:col>38</xdr:col>
      <xdr:colOff>532356</xdr:colOff>
      <xdr:row>57</xdr:row>
      <xdr:rowOff>31316</xdr:rowOff>
    </xdr:to>
    <xdr:graphicFrame macro="">
      <xdr:nvGraphicFramePr>
        <xdr:cNvPr id="13" name="Chart 12">
          <a:extLst>
            <a:ext uri="{FF2B5EF4-FFF2-40B4-BE49-F238E27FC236}">
              <a16:creationId xmlns:a16="http://schemas.microsoft.com/office/drawing/2014/main" id="{C38F5518-4509-6C8A-8C40-12CFCEBB7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292275</xdr:colOff>
      <xdr:row>53</xdr:row>
      <xdr:rowOff>20877</xdr:rowOff>
    </xdr:from>
    <xdr:to>
      <xdr:col>33</xdr:col>
      <xdr:colOff>448850</xdr:colOff>
      <xdr:row>63</xdr:row>
      <xdr:rowOff>20877</xdr:rowOff>
    </xdr:to>
    <xdr:graphicFrame macro="">
      <xdr:nvGraphicFramePr>
        <xdr:cNvPr id="16" name="Chart 15">
          <a:extLst>
            <a:ext uri="{FF2B5EF4-FFF2-40B4-BE49-F238E27FC236}">
              <a16:creationId xmlns:a16="http://schemas.microsoft.com/office/drawing/2014/main" id="{DF34CDFA-A7CD-97AD-64D7-F3BDC271A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532356</xdr:colOff>
      <xdr:row>57</xdr:row>
      <xdr:rowOff>126304</xdr:rowOff>
    </xdr:from>
    <xdr:to>
      <xdr:col>38</xdr:col>
      <xdr:colOff>553232</xdr:colOff>
      <xdr:row>68</xdr:row>
      <xdr:rowOff>31315</xdr:rowOff>
    </xdr:to>
    <xdr:graphicFrame macro="">
      <xdr:nvGraphicFramePr>
        <xdr:cNvPr id="17" name="Chart 16">
          <a:extLst>
            <a:ext uri="{FF2B5EF4-FFF2-40B4-BE49-F238E27FC236}">
              <a16:creationId xmlns:a16="http://schemas.microsoft.com/office/drawing/2014/main" id="{F0F49A44-1B78-9930-6820-CEA44AAAB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334027</xdr:colOff>
      <xdr:row>63</xdr:row>
      <xdr:rowOff>105427</xdr:rowOff>
    </xdr:from>
    <xdr:to>
      <xdr:col>33</xdr:col>
      <xdr:colOff>501041</xdr:colOff>
      <xdr:row>73</xdr:row>
      <xdr:rowOff>62631</xdr:rowOff>
    </xdr:to>
    <xdr:graphicFrame macro="">
      <xdr:nvGraphicFramePr>
        <xdr:cNvPr id="18" name="Chart 17">
          <a:extLst>
            <a:ext uri="{FF2B5EF4-FFF2-40B4-BE49-F238E27FC236}">
              <a16:creationId xmlns:a16="http://schemas.microsoft.com/office/drawing/2014/main" id="{AED6A4BD-59A1-0974-A762-62949AA0C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542795</xdr:colOff>
      <xdr:row>68</xdr:row>
      <xdr:rowOff>115866</xdr:rowOff>
    </xdr:from>
    <xdr:to>
      <xdr:col>39</xdr:col>
      <xdr:colOff>31315</xdr:colOff>
      <xdr:row>78</xdr:row>
      <xdr:rowOff>177452</xdr:rowOff>
    </xdr:to>
    <xdr:graphicFrame macro="">
      <xdr:nvGraphicFramePr>
        <xdr:cNvPr id="19" name="Chart 18">
          <a:extLst>
            <a:ext uri="{FF2B5EF4-FFF2-40B4-BE49-F238E27FC236}">
              <a16:creationId xmlns:a16="http://schemas.microsoft.com/office/drawing/2014/main" id="{06911BDA-E5EA-F539-2FC1-43B44EA3E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323589</xdr:colOff>
      <xdr:row>73</xdr:row>
      <xdr:rowOff>147181</xdr:rowOff>
    </xdr:from>
    <xdr:to>
      <xdr:col>33</xdr:col>
      <xdr:colOff>501040</xdr:colOff>
      <xdr:row>84</xdr:row>
      <xdr:rowOff>52192</xdr:rowOff>
    </xdr:to>
    <xdr:graphicFrame macro="">
      <xdr:nvGraphicFramePr>
        <xdr:cNvPr id="20" name="Chart 19">
          <a:extLst>
            <a:ext uri="{FF2B5EF4-FFF2-40B4-BE49-F238E27FC236}">
              <a16:creationId xmlns:a16="http://schemas.microsoft.com/office/drawing/2014/main" id="{BE999BCC-2784-513B-12F5-A310AB375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33</xdr:col>
      <xdr:colOff>542795</xdr:colOff>
      <xdr:row>79</xdr:row>
      <xdr:rowOff>42798</xdr:rowOff>
    </xdr:from>
    <xdr:to>
      <xdr:col>39</xdr:col>
      <xdr:colOff>41754</xdr:colOff>
      <xdr:row>89</xdr:row>
      <xdr:rowOff>104384</xdr:rowOff>
    </xdr:to>
    <xdr:graphicFrame macro="">
      <xdr:nvGraphicFramePr>
        <xdr:cNvPr id="21" name="Chart 20">
          <a:extLst>
            <a:ext uri="{FF2B5EF4-FFF2-40B4-BE49-F238E27FC236}">
              <a16:creationId xmlns:a16="http://schemas.microsoft.com/office/drawing/2014/main" id="{5F041A43-B91B-B064-B3E6-DD6B0E773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24</xdr:col>
      <xdr:colOff>229057</xdr:colOff>
      <xdr:row>44</xdr:row>
      <xdr:rowOff>133065</xdr:rowOff>
    </xdr:from>
    <xdr:to>
      <xdr:col>34</xdr:col>
      <xdr:colOff>579071</xdr:colOff>
      <xdr:row>70</xdr:row>
      <xdr:rowOff>121871</xdr:rowOff>
    </xdr:to>
    <xdr:graphicFrame macro="">
      <xdr:nvGraphicFramePr>
        <xdr:cNvPr id="2" name="Chart 1">
          <a:extLst>
            <a:ext uri="{FF2B5EF4-FFF2-40B4-BE49-F238E27FC236}">
              <a16:creationId xmlns:a16="http://schemas.microsoft.com/office/drawing/2014/main" id="{40F354C9-E8D1-4A86-B276-5C5B7C4D8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539797</xdr:colOff>
      <xdr:row>1</xdr:row>
      <xdr:rowOff>155551</xdr:rowOff>
    </xdr:from>
    <xdr:to>
      <xdr:col>32</xdr:col>
      <xdr:colOff>415525</xdr:colOff>
      <xdr:row>23</xdr:row>
      <xdr:rowOff>7994</xdr:rowOff>
    </xdr:to>
    <xdr:graphicFrame macro="">
      <xdr:nvGraphicFramePr>
        <xdr:cNvPr id="3" name="Chart 2">
          <a:extLst>
            <a:ext uri="{FF2B5EF4-FFF2-40B4-BE49-F238E27FC236}">
              <a16:creationId xmlns:a16="http://schemas.microsoft.com/office/drawing/2014/main" id="{EE6D2567-E476-4EBD-BAB5-88FF66B33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119206</xdr:colOff>
      <xdr:row>23</xdr:row>
      <xdr:rowOff>69051</xdr:rowOff>
    </xdr:from>
    <xdr:to>
      <xdr:col>41</xdr:col>
      <xdr:colOff>376639</xdr:colOff>
      <xdr:row>42</xdr:row>
      <xdr:rowOff>116540</xdr:rowOff>
    </xdr:to>
    <xdr:graphicFrame macro="">
      <xdr:nvGraphicFramePr>
        <xdr:cNvPr id="4" name="Chart 3">
          <a:extLst>
            <a:ext uri="{FF2B5EF4-FFF2-40B4-BE49-F238E27FC236}">
              <a16:creationId xmlns:a16="http://schemas.microsoft.com/office/drawing/2014/main" id="{71A8B7D2-0242-4EB4-891A-8E59A2527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24</xdr:col>
      <xdr:colOff>229057</xdr:colOff>
      <xdr:row>44</xdr:row>
      <xdr:rowOff>133065</xdr:rowOff>
    </xdr:from>
    <xdr:to>
      <xdr:col>34</xdr:col>
      <xdr:colOff>579071</xdr:colOff>
      <xdr:row>70</xdr:row>
      <xdr:rowOff>121871</xdr:rowOff>
    </xdr:to>
    <xdr:graphicFrame macro="">
      <xdr:nvGraphicFramePr>
        <xdr:cNvPr id="2" name="Chart 1">
          <a:extLst>
            <a:ext uri="{FF2B5EF4-FFF2-40B4-BE49-F238E27FC236}">
              <a16:creationId xmlns:a16="http://schemas.microsoft.com/office/drawing/2014/main" id="{70831B7B-52B2-427D-AE05-927A693A9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539797</xdr:colOff>
      <xdr:row>1</xdr:row>
      <xdr:rowOff>155551</xdr:rowOff>
    </xdr:from>
    <xdr:to>
      <xdr:col>32</xdr:col>
      <xdr:colOff>415525</xdr:colOff>
      <xdr:row>23</xdr:row>
      <xdr:rowOff>7994</xdr:rowOff>
    </xdr:to>
    <xdr:graphicFrame macro="">
      <xdr:nvGraphicFramePr>
        <xdr:cNvPr id="3" name="Chart 2">
          <a:extLst>
            <a:ext uri="{FF2B5EF4-FFF2-40B4-BE49-F238E27FC236}">
              <a16:creationId xmlns:a16="http://schemas.microsoft.com/office/drawing/2014/main" id="{A3252753-F568-448B-8E9B-D4EB507AB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119206</xdr:colOff>
      <xdr:row>23</xdr:row>
      <xdr:rowOff>69051</xdr:rowOff>
    </xdr:from>
    <xdr:to>
      <xdr:col>41</xdr:col>
      <xdr:colOff>376639</xdr:colOff>
      <xdr:row>42</xdr:row>
      <xdr:rowOff>116540</xdr:rowOff>
    </xdr:to>
    <xdr:graphicFrame macro="">
      <xdr:nvGraphicFramePr>
        <xdr:cNvPr id="4" name="Chart 3">
          <a:extLst>
            <a:ext uri="{FF2B5EF4-FFF2-40B4-BE49-F238E27FC236}">
              <a16:creationId xmlns:a16="http://schemas.microsoft.com/office/drawing/2014/main" id="{D2394387-5B58-4F24-B3DB-851755F32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24</xdr:col>
      <xdr:colOff>229057</xdr:colOff>
      <xdr:row>44</xdr:row>
      <xdr:rowOff>133065</xdr:rowOff>
    </xdr:from>
    <xdr:to>
      <xdr:col>34</xdr:col>
      <xdr:colOff>579071</xdr:colOff>
      <xdr:row>70</xdr:row>
      <xdr:rowOff>121871</xdr:rowOff>
    </xdr:to>
    <xdr:graphicFrame macro="">
      <xdr:nvGraphicFramePr>
        <xdr:cNvPr id="2" name="Chart 1">
          <a:extLst>
            <a:ext uri="{FF2B5EF4-FFF2-40B4-BE49-F238E27FC236}">
              <a16:creationId xmlns:a16="http://schemas.microsoft.com/office/drawing/2014/main" id="{3BEA98EC-6618-4536-BA59-978D2820F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539797</xdr:colOff>
      <xdr:row>1</xdr:row>
      <xdr:rowOff>155551</xdr:rowOff>
    </xdr:from>
    <xdr:to>
      <xdr:col>32</xdr:col>
      <xdr:colOff>415525</xdr:colOff>
      <xdr:row>23</xdr:row>
      <xdr:rowOff>7994</xdr:rowOff>
    </xdr:to>
    <xdr:graphicFrame macro="">
      <xdr:nvGraphicFramePr>
        <xdr:cNvPr id="3" name="Chart 2">
          <a:extLst>
            <a:ext uri="{FF2B5EF4-FFF2-40B4-BE49-F238E27FC236}">
              <a16:creationId xmlns:a16="http://schemas.microsoft.com/office/drawing/2014/main" id="{0FC3A99A-4950-48B6-9683-276A00361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119206</xdr:colOff>
      <xdr:row>23</xdr:row>
      <xdr:rowOff>69051</xdr:rowOff>
    </xdr:from>
    <xdr:to>
      <xdr:col>41</xdr:col>
      <xdr:colOff>376639</xdr:colOff>
      <xdr:row>42</xdr:row>
      <xdr:rowOff>116540</xdr:rowOff>
    </xdr:to>
    <xdr:graphicFrame macro="">
      <xdr:nvGraphicFramePr>
        <xdr:cNvPr id="4" name="Chart 3">
          <a:extLst>
            <a:ext uri="{FF2B5EF4-FFF2-40B4-BE49-F238E27FC236}">
              <a16:creationId xmlns:a16="http://schemas.microsoft.com/office/drawing/2014/main" id="{663FC1D1-B743-412B-B79C-680F431A3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99562</xdr:rowOff>
    </xdr:from>
    <xdr:to>
      <xdr:col>23</xdr:col>
      <xdr:colOff>155954</xdr:colOff>
      <xdr:row>19</xdr:row>
      <xdr:rowOff>4350</xdr:rowOff>
    </xdr:to>
    <xdr:pic>
      <xdr:nvPicPr>
        <xdr:cNvPr id="3" name="Picture 2">
          <a:extLst>
            <a:ext uri="{FF2B5EF4-FFF2-40B4-BE49-F238E27FC236}">
              <a16:creationId xmlns:a16="http://schemas.microsoft.com/office/drawing/2014/main" id="{0636999C-2DDF-7747-957F-B2256E98FF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0" y="99562"/>
          <a:ext cx="14229863" cy="3414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60960</xdr:colOff>
      <xdr:row>7</xdr:row>
      <xdr:rowOff>72390</xdr:rowOff>
    </xdr:from>
    <xdr:to>
      <xdr:col>12</xdr:col>
      <xdr:colOff>365760</xdr:colOff>
      <xdr:row>22</xdr:row>
      <xdr:rowOff>72390</xdr:rowOff>
    </xdr:to>
    <xdr:graphicFrame macro="">
      <xdr:nvGraphicFramePr>
        <xdr:cNvPr id="2" name="Chart 1">
          <a:extLst>
            <a:ext uri="{FF2B5EF4-FFF2-40B4-BE49-F238E27FC236}">
              <a16:creationId xmlns:a16="http://schemas.microsoft.com/office/drawing/2014/main" id="{4EDB08D8-887E-4E7F-BBF4-BE5892986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1176D-EAA9-4DD6-9E31-1BB4BD60F1D1}">
  <dimension ref="A1:CX145"/>
  <sheetViews>
    <sheetView topLeftCell="AN108" zoomScale="85" zoomScaleNormal="85" workbookViewId="0">
      <selection activeCell="AW135" activeCellId="33" sqref="AW5 AW9 AW13 AW17 AW21 AW25 AW29 AW33 AW38 AW43 AW47 AW51 AW55 AW59 AW61 AW65 AW69 AW73 AW77 AW81 AW85 AW89 AW93 AW97 AW101 AW105 AW109 AW113 AW117 AW121 AW126 AW130 AW133 AW135"/>
    </sheetView>
  </sheetViews>
  <sheetFormatPr defaultRowHeight="14.4" x14ac:dyDescent="0.3"/>
  <cols>
    <col min="1" max="1" width="12.109375" customWidth="1"/>
    <col min="2" max="2" width="46.77734375" customWidth="1"/>
    <col min="3" max="3" width="15.6640625" customWidth="1"/>
    <col min="4" max="7" width="9" bestFit="1" customWidth="1"/>
    <col min="8" max="8" width="9.5546875" customWidth="1"/>
    <col min="9" max="12" width="9" bestFit="1" customWidth="1"/>
    <col min="13" max="13" width="9" customWidth="1"/>
    <col min="14" max="14" width="3.109375" style="66" customWidth="1"/>
    <col min="15" max="15" width="9.6640625" customWidth="1"/>
    <col min="16" max="16" width="10" customWidth="1"/>
    <col min="17" max="17" width="3.21875" customWidth="1"/>
    <col min="18" max="18" width="9.33203125" customWidth="1"/>
    <col min="19" max="19" width="9.88671875" customWidth="1"/>
    <col min="20" max="20" width="9.77734375" customWidth="1"/>
    <col min="21" max="21" width="9" bestFit="1" customWidth="1"/>
    <col min="22" max="22" width="3" customWidth="1"/>
    <col min="23" max="23" width="9.6640625" customWidth="1"/>
    <col min="24" max="24" width="3.21875" customWidth="1"/>
    <col min="25" max="25" width="9.5546875" customWidth="1"/>
    <col min="26" max="26" width="9" bestFit="1" customWidth="1"/>
    <col min="27" max="27" width="3.21875" customWidth="1"/>
    <col min="28" max="28" width="9.6640625" customWidth="1"/>
    <col min="29" max="29" width="9" bestFit="1" customWidth="1"/>
    <col min="30" max="30" width="9.44140625" customWidth="1"/>
    <col min="31" max="31" width="9" bestFit="1" customWidth="1"/>
    <col min="32" max="32" width="3.21875" style="69" customWidth="1"/>
    <col min="33" max="33" width="9.6640625" customWidth="1"/>
    <col min="34" max="34" width="9" bestFit="1" customWidth="1"/>
    <col min="35" max="35" width="9.88671875" customWidth="1"/>
    <col min="36" max="36" width="9" bestFit="1" customWidth="1"/>
    <col min="37" max="37" width="2.6640625" customWidth="1"/>
    <col min="38" max="38" width="9.44140625" bestFit="1" customWidth="1"/>
    <col min="39" max="41" width="9" bestFit="1" customWidth="1"/>
    <col min="42" max="42" width="3.109375" customWidth="1"/>
    <col min="43" max="43" width="11.33203125" customWidth="1"/>
    <col min="44" max="44" width="9" bestFit="1" customWidth="1"/>
    <col min="45" max="45" width="10.5546875" customWidth="1"/>
    <col min="46" max="46" width="9" bestFit="1" customWidth="1"/>
    <col min="47" max="50" width="9" customWidth="1"/>
    <col min="51" max="51" width="3" style="69" customWidth="1"/>
    <col min="52" max="52" width="12.109375" style="2" customWidth="1"/>
    <col min="53" max="53" width="9" bestFit="1" customWidth="1"/>
    <col min="54" max="54" width="12.21875" style="2" bestFit="1" customWidth="1"/>
    <col min="55" max="55" width="12.109375" style="2" customWidth="1"/>
    <col min="56" max="56" width="12.21875" bestFit="1" customWidth="1"/>
    <col min="57" max="59" width="12.21875" customWidth="1"/>
    <col min="60" max="60" width="12.109375" customWidth="1"/>
    <col min="61" max="61" width="3.109375" customWidth="1"/>
    <col min="62" max="65" width="9" bestFit="1" customWidth="1"/>
    <col min="66" max="66" width="9" style="53" bestFit="1" customWidth="1"/>
    <col min="67" max="67" width="9" style="106" bestFit="1" customWidth="1"/>
    <col min="68" max="68" width="10.109375" style="21" customWidth="1"/>
    <col min="69" max="69" width="9" style="21" bestFit="1" customWidth="1"/>
    <col min="70" max="70" width="10" style="71" customWidth="1"/>
    <col min="71" max="71" width="3.21875" style="71" customWidth="1"/>
    <col min="72" max="72" width="8.88671875" customWidth="1"/>
    <col min="73" max="73" width="9" bestFit="1" customWidth="1"/>
    <col min="74" max="74" width="9" style="53" bestFit="1" customWidth="1"/>
    <col min="75" max="75" width="9" style="106" bestFit="1" customWidth="1"/>
    <col min="76" max="76" width="9.77734375" style="21" customWidth="1"/>
    <col min="77" max="77" width="9" style="21" bestFit="1" customWidth="1"/>
    <col min="78" max="84" width="9.77734375" style="71" customWidth="1"/>
    <col min="85" max="96" width="9.77734375" style="2" customWidth="1"/>
    <col min="98" max="100" width="12.21875" bestFit="1" customWidth="1"/>
    <col min="102" max="102" width="12.109375" bestFit="1" customWidth="1"/>
  </cols>
  <sheetData>
    <row r="1" spans="1:100" s="52" customFormat="1" ht="37.200000000000003" customHeight="1" x14ac:dyDescent="0.5">
      <c r="A1" s="146" t="s">
        <v>383</v>
      </c>
      <c r="B1" s="146"/>
      <c r="C1" s="146"/>
      <c r="D1" s="146"/>
      <c r="E1" s="146"/>
      <c r="F1" s="146"/>
      <c r="G1" s="146"/>
      <c r="H1" s="146"/>
      <c r="I1" s="146"/>
      <c r="J1" s="146"/>
      <c r="K1" s="146"/>
      <c r="L1" s="146"/>
      <c r="M1" s="146"/>
      <c r="N1" s="63"/>
      <c r="O1" s="146" t="s">
        <v>389</v>
      </c>
      <c r="P1" s="146"/>
      <c r="Q1" s="146"/>
      <c r="R1" s="146"/>
      <c r="S1" s="146"/>
      <c r="T1" s="146"/>
      <c r="U1" s="146"/>
      <c r="V1" s="146"/>
      <c r="W1" s="146"/>
      <c r="X1" s="146"/>
      <c r="Y1" s="146"/>
      <c r="Z1" s="146"/>
      <c r="AA1" s="146"/>
      <c r="AB1" s="146"/>
      <c r="AC1" s="146"/>
      <c r="AD1" s="146"/>
      <c r="AE1" s="146"/>
      <c r="AF1" s="67"/>
      <c r="AG1" s="147" t="s">
        <v>390</v>
      </c>
      <c r="AH1" s="146"/>
      <c r="AI1" s="146"/>
      <c r="AJ1" s="146"/>
      <c r="AK1" s="146"/>
      <c r="AL1" s="146"/>
      <c r="AM1" s="146"/>
      <c r="AN1" s="146"/>
      <c r="AO1" s="146"/>
      <c r="AP1" s="146"/>
      <c r="AQ1" s="146"/>
      <c r="AR1" s="146"/>
      <c r="AS1" s="146"/>
      <c r="AT1" s="146"/>
      <c r="AU1" s="136"/>
      <c r="AV1" s="136"/>
      <c r="AW1" s="136"/>
      <c r="AX1" s="136"/>
      <c r="AY1" s="67"/>
      <c r="AZ1" s="146" t="s">
        <v>694</v>
      </c>
      <c r="BA1" s="146"/>
      <c r="BB1" s="146"/>
      <c r="BC1" s="146"/>
      <c r="BD1" s="146"/>
      <c r="BE1" s="146"/>
      <c r="BF1" s="146"/>
      <c r="BG1" s="146"/>
      <c r="BH1" s="146"/>
      <c r="BI1" s="146"/>
      <c r="BJ1" s="146"/>
      <c r="BK1" s="146"/>
      <c r="BL1" s="146"/>
      <c r="BM1" s="146"/>
      <c r="BN1" s="146"/>
      <c r="BO1" s="146"/>
      <c r="BP1" s="146"/>
      <c r="BQ1" s="146"/>
      <c r="BR1" s="146"/>
      <c r="BS1" s="146"/>
      <c r="BT1" s="146"/>
      <c r="BU1" s="146"/>
      <c r="BV1" s="146"/>
      <c r="BW1" s="146"/>
      <c r="BX1" s="146"/>
      <c r="BY1" s="146"/>
      <c r="BZ1" s="146"/>
      <c r="CA1" s="146" t="s">
        <v>643</v>
      </c>
      <c r="CB1" s="146"/>
      <c r="CC1" s="146"/>
      <c r="CD1" s="146"/>
      <c r="CE1" s="146"/>
      <c r="CF1" s="146"/>
      <c r="CG1" s="146"/>
      <c r="CH1" s="146"/>
      <c r="CI1" s="146"/>
      <c r="CJ1" s="146"/>
      <c r="CK1" s="136"/>
      <c r="CL1" s="136"/>
      <c r="CM1" s="136"/>
      <c r="CN1" s="136"/>
      <c r="CO1" s="136"/>
      <c r="CP1" s="136"/>
      <c r="CQ1" s="136"/>
      <c r="CR1" s="136"/>
      <c r="CS1" s="136"/>
      <c r="CT1" s="136"/>
      <c r="CU1" s="136"/>
      <c r="CV1" s="137"/>
    </row>
    <row r="2" spans="1:100" s="4" customFormat="1" ht="93.6" customHeight="1" x14ac:dyDescent="0.3">
      <c r="A2" s="4" t="s">
        <v>266</v>
      </c>
      <c r="B2" s="4" t="s">
        <v>267</v>
      </c>
      <c r="C2" s="4" t="s">
        <v>370</v>
      </c>
      <c r="D2" s="4" t="s">
        <v>272</v>
      </c>
      <c r="E2" s="4" t="s">
        <v>369</v>
      </c>
      <c r="F2" s="4" t="s">
        <v>271</v>
      </c>
      <c r="G2" s="4" t="s">
        <v>268</v>
      </c>
      <c r="H2" s="4" t="s">
        <v>269</v>
      </c>
      <c r="I2" s="4" t="s">
        <v>270</v>
      </c>
      <c r="J2" s="4" t="s">
        <v>275</v>
      </c>
      <c r="K2" s="4" t="s">
        <v>276</v>
      </c>
      <c r="L2" s="4" t="s">
        <v>277</v>
      </c>
      <c r="M2" s="4" t="s">
        <v>278</v>
      </c>
      <c r="N2" s="64"/>
      <c r="O2" s="4" t="s">
        <v>264</v>
      </c>
      <c r="P2" s="4" t="s">
        <v>265</v>
      </c>
      <c r="R2" s="4" t="s">
        <v>288</v>
      </c>
      <c r="S2" s="4" t="s">
        <v>371</v>
      </c>
      <c r="T2" s="4" t="s">
        <v>384</v>
      </c>
      <c r="U2" s="4" t="s">
        <v>371</v>
      </c>
      <c r="W2" s="4" t="s">
        <v>385</v>
      </c>
      <c r="Y2" s="4" t="s">
        <v>373</v>
      </c>
      <c r="Z2" s="4" t="s">
        <v>371</v>
      </c>
      <c r="AB2" s="4" t="s">
        <v>386</v>
      </c>
      <c r="AC2" s="4" t="s">
        <v>371</v>
      </c>
      <c r="AD2" s="4" t="s">
        <v>387</v>
      </c>
      <c r="AE2" s="4" t="s">
        <v>371</v>
      </c>
      <c r="AF2" s="68"/>
      <c r="AG2" s="4" t="s">
        <v>323</v>
      </c>
      <c r="AH2" s="4" t="s">
        <v>371</v>
      </c>
      <c r="AI2" s="4" t="s">
        <v>353</v>
      </c>
      <c r="AJ2" s="4" t="s">
        <v>371</v>
      </c>
      <c r="AL2" s="4" t="s">
        <v>388</v>
      </c>
      <c r="AM2" s="4" t="s">
        <v>371</v>
      </c>
      <c r="AN2" s="4" t="s">
        <v>356</v>
      </c>
      <c r="AO2" s="4" t="s">
        <v>371</v>
      </c>
      <c r="AQ2" s="4" t="s">
        <v>650</v>
      </c>
      <c r="AR2" s="4" t="s">
        <v>371</v>
      </c>
      <c r="AS2" s="4" t="s">
        <v>649</v>
      </c>
      <c r="AT2" s="4" t="s">
        <v>371</v>
      </c>
      <c r="AU2" s="4" t="s">
        <v>651</v>
      </c>
      <c r="AW2" s="4" t="s">
        <v>338</v>
      </c>
      <c r="AY2" s="68"/>
      <c r="AZ2" s="59" t="s">
        <v>409</v>
      </c>
      <c r="BA2" s="58" t="s">
        <v>372</v>
      </c>
      <c r="BB2" s="59" t="s">
        <v>408</v>
      </c>
      <c r="BC2" s="58" t="s">
        <v>372</v>
      </c>
      <c r="BD2" s="4" t="s">
        <v>391</v>
      </c>
      <c r="BF2" s="4" t="s">
        <v>637</v>
      </c>
      <c r="BG2" s="4" t="s">
        <v>638</v>
      </c>
      <c r="BH2" s="4" t="s">
        <v>350</v>
      </c>
      <c r="BJ2" s="4" t="s">
        <v>392</v>
      </c>
      <c r="BK2" s="4" t="s">
        <v>371</v>
      </c>
      <c r="BL2" s="4" t="s">
        <v>393</v>
      </c>
      <c r="BM2" s="4" t="s">
        <v>371</v>
      </c>
      <c r="BN2" s="62" t="s">
        <v>394</v>
      </c>
      <c r="BO2" s="98" t="s">
        <v>371</v>
      </c>
      <c r="BP2" s="28" t="s">
        <v>299</v>
      </c>
      <c r="BQ2" s="28" t="s">
        <v>382</v>
      </c>
      <c r="BR2" s="70" t="s">
        <v>397</v>
      </c>
      <c r="BS2" s="70"/>
      <c r="BT2" s="4" t="s">
        <v>395</v>
      </c>
      <c r="BU2" s="4" t="s">
        <v>371</v>
      </c>
      <c r="BV2" s="62" t="s">
        <v>396</v>
      </c>
      <c r="BW2" s="98" t="s">
        <v>371</v>
      </c>
      <c r="BX2" s="28" t="s">
        <v>354</v>
      </c>
      <c r="BY2" s="28" t="s">
        <v>382</v>
      </c>
      <c r="BZ2" s="70" t="s">
        <v>398</v>
      </c>
      <c r="CA2" s="138" t="s">
        <v>660</v>
      </c>
      <c r="CB2" s="70" t="s">
        <v>639</v>
      </c>
      <c r="CC2" s="70" t="s">
        <v>661</v>
      </c>
      <c r="CD2" s="70" t="s">
        <v>659</v>
      </c>
      <c r="CE2" s="70" t="s">
        <v>640</v>
      </c>
      <c r="CF2" s="70" t="s">
        <v>658</v>
      </c>
      <c r="CG2" s="59" t="s">
        <v>642</v>
      </c>
      <c r="CH2" s="59" t="s">
        <v>645</v>
      </c>
      <c r="CI2" s="59" t="s">
        <v>641</v>
      </c>
      <c r="CJ2" s="59" t="s">
        <v>644</v>
      </c>
      <c r="CK2" s="59" t="s">
        <v>698</v>
      </c>
      <c r="CL2" s="59" t="s">
        <v>699</v>
      </c>
      <c r="CM2" s="59" t="s">
        <v>701</v>
      </c>
      <c r="CN2" s="59" t="s">
        <v>702</v>
      </c>
      <c r="CO2" s="59" t="s">
        <v>703</v>
      </c>
      <c r="CP2" s="4" t="s">
        <v>700</v>
      </c>
      <c r="CQ2" s="59" t="s">
        <v>704</v>
      </c>
      <c r="CR2" s="59" t="s">
        <v>705</v>
      </c>
      <c r="CS2" s="145" t="s">
        <v>380</v>
      </c>
      <c r="CT2" s="145"/>
      <c r="CU2" s="145"/>
      <c r="CV2" s="145"/>
    </row>
    <row r="3" spans="1:100" x14ac:dyDescent="0.3">
      <c r="C3" s="1">
        <v>45322.723611111112</v>
      </c>
      <c r="G3" s="2"/>
      <c r="H3" s="2"/>
      <c r="I3" s="2"/>
      <c r="N3" s="65"/>
      <c r="S3" s="2"/>
      <c r="U3" s="2"/>
      <c r="V3" s="2"/>
      <c r="W3" s="2"/>
      <c r="X3" s="2"/>
      <c r="Y3" s="2"/>
      <c r="Z3" s="2"/>
      <c r="AA3" s="2"/>
      <c r="AB3" s="2"/>
      <c r="AC3" s="2"/>
      <c r="AD3" s="2"/>
      <c r="AE3" s="2"/>
      <c r="AQ3" s="2"/>
      <c r="AR3" s="2"/>
      <c r="AS3" s="2"/>
      <c r="AT3" s="2"/>
      <c r="AU3" s="2"/>
      <c r="AV3" s="2"/>
      <c r="AW3" s="2"/>
      <c r="AX3" s="2"/>
      <c r="BD3" s="2"/>
      <c r="BE3" s="2"/>
      <c r="BF3" s="2"/>
      <c r="BG3" s="2"/>
      <c r="BH3" s="2"/>
      <c r="BI3" s="2"/>
      <c r="BJ3" s="2"/>
      <c r="BK3" s="2"/>
      <c r="BL3" s="2"/>
      <c r="BM3" s="2"/>
      <c r="BN3" s="54"/>
      <c r="BO3" s="99"/>
      <c r="BP3" s="22"/>
      <c r="BQ3" s="22"/>
      <c r="BT3" s="2"/>
      <c r="BU3" s="2"/>
      <c r="BV3" s="54"/>
      <c r="BW3" s="99"/>
      <c r="BX3" s="22"/>
      <c r="BY3" s="22"/>
      <c r="CA3" s="139"/>
      <c r="CB3" s="2"/>
      <c r="CC3" s="2"/>
      <c r="CD3" s="2"/>
      <c r="CE3" s="2"/>
      <c r="CF3" s="2"/>
      <c r="CS3" s="2"/>
    </row>
    <row r="4" spans="1:100" x14ac:dyDescent="0.3">
      <c r="A4" t="s">
        <v>0</v>
      </c>
      <c r="B4" t="s">
        <v>279</v>
      </c>
      <c r="C4" s="1">
        <v>45322.783333333333</v>
      </c>
      <c r="D4">
        <v>28.4499999999999</v>
      </c>
      <c r="E4">
        <f t="shared" ref="E4:E47" si="0">J4/60</f>
        <v>60</v>
      </c>
      <c r="F4" t="s">
        <v>280</v>
      </c>
      <c r="G4" s="2">
        <v>-3.9500000000000004E-3</v>
      </c>
      <c r="H4" s="2">
        <v>0</v>
      </c>
      <c r="I4" s="2">
        <v>4.8399999999999999E-2</v>
      </c>
      <c r="J4">
        <v>3600</v>
      </c>
      <c r="K4">
        <v>3729.8040000000001</v>
      </c>
      <c r="L4">
        <f>(C4-C3)*24*3600</f>
        <v>5159.9999998463318</v>
      </c>
      <c r="M4">
        <f>L4-J4</f>
        <v>1559.9999998463318</v>
      </c>
      <c r="N4" s="65"/>
      <c r="O4">
        <v>6.2528857870469204E-3</v>
      </c>
      <c r="P4">
        <v>2.5735294117646999E-2</v>
      </c>
      <c r="R4" s="2">
        <v>-2.4698898858835301E-5</v>
      </c>
      <c r="S4" s="2">
        <v>-3.6340364324172898E-7</v>
      </c>
      <c r="T4">
        <v>1.2455882352941101E-3</v>
      </c>
      <c r="U4" s="2">
        <v>6.2576910501714401E-6</v>
      </c>
      <c r="V4" s="2"/>
      <c r="Y4" s="2"/>
      <c r="Z4" s="2"/>
      <c r="AA4" s="2"/>
      <c r="AB4" s="2"/>
      <c r="AQ4" s="2"/>
      <c r="AR4" s="2"/>
      <c r="AZ4" s="2">
        <f>'Naive Apparent Lambdas'!$U$2*(10000/(D4+273))+'Naive Apparent Lambdas'!$V$2</f>
        <v>22.195670957632945</v>
      </c>
      <c r="BA4">
        <f>'Naive Apparent Lambdas'!$V$4</f>
        <v>6.7480704157997479E-2</v>
      </c>
      <c r="BB4" s="2">
        <f t="shared" ref="BB4:BB67" si="1">EXP(AZ4)</f>
        <v>4359708165.866889</v>
      </c>
      <c r="BC4" s="2">
        <f>BA4*BB4</f>
        <v>294196176.95606935</v>
      </c>
      <c r="BD4" s="2">
        <f>BB4*(D4+273)*$D$145*$F$144</f>
        <v>1.2523685381243125E-6</v>
      </c>
      <c r="BE4" s="2"/>
      <c r="BF4" s="2"/>
      <c r="BG4" s="2"/>
      <c r="BH4" s="2">
        <f>(D4+273)*$D$145*$F$144</f>
        <v>2.8725971796217468E-16</v>
      </c>
      <c r="BI4" s="2"/>
      <c r="BJ4" s="2"/>
      <c r="BK4" s="2"/>
      <c r="BL4" s="2"/>
      <c r="BM4" s="2"/>
      <c r="BN4" s="54"/>
      <c r="BO4" s="99"/>
      <c r="BP4" s="22"/>
      <c r="BQ4" s="22"/>
      <c r="BT4" s="2"/>
      <c r="BV4" s="122"/>
      <c r="BW4" s="99"/>
      <c r="BX4" s="22"/>
      <c r="BY4" s="22"/>
      <c r="CA4" s="139"/>
      <c r="CB4" s="2"/>
      <c r="CC4" s="2"/>
      <c r="CD4" s="2"/>
      <c r="CE4" s="2"/>
      <c r="CF4" s="2"/>
      <c r="CS4" s="2"/>
      <c r="CU4" s="2"/>
    </row>
    <row r="5" spans="1:100" s="29" customFormat="1" x14ac:dyDescent="0.3">
      <c r="A5" s="29" t="s">
        <v>1</v>
      </c>
      <c r="B5" s="29" t="s">
        <v>2</v>
      </c>
      <c r="C5" s="30">
        <v>45323.009722222225</v>
      </c>
      <c r="D5" s="29">
        <v>170</v>
      </c>
      <c r="E5" s="29">
        <f t="shared" si="0"/>
        <v>300</v>
      </c>
      <c r="F5" s="29" t="s">
        <v>289</v>
      </c>
      <c r="G5" s="31">
        <v>154</v>
      </c>
      <c r="H5" s="31">
        <v>0</v>
      </c>
      <c r="I5" s="31">
        <v>0.745</v>
      </c>
      <c r="J5" s="29">
        <v>18000</v>
      </c>
      <c r="K5" s="29">
        <v>18061.082999999999</v>
      </c>
      <c r="L5" s="29">
        <f t="shared" ref="L5:L68" si="2">(C5-C4)*24*3600</f>
        <v>19560.000000265427</v>
      </c>
      <c r="M5" s="29">
        <f t="shared" ref="M5:M68" si="3">L5-J5</f>
        <v>1560.0000002654269</v>
      </c>
      <c r="N5" s="65"/>
      <c r="O5" s="29">
        <v>6.2529637407975703E-3</v>
      </c>
      <c r="P5" s="29">
        <v>2.57744396191248E-2</v>
      </c>
      <c r="R5" s="29">
        <v>0.96295641608282601</v>
      </c>
      <c r="S5" s="29">
        <v>1.40752948105895E-2</v>
      </c>
      <c r="T5" s="29">
        <v>1.9201957516247901E-2</v>
      </c>
      <c r="U5" s="31">
        <v>8.1384481978489596E-5</v>
      </c>
      <c r="V5" s="31"/>
      <c r="W5" s="31">
        <f>(1000*T5/R5)/$AG$140</f>
        <v>1.998619845123251E-2</v>
      </c>
      <c r="X5" s="31"/>
      <c r="Y5" s="31">
        <f>T5-AVERAGE(T6:T8)</f>
        <v>1.3769740544995284E-2</v>
      </c>
      <c r="Z5" s="31">
        <f>U5+AVERAGE(T6:T8)</f>
        <v>5.5136014532311062E-3</v>
      </c>
      <c r="AA5" s="31"/>
      <c r="AB5" s="31">
        <f>(Y5*1000)/R5</f>
        <v>14.299443167956333</v>
      </c>
      <c r="AC5" s="31">
        <f>2*((1000*Z5/(2*R5))^2+((S5/2)*1000*Y5/(R5^2))^2)^0.5</f>
        <v>5.7295155880698188</v>
      </c>
      <c r="AD5" s="31">
        <f>AB5/$AG$140</f>
        <v>1.4332120406025861E-2</v>
      </c>
      <c r="AE5" s="31">
        <f>2*(($AH$140*AB5/(2*$AG$140^2))^2+(AC5/($AG$140*2))^2)^0.5</f>
        <v>5.7446510320517353E-3</v>
      </c>
      <c r="AF5" s="69"/>
      <c r="AG5" s="31" cm="1">
        <f t="array" ref="AG5:AH5">BP5:BQ5</f>
        <v>1.1597312084282727</v>
      </c>
      <c r="AH5" s="29">
        <v>2.6265117316231528E-2</v>
      </c>
      <c r="AI5" s="31" cm="1">
        <f t="array" ref="AI5:AJ5">BX5:BY5</f>
        <v>1.6870653658079233E-2</v>
      </c>
      <c r="AJ5" s="29">
        <v>5.6870596158773642E-3</v>
      </c>
      <c r="AL5" s="31">
        <f>1000*AI5/AG5</f>
        <v>14.547037740704772</v>
      </c>
      <c r="AM5" s="31">
        <f>2*((AH5*1000*AI5/(2*AG5^2))^2+(1000*AJ5/(AG5*2))^2)^0.5</f>
        <v>4.9148284979059493</v>
      </c>
      <c r="AN5" s="31">
        <f>AL5/$AG$140</f>
        <v>1.4580280784498578E-2</v>
      </c>
      <c r="AO5" s="31">
        <f>2*(($AH$140*AL5/(2*$AG$140^2))^2+(AM5/($AG$140*2))^2)^0.5</f>
        <v>4.9285237270104976E-3</v>
      </c>
      <c r="AP5" s="31"/>
      <c r="AQ5" s="31">
        <f>SUM(BP$5:$BP5)</f>
        <v>1.1597312084282727</v>
      </c>
      <c r="AR5" s="31" cm="1">
        <f t="array" ref="AR5">2*SQRT(SUM((BQ$5:$BQ5/2)^2))</f>
        <v>2.6265117316231528E-2</v>
      </c>
      <c r="AS5" s="31">
        <f>SUM($BX$5:BX5)</f>
        <v>1.6870653658079233E-2</v>
      </c>
      <c r="AT5" s="31" cm="1">
        <f t="array" ref="AT5">2*SQRT(SUM(($BY$5:BY5/2)^2))</f>
        <v>5.6870596158773642E-3</v>
      </c>
      <c r="AU5" s="31">
        <f>R5</f>
        <v>0.96295641608282601</v>
      </c>
      <c r="AV5" s="31"/>
      <c r="AW5" s="31">
        <f>T5</f>
        <v>1.9201957516247901E-2</v>
      </c>
      <c r="AX5" s="31"/>
      <c r="AY5" s="69"/>
      <c r="AZ5" s="31"/>
      <c r="BB5" s="31"/>
      <c r="BC5" s="31"/>
      <c r="BD5" s="31"/>
      <c r="BE5" s="31"/>
      <c r="BF5" s="31">
        <f>IF((273+D5)&gt;=600, 0.00074*EXP(-6613/(1.987*(273+D5)))*128000000000000000*EXP(1174/(1.987*(273+D5))), 0.000304*EXP(-5580/(1.987*(273+D5)))*199000000000000000*EXP(680/(1.987*(273+D5))))</f>
        <v>231290665782.09772</v>
      </c>
      <c r="BG5" s="31">
        <f>BF5 * 1.17*EXP(-57/(1.987*(273+D5)))</f>
        <v>253642036662.8316</v>
      </c>
      <c r="BH5" s="31">
        <f t="shared" ref="BH5:BH35" si="4">(D5+273)*$D$145*$F$144</f>
        <v>4.2214647555894321E-16</v>
      </c>
      <c r="BI5" s="31"/>
      <c r="BJ5" s="31"/>
      <c r="BK5" s="31"/>
      <c r="BL5" s="31"/>
      <c r="BM5" s="31"/>
      <c r="BN5" s="54"/>
      <c r="BO5" s="99"/>
      <c r="BP5" s="23">
        <f>R5+BN6-BN5</f>
        <v>1.1597312084282727</v>
      </c>
      <c r="BQ5" s="23">
        <f>2*(((BO5/2)^2+(BO6/2)^2+(S5/2)^2)^(0.5))</f>
        <v>2.6265117316231528E-2</v>
      </c>
      <c r="BR5" s="72">
        <f>100*(BP5-R5)/R5</f>
        <v>20.434444286263695</v>
      </c>
      <c r="BS5" s="72"/>
      <c r="BT5" s="31"/>
      <c r="BU5" s="31"/>
      <c r="BV5" s="114">
        <v>0</v>
      </c>
      <c r="BW5" s="116">
        <v>0</v>
      </c>
      <c r="BX5" s="23">
        <f>Y5+BV6-BV5</f>
        <v>1.6870653658079233E-2</v>
      </c>
      <c r="BY5" s="23">
        <f>2*(((BW5/2)^2+(BW6/2)^2+(Z5/2)^2)^(0.5))</f>
        <v>5.6870596158773642E-3</v>
      </c>
      <c r="BZ5" s="72">
        <f>100*(BX5-Y5)/Y5</f>
        <v>22.519764282784536</v>
      </c>
      <c r="CA5" s="140">
        <f>R5*CC5</f>
        <v>1.038414181362675</v>
      </c>
      <c r="CB5" s="31">
        <f>BH5*BG5*J5</f>
        <v>1.9273336529545191</v>
      </c>
      <c r="CC5" s="31">
        <f>1/(CB5-1)</f>
        <v>1.0783605197697326</v>
      </c>
      <c r="CD5" s="31">
        <f>CF5*T5</f>
        <v>2.534932935783122E-2</v>
      </c>
      <c r="CE5" s="31">
        <f>BH5*BF5*J5</f>
        <v>1.7574937090126923</v>
      </c>
      <c r="CF5" s="31">
        <f>1/(CE5-1)</f>
        <v>1.32014297690127</v>
      </c>
      <c r="CG5" s="31"/>
      <c r="CH5" s="31"/>
      <c r="CI5" s="31"/>
      <c r="CJ5" s="31"/>
      <c r="CK5" s="31">
        <f>CE5*1.29</f>
        <v>2.2671668846263731</v>
      </c>
      <c r="CL5" s="31"/>
      <c r="CM5" s="31">
        <f>1000*T5/R5</f>
        <v>19.940629913821873</v>
      </c>
      <c r="CN5" s="31"/>
      <c r="CO5" s="31"/>
      <c r="CP5" s="31"/>
      <c r="CQ5" s="31"/>
      <c r="CR5" s="31"/>
      <c r="CS5" s="31"/>
    </row>
    <row r="6" spans="1:100" s="32" customFormat="1" x14ac:dyDescent="0.3">
      <c r="A6" s="32" t="s">
        <v>3</v>
      </c>
      <c r="B6" s="32" t="s">
        <v>4</v>
      </c>
      <c r="C6" s="33">
        <v>45323.131944444445</v>
      </c>
      <c r="D6" s="32">
        <v>100</v>
      </c>
      <c r="E6" s="32">
        <f t="shared" si="0"/>
        <v>150</v>
      </c>
      <c r="F6" s="32" t="s">
        <v>286</v>
      </c>
      <c r="G6" s="34">
        <v>9.6199999999999992</v>
      </c>
      <c r="H6" s="34">
        <v>0</v>
      </c>
      <c r="I6" s="34">
        <v>0.129</v>
      </c>
      <c r="J6" s="32">
        <v>9000</v>
      </c>
      <c r="K6" s="32">
        <v>9035.2960000000003</v>
      </c>
      <c r="L6" s="32">
        <f t="shared" si="2"/>
        <v>10559.999999846332</v>
      </c>
      <c r="M6" s="32">
        <f t="shared" si="3"/>
        <v>1559.9999998463318</v>
      </c>
      <c r="N6" s="65"/>
      <c r="O6" s="32">
        <v>6.2521891418563904E-3</v>
      </c>
      <c r="P6" s="32">
        <v>2.5777414075286401E-2</v>
      </c>
      <c r="R6" s="32">
        <v>6.0146059544658403E-2</v>
      </c>
      <c r="S6" s="32">
        <v>8.3352382929204895E-4</v>
      </c>
      <c r="T6" s="32">
        <v>3.3252864157119399E-3</v>
      </c>
      <c r="U6" s="34">
        <v>1.4783903963577101E-5</v>
      </c>
      <c r="V6" s="34"/>
      <c r="Y6" s="34"/>
      <c r="Z6" s="34"/>
      <c r="AA6" s="34"/>
      <c r="AB6" s="34"/>
      <c r="AF6" s="69"/>
      <c r="AQ6" s="34">
        <f>SUM(BP$5:$BP6)</f>
        <v>1.1597312084282727</v>
      </c>
      <c r="AR6" s="34" cm="1">
        <f t="array" ref="AR6">2*SQRT(SUM((BQ$5:$BQ6/2)^2))</f>
        <v>2.6265117316231528E-2</v>
      </c>
      <c r="AS6" s="34">
        <f>SUM($BX$5:BX6)</f>
        <v>1.6870653658079233E-2</v>
      </c>
      <c r="AT6" s="34" cm="1">
        <f t="array" ref="AT6">2*SQRT(SUM(($BY$5:BY6/2)^2))</f>
        <v>5.6870596158773642E-3</v>
      </c>
      <c r="AU6" s="34">
        <f>AU5+R6</f>
        <v>1.0231024756274845</v>
      </c>
      <c r="AV6" s="34"/>
      <c r="AW6" s="34">
        <f>AW5+T6</f>
        <v>2.2527243931959842E-2</v>
      </c>
      <c r="AX6" s="34"/>
      <c r="AY6" s="69"/>
      <c r="AZ6" s="34">
        <f>'Naive Apparent Lambdas'!$U$2*(10000/(D6+273))+'Naive Apparent Lambdas'!$V$2</f>
        <v>25.45976456747379</v>
      </c>
      <c r="BA6" s="32">
        <f>'Naive Apparent Lambdas'!$V$4</f>
        <v>6.7480704157997479E-2</v>
      </c>
      <c r="BB6" s="34">
        <f>EXP(AZ6)</f>
        <v>114034237303.31673</v>
      </c>
      <c r="BC6" s="34">
        <f t="shared" ref="BC6:BC67" si="5">BA6*BB6</f>
        <v>7695110631.3479958</v>
      </c>
      <c r="BD6" s="34">
        <f>BB6*(D6+273)*$D$145*$F$144</f>
        <v>4.053251345654956E-5</v>
      </c>
      <c r="BE6" s="34"/>
      <c r="BF6" s="31">
        <f t="shared" ref="BF6:BF69" si="6">IF((273+D6)&gt;=600, 0.00074*EXP(-6613/(1.987*(273+D6)))*128000000000000000*EXP(1174/(1.987*(273+D6))), 0.000304*EXP(-5580/(1.987*(273+D6)))*199000000000000000*EXP(680/(1.987*(273+D6))))</f>
        <v>81368987856.687653</v>
      </c>
      <c r="BG6" s="31">
        <f t="shared" ref="BG6:BG69" si="7">BF6 * 1.17*EXP(-57/(1.987*(273+D6)))</f>
        <v>88154464997.476822</v>
      </c>
      <c r="BH6" s="34">
        <f>(D6+273)*$D$145*$F$144</f>
        <v>3.5544161486114176E-16</v>
      </c>
      <c r="BI6" s="34"/>
      <c r="BJ6" s="34">
        <f>R6/(1-EXP(-E6*60*BD6))</f>
        <v>0.19677479234544676</v>
      </c>
      <c r="BK6" s="34">
        <f>2*SQRT(
((S6/2) * (1 / (1 - EXP(-E6 * 60 * BB6 * BH6))))^2 +
(BC6 * (-R6 * 60 * E6 * BH6 * EXP(-E6 * 60 * BB6 * BH6) / (1 - EXP(-E6 * 60 * BB6 * BH6))^2))^2
)</f>
        <v>2.2175266934817212E-2</v>
      </c>
      <c r="BL6" s="34">
        <f>R6/(1-EXP(-E6*60*BB6*BH6)*EXP(-(M6-1560)*$CW$126*$BH$122))</f>
        <v>0.19677479234594886</v>
      </c>
      <c r="BM6" s="34">
        <f>2*SQRT(
((S6/2) * (1 / (1 - EXP(-E6 * 60 * BB6 * BH6) * EXP(-(M6 - 1560) * $CW$126 * $BH$48))))^2 +
(BC6 * (-R6 * 60 * E6 * BH6 * EXP(-E6 * 60 * BB6 * BH6) / ((1 - EXP(-E6 * 60 * BB6 * BH6) * EXP(-(M6 - 1560) * $CW$126 * $BH$48))^2)))^2 +
($CX$126 * (-R6 * (M6 - 1560) * $BH$48 * EXP(-(M6 - 1560) * $CW$126 * $BH$48) / ((1 - EXP(-E6 * 60 * BB6 * BH6) * EXP(-(M6 - 1560) * $CW$126 * $BH$48))^2)))^2
)</f>
        <v>2.2175266934929504E-2</v>
      </c>
      <c r="BN6" s="55">
        <f>BJ6</f>
        <v>0.19677479234544676</v>
      </c>
      <c r="BO6" s="100">
        <f>BK6</f>
        <v>2.2175266934817212E-2</v>
      </c>
      <c r="BP6" s="24"/>
      <c r="BQ6" s="24"/>
      <c r="BR6" s="73"/>
      <c r="BS6" s="73"/>
      <c r="BT6" s="123">
        <f>BN6*(Y5/R5)*1.10204926384627</f>
        <v>3.1009131130839479E-3</v>
      </c>
      <c r="BU6" s="123">
        <f>2*(((BO6/2)*1.10204926384627*(AB5/(1000)))^2+((AC5/2000)*1.10204926384627*BN6)^2+((0.187040260207234/2)*BN6*(AB5/(1000)))^2)^0.5</f>
        <v>1.3938601398530022E-3</v>
      </c>
      <c r="BV6" s="124">
        <f>BT6</f>
        <v>3.1009131130839479E-3</v>
      </c>
      <c r="BW6" s="125">
        <f>BU6</f>
        <v>1.3938601398530022E-3</v>
      </c>
      <c r="BX6" s="24"/>
      <c r="BY6" s="24"/>
      <c r="BZ6" s="73"/>
      <c r="CA6" s="141">
        <f>CA5*(EXP(-BH6*BG6*E6))*(EXP(-$BG$140*$F$144*D145*(24+273)*M6))</f>
        <v>1.0263055513564654</v>
      </c>
      <c r="CB6" s="34"/>
      <c r="CC6" s="34"/>
      <c r="CD6" s="34">
        <f>CD5*(EXP(-BH6*BF6*E6))*(EXP(-$BF$140*$F$144*D145*(24+273)*M6))</f>
        <v>2.5073134610187262E-2</v>
      </c>
      <c r="CE6" s="34"/>
      <c r="CF6" s="34"/>
      <c r="CG6" s="34"/>
      <c r="CH6" s="34"/>
      <c r="CI6" s="34"/>
      <c r="CJ6" s="34"/>
      <c r="CK6" s="34"/>
      <c r="CL6" s="34"/>
      <c r="CM6" s="34"/>
      <c r="CN6" s="34"/>
      <c r="CO6" s="34"/>
      <c r="CP6" s="34"/>
      <c r="CQ6" s="34"/>
      <c r="CR6" s="34"/>
      <c r="CS6" s="34"/>
    </row>
    <row r="7" spans="1:100" x14ac:dyDescent="0.3">
      <c r="A7" t="s">
        <v>5</v>
      </c>
      <c r="B7" t="s">
        <v>6</v>
      </c>
      <c r="C7" s="1">
        <v>45323.254166666666</v>
      </c>
      <c r="D7">
        <v>99.99</v>
      </c>
      <c r="E7">
        <f t="shared" si="0"/>
        <v>150</v>
      </c>
      <c r="G7" s="2">
        <v>5.53</v>
      </c>
      <c r="H7" s="2">
        <v>0</v>
      </c>
      <c r="I7" s="2">
        <v>4.02E-2</v>
      </c>
      <c r="J7">
        <v>9000</v>
      </c>
      <c r="K7">
        <v>9026.5049999999992</v>
      </c>
      <c r="L7">
        <f t="shared" si="2"/>
        <v>10559.999999846332</v>
      </c>
      <c r="M7">
        <f t="shared" si="3"/>
        <v>1559.9999998463318</v>
      </c>
      <c r="N7" s="65"/>
      <c r="O7">
        <v>6.2521891418563904E-3</v>
      </c>
      <c r="P7">
        <v>2.5777414075286401E-2</v>
      </c>
      <c r="R7">
        <v>3.4574605954465799E-2</v>
      </c>
      <c r="S7" s="2">
        <v>4.68804196951972E-4</v>
      </c>
      <c r="T7">
        <v>1.03625204582651E-3</v>
      </c>
      <c r="U7" s="2">
        <v>4.6042688177855197E-6</v>
      </c>
      <c r="V7" s="2"/>
      <c r="Y7" s="2"/>
      <c r="Z7" s="2"/>
      <c r="AA7" s="2"/>
      <c r="AB7" s="2"/>
      <c r="AQ7" s="2">
        <f>SUM(BP$5:$BP7)</f>
        <v>1.1597312084282727</v>
      </c>
      <c r="AR7" s="2" cm="1">
        <f t="array" ref="AR7">2*SQRT(SUM((BQ$5:$BQ7/2)^2))</f>
        <v>2.6265117316231528E-2</v>
      </c>
      <c r="AS7" s="2">
        <f>SUM($BX$5:BX7)</f>
        <v>1.6870653658079233E-2</v>
      </c>
      <c r="AT7" s="2" cm="1">
        <f t="array" ref="AT7">2*SQRT(SUM(($BY$5:BY7/2)^2))</f>
        <v>5.6870596158773642E-3</v>
      </c>
      <c r="AU7" s="2">
        <f t="shared" ref="AU7:AU70" si="8">AU6+R7</f>
        <v>1.0576770815819503</v>
      </c>
      <c r="AV7" s="2"/>
      <c r="AW7" s="2">
        <f t="shared" ref="AW7:AW70" si="9">AW6+T7</f>
        <v>2.3563495977786352E-2</v>
      </c>
      <c r="AX7" s="2"/>
      <c r="AZ7" s="2">
        <f>'Naive Apparent Lambdas'!$U$2*(10000/(D7+273))+'Naive Apparent Lambdas'!$V$2</f>
        <v>25.45939586923167</v>
      </c>
      <c r="BA7">
        <f>'Naive Apparent Lambdas'!$V$4</f>
        <v>6.7480704157997479E-2</v>
      </c>
      <c r="BB7" s="2">
        <f t="shared" si="1"/>
        <v>113992200830.34454</v>
      </c>
      <c r="BC7" s="2">
        <f t="shared" si="5"/>
        <v>7692273980.5515146</v>
      </c>
      <c r="BD7" s="2">
        <f>BB7*(D7+273)*$D$145*$F$144</f>
        <v>4.0516485682730825E-5</v>
      </c>
      <c r="BE7" s="2"/>
      <c r="BF7" s="31">
        <f t="shared" si="6"/>
        <v>81354566284.197021</v>
      </c>
      <c r="BG7" s="31">
        <f t="shared" si="7"/>
        <v>88138659054.577789</v>
      </c>
      <c r="BH7" s="2">
        <f t="shared" si="4"/>
        <v>3.5543208559532784E-16</v>
      </c>
      <c r="BI7" s="2"/>
      <c r="BJ7" s="2">
        <f>R7/(1-EXP(-E7*60*BD7))</f>
        <v>0.1131519038032915</v>
      </c>
      <c r="BK7" s="2">
        <f>2*SQRT(
((S7/2) * (1 / (1 - EXP(-E7 * 60 * BB7 * BH7))))^2 +
(BC7 * (-R7 * 60 * E7 * BH7 * EXP(-E7 * 60 * BB7 * BH7) / (1 - EXP(-E7 * 60 * BB7 * BH7))^2))^2
)</f>
        <v>1.2748342665580821E-2</v>
      </c>
      <c r="BL7" s="2">
        <f>R7/(1-EXP(-E7*60*BB7*BH7)*EXP(-(M7-1560)*$CW$126*$BH$122))</f>
        <v>0.11315190380358033</v>
      </c>
      <c r="BM7" s="2">
        <f>2*SQRT(
((S7/2) * (1 / (1 - EXP(-E7 * 60 * BB7 * BH7) * EXP(-(M7 - 1560) * $CW$126 * $BH$48))))^2 +
(BC7 * (-R7 * 60 * E7 * BH7 * EXP(-E7 * 60 * BB7 * BH7) / ((1 - EXP(-E7 * 60 * BB7 * BH7) * EXP(-(M7 - 1560) * $CW$126 * $BH$48))^2)))^2 +
($CX$126 * (-R7 * (M7 - 1560) * $BH$48 * EXP(-(M7 - 1560) * $CW$126 * $BH$48) / ((1 - EXP(-E7 * 60 * BB7 * BH7) * EXP(-(M7 - 1560) * $CW$126 * $BH$48))^2)))^2
)</f>
        <v>1.2748342665645429E-2</v>
      </c>
      <c r="BN7" s="54">
        <f>BN6*EXP(-BD6*E6*60)</f>
        <v>0.13662873280078836</v>
      </c>
      <c r="BO7" s="99">
        <f>2*((((BO6/2)*EXP(-BD6*E6*60))^2+(BN6*EXP(-BD6*E6*60)*E6*60*BC6*BD6/BB6)^2)^0.5)</f>
        <v>1.6802410644597237E-2</v>
      </c>
      <c r="BP7" s="22"/>
      <c r="BQ7" s="22"/>
      <c r="BT7" s="2"/>
      <c r="BU7" s="2"/>
      <c r="BV7" s="54">
        <f>BV6*EXP(-BB6*BH6*E6*60*0.91357457380209)*EXP(-(M6-1560)*$CW$126*$BH$48*0.91357457380209)</f>
        <v>2.2220525868176895E-3</v>
      </c>
      <c r="BW7" s="99">
        <f>2*SQRT(
((BW6/2) * EXP(-BB6 * BH6 * E6 * 60 * 0.91357457380209) * EXP(-(M6 - 1560) * $CW$126 * $BH$48 * 0.91357457380209))^2 +
(BC6 * (-BV6 * BH6 * E6 * 60 * 0.91357457380209 * EXP(-BB6 * BH6 * E6 * 60 * 0.91357457380209) * EXP(-(M6 - 1560) * $CW$126 * $BH$48 * 0.91357457380209)))^2 +
((0.146030972937065 / 2) * BV6 * (-BB6 * BH6 * E6 * 60 - (M6 - 1560) * $CW$126 * $BH$48) * EXP(-BB6 * BH6 * E6 * 60 * 0.91357457380209) * EXP(-(M6 - 1560) * $CW$126 * $BH$48 * 0.91357457380209))^2 +
-(M6-1560)*$BH$48*0.91357457380209*BV6*EXP(-BB6*BH6*E6*60*0.91357457380209)*EXP(-(M6-1560)*$CW$126*$BH$48*0.91357457380209))</f>
        <v>1.0107554712498563E-3</v>
      </c>
      <c r="BX7" s="22"/>
      <c r="BY7" s="22"/>
      <c r="CA7" s="141">
        <f t="shared" ref="CA7:CA8" si="10">CA6*(EXP(-BH7*BG7*E7))*(EXP(-$BG$140*$F$144*D146*(24+273)*M7))</f>
        <v>1.0214941563882358</v>
      </c>
      <c r="CB7" s="34"/>
      <c r="CC7" s="34"/>
      <c r="CD7" s="34">
        <f t="shared" ref="CD7:CD8" si="11">CD6*(EXP(-BH7*BF7*E7))*(EXP(-$BF$140*$F$144*D146*(24+273)*M7))</f>
        <v>2.4964617819678177E-2</v>
      </c>
      <c r="CE7" s="2"/>
      <c r="CF7" s="2"/>
      <c r="CS7" s="2"/>
    </row>
    <row r="8" spans="1:100" x14ac:dyDescent="0.3">
      <c r="A8" t="s">
        <v>7</v>
      </c>
      <c r="B8" t="s">
        <v>8</v>
      </c>
      <c r="C8" s="1">
        <v>45323.381944444445</v>
      </c>
      <c r="D8">
        <v>99.99</v>
      </c>
      <c r="E8">
        <f t="shared" si="0"/>
        <v>150</v>
      </c>
      <c r="G8" s="2">
        <v>3.56</v>
      </c>
      <c r="H8" s="2">
        <v>0</v>
      </c>
      <c r="I8" s="2">
        <v>0.46300000000000002</v>
      </c>
      <c r="J8">
        <v>9000</v>
      </c>
      <c r="K8">
        <v>9018.1039999999994</v>
      </c>
      <c r="L8">
        <f t="shared" si="2"/>
        <v>11040.000000153668</v>
      </c>
      <c r="M8">
        <f t="shared" si="3"/>
        <v>2040.0000001536682</v>
      </c>
      <c r="N8" s="65"/>
      <c r="O8">
        <v>6.2521243252184402E-3</v>
      </c>
      <c r="P8">
        <v>2.5777780674340101E-2</v>
      </c>
      <c r="R8">
        <v>2.22575625977776E-2</v>
      </c>
      <c r="S8" s="2">
        <v>3.1133036438311598E-4</v>
      </c>
      <c r="T8">
        <v>1.19351124522194E-2</v>
      </c>
      <c r="U8" s="2">
        <v>4.9936244550118001E-5</v>
      </c>
      <c r="V8" s="2"/>
      <c r="Y8" s="2"/>
      <c r="Z8" s="2"/>
      <c r="AA8" s="2"/>
      <c r="AB8" s="2"/>
      <c r="AQ8" s="2">
        <f>SUM(BP$5:$BP8)</f>
        <v>1.1597312084282727</v>
      </c>
      <c r="AR8" s="2" cm="1">
        <f t="array" ref="AR8">2*SQRT(SUM((BQ$5:$BQ8/2)^2))</f>
        <v>2.6265117316231528E-2</v>
      </c>
      <c r="AS8" s="2">
        <f>SUM($BX$5:BX8)</f>
        <v>1.6870653658079233E-2</v>
      </c>
      <c r="AT8" s="2" cm="1">
        <f t="array" ref="AT8">2*SQRT(SUM(($BY$5:BY8/2)^2))</f>
        <v>5.6870596158773642E-3</v>
      </c>
      <c r="AU8" s="2">
        <f t="shared" si="8"/>
        <v>1.079934644179728</v>
      </c>
      <c r="AV8" s="2"/>
      <c r="AW8" s="2">
        <f t="shared" si="9"/>
        <v>3.5498608430005754E-2</v>
      </c>
      <c r="AX8" s="2"/>
      <c r="AZ8" s="2">
        <f>'Naive Apparent Lambdas'!$U$2*(10000/(D8+273))+'Naive Apparent Lambdas'!$V$2</f>
        <v>25.45939586923167</v>
      </c>
      <c r="BA8">
        <f>'Naive Apparent Lambdas'!$V$4</f>
        <v>6.7480704157997479E-2</v>
      </c>
      <c r="BB8" s="2">
        <f t="shared" si="1"/>
        <v>113992200830.34454</v>
      </c>
      <c r="BC8" s="2">
        <f t="shared" si="5"/>
        <v>7692273980.5515146</v>
      </c>
      <c r="BD8" s="2">
        <f>BB8*(D8+273)*$D$145*$F$144</f>
        <v>4.0516485682730825E-5</v>
      </c>
      <c r="BE8" s="2"/>
      <c r="BF8" s="31">
        <f t="shared" si="6"/>
        <v>81354566284.197021</v>
      </c>
      <c r="BG8" s="31">
        <f t="shared" si="7"/>
        <v>88138659054.577789</v>
      </c>
      <c r="BH8" s="2">
        <f t="shared" si="4"/>
        <v>3.5543208559532784E-16</v>
      </c>
      <c r="BI8" s="2"/>
      <c r="BJ8" s="2">
        <f>R8/(1-EXP(-E8*60*BD8))</f>
        <v>7.2842061751225026E-2</v>
      </c>
      <c r="BK8" s="2">
        <f>2*SQRT(
((S8/2) * (1 / (1 - EXP(-E8 * 60 * BB8 * BH8))))^2 +
(BC8 * (-R8 * 60 * E8 * BH8 * EXP(-E8 * 60 * BB8 * BH8) / (1 - EXP(-E8 * 60 * BB8 * BH8))^2))^2
)</f>
        <v>8.2106187312203406E-3</v>
      </c>
      <c r="BL8" s="2">
        <f>R8/(1-EXP(-E8*60*BB8*BH8)*EXP(-(M8-1560)*$CW$126*$BH$122))</f>
        <v>7.2266941824402367E-2</v>
      </c>
      <c r="BM8" s="2">
        <f>2*SQRT(
((S8/2) * (1 / (1 - EXP(-E8 * 60 * BB8 * BH8) * EXP(-(M8 - 1560) * $CW$126 * $BH$48))))^2 +
(BC8 * (-R8 * 60 * E8 * BH8 * EXP(-E8 * 60 * BB8 * BH8) / ((1 - EXP(-E8 * 60 * BB8 * BH8) * EXP(-(M8 - 1560) * $CW$126 * $BH$48))^2)))^2 +
($CX$126 * (-R8 * (M8 - 1560) * $BH$48 * EXP(-(M8 - 1560) * $CW$126 * $BH$48) / ((1 - EXP(-E8 * 60 * BB8 * BH8) * EXP(-(M8 - 1560) * $CW$126 * $BH$48))^2)))^2
)</f>
        <v>8.0861513892377876E-3</v>
      </c>
      <c r="BN8" s="54">
        <f>BN7*EXP(-BD7*E7*60)</f>
        <v>9.4880565603730205E-2</v>
      </c>
      <c r="BO8" s="99">
        <f>2*((((BO7/2)*EXP(-BD7*E7*60))^2+(BN7*EXP(-BD7*E7*60)*E7*60*BC7*BD7/BB7)^2)^0.5)</f>
        <v>1.2567897460629066E-2</v>
      </c>
      <c r="BP8" s="22"/>
      <c r="BQ8" s="22"/>
      <c r="BT8" s="2"/>
      <c r="BU8" s="2"/>
      <c r="BV8" s="54">
        <f>BV7*EXP(-BB7*BH7*E7*60*0.91357457380209)*EXP(-(M7-1560)*$CW$126*$BH$48*0.91357457380209)</f>
        <v>1.5924884841212331E-3</v>
      </c>
      <c r="BW8" s="99">
        <f>2*SQRT(
((BW7/2) * EXP(-BB7 * BH7 * E7 * 60 * 0.91357457380209) * EXP(-(M7 - 1560) * $CW$126 * $BH$48 * 0.91357457380209))^2 +
(BC7 * (-BV7 * BH7 * E7 * 60 * 0.91357457380209 * EXP(-BB7 * BH7 * E7 * 60 * 0.91357457380209) * EXP(-(M7 - 1560) * $CW$126 * $BH$48 * 0.91357457380209)))^2 +
((0.146030972937065 / 2) * BV7 * (-BB7 * BH7 * E7 * 60 - (M7 - 1560) * $CW$126 * $BH$48) * EXP(-BB7 * BH7 * E7 * 60 * 0.91357457380209) * EXP(-(M7 - 1560) * $CW$126 * $BH$48 * 0.91357457380209))^2 +
-(M7-1560)*$BH$48*0.91357457380209*BV7*EXP(-BB7*BH7*E7*60*0.91357457380209)*EXP(-(M7-1560)*$CW$126*$BH$48*0.91357457380209))</f>
        <v>7.3283536685822906E-4</v>
      </c>
      <c r="BX8" s="22"/>
      <c r="BY8" s="22"/>
      <c r="CA8" s="141">
        <f t="shared" si="10"/>
        <v>1.0167053175890826</v>
      </c>
      <c r="CB8" s="34"/>
      <c r="CC8" s="34"/>
      <c r="CD8" s="34">
        <f t="shared" si="11"/>
        <v>2.4856570690980646E-2</v>
      </c>
      <c r="CE8" s="2"/>
      <c r="CF8" s="2"/>
      <c r="CS8" s="2"/>
    </row>
    <row r="9" spans="1:100" s="29" customFormat="1" x14ac:dyDescent="0.3">
      <c r="A9" s="29" t="s">
        <v>9</v>
      </c>
      <c r="B9" s="29" t="s">
        <v>10</v>
      </c>
      <c r="C9" s="30">
        <v>45323.818055555559</v>
      </c>
      <c r="D9" s="29">
        <v>180</v>
      </c>
      <c r="E9" s="29">
        <f t="shared" si="0"/>
        <v>463</v>
      </c>
      <c r="F9" s="29" t="s">
        <v>289</v>
      </c>
      <c r="G9" s="31">
        <v>87.3</v>
      </c>
      <c r="H9" s="31">
        <v>0</v>
      </c>
      <c r="I9" s="31">
        <v>1.18</v>
      </c>
      <c r="J9" s="29">
        <v>27780</v>
      </c>
      <c r="K9" s="29">
        <v>27819.784</v>
      </c>
      <c r="L9" s="29">
        <f t="shared" si="2"/>
        <v>37680.000000237487</v>
      </c>
      <c r="M9" s="29">
        <f t="shared" si="3"/>
        <v>9900.0000002374873</v>
      </c>
      <c r="N9" s="65"/>
      <c r="O9" s="29">
        <v>6.2334954392487003E-3</v>
      </c>
      <c r="P9" s="29">
        <v>2.5819672131147501E-2</v>
      </c>
      <c r="R9" s="29">
        <v>0.544184151846411</v>
      </c>
      <c r="S9" s="29">
        <v>8.2091700363973799E-3</v>
      </c>
      <c r="T9" s="29">
        <v>3.0467213114754099E-2</v>
      </c>
      <c r="U9" s="31">
        <v>1.21981892043964E-4</v>
      </c>
      <c r="V9" s="31"/>
      <c r="W9" s="31">
        <f>(1000*T9/R9)/$AG$140</f>
        <v>5.611489604632261E-2</v>
      </c>
      <c r="X9" s="31"/>
      <c r="Y9" s="31">
        <f>T9-AVERAGE(T10:T12)</f>
        <v>2.5207707569091801E-2</v>
      </c>
      <c r="Z9" s="31">
        <f>U9+AVERAGE(T10:T12)</f>
        <v>5.3814874377062618E-3</v>
      </c>
      <c r="AA9" s="31"/>
      <c r="AB9" s="31">
        <f>(Y9*1000)/R9</f>
        <v>46.322017066396221</v>
      </c>
      <c r="AC9" s="31">
        <f>2*((1000*Z9/(2*R9))^2+((S9/2)*1000*Y9/(R9^2))^2)^0.5</f>
        <v>9.9137503299082823</v>
      </c>
      <c r="AD9" s="31">
        <f>AB9/$AG$140</f>
        <v>4.6427872627466692E-2</v>
      </c>
      <c r="AE9" s="31">
        <f>2*(($AH$140*AB9/(2*$AG$140^2))^2+(AC9/($AG$140*2))^2)^0.5</f>
        <v>9.9487859378771838E-3</v>
      </c>
      <c r="AF9" s="69"/>
      <c r="AG9" s="31" cm="1">
        <f t="array" ref="AG9:AH9">BP9:BQ9</f>
        <v>0.54972141210044234</v>
      </c>
      <c r="AH9" s="29">
        <v>1.6048764198592941E-2</v>
      </c>
      <c r="AI9" s="31" cm="1">
        <f t="array" ref="AI9:AJ9">BX9:BY9</f>
        <v>2.8060077868746737E-2</v>
      </c>
      <c r="AJ9" s="29">
        <v>5.5219516277044472E-3</v>
      </c>
      <c r="AL9" s="31">
        <f>1000*AI9/AG9</f>
        <v>51.044178471294003</v>
      </c>
      <c r="AM9" s="31">
        <f>2*((AH9*1000*AI9/(2*AG9^2))^2+(1000*AJ9/(AG9*2))^2)^0.5</f>
        <v>10.154936177763329</v>
      </c>
      <c r="AN9" s="31">
        <f>AL9/$AG$140</f>
        <v>5.1160825165321062E-2</v>
      </c>
      <c r="AO9" s="31">
        <f>2*(($AH$140*AL9/(2*$AG$140^2))^2+(AM9/($AG$140*2))^2)^0.5</f>
        <v>1.0192817325427091E-2</v>
      </c>
      <c r="AP9" s="31"/>
      <c r="AQ9" s="31">
        <f>SUM(BP$5:$BP9)</f>
        <v>1.709452620528715</v>
      </c>
      <c r="AR9" s="31" cm="1">
        <f t="array" ref="AR9">2*SQRT(SUM((BQ$5:$BQ9/2)^2))</f>
        <v>3.0780175761964776E-2</v>
      </c>
      <c r="AS9" s="31">
        <f>SUM($BX$5:BX9)</f>
        <v>4.4930731526825973E-2</v>
      </c>
      <c r="AT9" s="31" cm="1">
        <f t="array" ref="AT9">2*SQRT(SUM(($BY$5:BY9/2)^2))</f>
        <v>7.9268276664281653E-3</v>
      </c>
      <c r="AU9" s="31">
        <f t="shared" si="8"/>
        <v>1.624118796026139</v>
      </c>
      <c r="AV9" s="31"/>
      <c r="AW9" s="31">
        <f t="shared" si="9"/>
        <v>6.5965821544759856E-2</v>
      </c>
      <c r="AX9" s="31"/>
      <c r="AY9" s="69"/>
      <c r="AZ9" s="31"/>
      <c r="BB9" s="31"/>
      <c r="BC9" s="31"/>
      <c r="BD9" s="31"/>
      <c r="BE9" s="31"/>
      <c r="BF9" s="31">
        <f>IF((273+D9)&gt;=600, 0.00074*EXP(-6613/(1.987*(273+D9)))*128000000000000000*EXP(1174/(1.987*(273+D9))), 0.000304*EXP(-5580/(1.987*(273+D9)))*199000000000000000*EXP(680/(1.987*(273+D9))))</f>
        <v>261532741027.58316</v>
      </c>
      <c r="BG9" s="31">
        <f t="shared" si="7"/>
        <v>287216907620.47778</v>
      </c>
      <c r="BH9" s="31">
        <f t="shared" si="4"/>
        <v>4.3167574137291486E-16</v>
      </c>
      <c r="BI9" s="31"/>
      <c r="BJ9" s="31"/>
      <c r="BK9" s="31"/>
      <c r="BL9" s="31"/>
      <c r="BM9" s="31"/>
      <c r="BN9" s="111">
        <f>BN8-R8</f>
        <v>7.2623003005952605E-2</v>
      </c>
      <c r="BO9" s="112">
        <f>BO8+S8</f>
        <v>1.2879227825012182E-2</v>
      </c>
      <c r="BP9" s="23">
        <f>R9+BN10-BN9</f>
        <v>0.54972141210044234</v>
      </c>
      <c r="BQ9" s="23">
        <f>2*(((BO9/2)^2+(BO10/2)^2+(S9/2)^2)^(0.5))</f>
        <v>1.6048764198592941E-2</v>
      </c>
      <c r="BR9" s="72">
        <f>100*(BP9-R9)/R9</f>
        <v>1.0175342731396118</v>
      </c>
      <c r="BS9" s="72"/>
      <c r="BT9" s="31"/>
      <c r="BU9" s="31"/>
      <c r="BV9" s="114">
        <f>BV8*EXP(-BB8*BH8*E8*60*0.91357457380209)*EXP(-(M8-1560)*$CW$126*$BH$48*0.91357457380209)</f>
        <v>1.1376442977272803E-3</v>
      </c>
      <c r="BW9" s="116">
        <f>2*SQRT(
((BW8/2) * EXP(-BB8 * BH8 * E8 * 60 * 0.91357457380209) * EXP(-(M8 - 1560) * $CW$126 * $BH$48 * 0.91357457380209))^2 +
(BC8 * (-BV8 * BH8 * E8 * 60 * 0.91357457380209 * EXP(-BB8 * BH8 * E8 * 60 * 0.91357457380209) * EXP(-(M8 - 1560) * $CW$126 * $BH$48 * 0.91357457380209)))^2 +
((0.146030972937065 / 2) * BV8 * (-BB8 * BH8 * E8 * 60 - (M8 - 1560) * $CW$126 * $BH$48) * EXP(-BB8 * BH8 * E8 * 60 * 0.91357457380209) * EXP(-(M8 - 1560) * $CW$126 * $BH$48 * 0.91357457380209))^2 +
-(M8-1560)*$BH$48*0.91357457380209*BV8*EXP(-BB8*BH8*E8*60*0.91357457380209)*EXP(-(M8-1560)*$CW$126*$BH$48*0.91357457380209))</f>
        <v>5.2956058337099647E-4</v>
      </c>
      <c r="BX9" s="23">
        <f>Y9+BV10-BV9</f>
        <v>2.8060077868746737E-2</v>
      </c>
      <c r="BY9" s="23">
        <f>2*(((BW9/2)^2+(BW10/2)^2+(Z9/2)^2)^(0.5))</f>
        <v>5.5219516277044472E-3</v>
      </c>
      <c r="BZ9" s="72">
        <f>100*(BX9-Y9)/Y9</f>
        <v>11.315468857439237</v>
      </c>
      <c r="CA9" s="140">
        <f>R9*CC9</f>
        <v>0.22263472860867081</v>
      </c>
      <c r="CB9" s="31">
        <f>BH9*BG9*J9</f>
        <v>3.4442913971563418</v>
      </c>
      <c r="CC9" s="31">
        <f>1/(CB9-1)</f>
        <v>0.40911652398048265</v>
      </c>
      <c r="CD9" s="31">
        <f>CF9*T9</f>
        <v>1.4261752939396678E-2</v>
      </c>
      <c r="CE9" s="31">
        <f>BH9*BF9*J9</f>
        <v>3.1362881017656283</v>
      </c>
      <c r="CF9" s="31">
        <f>1/(CE9-1)</f>
        <v>0.46810165687554334</v>
      </c>
      <c r="CG9" s="31"/>
      <c r="CH9" s="31"/>
      <c r="CI9" s="31"/>
      <c r="CJ9" s="31"/>
      <c r="CK9" s="31">
        <f>CE9*1.29</f>
        <v>4.0458116512776607</v>
      </c>
      <c r="CL9" s="31"/>
      <c r="CM9" s="31">
        <f>1000*T9/R9</f>
        <v>55.986954069461909</v>
      </c>
      <c r="CN9" s="31"/>
      <c r="CO9" s="31"/>
      <c r="CP9" s="31"/>
      <c r="CQ9" s="31"/>
      <c r="CR9" s="31"/>
      <c r="CS9" s="31"/>
    </row>
    <row r="10" spans="1:100" x14ac:dyDescent="0.3">
      <c r="A10" t="s">
        <v>11</v>
      </c>
      <c r="B10" t="s">
        <v>12</v>
      </c>
      <c r="C10" s="1">
        <v>45324.597222222219</v>
      </c>
      <c r="D10">
        <v>95.389999999999901</v>
      </c>
      <c r="E10">
        <f t="shared" si="0"/>
        <v>150</v>
      </c>
      <c r="G10" s="2">
        <v>6.87</v>
      </c>
      <c r="H10" s="2">
        <v>0</v>
      </c>
      <c r="I10" s="2">
        <v>0.32600000000000001</v>
      </c>
      <c r="J10">
        <v>9000</v>
      </c>
      <c r="K10">
        <v>65932.548999999999</v>
      </c>
      <c r="L10">
        <f t="shared" si="2"/>
        <v>67319.999999413267</v>
      </c>
      <c r="M10">
        <f t="shared" si="3"/>
        <v>58319.999999413267</v>
      </c>
      <c r="N10" s="65"/>
      <c r="O10">
        <v>6.2327766615566504E-3</v>
      </c>
      <c r="P10">
        <v>2.5824354585140898E-2</v>
      </c>
      <c r="R10">
        <v>4.2819175664894203E-2</v>
      </c>
      <c r="S10">
        <v>7.8537599192450797E-4</v>
      </c>
      <c r="T10">
        <v>8.4187395947559595E-3</v>
      </c>
      <c r="U10" s="2">
        <v>3.2756365185960901E-5</v>
      </c>
      <c r="V10" s="2"/>
      <c r="Y10" s="2"/>
      <c r="Z10" s="2"/>
      <c r="AA10" s="2"/>
      <c r="AB10" s="2"/>
      <c r="AQ10" s="2">
        <f>SUM(BP$5:$BP10)</f>
        <v>1.709452620528715</v>
      </c>
      <c r="AR10" s="2" cm="1">
        <f t="array" ref="AR10">2*SQRT(SUM((BQ$5:$BQ10/2)^2))</f>
        <v>3.0780175761964776E-2</v>
      </c>
      <c r="AS10" s="2">
        <f>SUM($BX$5:BX10)</f>
        <v>4.4930731526825973E-2</v>
      </c>
      <c r="AT10" s="2" cm="1">
        <f t="array" ref="AT10">2*SQRT(SUM(($BY$5:BY10/2)^2))</f>
        <v>7.9268276664281653E-3</v>
      </c>
      <c r="AU10" s="2">
        <f t="shared" si="8"/>
        <v>1.6669379716910331</v>
      </c>
      <c r="AV10" s="2"/>
      <c r="AW10" s="2">
        <f t="shared" si="9"/>
        <v>7.4384561139515817E-2</v>
      </c>
      <c r="AX10" s="2"/>
      <c r="AZ10" s="2">
        <f>'Naive Apparent Lambdas'!$U$2*(10000/(D10+273))+'Naive Apparent Lambdas'!$V$2</f>
        <v>25.287672303491295</v>
      </c>
      <c r="BA10">
        <f>'Naive Apparent Lambdas'!$V$4</f>
        <v>6.7480704157997479E-2</v>
      </c>
      <c r="BB10" s="2">
        <f t="shared" si="1"/>
        <v>96005594570.406982</v>
      </c>
      <c r="BC10" s="2">
        <f t="shared" si="5"/>
        <v>6478525124.7182827</v>
      </c>
      <c r="BD10" s="2">
        <f>BB10*(D10+273)*$D$145*$F$144</f>
        <v>3.370263180504592E-5</v>
      </c>
      <c r="BE10" s="2"/>
      <c r="BF10" s="31">
        <f t="shared" si="6"/>
        <v>74907986283.340973</v>
      </c>
      <c r="BG10" s="31">
        <f t="shared" si="7"/>
        <v>81076604496.592361</v>
      </c>
      <c r="BH10" s="2">
        <f t="shared" si="4"/>
        <v>3.5104862332090079E-16</v>
      </c>
      <c r="BI10" s="2"/>
      <c r="BJ10" s="2">
        <f>R10/(1-EXP(-E10*60*BD10))</f>
        <v>0.1636568781429017</v>
      </c>
      <c r="BK10" s="2">
        <f>2*SQRT(
((S10/2) * (1 / (1 - EXP(-E10 * 60 * BB10 * BH10))))^2 +
(BC10 * (-R10 * 60 * E10 * BH10 * EXP(-E10 * 60 * BB10 * BH10) / (1 - EXP(-E10 * 60 * BB10 * BH10))^2))^2
)</f>
        <v>1.9143444989513619E-2</v>
      </c>
      <c r="BL10" s="2">
        <f>R10/(1-EXP(-E10*60*BB10*BH10)*EXP(-(M10-1560)*$CW$126*$BH$122))</f>
        <v>8.357653751417321E-2</v>
      </c>
      <c r="BM10" s="2">
        <f>2*SQRT(
((S10/2) * (1 / (1 - EXP(-E10 * 60 * BB10 * BH10) * EXP(-(M10 - 1560) * $CW$126 * $BH$48))))^2 +
(BC10 * (-R10 * 60 * E10 * BH10 * EXP(-E10 * 60 * BB10 * BH10) / ((1 - EXP(-E10 * 60 * BB10 * BH10) * EXP(-(M10 - 1560) * $CW$126 * $BH$48))^2)))^2 +
($CX$126 * (-R10 * (M10 - 1560) * $BH$48 * EXP(-(M10 - 1560) * $CW$126 * $BH$48) / ((1 - EXP(-E10 * 60 * BB10 * BH10) * EXP(-(M10 - 1560) * $CW$126 * $BH$48))^2)))^2
)</f>
        <v>1.4258044966472238E-2</v>
      </c>
      <c r="BN10" s="113">
        <f>BN11+R10</f>
        <v>7.8160263259983917E-2</v>
      </c>
      <c r="BO10" s="115">
        <f>BO11+S10</f>
        <v>4.9292849630535613E-3</v>
      </c>
      <c r="BP10" s="22"/>
      <c r="BQ10" s="22"/>
      <c r="BT10" s="123">
        <f>BN10*(Y9/R9)*1.10204926384627</f>
        <v>3.9900145973822158E-3</v>
      </c>
      <c r="BU10" s="123">
        <f>2*(((BO10/2)*1.10204926384627*(AB9/(1000)))^2+((AC9/2000)*1.10204926384627*BN10)^2+((0.187040260207234/2)*BN10*(AB9/(1000)))^2)^0.5</f>
        <v>1.1185295369623713E-3</v>
      </c>
      <c r="BV10" s="124">
        <f>BT10</f>
        <v>3.9900145973822158E-3</v>
      </c>
      <c r="BW10" s="125">
        <f>BU10</f>
        <v>1.1185295369623713E-3</v>
      </c>
      <c r="BX10" s="22"/>
      <c r="BY10" s="22"/>
      <c r="CA10" s="141">
        <f t="shared" ref="CA10:CA12" si="12">CA9*(EXP(-BH10*BG10*E10))*(EXP(-$BG$140*$F$144*D149*(24+273)*M10))</f>
        <v>0.22168626589040305</v>
      </c>
      <c r="CB10" s="34"/>
      <c r="CC10" s="34"/>
      <c r="CD10" s="34">
        <f t="shared" ref="CD10:CD12" si="13">CD9*(EXP(-BH10*BF10*E10))*(EXP(-$BF$140*$F$144*D149*(24+273)*M10))</f>
        <v>1.4205608943508962E-2</v>
      </c>
      <c r="CE10" s="2"/>
      <c r="CF10" s="2"/>
      <c r="CS10" s="2"/>
    </row>
    <row r="11" spans="1:100" s="32" customFormat="1" x14ac:dyDescent="0.3">
      <c r="A11" s="32" t="s">
        <v>13</v>
      </c>
      <c r="B11" s="32" t="s">
        <v>14</v>
      </c>
      <c r="C11" s="33">
        <v>45324.719444444447</v>
      </c>
      <c r="D11" s="32">
        <v>95</v>
      </c>
      <c r="E11" s="32">
        <f t="shared" si="0"/>
        <v>150</v>
      </c>
      <c r="F11" s="32" t="s">
        <v>286</v>
      </c>
      <c r="G11" s="34">
        <v>1.46</v>
      </c>
      <c r="H11" s="34">
        <v>0</v>
      </c>
      <c r="I11" s="34">
        <v>2.9600000000000001E-2</v>
      </c>
      <c r="J11" s="32">
        <v>9000</v>
      </c>
      <c r="K11" s="32">
        <v>9038.848</v>
      </c>
      <c r="L11" s="32">
        <f t="shared" si="2"/>
        <v>10560.000000474975</v>
      </c>
      <c r="M11" s="32">
        <f t="shared" si="3"/>
        <v>1560.0000004749745</v>
      </c>
      <c r="N11" s="65"/>
      <c r="O11" s="32">
        <v>6.2480448958466498E-3</v>
      </c>
      <c r="P11" s="32">
        <v>2.5854017564152201E-2</v>
      </c>
      <c r="R11" s="32">
        <v>9.1221455479361096E-3</v>
      </c>
      <c r="S11" s="34">
        <v>1.6709173124304199E-4</v>
      </c>
      <c r="T11" s="32">
        <v>7.6527891989890497E-4</v>
      </c>
      <c r="U11" s="34">
        <v>2.9757551386621998E-6</v>
      </c>
      <c r="V11" s="34"/>
      <c r="Y11" s="34"/>
      <c r="Z11" s="34"/>
      <c r="AA11" s="34"/>
      <c r="AB11" s="34"/>
      <c r="AF11" s="69"/>
      <c r="AQ11" s="34">
        <f>SUM(BP$5:$BP11)</f>
        <v>1.709452620528715</v>
      </c>
      <c r="AR11" s="34" cm="1">
        <f t="array" ref="AR11">2*SQRT(SUM((BQ$5:$BQ11/2)^2))</f>
        <v>3.0780175761964776E-2</v>
      </c>
      <c r="AS11" s="34">
        <f>SUM($BX$5:BX11)</f>
        <v>4.4930731526825973E-2</v>
      </c>
      <c r="AT11" s="34" cm="1">
        <f t="array" ref="AT11">2*SQRT(SUM(($BY$5:BY11/2)^2))</f>
        <v>7.9268276664281653E-3</v>
      </c>
      <c r="AU11" s="34">
        <f t="shared" si="8"/>
        <v>1.6760601172389691</v>
      </c>
      <c r="AV11" s="34"/>
      <c r="AW11" s="34">
        <f t="shared" si="9"/>
        <v>7.5149840059414719E-2</v>
      </c>
      <c r="AX11" s="34"/>
      <c r="AY11" s="69"/>
      <c r="AZ11" s="34">
        <f>'Naive Apparent Lambdas'!$U$2*(10000/(D11+273))+'Naive Apparent Lambdas'!$V$2</f>
        <v>25.272915712407681</v>
      </c>
      <c r="BA11" s="32">
        <f>'Naive Apparent Lambdas'!$V$4</f>
        <v>6.7480704157997479E-2</v>
      </c>
      <c r="BB11" s="34">
        <f t="shared" si="1"/>
        <v>94599280986.297607</v>
      </c>
      <c r="BC11" s="34">
        <f t="shared" si="5"/>
        <v>6383626093.7956247</v>
      </c>
      <c r="BD11" s="34">
        <f>BB11*(D11+273)*$D$145*$F$144</f>
        <v>3.3173790351308016E-5</v>
      </c>
      <c r="BE11" s="34"/>
      <c r="BF11" s="31">
        <f t="shared" si="6"/>
        <v>74378450025.067627</v>
      </c>
      <c r="BG11" s="31">
        <f t="shared" si="7"/>
        <v>80496818032.103622</v>
      </c>
      <c r="BH11" s="34">
        <f t="shared" si="4"/>
        <v>3.5067698195415599E-16</v>
      </c>
      <c r="BI11" s="34"/>
      <c r="BJ11" s="34">
        <f>R11/(1-EXP(-E11*60*BD11))</f>
        <v>3.5341087595089714E-2</v>
      </c>
      <c r="BK11" s="34">
        <f>2*SQRT(
((S11/2) * (1 / (1 - EXP(-E11 * 60 * BB11 * BH11))))^2 +
(BC11 * (-R11 * 60 * E11 * BH11 * EXP(-E11 * 60 * BB11 * BH11) / (1 - EXP(-E11 * 60 * BB11 * BH11))^2))^2
)</f>
        <v>4.143908971129053E-3</v>
      </c>
      <c r="BL11" s="34">
        <f>R11/(1-EXP(-E11*60*BB11*BH11)*EXP(-(M11-1560)*$CW$126*$BH$122))</f>
        <v>3.5341087594737128E-2</v>
      </c>
      <c r="BM11" s="34">
        <f>2*SQRT(
((S11/2) * (1 / (1 - EXP(-E11 * 60 * BB11 * BH11) * EXP(-(M11 - 1560) * $CW$126 * $BH$48))))^2 +
(BC11 * (-R11 * 60 * E11 * BH11 * EXP(-E11 * 60 * BB11 * BH11) / ((1 - EXP(-E11 * 60 * BB11 * BH11) * EXP(-(M11 - 1560) * $CW$126 * $BH$48))^2)))^2 +
($CX$126 * (-R11 * (M11 - 1560) * $BH$48 * EXP(-(M11 - 1560) * $CW$126 * $BH$48) / ((1 - EXP(-E11 * 60 * BB11 * BH11) * EXP(-(M11 - 1560) * $CW$126 * $BH$48))^2)))^2
)</f>
        <v>4.143908971047377E-3</v>
      </c>
      <c r="BN11" s="55">
        <f>BJ11</f>
        <v>3.5341087595089714E-2</v>
      </c>
      <c r="BO11" s="100">
        <f>BK11</f>
        <v>4.143908971129053E-3</v>
      </c>
      <c r="BP11" s="24"/>
      <c r="BQ11" s="24"/>
      <c r="BR11" s="73"/>
      <c r="BS11" s="73"/>
      <c r="BT11" s="34"/>
      <c r="BU11" s="34"/>
      <c r="BV11" s="54">
        <f>BV10*EXP(-BB10*BH10*E10*60*0.91357457380209)*EXP(-(M10-1560)*$CW$126*$BH$48*0.91357457380209)</f>
        <v>2.0703815588893962E-3</v>
      </c>
      <c r="BW11" s="99">
        <f>2*SQRT(
((BW10/2) * EXP(-BB10 * BH10 * E10 * 60 * 0.91357457380209) * EXP(-(M10 - 1560) * $CW$126 * $BH$48 * 0.91357457380209))^2 +
(BC10 * (-BV10 * BH10 * E10 * 60 * 0.91357457380209 * EXP(-BB10 * BH10 * E10 * 60 * 0.91357457380209) * EXP(-(M10 - 1560) * $CW$126 * $BH$48 * 0.91357457380209)))^2 +
((0.146030972937065 / 2) * BV10 * (-BB10 * BH10 * E10 * 60 - (M10 - 1560) * $CW$126 * $BH$48) * EXP(-BB10 * BH10 * E10 * 60 * 0.91357457380209) * EXP(-(M10 - 1560) * $CW$126 * $BH$48 * 0.91357457380209))^2 +
-(M10-1560)*$BH$48*0.91357457380209*BV10*EXP(-BB10*BH10*E10*60*0.91357457380209)*EXP(-(M10-1560)*$CW$126*$BH$48*0.91357457380209))</f>
        <v>6.2449460878693261E-4</v>
      </c>
      <c r="BX11" s="24"/>
      <c r="BY11" s="24"/>
      <c r="BZ11" s="73"/>
      <c r="CA11" s="141">
        <f t="shared" si="12"/>
        <v>0.220749573724458</v>
      </c>
      <c r="CB11" s="34"/>
      <c r="CC11" s="34"/>
      <c r="CD11" s="34">
        <f t="shared" si="13"/>
        <v>1.4150139194132058E-2</v>
      </c>
      <c r="CE11" s="34"/>
      <c r="CF11" s="34"/>
      <c r="CG11" s="34"/>
      <c r="CH11" s="34"/>
      <c r="CI11" s="34"/>
      <c r="CJ11" s="34"/>
      <c r="CK11" s="34"/>
      <c r="CL11" s="34"/>
      <c r="CM11" s="34"/>
      <c r="CN11" s="34"/>
      <c r="CO11" s="34"/>
      <c r="CP11" s="34"/>
      <c r="CQ11" s="34"/>
      <c r="CR11" s="34"/>
      <c r="CS11" s="34"/>
    </row>
    <row r="12" spans="1:100" x14ac:dyDescent="0.3">
      <c r="A12" t="s">
        <v>15</v>
      </c>
      <c r="B12" t="s">
        <v>16</v>
      </c>
      <c r="C12" s="1">
        <v>45324.842361111114</v>
      </c>
      <c r="D12">
        <v>95</v>
      </c>
      <c r="E12">
        <f t="shared" si="0"/>
        <v>150</v>
      </c>
      <c r="G12" s="2">
        <v>0.95499999999999996</v>
      </c>
      <c r="H12" s="2">
        <v>0</v>
      </c>
      <c r="I12" s="2">
        <v>0.255</v>
      </c>
      <c r="J12">
        <v>9000</v>
      </c>
      <c r="K12">
        <v>9037.7240000000002</v>
      </c>
      <c r="L12">
        <f t="shared" si="2"/>
        <v>10620.00000004191</v>
      </c>
      <c r="M12">
        <f t="shared" si="3"/>
        <v>1620.0000000419095</v>
      </c>
      <c r="N12" s="65"/>
      <c r="O12">
        <v>6.25053522444284E-3</v>
      </c>
      <c r="P12">
        <v>2.5860776950321698E-2</v>
      </c>
      <c r="R12">
        <v>5.9692611393429096E-3</v>
      </c>
      <c r="S12" s="2">
        <v>1.0929331427631799E-4</v>
      </c>
      <c r="T12">
        <v>6.5944981223320298E-3</v>
      </c>
      <c r="U12" s="2">
        <v>2.5712037153408399E-5</v>
      </c>
      <c r="V12" s="2"/>
      <c r="Y12" s="2"/>
      <c r="Z12" s="2"/>
      <c r="AA12" s="2"/>
      <c r="AB12" s="2"/>
      <c r="AQ12" s="2">
        <f>SUM(BP$5:$BP12)</f>
        <v>1.709452620528715</v>
      </c>
      <c r="AR12" s="2" cm="1">
        <f t="array" ref="AR12">2*SQRT(SUM((BQ$5:$BQ12/2)^2))</f>
        <v>3.0780175761964776E-2</v>
      </c>
      <c r="AS12" s="2">
        <f>SUM($BX$5:BX12)</f>
        <v>4.4930731526825973E-2</v>
      </c>
      <c r="AT12" s="2" cm="1">
        <f t="array" ref="AT12">2*SQRT(SUM(($BY$5:BY12/2)^2))</f>
        <v>7.9268276664281653E-3</v>
      </c>
      <c r="AU12" s="2">
        <f t="shared" si="8"/>
        <v>1.682029378378312</v>
      </c>
      <c r="AV12" s="2"/>
      <c r="AW12" s="2">
        <f t="shared" si="9"/>
        <v>8.1744338181746742E-2</v>
      </c>
      <c r="AX12" s="2"/>
      <c r="AZ12" s="2">
        <f>'Naive Apparent Lambdas'!$U$2*(10000/(D12+273))+'Naive Apparent Lambdas'!$V$2</f>
        <v>25.272915712407681</v>
      </c>
      <c r="BA12">
        <f>'Naive Apparent Lambdas'!$V$4</f>
        <v>6.7480704157997479E-2</v>
      </c>
      <c r="BB12" s="2">
        <f t="shared" si="1"/>
        <v>94599280986.297607</v>
      </c>
      <c r="BC12" s="2">
        <f t="shared" si="5"/>
        <v>6383626093.7956247</v>
      </c>
      <c r="BD12" s="2">
        <f>BB12*(D12+273)*$D$145*$F$144</f>
        <v>3.3173790351308016E-5</v>
      </c>
      <c r="BE12" s="2"/>
      <c r="BF12" s="31">
        <f t="shared" si="6"/>
        <v>74378450025.067627</v>
      </c>
      <c r="BG12" s="31">
        <f t="shared" si="7"/>
        <v>80496818032.103622</v>
      </c>
      <c r="BH12" s="2">
        <f t="shared" si="4"/>
        <v>3.5067698195415599E-16</v>
      </c>
      <c r="BI12" s="2"/>
      <c r="BJ12" s="2">
        <f>R12/(1-EXP(-E12*60*BD12))</f>
        <v>2.3126158171332036E-2</v>
      </c>
      <c r="BK12" s="2">
        <f>2*SQRT(
((S12/2) * (1 / (1 - EXP(-E12 * 60 * BB12 * BH12))))^2 +
(BC12 * (-R12 * 60 * E12 * BH12 * EXP(-E12 * 60 * BB12 * BH12) / (1 - EXP(-E12 * 60 * BB12 * BH12))^2))^2
)</f>
        <v>2.7116227975037405E-3</v>
      </c>
      <c r="BL12" s="2">
        <f>R12/(1-EXP(-E12*60*BB12*BH12)*EXP(-(M12-1560)*$CW$126*$BH$122))</f>
        <v>2.3097055693065596E-2</v>
      </c>
      <c r="BM12" s="2">
        <f>2*SQRT(
((S12/2) * (1 / (1 - EXP(-E12 * 60 * BB12 * BH12) * EXP(-(M12 - 1560) * $CW$126 * $BH$48))))^2 +
(BC12 * (-R12 * 60 * E12 * BH12 * EXP(-E12 * 60 * BB12 * BH12) / ((1 - EXP(-E12 * 60 * BB12 * BH12) * EXP(-(M12 - 1560) * $CW$126 * $BH$48))^2)))^2 +
($CX$126 * (-R12 * (M12 - 1560) * $BH$48 * EXP(-(M12 - 1560) * $CW$126 * $BH$48) / ((1 - EXP(-E12 * 60 * BB12 * BH12) * EXP(-(M12 - 1560) * $CW$126 * $BH$48))^2)))^2
)</f>
        <v>2.7049105893559512E-3</v>
      </c>
      <c r="BN12" s="54">
        <f>BN11*EXP(-BD11*E11*60)</f>
        <v>2.6218942047153609E-2</v>
      </c>
      <c r="BO12" s="99">
        <f>2*((((BO11/2)*EXP(-BD11*E11*60))^2+(BN11*EXP(-BD11*E11*60)*E11*60*BC11*BD11/BB11)^2)^0.5)</f>
        <v>3.2507602049069843E-3</v>
      </c>
      <c r="BP12" s="22"/>
      <c r="BQ12" s="22"/>
      <c r="BT12" s="2"/>
      <c r="BU12" s="2"/>
      <c r="BV12" s="54">
        <f>BV11*EXP(-BB11*BH11*E11*60*0.91357457380209)*EXP(-(M11-1560)*$CW$126*$BH$48*0.91357457380209)</f>
        <v>1.5761297800918645E-3</v>
      </c>
      <c r="BW12" s="99">
        <f>2*SQRT(
((BW11/2) * EXP(-BB11 * BH11 * E11 * 60 * 0.91357457380209) * EXP(-(M11 - 1560) * $CW$126 * $BH$48 * 0.91357457380209))^2 +
(BC11 * (-BV11 * BH11 * E11 * 60 * 0.91357457380209 * EXP(-BB11 * BH11 * E11 * 60 * 0.91357457380209) * EXP(-(M11 - 1560) * $CW$126 * $BH$48 * 0.91357457380209)))^2 +
((0.146030972937065 / 2) * BV11 * (-BB11 * BH11 * E11 * 60 - (M11 - 1560) * $CW$126 * $BH$48) * EXP(-BB11 * BH11 * E11 * 60 * 0.91357457380209) * EXP(-(M11 - 1560) * $CW$126 * $BH$48 * 0.91357457380209))^2 +
-(M11-1560)*$BH$48*0.91357457380209*BV11*EXP(-BB11*BH11*E11*60*0.91357457380209)*EXP(-(M11-1560)*$CW$126*$BH$48*0.91357457380209))</f>
        <v>4.8384436544910179E-4</v>
      </c>
      <c r="BX12" s="22"/>
      <c r="BY12" s="22"/>
      <c r="CA12" s="141">
        <f t="shared" si="12"/>
        <v>0.21981683936893578</v>
      </c>
      <c r="CB12" s="34"/>
      <c r="CC12" s="34"/>
      <c r="CD12" s="34">
        <f t="shared" si="13"/>
        <v>1.4094886041812568E-2</v>
      </c>
      <c r="CE12" s="2"/>
      <c r="CF12" s="2"/>
      <c r="CS12" s="2"/>
    </row>
    <row r="13" spans="1:100" s="29" customFormat="1" x14ac:dyDescent="0.3">
      <c r="A13" s="29" t="s">
        <v>17</v>
      </c>
      <c r="B13" s="29" t="s">
        <v>18</v>
      </c>
      <c r="C13" s="30">
        <v>45325.242361111108</v>
      </c>
      <c r="D13" s="29">
        <v>190</v>
      </c>
      <c r="E13" s="29">
        <f t="shared" si="0"/>
        <v>550</v>
      </c>
      <c r="F13" s="29" t="s">
        <v>289</v>
      </c>
      <c r="G13" s="31">
        <v>85.1</v>
      </c>
      <c r="H13" s="31">
        <v>0</v>
      </c>
      <c r="I13" s="31">
        <v>2.16</v>
      </c>
      <c r="J13" s="29">
        <v>33000</v>
      </c>
      <c r="K13" s="29">
        <v>33053.235999999997</v>
      </c>
      <c r="L13" s="29">
        <f t="shared" si="2"/>
        <v>34559.999999497086</v>
      </c>
      <c r="M13" s="29">
        <f t="shared" si="3"/>
        <v>1559.9999994970858</v>
      </c>
      <c r="N13" s="65"/>
      <c r="O13" s="29">
        <v>6.2185856468089098E-3</v>
      </c>
      <c r="P13" s="29">
        <v>2.5819672131147501E-2</v>
      </c>
      <c r="R13" s="29">
        <v>0.52920163854343805</v>
      </c>
      <c r="S13" s="29">
        <v>9.7007569772466894E-3</v>
      </c>
      <c r="T13" s="29">
        <v>5.5770491803278699E-2</v>
      </c>
      <c r="U13" s="31">
        <v>2.3349086225683501E-4</v>
      </c>
      <c r="V13" s="31"/>
      <c r="W13" s="31">
        <f>(1000*T13/R13)/$AG$140</f>
        <v>0.10562691996219435</v>
      </c>
      <c r="X13" s="31"/>
      <c r="Y13" s="31">
        <f>T13-AVERAGE(T14:T16)</f>
        <v>5.2428438395142891E-2</v>
      </c>
      <c r="Z13" s="31">
        <f>U13+AVERAGE(T14:T16)</f>
        <v>3.5755442703926449E-3</v>
      </c>
      <c r="AA13" s="31"/>
      <c r="AB13" s="31">
        <f>(Y13*1000)/R13</f>
        <v>99.070816446157792</v>
      </c>
      <c r="AC13" s="31">
        <f>2*((1000*Z13/(2*R13))^2+((S13/2)*1000*Y13/(R13^2))^2)^0.5</f>
        <v>6.9962988457558204</v>
      </c>
      <c r="AD13" s="31">
        <f>AB13/$AG$140</f>
        <v>9.9297214118901314E-2</v>
      </c>
      <c r="AE13" s="31">
        <f>2*(($AH$140*AB13/(2*$AG$140^2))^2+(AC13/($AG$140*2))^2)^0.5</f>
        <v>7.0921291475392074E-3</v>
      </c>
      <c r="AF13" s="69"/>
      <c r="AG13" s="31" cm="1">
        <f t="array" ref="AG13:AH13">BP13:BQ13</f>
        <v>0.57769844141977533</v>
      </c>
      <c r="AH13" s="29">
        <v>1.2950250979173785E-2</v>
      </c>
      <c r="AI13" s="31" cm="1">
        <f t="array" ref="AI13:AJ13">BX13:BY13</f>
        <v>5.8647695838783022E-2</v>
      </c>
      <c r="AJ13" s="29">
        <v>3.947823203721809E-3</v>
      </c>
      <c r="AL13" s="31">
        <f>1000*AI13/AG13</f>
        <v>101.51956736225226</v>
      </c>
      <c r="AM13" s="31">
        <f>2*((AH13*1000*AI13/(2*AG13^2))^2+(1000*AJ13/(AG13*2))^2)^0.5</f>
        <v>7.2026851279350046</v>
      </c>
      <c r="AN13" s="31">
        <f>AL13/$AG$140</f>
        <v>0.10175156094636928</v>
      </c>
      <c r="AO13" s="31">
        <f>2*(($AH$140*AL13/(2*$AG$140^2))^2+(AM13/($AG$140*2))^2)^0.5</f>
        <v>7.3005847447699668E-3</v>
      </c>
      <c r="AP13" s="31"/>
      <c r="AQ13" s="31">
        <f>SUM(BP$5:$BP13)</f>
        <v>2.2871510619484905</v>
      </c>
      <c r="AR13" s="31" cm="1">
        <f t="array" ref="AR13">2*SQRT(SUM((BQ$5:$BQ13/2)^2))</f>
        <v>3.3393535607375201E-2</v>
      </c>
      <c r="AS13" s="31">
        <f>SUM($BX$5:BX13)</f>
        <v>0.10357842736560899</v>
      </c>
      <c r="AT13" s="31" cm="1">
        <f t="array" ref="AT13">2*SQRT(SUM(($BY$5:BY13/2)^2))</f>
        <v>8.8555013918521462E-3</v>
      </c>
      <c r="AU13" s="31">
        <f t="shared" si="8"/>
        <v>2.2112310169217499</v>
      </c>
      <c r="AV13" s="31"/>
      <c r="AW13" s="31">
        <f t="shared" si="9"/>
        <v>0.13751482998502546</v>
      </c>
      <c r="AX13" s="31"/>
      <c r="AY13" s="69"/>
      <c r="AZ13" s="31"/>
      <c r="BB13" s="31"/>
      <c r="BC13" s="31"/>
      <c r="BD13" s="31"/>
      <c r="BE13" s="31"/>
      <c r="BF13" s="31">
        <f t="shared" si="6"/>
        <v>294163452008.49536</v>
      </c>
      <c r="BG13" s="31">
        <f t="shared" si="7"/>
        <v>323494308271.20679</v>
      </c>
      <c r="BH13" s="31">
        <f t="shared" si="4"/>
        <v>4.4120500718688645E-16</v>
      </c>
      <c r="BI13" s="31"/>
      <c r="BJ13" s="31"/>
      <c r="BK13" s="31"/>
      <c r="BL13" s="31"/>
      <c r="BM13" s="31"/>
      <c r="BN13" s="114">
        <f>BN12*EXP(-BD12*E12*60)</f>
        <v>1.9451379933409615E-2</v>
      </c>
      <c r="BO13" s="116">
        <f>2*((((BO12/2)*EXP(-BD12*E12*60))^2+(BN12*EXP(-BD12*E12*60)*E12*60*BC12*BD12/BB12)^2)^0.5)</f>
        <v>2.5358499189087171E-3</v>
      </c>
      <c r="BP13" s="23">
        <f>R13+BN14-BN13</f>
        <v>0.57769844141977533</v>
      </c>
      <c r="BQ13" s="23">
        <f>2*(((BO13/2)^2+(BO14/2)^2+(S13/2)^2)^(0.5))</f>
        <v>1.2950250979173785E-2</v>
      </c>
      <c r="BR13" s="72">
        <f>100*(BP13-R13)/R13</f>
        <v>9.1641445045065861</v>
      </c>
      <c r="BS13" s="72"/>
      <c r="BT13" s="31"/>
      <c r="BU13" s="31"/>
      <c r="BV13" s="114">
        <f>BV12*EXP(-BB12*BH12*E12*60*0.91357457380209)*EXP(-(M12-1560)*$CW$126*$BH$48*0.91357457380209)</f>
        <v>1.1993876904922865E-3</v>
      </c>
      <c r="BW13" s="116">
        <f>2*SQRT(
((BW12/2) * EXP(-BB12 * BH12 * E12 * 60 * 0.91357457380209) * EXP(-(M12 - 1560) * $CW$126 * $BH$48 * 0.91357457380209))^2 +
(BC12 * (-BV12 * BH12 * E12 * 60 * 0.91357457380209 * EXP(-BB12 * BH12 * E12 * 60 * 0.91357457380209) * EXP(-(M12 - 1560) * $CW$126 * $BH$48 * 0.91357457380209)))^2 +
((0.146030972937065 / 2) * BV12 * (-BB12 * BH12 * E12 * 60 - (M12 - 1560) * $CW$126 * $BH$48) * EXP(-BB12 * BH12 * E12 * 60 * 0.91357457380209) * EXP(-(M12 - 1560) * $CW$126 * $BH$48 * 0.91357457380209))^2 +
-(M12-1560)*$BH$48*0.91357457380209*BV12*EXP(-BB12*BH12*E12*60*0.91357457380209)*EXP(-(M12-1560)*$CW$126*$BH$48*0.91357457380209))</f>
        <v>3.7450857922360448E-4</v>
      </c>
      <c r="BX13" s="23">
        <f>Y13+BV14-BV13</f>
        <v>5.8647695838783022E-2</v>
      </c>
      <c r="BY13" s="23">
        <f>2*(((BW13/2)^2+(BW14/2)^2+(Z13/2)^2)^(0.5))</f>
        <v>3.947823203721809E-3</v>
      </c>
      <c r="BZ13" s="72">
        <f>100*(BX13-Y13)/Y13</f>
        <v>11.862373997804022</v>
      </c>
      <c r="CA13" s="140">
        <f>R13*CC13</f>
        <v>0.1426419055679381</v>
      </c>
      <c r="CB13" s="31">
        <f>BH13*BG13*J13</f>
        <v>4.7100011839885836</v>
      </c>
      <c r="CC13" s="31">
        <f>1/(CB13-1)</f>
        <v>0.26954169295571773</v>
      </c>
      <c r="CD13" s="31">
        <f>CF13*T13</f>
        <v>1.6987915797927026E-2</v>
      </c>
      <c r="CE13" s="31">
        <f>BH13*BF13*J13</f>
        <v>4.2829508025984078</v>
      </c>
      <c r="CF13" s="31">
        <f>1/(CE13-1)</f>
        <v>0.30460401636494661</v>
      </c>
      <c r="CG13" s="31"/>
      <c r="CH13" s="31"/>
      <c r="CI13" s="31"/>
      <c r="CJ13" s="31"/>
      <c r="CK13" s="31">
        <f>CE13*1.29</f>
        <v>5.5250065353519462</v>
      </c>
      <c r="CL13" s="31"/>
      <c r="CM13" s="31">
        <f>1000*T13/R13</f>
        <v>105.38609055856303</v>
      </c>
      <c r="CN13" s="31"/>
      <c r="CO13" s="31"/>
      <c r="CP13" s="31"/>
      <c r="CQ13" s="31"/>
      <c r="CR13" s="31"/>
      <c r="CS13" s="31"/>
    </row>
    <row r="14" spans="1:100" s="32" customFormat="1" x14ac:dyDescent="0.3">
      <c r="A14" s="32" t="s">
        <v>19</v>
      </c>
      <c r="B14" s="32" t="s">
        <v>20</v>
      </c>
      <c r="C14" s="33">
        <v>45325.363888888889</v>
      </c>
      <c r="D14" s="32">
        <v>90</v>
      </c>
      <c r="E14" s="32">
        <f t="shared" si="0"/>
        <v>150</v>
      </c>
      <c r="F14" s="32" t="s">
        <v>286</v>
      </c>
      <c r="G14" s="34">
        <v>2.35</v>
      </c>
      <c r="H14" s="34">
        <v>0</v>
      </c>
      <c r="I14" s="34">
        <v>7.9000000000000001E-2</v>
      </c>
      <c r="J14" s="32">
        <v>9000</v>
      </c>
      <c r="K14" s="32">
        <v>9125.0849999999991</v>
      </c>
      <c r="L14" s="32">
        <f t="shared" si="2"/>
        <v>10500.000000279397</v>
      </c>
      <c r="M14" s="32">
        <f t="shared" si="3"/>
        <v>1500.0000002793968</v>
      </c>
      <c r="N14" s="65"/>
      <c r="O14" s="32">
        <v>6.2389602795729698E-3</v>
      </c>
      <c r="P14" s="32">
        <v>2.5819672131147501E-2</v>
      </c>
      <c r="R14" s="32">
        <v>1.4661556656996399E-2</v>
      </c>
      <c r="S14" s="32">
        <v>2.6841603575216203E-4</v>
      </c>
      <c r="T14" s="32">
        <v>2.0397540983606499E-3</v>
      </c>
      <c r="U14" s="34">
        <v>8.5397120918009396E-6</v>
      </c>
      <c r="V14" s="34"/>
      <c r="Y14" s="34"/>
      <c r="Z14" s="34"/>
      <c r="AA14" s="34"/>
      <c r="AB14" s="34"/>
      <c r="AF14" s="69"/>
      <c r="AQ14" s="34">
        <f>SUM(BP$5:$BP14)</f>
        <v>2.2871510619484905</v>
      </c>
      <c r="AR14" s="34" cm="1">
        <f t="array" ref="AR14">2*SQRT(SUM((BQ$5:$BQ14/2)^2))</f>
        <v>3.3393535607375201E-2</v>
      </c>
      <c r="AS14" s="34">
        <f>SUM($BX$5:BX14)</f>
        <v>0.10357842736560899</v>
      </c>
      <c r="AT14" s="34" cm="1">
        <f t="array" ref="AT14">2*SQRT(SUM(($BY$5:BY14/2)^2))</f>
        <v>8.8555013918521462E-3</v>
      </c>
      <c r="AU14" s="34">
        <f t="shared" si="8"/>
        <v>2.2258925735787463</v>
      </c>
      <c r="AV14" s="34"/>
      <c r="AW14" s="34">
        <f t="shared" si="9"/>
        <v>0.13955458408338611</v>
      </c>
      <c r="AX14" s="34"/>
      <c r="AY14" s="69"/>
      <c r="AZ14" s="34">
        <f>'Naive Apparent Lambdas'!$U$2*(10000/(D14+273))+'Naive Apparent Lambdas'!$V$2</f>
        <v>25.080919505962346</v>
      </c>
      <c r="BA14" s="32">
        <f>'Naive Apparent Lambdas'!$V$4</f>
        <v>6.7480704157997479E-2</v>
      </c>
      <c r="BB14" s="34">
        <f t="shared" si="1"/>
        <v>78073732528.776489</v>
      </c>
      <c r="BC14" s="34">
        <f t="shared" si="5"/>
        <v>5268470447.2849903</v>
      </c>
      <c r="BD14" s="34">
        <f>BB14*(D14+273)*$D$145*$F$144</f>
        <v>2.7006668217909542E-5</v>
      </c>
      <c r="BE14" s="34"/>
      <c r="BF14" s="31">
        <f t="shared" si="6"/>
        <v>67820444032.070572</v>
      </c>
      <c r="BG14" s="31">
        <f t="shared" si="7"/>
        <v>73320582427.391632</v>
      </c>
      <c r="BH14" s="34">
        <f t="shared" si="4"/>
        <v>3.4591234904717017E-16</v>
      </c>
      <c r="BI14" s="34"/>
      <c r="BJ14" s="34">
        <f>R14/(1-EXP(-E14*60*BD14))</f>
        <v>6.7948182809746918E-2</v>
      </c>
      <c r="BK14" s="34">
        <f>2*SQRT(
((S14/2) * (1 / (1 - EXP(-E14 * 60 * BB14 * BH14))))^2 +
(BC14 * (-R14 * 60 * E14 * BH14 * EXP(-E14 * 60 * BB14 * BH14) / (1 - EXP(-E14 * 60 * BB14 * BH14))^2))^2
)</f>
        <v>8.1959611810184848E-3</v>
      </c>
      <c r="BL14" s="34">
        <f>R14/(1-EXP(-E14*60*BB14*BH14)*EXP(-(M14-1560)*$CW$126*$BH$122))</f>
        <v>6.8056663992318495E-2</v>
      </c>
      <c r="BM14" s="34">
        <f>2*SQRT(
((S14/2) * (1 / (1 - EXP(-E14 * 60 * BB14 * BH14) * EXP(-(M14 - 1560) * $CW$126 * $BH$48))))^2 +
(BC14 * (-R14 * 60 * E14 * BH14 * EXP(-E14 * 60 * BB14 * BH14) / ((1 - EXP(-E14 * 60 * BB14 * BH14) * EXP(-(M14 - 1560) * $CW$126 * $BH$48))^2)))^2 +
($CX$126 * (-R14 * (M14 - 1560) * $BH$48 * EXP(-(M14 - 1560) * $CW$126 * $BH$48) / ((1 - EXP(-E14 * 60 * BB14 * BH14) * EXP(-(M14 - 1560) * $CW$126 * $BH$48))^2)))^2
)</f>
        <v>8.2219538377268277E-3</v>
      </c>
      <c r="BN14" s="117">
        <f>BJ14</f>
        <v>6.7948182809746918E-2</v>
      </c>
      <c r="BO14" s="118">
        <f>BK14</f>
        <v>8.1959611810184848E-3</v>
      </c>
      <c r="BP14" s="24"/>
      <c r="BQ14" s="24"/>
      <c r="BR14" s="73"/>
      <c r="BS14" s="73"/>
      <c r="BT14" s="123">
        <f>BN14*(Y13/R13)*1.10204926384627</f>
        <v>7.4186451341324159E-3</v>
      </c>
      <c r="BU14" s="123">
        <f>2*(((BO14/2)*1.10204926384627*(AB13/(1000)))^2+((AC13/2000)*1.10204926384627*BN14)^2+((0.187040260207234/2)*BN14*(AB13/(1000)))^2)^0.5</f>
        <v>1.6311145092833235E-3</v>
      </c>
      <c r="BV14" s="124">
        <f>BT14</f>
        <v>7.4186451341324159E-3</v>
      </c>
      <c r="BW14" s="125">
        <f>BU14</f>
        <v>1.6311145092833235E-3</v>
      </c>
      <c r="BX14" s="24"/>
      <c r="BY14" s="24"/>
      <c r="BZ14" s="73"/>
      <c r="CA14" s="141">
        <f t="shared" ref="CA14:CA16" si="14">CA13*(EXP(-BH14*BG14*E14))*(EXP(-$BG$140*$F$144*D153*(24+273)*M14))</f>
        <v>0.14210027331669961</v>
      </c>
      <c r="CB14" s="34"/>
      <c r="CC14" s="34"/>
      <c r="CD14" s="34">
        <f t="shared" ref="CD14:CD16" si="15">CD13*(EXP(-BH14*BF14*E14))*(EXP(-$BF$140*$F$144*D153*(24+273)*M14))</f>
        <v>1.6928240562719146E-2</v>
      </c>
      <c r="CE14" s="34"/>
      <c r="CF14" s="34"/>
      <c r="CG14" s="34"/>
      <c r="CH14" s="34"/>
      <c r="CI14" s="34"/>
      <c r="CJ14" s="34"/>
      <c r="CK14" s="34"/>
      <c r="CL14" s="34"/>
      <c r="CM14" s="34"/>
      <c r="CN14" s="34"/>
      <c r="CO14" s="34"/>
      <c r="CP14" s="34"/>
      <c r="CQ14" s="34"/>
      <c r="CR14" s="34"/>
      <c r="CS14" s="34"/>
    </row>
    <row r="15" spans="1:100" x14ac:dyDescent="0.3">
      <c r="A15" t="s">
        <v>21</v>
      </c>
      <c r="B15" t="s">
        <v>22</v>
      </c>
      <c r="C15" s="1">
        <v>45325.504166666666</v>
      </c>
      <c r="D15">
        <v>89.99</v>
      </c>
      <c r="E15">
        <f t="shared" si="0"/>
        <v>150</v>
      </c>
      <c r="G15" s="2">
        <v>1.84</v>
      </c>
      <c r="H15" s="2" t="s">
        <v>612</v>
      </c>
      <c r="I15" s="2">
        <v>0.157</v>
      </c>
      <c r="J15">
        <v>9000</v>
      </c>
      <c r="K15">
        <v>9127.4930000000004</v>
      </c>
      <c r="L15">
        <f t="shared" si="2"/>
        <v>12119.999999902211</v>
      </c>
      <c r="M15">
        <f>L15-J15</f>
        <v>3119.9999999022111</v>
      </c>
      <c r="N15" s="65"/>
      <c r="O15">
        <v>6.2282600378410604E-3</v>
      </c>
      <c r="P15">
        <v>2.5832387347966401E-2</v>
      </c>
      <c r="R15">
        <v>1.1459998469627501E-2</v>
      </c>
      <c r="S15" s="2">
        <v>2.0545162025806401E-4</v>
      </c>
      <c r="T15">
        <v>4.05568481363073E-3</v>
      </c>
      <c r="U15" s="2">
        <v>1.6973616731622001E-5</v>
      </c>
      <c r="V15" s="2"/>
      <c r="Y15" s="2"/>
      <c r="Z15" s="2"/>
      <c r="AA15" s="2"/>
      <c r="AB15" s="2"/>
      <c r="AQ15" s="2">
        <f>SUM(BP$5:$BP15)</f>
        <v>2.2871510619484905</v>
      </c>
      <c r="AR15" s="2" cm="1">
        <f t="array" ref="AR15">2*SQRT(SUM((BQ$5:$BQ15/2)^2))</f>
        <v>3.3393535607375201E-2</v>
      </c>
      <c r="AS15" s="2">
        <f>SUM($BX$5:BX15)</f>
        <v>0.10357842736560899</v>
      </c>
      <c r="AT15" s="2" cm="1">
        <f t="array" ref="AT15">2*SQRT(SUM(($BY$5:BY15/2)^2))</f>
        <v>8.8555013918521462E-3</v>
      </c>
      <c r="AU15" s="2">
        <f t="shared" si="8"/>
        <v>2.2373525720483736</v>
      </c>
      <c r="AV15" s="2"/>
      <c r="AW15" s="2">
        <f t="shared" si="9"/>
        <v>0.14361026889701684</v>
      </c>
      <c r="AX15" s="2"/>
      <c r="AZ15" s="2">
        <f>'Naive Apparent Lambdas'!$U$2*(10000/(D15+273))+'Naive Apparent Lambdas'!$V$2</f>
        <v>25.080530213673455</v>
      </c>
      <c r="BA15">
        <f>'Naive Apparent Lambdas'!$V$4</f>
        <v>6.7480704157997479E-2</v>
      </c>
      <c r="BB15" s="2">
        <f t="shared" si="1"/>
        <v>78043344941.948532</v>
      </c>
      <c r="BC15" s="2">
        <f t="shared" si="5"/>
        <v>5266419871.5281782</v>
      </c>
      <c r="BD15" s="2">
        <f>BB15*(D15+273)*$D$145*$F$144</f>
        <v>2.699541308058904E-5</v>
      </c>
      <c r="BE15" s="2"/>
      <c r="BF15" s="31">
        <f t="shared" si="6"/>
        <v>67807752416.268387</v>
      </c>
      <c r="BG15" s="31">
        <f t="shared" si="7"/>
        <v>73306701944.978058</v>
      </c>
      <c r="BH15" s="2">
        <f t="shared" si="4"/>
        <v>3.459028197813562E-16</v>
      </c>
      <c r="BI15" s="2"/>
      <c r="BJ15" s="2">
        <f>R15/(1-EXP(-E15*60*BD15))</f>
        <v>5.3130297621980675E-2</v>
      </c>
      <c r="BK15" s="2">
        <f>2*SQRT(
((S15/2) * (1 / (1 - EXP(-E15 * 60 * BB15 * BH15))))^2 +
(BC15 * (-R15 * 60 * E15 * BH15 * EXP(-E15 * 60 * BB15 * BH15) / (1 - EXP(-E15 * 60 * BB15 * BH15))^2))^2
)</f>
        <v>6.4059154922549927E-3</v>
      </c>
      <c r="BL15" s="2">
        <f>R15/(1-EXP(-E15*60*BB15*BH15)*EXP(-(M15-1560)*$CW$126*$BH$122))</f>
        <v>5.1027037795580668E-2</v>
      </c>
      <c r="BM15" s="2">
        <f>2*SQRT(
((S15/2) * (1 / (1 - EXP(-E15 * 60 * BB15 * BH15) * EXP(-(M15 - 1560) * $CW$126 * $BH$48))))^2 +
(BC15 * (-R15 * 60 * E15 * BH15 * EXP(-E15 * 60 * BB15 * BH15) / ((1 - EXP(-E15 * 60 * BB15 * BH15) * EXP(-(M15 - 1560) * $CW$126 * $BH$48))^2)))^2 +
($CX$126 * (-R15 * (M15 - 1560) * $BH$48 * EXP(-(M15 - 1560) * $CW$126 * $BH$48) / ((1 - EXP(-E15 * 60 * BB15 * BH15) * EXP(-(M15 - 1560) * $CW$126 * $BH$48))^2)))^2
)</f>
        <v>5.9630958009062136E-3</v>
      </c>
      <c r="BN15" s="107">
        <f>BN14-R14</f>
        <v>5.3286626152750517E-2</v>
      </c>
      <c r="BO15" s="101">
        <f>BO14+S14</f>
        <v>8.4643772167706469E-3</v>
      </c>
      <c r="BP15" s="22"/>
      <c r="BQ15" s="22"/>
      <c r="BT15" s="2"/>
      <c r="BU15" s="2"/>
      <c r="BV15" s="54">
        <f>BV14*EXP(-BB14*BH14*E14*60*0.91357457380209)*EXP(-(M14-1560)*$CW$126*$BH$48*0.91357457380209)</f>
        <v>5.9437698093139976E-3</v>
      </c>
      <c r="BW15" s="99">
        <f>2*SQRT(
((BW14/2) * EXP(-BB14 * BH14 * E14 * 60 * 0.91357457380209) * EXP(-(M14 - 1560) * $CW$126 * $BH$48 * 0.91357457380209))^2 +
(BC14 * (-BV14 * BH14 * E14 * 60 * 0.91357457380209 * EXP(-BB14 * BH14 * E14 * 60 * 0.91357457380209) * EXP(-(M14 - 1560) * $CW$126 * $BH$48 * 0.91357457380209)))^2 +
((0.146030972937065 / 2) * BV14 * (-BB14 * BH14 * E14 * 60 - (M14 - 1560) * $CW$126 * $BH$48) * EXP(-BB14 * BH14 * E14 * 60 * 0.91357457380209) * EXP(-(M14 - 1560) * $CW$126 * $BH$48 * 0.91357457380209))^2 +
-(M14-1560)*$BH$48*0.91357457380209*BV14*EXP(-BB14*BH14*E14*60*0.91357457380209)*EXP(-(M14-1560)*$CW$126*$BH$48*0.91357457380209))</f>
        <v>1.3356283847440536E-3</v>
      </c>
      <c r="BX15" s="22"/>
      <c r="BY15" s="22"/>
      <c r="CA15" s="141">
        <f t="shared" si="14"/>
        <v>0.14156081451001251</v>
      </c>
      <c r="CB15" s="34"/>
      <c r="CC15" s="34"/>
      <c r="CD15" s="34">
        <f t="shared" si="15"/>
        <v>1.6868787698524363E-2</v>
      </c>
      <c r="CE15" s="2"/>
      <c r="CF15" s="2"/>
      <c r="CS15" s="2"/>
    </row>
    <row r="16" spans="1:100" x14ac:dyDescent="0.3">
      <c r="A16" t="s">
        <v>23</v>
      </c>
      <c r="B16" t="s">
        <v>24</v>
      </c>
      <c r="C16" s="1">
        <v>45325.626388888886</v>
      </c>
      <c r="D16">
        <v>90</v>
      </c>
      <c r="E16">
        <f t="shared" si="0"/>
        <v>150</v>
      </c>
      <c r="G16" s="2">
        <v>1.34</v>
      </c>
      <c r="H16" s="2">
        <v>0</v>
      </c>
      <c r="I16" s="2">
        <v>0.152</v>
      </c>
      <c r="J16">
        <v>9000</v>
      </c>
      <c r="K16">
        <v>9130.2990000000009</v>
      </c>
      <c r="L16">
        <f t="shared" si="2"/>
        <v>10559.999999846332</v>
      </c>
      <c r="M16">
        <f t="shared" si="3"/>
        <v>1559.9999998463318</v>
      </c>
      <c r="N16" s="65"/>
      <c r="O16">
        <v>6.2000229330879397E-3</v>
      </c>
      <c r="P16">
        <v>2.58600086343161E-2</v>
      </c>
      <c r="R16">
        <v>8.3080307303378398E-3</v>
      </c>
      <c r="S16" s="2">
        <v>1.4060465304651699E-4</v>
      </c>
      <c r="T16">
        <v>3.9307213124160504E-3</v>
      </c>
      <c r="U16" s="2">
        <v>1.6443346729890101E-5</v>
      </c>
      <c r="V16" s="2"/>
      <c r="Y16" s="2"/>
      <c r="Z16" s="2"/>
      <c r="AA16" s="2"/>
      <c r="AB16" s="2"/>
      <c r="AQ16" s="2">
        <f>SUM(BP$5:$BP16)</f>
        <v>2.2871510619484905</v>
      </c>
      <c r="AR16" s="2" cm="1">
        <f t="array" ref="AR16">2*SQRT(SUM((BQ$5:$BQ16/2)^2))</f>
        <v>3.3393535607375201E-2</v>
      </c>
      <c r="AS16" s="2">
        <f>SUM($BX$5:BX16)</f>
        <v>0.10357842736560899</v>
      </c>
      <c r="AT16" s="2" cm="1">
        <f t="array" ref="AT16">2*SQRT(SUM(($BY$5:BY16/2)^2))</f>
        <v>8.8555013918521462E-3</v>
      </c>
      <c r="AU16" s="2">
        <f t="shared" si="8"/>
        <v>2.2456606027787114</v>
      </c>
      <c r="AV16" s="2"/>
      <c r="AW16" s="2">
        <f t="shared" si="9"/>
        <v>0.1475409902094329</v>
      </c>
      <c r="AX16" s="2"/>
      <c r="AZ16" s="2">
        <f>'Naive Apparent Lambdas'!$U$2*(10000/(D16+273))+'Naive Apparent Lambdas'!$V$2</f>
        <v>25.080919505962346</v>
      </c>
      <c r="BA16">
        <f>'Naive Apparent Lambdas'!$V$4</f>
        <v>6.7480704157997479E-2</v>
      </c>
      <c r="BB16" s="2">
        <f t="shared" si="1"/>
        <v>78073732528.776489</v>
      </c>
      <c r="BC16" s="2">
        <f t="shared" si="5"/>
        <v>5268470447.2849903</v>
      </c>
      <c r="BD16" s="2">
        <f>BB16*(D16+273)*$D$145*$F$144</f>
        <v>2.7006668217909542E-5</v>
      </c>
      <c r="BE16" s="2"/>
      <c r="BF16" s="31">
        <f t="shared" si="6"/>
        <v>67820444032.070572</v>
      </c>
      <c r="BG16" s="31">
        <f t="shared" si="7"/>
        <v>73320582427.391632</v>
      </c>
      <c r="BH16" s="2">
        <f t="shared" si="4"/>
        <v>3.4591234904717017E-16</v>
      </c>
      <c r="BI16" s="2"/>
      <c r="BJ16" s="2">
        <f>R16/(1-EXP(-E16*60*BD16))</f>
        <v>3.8503114236823385E-2</v>
      </c>
      <c r="BK16" s="2">
        <f>2*SQRT(
((S16/2) * (1 / (1 - EXP(-E16 * 60 * BB16 * BH16))))^2 +
(BC16 * (-R16 * 60 * E16 * BH16 * EXP(-E16 * 60 * BB16 * BH16) / (1 - EXP(-E16 * 60 * BB16 * BH16))^2))^2
)</f>
        <v>4.6364885442345474E-3</v>
      </c>
      <c r="BL16" s="2">
        <f>R16/(1-EXP(-E16*60*BB16*BH16)*EXP(-(M16-1560)*$CW$126*$BH$122))</f>
        <v>3.8503114236980544E-2</v>
      </c>
      <c r="BM16" s="2">
        <f>2*SQRT(
((S16/2) * (1 / (1 - EXP(-E16 * 60 * BB16 * BH16) * EXP(-(M16 - 1560) * $CW$126 * $BH$48))))^2 +
(BC16 * (-R16 * 60 * E16 * BH16 * EXP(-E16 * 60 * BB16 * BH16) / ((1 - EXP(-E16 * 60 * BB16 * BH16) * EXP(-(M16 - 1560) * $CW$126 * $BH$48))^2)))^2 +
($CX$126 * (-R16 * (M16 - 1560) * $BH$48 * EXP(-(M16 - 1560) * $CW$126 * $BH$48) / ((1 - EXP(-E16 * 60 * BB16 * BH16) * EXP(-(M16 - 1560) * $CW$126 * $BH$48))^2)))^2
)</f>
        <v>4.6364885442720227E-3</v>
      </c>
      <c r="BN16" s="54">
        <f>BN15*EXP(-BD15*E15*60)</f>
        <v>4.1792908227302757E-2</v>
      </c>
      <c r="BO16" s="99">
        <f>2*((((BO15/2)*EXP(-BD15*E15*60))^2+(BN15*EXP(-BD15*E15*60)*E15*60*BC15*BD15/BB15)^2)^0.5)</f>
        <v>6.7786109970954019E-3</v>
      </c>
      <c r="BP16" s="22"/>
      <c r="BQ16" s="22"/>
      <c r="BT16" s="2"/>
      <c r="BU16" s="2"/>
      <c r="BV16" s="54">
        <f>BV15*EXP(-BB15*BH15*E15*60*0.91357457380209)*EXP(-(M15-1560)*$CW$126*$BH$48*0.91357457380209)</f>
        <v>4.7113169203676962E-3</v>
      </c>
      <c r="BW16" s="99">
        <f>2*SQRT(
((BW15/2) * EXP(-BB15 * BH15 * E15 * 60 * 0.91357457380209) * EXP(-(M15 - 1560) * $CW$126 * $BH$48 * 0.91357457380209))^2 +
(BC15 * (-BV15 * BH15 * E15 * 60 * 0.91357457380209 * EXP(-BB15 * BH15 * E15 * 60 * 0.91357457380209) * EXP(-(M15 - 1560) * $CW$126 * $BH$48 * 0.91357457380209)))^2 +
((0.146030972937065 / 2) * BV15 * (-BB15 * BH15 * E15 * 60 - (M15 - 1560) * $CW$126 * $BH$48) * EXP(-BB15 * BH15 * E15 * 60 * 0.91357457380209) * EXP(-(M15 - 1560) * $CW$126 * $BH$48 * 0.91357457380209))^2 +
-(M15-1560)*$BH$48*0.91357457380209*BV15*EXP(-BB15*BH15*E15*60*0.91357457380209)*EXP(-(M15-1560)*$CW$126*$BH$48*0.91357457380209))</f>
        <v>1.08229059469738E-3</v>
      </c>
      <c r="BX16" s="22"/>
      <c r="BY16" s="22"/>
      <c r="CA16" s="141">
        <f t="shared" si="14"/>
        <v>0.14102328732019453</v>
      </c>
      <c r="CB16" s="34"/>
      <c r="CC16" s="34"/>
      <c r="CD16" s="34">
        <f t="shared" si="15"/>
        <v>1.6809530937097274E-2</v>
      </c>
      <c r="CE16" s="2"/>
      <c r="CF16" s="2"/>
      <c r="CS16" s="2"/>
    </row>
    <row r="17" spans="1:97" s="29" customFormat="1" x14ac:dyDescent="0.3">
      <c r="A17" s="29" t="s">
        <v>25</v>
      </c>
      <c r="B17" s="29" t="s">
        <v>26</v>
      </c>
      <c r="C17" s="30">
        <v>45325.999305555553</v>
      </c>
      <c r="D17" s="29">
        <v>200</v>
      </c>
      <c r="E17" s="29">
        <f t="shared" si="0"/>
        <v>500</v>
      </c>
      <c r="F17" s="29" t="s">
        <v>289</v>
      </c>
      <c r="G17" s="31">
        <v>83.3</v>
      </c>
      <c r="H17" s="31">
        <v>1.7600000000000001E-3</v>
      </c>
      <c r="I17" s="31">
        <v>3.96</v>
      </c>
      <c r="J17" s="29">
        <v>30000</v>
      </c>
      <c r="K17" s="29">
        <v>30127.625</v>
      </c>
      <c r="L17" s="29">
        <f t="shared" si="2"/>
        <v>32220.00000004191</v>
      </c>
      <c r="M17" s="29">
        <f t="shared" si="3"/>
        <v>2220.0000000419095</v>
      </c>
      <c r="N17" s="65"/>
      <c r="O17" s="29">
        <v>6.2299306634692403E-3</v>
      </c>
      <c r="P17" s="29">
        <v>2.5862068965517199E-2</v>
      </c>
      <c r="R17" s="29">
        <v>0.51895322426698798</v>
      </c>
      <c r="S17" s="29">
        <v>8.2748805206850906E-3</v>
      </c>
      <c r="T17" s="29">
        <v>0.102413793103448</v>
      </c>
      <c r="U17" s="29">
        <v>4.7358684190665899E-4</v>
      </c>
      <c r="W17" s="31">
        <f>(1000*T17/R17)/$AG$140</f>
        <v>0.19779784647572285</v>
      </c>
      <c r="X17" s="31"/>
      <c r="Y17" s="31">
        <f>T17-AVERAGE(T18:T20)</f>
        <v>9.9215343516952631E-2</v>
      </c>
      <c r="Z17" s="31">
        <f>U17+AVERAGE(T18:T20)</f>
        <v>3.6720364284020257E-3</v>
      </c>
      <c r="AA17" s="31"/>
      <c r="AB17" s="31">
        <f>(Y17*1000)/R17</f>
        <v>191.18359589555013</v>
      </c>
      <c r="AC17" s="31">
        <f>2*((1000*Z17/(2*R17))^2+((S17/2)*1000*Y17/(R17^2))^2)^0.5</f>
        <v>7.7046058777579924</v>
      </c>
      <c r="AD17" s="31">
        <f>AB17/$AG$140</f>
        <v>0.19162049066163914</v>
      </c>
      <c r="AE17" s="31">
        <f>2*(($AH$140*AB17/(2*$AG$140^2))^2+(AC17/($AG$140*2))^2)^0.5</f>
        <v>7.9891345528280248E-3</v>
      </c>
      <c r="AF17" s="69"/>
      <c r="AG17" s="31" cm="1">
        <f t="array" ref="AG17:AH17">BP17:BQ17</f>
        <v>0.53936148347300295</v>
      </c>
      <c r="AH17" s="29">
        <v>1.1455177618815154E-2</v>
      </c>
      <c r="AI17" s="31" cm="1">
        <f t="array" ref="AI17:AJ17">BX17:BY17</f>
        <v>0.10664756322649528</v>
      </c>
      <c r="AJ17" s="29">
        <v>4.4233749524480916E-3</v>
      </c>
      <c r="AL17" s="31">
        <f>1000*AI17/AG17</f>
        <v>197.72929008534476</v>
      </c>
      <c r="AM17" s="31">
        <f>2*((AH17*1000*AI17/(2*AG17^2))^2+(1000*AJ17/(AG17*2))^2)^0.5</f>
        <v>9.2137936385060488</v>
      </c>
      <c r="AN17" s="31">
        <f>AL17/$AG$140</f>
        <v>0.19818114314070825</v>
      </c>
      <c r="AO17" s="31">
        <f>2*(($AH$140*AL17/(2*$AG$140^2))^2+(AM17/($AG$140*2))^2)^0.5</f>
        <v>9.4746094571113455E-3</v>
      </c>
      <c r="AP17" s="31"/>
      <c r="AQ17" s="31">
        <f>SUM(BP$5:$BP17)</f>
        <v>2.8265125454214934</v>
      </c>
      <c r="AR17" s="31" cm="1">
        <f t="array" ref="AR17">2*SQRT(SUM((BQ$5:$BQ17/2)^2))</f>
        <v>3.5303672820821898E-2</v>
      </c>
      <c r="AS17" s="31">
        <f>SUM($BX$5:BX17)</f>
        <v>0.21022599059210428</v>
      </c>
      <c r="AT17" s="31" cm="1">
        <f t="array" ref="AT17">2*SQRT(SUM(($BY$5:BY17/2)^2))</f>
        <v>9.8987954252545522E-3</v>
      </c>
      <c r="AU17" s="31">
        <f t="shared" si="8"/>
        <v>2.7646138270456992</v>
      </c>
      <c r="AV17" s="31"/>
      <c r="AW17" s="31">
        <f t="shared" si="9"/>
        <v>0.2499547833128809</v>
      </c>
      <c r="AX17" s="31"/>
      <c r="AY17" s="69"/>
      <c r="AZ17" s="31"/>
      <c r="BB17" s="31"/>
      <c r="BC17" s="31"/>
      <c r="BD17" s="31"/>
      <c r="BE17" s="31"/>
      <c r="BF17" s="31">
        <f t="shared" si="6"/>
        <v>329224588875.15717</v>
      </c>
      <c r="BG17" s="31">
        <f t="shared" si="7"/>
        <v>362525927700.55493</v>
      </c>
      <c r="BH17" s="31">
        <f t="shared" si="4"/>
        <v>4.5073427300085809E-16</v>
      </c>
      <c r="BI17" s="31"/>
      <c r="BJ17" s="31"/>
      <c r="BK17" s="31"/>
      <c r="BL17" s="31"/>
      <c r="BM17" s="31"/>
      <c r="BN17" s="114">
        <f>BN16*EXP(-BD16*E16*60)</f>
        <v>3.2775020382517693E-2</v>
      </c>
      <c r="BO17" s="116">
        <f>2*((((BO16/2)*EXP(-BD16*E16*60))^2+(BN16*EXP(-BD16*E16*60)*E16*60*BC16*BD16/BB16)^2)^0.5)</f>
        <v>5.4235857465403893E-3</v>
      </c>
      <c r="BP17" s="23">
        <f>R17+BN18-BN17</f>
        <v>0.53936148347300295</v>
      </c>
      <c r="BQ17" s="23">
        <f>2*(((BO17/2)^2+(BO18/2)^2+(S17/2)^2)^(0.5))</f>
        <v>1.1455177618815154E-2</v>
      </c>
      <c r="BR17" s="72">
        <f>100*(BP17-R17)/R17</f>
        <v>3.9325816377461114</v>
      </c>
      <c r="BS17" s="72"/>
      <c r="BT17" s="31"/>
      <c r="BU17" s="31"/>
      <c r="BV17" s="114">
        <f>BV16*EXP(-BB16*BH16*E16*60*0.91357457380209)*EXP(-(M16-1560)*$CW$126*$BH$48*0.91357457380209)</f>
        <v>3.7731644317927425E-3</v>
      </c>
      <c r="BW17" s="116">
        <f>2*SQRT(
((BW16/2) * EXP(-BB16 * BH16 * E16 * 60 * 0.91357457380209) * EXP(-(M16 - 1560) * $CW$126 * $BH$48 * 0.91357457380209))^2 +
(BC16 * (-BV16 * BH16 * E16 * 60 * 0.91357457380209 * EXP(-BB16 * BH16 * E16 * 60 * 0.91357457380209) * EXP(-(M16 - 1560) * $CW$126 * $BH$48 * 0.91357457380209)))^2 +
((0.146030972937065 / 2) * BV16 * (-BB16 * BH16 * E16 * 60 - (M16 - 1560) * $CW$126 * $BH$48) * EXP(-BB16 * BH16 * E16 * 60 * 0.91357457380209) * EXP(-(M16 - 1560) * $CW$126 * $BH$48 * 0.91357457380209))^2 +
-(M16-1560)*$BH$48*0.91357457380209*BV16*EXP(-BB16*BH16*E16*60*0.91357457380209)*EXP(-(M16-1560)*$CW$126*$BH$48*0.91357457380209))</f>
        <v>8.843215065871767E-4</v>
      </c>
      <c r="BX17" s="23">
        <f>Y17+BV18-BV17</f>
        <v>0.10664756322649528</v>
      </c>
      <c r="BY17" s="23">
        <f>2*(((BW17/2)^2+(BW18/2)^2+(Z17/2)^2)^(0.5))</f>
        <v>4.4233749524480916E-3</v>
      </c>
      <c r="BZ17" s="72">
        <f>100*(BX17-Y17)/Y17</f>
        <v>7.4909983134541385</v>
      </c>
      <c r="CA17" s="140">
        <f>R17*CC17</f>
        <v>0.13299380100956529</v>
      </c>
      <c r="CB17" s="31">
        <f>BH17*BG17*J17</f>
        <v>4.9020858139821382</v>
      </c>
      <c r="CC17" s="31">
        <f>1/(CB17-1)</f>
        <v>0.2562731953297267</v>
      </c>
      <c r="CD17" s="31">
        <f>CF17*T17</f>
        <v>2.9669813641736882E-2</v>
      </c>
      <c r="CE17" s="31">
        <f>BH17*BF17*J17</f>
        <v>4.4517841716195106</v>
      </c>
      <c r="CF17" s="31">
        <f>1/(CE17-1)</f>
        <v>0.28970525104726325</v>
      </c>
      <c r="CG17" s="31">
        <f>R17-CA13</f>
        <v>0.37631131869904988</v>
      </c>
      <c r="CH17" s="31">
        <f>R17+CA17</f>
        <v>0.65194702527655324</v>
      </c>
      <c r="CI17" s="31">
        <f>T17-CD13</f>
        <v>8.5425877305520981E-2</v>
      </c>
      <c r="CJ17" s="31">
        <f>T17+CD17</f>
        <v>0.13208360674518488</v>
      </c>
      <c r="CK17" s="31">
        <f>CE17*1.29</f>
        <v>5.7428015813891689</v>
      </c>
      <c r="CL17" s="31">
        <f>R17 / (CK17-1)</f>
        <v>0.10941913030968213</v>
      </c>
      <c r="CM17" s="31">
        <f>1000*T17/R17</f>
        <v>197.34686733685029</v>
      </c>
      <c r="CN17" s="31"/>
      <c r="CO17" s="31"/>
      <c r="CP17" s="31"/>
      <c r="CQ17" s="31"/>
      <c r="CR17" s="31"/>
      <c r="CS17" s="31"/>
    </row>
    <row r="18" spans="1:97" s="32" customFormat="1" x14ac:dyDescent="0.3">
      <c r="A18" s="32" t="s">
        <v>27</v>
      </c>
      <c r="B18" s="32" t="s">
        <v>28</v>
      </c>
      <c r="C18" s="33">
        <v>45326.121527777781</v>
      </c>
      <c r="D18" s="32">
        <v>105</v>
      </c>
      <c r="E18" s="32">
        <f t="shared" si="0"/>
        <v>150</v>
      </c>
      <c r="F18" s="32" t="s">
        <v>375</v>
      </c>
      <c r="G18" s="34">
        <v>3.06</v>
      </c>
      <c r="H18" s="34">
        <v>0</v>
      </c>
      <c r="I18" s="34">
        <v>0.14399999999999999</v>
      </c>
      <c r="J18" s="32">
        <v>9000</v>
      </c>
      <c r="K18" s="32">
        <v>9129.0259999999998</v>
      </c>
      <c r="L18" s="32">
        <f t="shared" si="2"/>
        <v>10560.000000474975</v>
      </c>
      <c r="M18" s="32">
        <f t="shared" si="3"/>
        <v>1560.0000004749745</v>
      </c>
      <c r="N18" s="65"/>
      <c r="O18" s="32">
        <v>6.22508308337288E-3</v>
      </c>
      <c r="P18" s="32">
        <v>2.5862068965517199E-2</v>
      </c>
      <c r="R18" s="32">
        <v>1.9048754235121E-2</v>
      </c>
      <c r="S18" s="32">
        <v>3.2080198326958702E-4</v>
      </c>
      <c r="T18" s="32">
        <v>3.7241379310344802E-3</v>
      </c>
      <c r="U18" s="34">
        <v>1.5955219583769799E-5</v>
      </c>
      <c r="V18" s="34"/>
      <c r="Y18" s="34"/>
      <c r="Z18" s="34"/>
      <c r="AA18" s="34"/>
      <c r="AB18" s="34"/>
      <c r="AF18" s="69"/>
      <c r="AQ18" s="34">
        <f>SUM(BP$5:$BP18)</f>
        <v>2.8265125454214934</v>
      </c>
      <c r="AR18" s="34" cm="1">
        <f t="array" ref="AR18">2*SQRT(SUM((BQ$5:$BQ18/2)^2))</f>
        <v>3.5303672820821898E-2</v>
      </c>
      <c r="AS18" s="34">
        <f>SUM($BX$5:BX18)</f>
        <v>0.21022599059210428</v>
      </c>
      <c r="AT18" s="34" cm="1">
        <f t="array" ref="AT18">2*SQRT(SUM(($BY$5:BY18/2)^2))</f>
        <v>9.8987954252545522E-3</v>
      </c>
      <c r="AU18" s="34">
        <f t="shared" si="8"/>
        <v>2.7836625812808204</v>
      </c>
      <c r="AV18" s="34"/>
      <c r="AW18" s="34">
        <f t="shared" si="9"/>
        <v>0.25367892124391539</v>
      </c>
      <c r="AX18" s="34"/>
      <c r="AY18" s="69"/>
      <c r="AZ18" s="34">
        <f>'Naive Apparent Lambdas'!$U$2*(10000/(D18+273))+'Naive Apparent Lambdas'!$V$2</f>
        <v>25.64167033113603</v>
      </c>
      <c r="BA18" s="32">
        <f>'Naive Apparent Lambdas'!$V$4</f>
        <v>6.7480704157997479E-2</v>
      </c>
      <c r="BB18" s="34">
        <f t="shared" si="1"/>
        <v>136784199007.97165</v>
      </c>
      <c r="BC18" s="34">
        <f t="shared" si="5"/>
        <v>9230294066.7455864</v>
      </c>
      <c r="BD18" s="34">
        <f>BB18*(D18+273)*$D$145*$F$144</f>
        <v>4.9270523078630311E-5</v>
      </c>
      <c r="BE18" s="34"/>
      <c r="BF18" s="31">
        <f t="shared" si="6"/>
        <v>88805250970.861771</v>
      </c>
      <c r="BG18" s="31">
        <f t="shared" si="7"/>
        <v>96308773299.869202</v>
      </c>
      <c r="BH18" s="34">
        <f t="shared" si="4"/>
        <v>3.6020624776812763E-16</v>
      </c>
      <c r="BI18" s="34"/>
      <c r="BJ18" s="34">
        <f>R18/(1-EXP(-E18*60*BD18))</f>
        <v>5.3183279588532632E-2</v>
      </c>
      <c r="BK18" s="34">
        <f>2*SQRT(
((S18/2) * (1 / (1 - EXP(-E18 * 60 * BB18 * BH18))))^2 +
(BC18 * (-R18 * 60 * E18 * BH18 * EXP(-E18 * 60 * BB18 * BH18) / (1 - EXP(-E18 * 60 * BB18 * BH18))^2))^2
)</f>
        <v>5.7734014494848695E-3</v>
      </c>
      <c r="BL18" s="34">
        <f>R18/(1-EXP(-E18*60*BB18*BH18)*EXP(-(M18-1560)*$CW$126*$BH$122))</f>
        <v>5.3183279588201821E-2</v>
      </c>
      <c r="BM18" s="34">
        <f>2*SQRT(
((S18/2) * (1 / (1 - EXP(-E18 * 60 * BB18 * BH18) * EXP(-(M18 - 1560) * $CW$126 * $BH$48))))^2 +
(BC18 * (-R18 * 60 * E18 * BH18 * EXP(-E18 * 60 * BB18 * BH18) / ((1 - EXP(-E18 * 60 * BB18 * BH18) * EXP(-(M18 - 1560) * $CW$126 * $BH$48))^2)))^2 +
($CX$126 * (-R18 * (M18 - 1560) * $BH$48 * EXP(-(M18 - 1560) * $CW$126 * $BH$48) / ((1 - EXP(-E18 * 60 * BB18 * BH18) * EXP(-(M18 - 1560) * $CW$126 * $BH$48))^2)))^2
)</f>
        <v>5.7734014494139133E-3</v>
      </c>
      <c r="BN18" s="117" cm="1">
        <f t="array" ref="BN18:BO18">BJ18:BK18</f>
        <v>5.3183279588532632E-2</v>
      </c>
      <c r="BO18" s="118">
        <v>5.7734014494848695E-3</v>
      </c>
      <c r="BP18" s="24"/>
      <c r="BQ18" s="24"/>
      <c r="BR18" s="73"/>
      <c r="BS18" s="73"/>
      <c r="BT18" s="123">
        <f>BN18*(Y17/R17)*1.10204926384627</f>
        <v>1.1205384141335385E-2</v>
      </c>
      <c r="BU18" s="123">
        <f>2*(((BO18/2)*1.10204926384627*(AB17/(1000)))^2+((AC17/2000)*1.10204926384627*BN18)^2+((0.187040260207234/2)*BN18*(AB17/(1000)))^2)^0.5</f>
        <v>2.3022532248692883E-3</v>
      </c>
      <c r="BV18" s="124">
        <f>BT18</f>
        <v>1.1205384141335385E-2</v>
      </c>
      <c r="BW18" s="125">
        <f>BU18</f>
        <v>2.3022532248692883E-3</v>
      </c>
      <c r="BX18" s="24"/>
      <c r="BY18" s="24"/>
      <c r="BZ18" s="73"/>
      <c r="CA18" s="141">
        <f t="shared" ref="CA18:CA20" si="16">CA17*(EXP(-BH18*BG18*E18))*(EXP(-$BG$140*$F$144*D157*(24+273)*M18))</f>
        <v>0.13230354486529194</v>
      </c>
      <c r="CB18" s="34"/>
      <c r="CC18" s="34"/>
      <c r="CD18" s="34">
        <f t="shared" ref="CD18:CD20" si="17">CD17*(EXP(-BH18*BF18*E18))*(EXP(-$BF$140*$F$144*D157*(24+273)*M18))</f>
        <v>2.9527792022824129E-2</v>
      </c>
      <c r="CE18" s="34"/>
      <c r="CF18" s="34"/>
      <c r="CG18" s="34"/>
      <c r="CH18" s="34"/>
      <c r="CI18" s="34"/>
      <c r="CJ18" s="34"/>
      <c r="CK18" s="34"/>
      <c r="CL18" s="34"/>
      <c r="CM18" s="34"/>
      <c r="CN18" s="34"/>
      <c r="CO18" s="34"/>
      <c r="CP18" s="34"/>
      <c r="CQ18" s="34"/>
      <c r="CR18" s="34"/>
      <c r="CS18" s="34"/>
    </row>
    <row r="19" spans="1:97" s="8" customFormat="1" x14ac:dyDescent="0.3">
      <c r="A19" s="8" t="s">
        <v>29</v>
      </c>
      <c r="B19" s="8" t="s">
        <v>30</v>
      </c>
      <c r="C19" s="35">
        <v>45326.243750000001</v>
      </c>
      <c r="D19" s="8">
        <v>105</v>
      </c>
      <c r="E19" s="8">
        <f t="shared" si="0"/>
        <v>150</v>
      </c>
      <c r="F19" s="8" t="s">
        <v>287</v>
      </c>
      <c r="G19" s="36">
        <v>1.79</v>
      </c>
      <c r="H19" s="36">
        <v>0</v>
      </c>
      <c r="I19" s="36">
        <v>0.187</v>
      </c>
      <c r="J19" s="8">
        <v>9000</v>
      </c>
      <c r="K19" s="8">
        <v>9127.5550000000003</v>
      </c>
      <c r="L19" s="8">
        <f t="shared" si="2"/>
        <v>10559.999999846332</v>
      </c>
      <c r="M19" s="8">
        <f t="shared" si="3"/>
        <v>1559.9999998463318</v>
      </c>
      <c r="N19" s="65"/>
      <c r="O19" s="8">
        <v>6.2200776141821497E-3</v>
      </c>
      <c r="P19" s="8">
        <v>2.5862068965517199E-2</v>
      </c>
      <c r="R19" s="8">
        <v>1.1133938929386E-2</v>
      </c>
      <c r="S19" s="36">
        <v>1.97822390402907E-4</v>
      </c>
      <c r="T19" s="8">
        <v>4.83620689655172E-3</v>
      </c>
      <c r="U19" s="36">
        <v>1.9021875098818201E-5</v>
      </c>
      <c r="V19" s="36"/>
      <c r="Y19" s="36"/>
      <c r="Z19" s="36"/>
      <c r="AA19" s="36"/>
      <c r="AB19" s="36"/>
      <c r="AF19" s="69"/>
      <c r="AQ19" s="36">
        <f>SUM(BP$5:$BP19)</f>
        <v>2.8265125454214934</v>
      </c>
      <c r="AR19" s="36" cm="1">
        <f t="array" ref="AR19">2*SQRT(SUM((BQ$5:$BQ19/2)^2))</f>
        <v>3.5303672820821898E-2</v>
      </c>
      <c r="AS19" s="36">
        <f>SUM($BX$5:BX19)</f>
        <v>0.21022599059210428</v>
      </c>
      <c r="AT19" s="36" cm="1">
        <f t="array" ref="AT19">2*SQRT(SUM(($BY$5:BY19/2)^2))</f>
        <v>9.8987954252545522E-3</v>
      </c>
      <c r="AU19" s="36">
        <f t="shared" si="8"/>
        <v>2.7947965202102063</v>
      </c>
      <c r="AV19" s="36"/>
      <c r="AW19" s="36">
        <f t="shared" si="9"/>
        <v>0.25851512814046712</v>
      </c>
      <c r="AX19" s="36"/>
      <c r="AY19" s="69"/>
      <c r="AZ19" s="36">
        <f>'Naive Apparent Lambdas'!$U$2*(10000/(D19+273))+'Naive Apparent Lambdas'!$V$2</f>
        <v>25.64167033113603</v>
      </c>
      <c r="BA19" s="8">
        <f>'Naive Apparent Lambdas'!$V$4</f>
        <v>6.7480704157997479E-2</v>
      </c>
      <c r="BB19" s="36">
        <f t="shared" si="1"/>
        <v>136784199007.97165</v>
      </c>
      <c r="BC19" s="36">
        <f t="shared" si="5"/>
        <v>9230294066.7455864</v>
      </c>
      <c r="BD19" s="36">
        <f>BB19*(D19+273)*$D$145*$F$144</f>
        <v>4.9270523078630311E-5</v>
      </c>
      <c r="BE19" s="36"/>
      <c r="BF19" s="31">
        <f t="shared" si="6"/>
        <v>88805250970.861771</v>
      </c>
      <c r="BG19" s="31">
        <f t="shared" si="7"/>
        <v>96308773299.869202</v>
      </c>
      <c r="BH19" s="36">
        <f t="shared" si="4"/>
        <v>3.6020624776812763E-16</v>
      </c>
      <c r="BI19" s="36"/>
      <c r="BJ19" s="36">
        <f>R19/(1-EXP(-E19*60*BD19))</f>
        <v>3.1085465206508397E-2</v>
      </c>
      <c r="BK19" s="36">
        <f>2*SQRT(
((S19/2) * (1 / (1 - EXP(-E19 * 60 * BB19 * BH19))))^2 +
(BC19 * (-R19 * 60 * E19 * BH19 * EXP(-E19 * 60 * BB19 * BH19) / (1 - EXP(-E19 * 60 * BB19 * BH19))^2))^2
)</f>
        <v>3.3791229610469894E-3</v>
      </c>
      <c r="BL19" s="36">
        <f>R19/(1-EXP(-E19*60*BB19*BH19)*EXP(-(M19-1560)*$CW$126*$BH$122))</f>
        <v>3.1085465206570961E-2</v>
      </c>
      <c r="BM19" s="36">
        <f>2*SQRT(
((S19/2) * (1 / (1 - EXP(-E19 * 60 * BB19 * BH19) * EXP(-(M19 - 1560) * $CW$126 * $BH$48))))^2 +
(BC19 * (-R19 * 60 * E19 * BH19 * EXP(-E19 * 60 * BB19 * BH19) / ((1 - EXP(-E19 * 60 * BB19 * BH19) * EXP(-(M19 - 1560) * $CW$126 * $BH$48))^2)))^2 +
($CX$126 * (-R19 * (M19 - 1560) * $BH$48 * EXP(-(M19 - 1560) * $CW$126 * $BH$48) / ((1 - EXP(-E19 * 60 * BB19 * BH19) * EXP(-(M19 - 1560) * $CW$126 * $BH$48))^2)))^2
)</f>
        <v>3.3791229610604101E-3</v>
      </c>
      <c r="BN19" s="54">
        <f>BN18*EXP(-BD18*E18*60)</f>
        <v>3.4134525353411632E-2</v>
      </c>
      <c r="BO19" s="99">
        <f>2*((((BO18/2)*EXP(-BD18*E18*60))^2+(BN18*EXP(-BD18*E18*60)*E18*60*BC18*BD18/BB18)^2)^0.5)</f>
        <v>4.2313279163210286E-3</v>
      </c>
      <c r="BP19" s="25"/>
      <c r="BQ19" s="25"/>
      <c r="BR19" s="74"/>
      <c r="BS19" s="74"/>
      <c r="BT19" s="36"/>
      <c r="BU19" s="36"/>
      <c r="BV19" s="54">
        <f>BV18*EXP(-BB18*BH18*E18*60*0.91357457380209)*EXP(-(M18-1560)*$CW$126*$BH$48*0.91357457380209)</f>
        <v>7.4729042762614528E-3</v>
      </c>
      <c r="BW19" s="99">
        <f>2*SQRT(
((BW18/2) * EXP(-BB18 * BH18 * E18 * 60 * 0.91357457380209) * EXP(-(M18 - 1560) * $CW$126 * $BH$48 * 0.91357457380209))^2 +
(BC18 * (-BV18 * BH18 * E18 * 60 * 0.91357457380209 * EXP(-BB18 * BH18 * E18 * 60 * 0.91357457380209) * EXP(-(M18 - 1560) * $CW$126 * $BH$48 * 0.91357457380209)))^2 +
((0.146030972937065 / 2) * BV18 * (-BB18 * BH18 * E18 * 60 - (M18 - 1560) * $CW$126 * $BH$48) * EXP(-BB18 * BH18 * E18 * 60 * 0.91357457380209) * EXP(-(M18 - 1560) * $CW$126 * $BH$48 * 0.91357457380209))^2 +
-(M18-1560)*$BH$48*0.91357457380209*BV18*EXP(-BB18*BH18*E18*60*0.91357457380209)*EXP(-(M18-1560)*$CW$126*$BH$48*0.91357457380209))</f>
        <v>1.6608711612633414E-3</v>
      </c>
      <c r="BX19" s="25"/>
      <c r="BY19" s="25"/>
      <c r="BZ19" s="74"/>
      <c r="CA19" s="141">
        <f t="shared" si="16"/>
        <v>0.1316168712454753</v>
      </c>
      <c r="CB19" s="34"/>
      <c r="CC19" s="34"/>
      <c r="CD19" s="34">
        <f t="shared" si="17"/>
        <v>2.9386450224165122E-2</v>
      </c>
      <c r="CE19" s="36"/>
      <c r="CF19" s="36"/>
      <c r="CG19" s="36"/>
      <c r="CH19" s="36"/>
      <c r="CI19" s="36"/>
      <c r="CJ19" s="36"/>
      <c r="CK19" s="36"/>
      <c r="CL19" s="36"/>
      <c r="CM19" s="36"/>
      <c r="CN19" s="36"/>
      <c r="CO19" s="36"/>
      <c r="CP19" s="36"/>
      <c r="CQ19" s="36"/>
      <c r="CR19" s="36"/>
      <c r="CS19" s="36"/>
    </row>
    <row r="20" spans="1:97" s="8" customFormat="1" x14ac:dyDescent="0.3">
      <c r="A20" s="8" t="s">
        <v>31</v>
      </c>
      <c r="B20" s="8" t="s">
        <v>32</v>
      </c>
      <c r="C20" s="35">
        <v>45326.365972222222</v>
      </c>
      <c r="D20" s="8">
        <v>105</v>
      </c>
      <c r="E20" s="8">
        <f t="shared" si="0"/>
        <v>150</v>
      </c>
      <c r="F20" s="8" t="s">
        <v>287</v>
      </c>
      <c r="G20" s="36">
        <v>1.29</v>
      </c>
      <c r="H20" s="36">
        <v>0</v>
      </c>
      <c r="I20" s="36">
        <v>0.04</v>
      </c>
      <c r="J20" s="8">
        <v>9000</v>
      </c>
      <c r="K20" s="8">
        <v>9129.5280000000002</v>
      </c>
      <c r="L20" s="8">
        <f t="shared" si="2"/>
        <v>10559.999999846332</v>
      </c>
      <c r="M20" s="8">
        <f t="shared" si="3"/>
        <v>1559.9999998463318</v>
      </c>
      <c r="N20" s="65"/>
      <c r="O20" s="8">
        <v>6.2228369847062001E-3</v>
      </c>
      <c r="P20" s="8">
        <v>2.5875098297497599E-2</v>
      </c>
      <c r="R20" s="8">
        <v>8.0274597102710007E-3</v>
      </c>
      <c r="S20" s="36">
        <v>1.4295914720050801E-4</v>
      </c>
      <c r="T20" s="8">
        <v>1.0350039318999E-3</v>
      </c>
      <c r="U20" s="36">
        <v>4.1228764773535601E-6</v>
      </c>
      <c r="V20" s="36"/>
      <c r="Y20" s="36"/>
      <c r="Z20" s="36"/>
      <c r="AA20" s="36"/>
      <c r="AB20" s="36"/>
      <c r="AF20" s="69"/>
      <c r="AQ20" s="36">
        <f>SUM(BP$5:$BP20)</f>
        <v>2.8265125454214934</v>
      </c>
      <c r="AR20" s="36" cm="1">
        <f t="array" ref="AR20">2*SQRT(SUM((BQ$5:$BQ20/2)^2))</f>
        <v>3.5303672820821898E-2</v>
      </c>
      <c r="AS20" s="36">
        <f>SUM($BX$5:BX20)</f>
        <v>0.21022599059210428</v>
      </c>
      <c r="AT20" s="36" cm="1">
        <f t="array" ref="AT20">2*SQRT(SUM(($BY$5:BY20/2)^2))</f>
        <v>9.8987954252545522E-3</v>
      </c>
      <c r="AU20" s="36">
        <f t="shared" si="8"/>
        <v>2.8028239799204773</v>
      </c>
      <c r="AV20" s="36"/>
      <c r="AW20" s="36">
        <f t="shared" si="9"/>
        <v>0.25955013207236705</v>
      </c>
      <c r="AX20" s="36"/>
      <c r="AY20" s="69"/>
      <c r="AZ20" s="36">
        <f>'Naive Apparent Lambdas'!$U$2*(10000/(D20+273))+'Naive Apparent Lambdas'!$V$2</f>
        <v>25.64167033113603</v>
      </c>
      <c r="BA20" s="8">
        <f>'Naive Apparent Lambdas'!$V$4</f>
        <v>6.7480704157997479E-2</v>
      </c>
      <c r="BB20" s="36">
        <f t="shared" si="1"/>
        <v>136784199007.97165</v>
      </c>
      <c r="BC20" s="36">
        <f t="shared" si="5"/>
        <v>9230294066.7455864</v>
      </c>
      <c r="BD20" s="36">
        <f>BB20*(D20+273)*$D$145*$F$144</f>
        <v>4.9270523078630311E-5</v>
      </c>
      <c r="BE20" s="36"/>
      <c r="BF20" s="31">
        <f t="shared" si="6"/>
        <v>88805250970.861771</v>
      </c>
      <c r="BG20" s="31">
        <f t="shared" si="7"/>
        <v>96308773299.869202</v>
      </c>
      <c r="BH20" s="36">
        <f t="shared" si="4"/>
        <v>3.6020624776812763E-16</v>
      </c>
      <c r="BI20" s="36"/>
      <c r="BJ20" s="36">
        <f>R20/(1-EXP(-E20*60*BD20))</f>
        <v>2.2412312578944452E-2</v>
      </c>
      <c r="BK20" s="36">
        <f>2*SQRT(
((S20/2) * (1 / (1 - EXP(-E20 * 60 * BB20 * BH20))))^2 +
(BC20 * (-R20 * 60 * E20 * BH20 * EXP(-E20 * 60 * BB20 * BH20) / (1 - EXP(-E20 * 60 * BB20 * BH20))^2))^2
)</f>
        <v>2.4364654854791405E-3</v>
      </c>
      <c r="BL20" s="36">
        <f>R20/(1-EXP(-E20*60*BB20*BH20)*EXP(-(M20-1560)*$CW$126*$BH$122))</f>
        <v>2.2412312578989558E-2</v>
      </c>
      <c r="BM20" s="36">
        <f>2*SQRT(
((S20/2) * (1 / (1 - EXP(-E20 * 60 * BB20 * BH20) * EXP(-(M20 - 1560) * $CW$126 * $BH$48))))^2 +
(BC20 * (-R20 * 60 * E20 * BH20 * EXP(-E20 * 60 * BB20 * BH20) / ((1 - EXP(-E20 * 60 * BB20 * BH20) * EXP(-(M20 - 1560) * $CW$126 * $BH$48))^2)))^2 +
($CX$126 * (-R20 * (M20 - 1560) * $BH$48 * EXP(-(M20 - 1560) * $CW$126 * $BH$48) / ((1 - EXP(-E20 * 60 * BB20 * BH20) * EXP(-(M20 - 1560) * $CW$126 * $BH$48))^2)))^2
)</f>
        <v>2.4364654854888163E-3</v>
      </c>
      <c r="BN20" s="54">
        <f>BN19*EXP(-BD19*E19*60)</f>
        <v>2.1908498876288447E-2</v>
      </c>
      <c r="BO20" s="99">
        <f>2*((((BO19/2)*EXP(-BD19*E19*60))^2+(BN19*EXP(-BD19*E19*60)*E19*60*BC19*BD19/BB19)^2)^0.5)</f>
        <v>3.0157255316585053E-3</v>
      </c>
      <c r="BP20" s="25"/>
      <c r="BQ20" s="25"/>
      <c r="BR20" s="74"/>
      <c r="BS20" s="74"/>
      <c r="BT20" s="36"/>
      <c r="BU20" s="36"/>
      <c r="BV20" s="54">
        <f>BV19*EXP(-BB19*BH19*E19*60*0.91357457380209)*EXP(-(M19-1560)*$CW$126*$BH$48*0.91357457380209)</f>
        <v>4.9837022647352021E-3</v>
      </c>
      <c r="BW20" s="99">
        <f>2*SQRT(
((BW19/2) * EXP(-BB19 * BH19 * E19 * 60 * 0.91357457380209) * EXP(-(M19 - 1560) * $CW$126 * $BH$48 * 0.91357457380209))^2 +
(BC19 * (-BV19 * BH19 * E19 * 60 * 0.91357457380209 * EXP(-BB19 * BH19 * E19 * 60 * 0.91357457380209) * EXP(-(M19 - 1560) * $CW$126 * $BH$48 * 0.91357457380209)))^2 +
((0.146030972937065 / 2) * BV19 * (-BB19 * BH19 * E19 * 60 - (M19 - 1560) * $CW$126 * $BH$48) * EXP(-BB19 * BH19 * E19 * 60 * 0.91357457380209) * EXP(-(M19 - 1560) * $CW$126 * $BH$48 * 0.91357457380209))^2 +
-(M19-1560)*$BH$48*0.91357457380209*BV19*EXP(-BB19*BH19*E19*60*0.91357457380209)*EXP(-(M19-1560)*$CW$126*$BH$48*0.91357457380209))</f>
        <v>1.1854368368286604E-3</v>
      </c>
      <c r="BX20" s="25"/>
      <c r="BY20" s="25"/>
      <c r="BZ20" s="74"/>
      <c r="CA20" s="141">
        <f t="shared" si="16"/>
        <v>0.13093376155632003</v>
      </c>
      <c r="CB20" s="34"/>
      <c r="CC20" s="34"/>
      <c r="CD20" s="34">
        <f t="shared" si="17"/>
        <v>2.9245784991638549E-2</v>
      </c>
      <c r="CE20" s="36"/>
      <c r="CF20" s="36"/>
      <c r="CG20" s="36"/>
      <c r="CH20" s="36"/>
      <c r="CI20" s="36"/>
      <c r="CJ20" s="36"/>
      <c r="CK20" s="36"/>
      <c r="CL20" s="36"/>
      <c r="CM20" s="36"/>
      <c r="CN20" s="36"/>
      <c r="CO20" s="36"/>
      <c r="CP20" s="36"/>
      <c r="CQ20" s="36"/>
      <c r="CR20" s="36"/>
      <c r="CS20" s="36"/>
    </row>
    <row r="21" spans="1:97" s="29" customFormat="1" x14ac:dyDescent="0.3">
      <c r="A21" s="29" t="s">
        <v>33</v>
      </c>
      <c r="B21" s="29" t="s">
        <v>34</v>
      </c>
      <c r="C21" s="30">
        <v>45326.713888888888</v>
      </c>
      <c r="D21" s="29">
        <v>210</v>
      </c>
      <c r="E21" s="29">
        <f t="shared" si="0"/>
        <v>475</v>
      </c>
      <c r="F21" s="29" t="s">
        <v>289</v>
      </c>
      <c r="G21" s="31">
        <v>93</v>
      </c>
      <c r="H21" s="31">
        <v>0</v>
      </c>
      <c r="I21" s="31">
        <v>5.64</v>
      </c>
      <c r="J21" s="29">
        <v>28500</v>
      </c>
      <c r="K21" s="29">
        <v>28626.294999999998</v>
      </c>
      <c r="L21" s="29">
        <f t="shared" si="2"/>
        <v>30059.999999916181</v>
      </c>
      <c r="M21" s="29">
        <f t="shared" si="3"/>
        <v>1559.999999916181</v>
      </c>
      <c r="N21" s="65"/>
      <c r="O21" s="29">
        <v>6.2046044414155099E-3</v>
      </c>
      <c r="P21" s="29">
        <v>2.5884273063895801E-2</v>
      </c>
      <c r="R21" s="29">
        <v>0.57702821305164198</v>
      </c>
      <c r="S21" s="29">
        <v>9.9925220714020494E-3</v>
      </c>
      <c r="T21" s="29">
        <v>0.145987300080372</v>
      </c>
      <c r="U21" s="29">
        <v>6.1153078265526503E-4</v>
      </c>
      <c r="W21" s="31">
        <f>(1000*T21/R21)/$AG$140</f>
        <v>0.25357670298583829</v>
      </c>
      <c r="X21" s="31"/>
      <c r="Y21" s="31">
        <f>T21-AVERAGE(T22:T24)</f>
        <v>0.14020058034824287</v>
      </c>
      <c r="Z21" s="31">
        <f>U21+AVERAGE(T22:T24)</f>
        <v>6.3982505147843951E-3</v>
      </c>
      <c r="AA21" s="31"/>
      <c r="AB21" s="31">
        <f>(Y21*1000)/R21</f>
        <v>242.9700613888275</v>
      </c>
      <c r="AC21" s="31">
        <f>2*((1000*Z21/(2*R21))^2+((S21/2)*1000*Y21/(R21^2))^2)^0.5</f>
        <v>11.859745403862284</v>
      </c>
      <c r="AD21" s="31">
        <f>AB21/$AG$140</f>
        <v>0.24352529913106088</v>
      </c>
      <c r="AE21" s="31">
        <f>2*(($AH$140*AB21/(2*$AG$140^2))^2+(AC21/($AG$140*2))^2)^0.5</f>
        <v>1.2168421001983787E-2</v>
      </c>
      <c r="AF21" s="69"/>
      <c r="AG21" s="31" cm="1">
        <f t="array" ref="AG21:AH21">BP21:BQ21</f>
        <v>0.61818170759940005</v>
      </c>
      <c r="AH21" s="29">
        <v>1.1701238428196261E-2</v>
      </c>
      <c r="AI21" s="31" cm="1">
        <f t="array" ref="AI21:AJ21">BX21:BY21</f>
        <v>0.15166157373403114</v>
      </c>
      <c r="AJ21" s="29">
        <v>7.1272338165366683E-3</v>
      </c>
      <c r="AL21" s="31">
        <f>1000*AI21/AG21</f>
        <v>245.33494257373317</v>
      </c>
      <c r="AM21" s="31">
        <f>2*((AH21*1000*AI21/(2*AG21^2))^2+(1000*AJ21/(AG21*2))^2)^0.5</f>
        <v>12.429439534524265</v>
      </c>
      <c r="AN21" s="31">
        <f>AL21/$AG$140</f>
        <v>0.24589558456734736</v>
      </c>
      <c r="AO21" s="31">
        <f>2*(($AH$140*AL21/(2*$AG$140^2))^2+(AM21/($AG$140*2))^2)^0.5</f>
        <v>1.273199454448321E-2</v>
      </c>
      <c r="AP21" s="31"/>
      <c r="AQ21" s="31">
        <f>SUM(BP$5:$BP21)</f>
        <v>3.4446942530208933</v>
      </c>
      <c r="AR21" s="31" cm="1">
        <f t="array" ref="AR21">2*SQRT(SUM((BQ$5:$BQ21/2)^2))</f>
        <v>3.7192315004488975E-2</v>
      </c>
      <c r="AS21" s="31">
        <f>SUM($BX$5:BX21)</f>
        <v>0.36188756432613545</v>
      </c>
      <c r="AT21" s="31" cm="1">
        <f t="array" ref="AT21">2*SQRT(SUM(($BY$5:BY21/2)^2))</f>
        <v>1.2197688828078224E-2</v>
      </c>
      <c r="AU21" s="31">
        <f t="shared" si="8"/>
        <v>3.3798521929721193</v>
      </c>
      <c r="AV21" s="31"/>
      <c r="AW21" s="31">
        <f t="shared" si="9"/>
        <v>0.40553743215273907</v>
      </c>
      <c r="AX21" s="31"/>
      <c r="AY21" s="69"/>
      <c r="AZ21" s="31"/>
      <c r="BB21" s="31"/>
      <c r="BC21" s="31"/>
      <c r="BD21" s="31"/>
      <c r="BE21" s="31"/>
      <c r="BF21" s="31">
        <f t="shared" si="6"/>
        <v>366750591482.20825</v>
      </c>
      <c r="BG21" s="31">
        <f t="shared" si="7"/>
        <v>404355126454.80823</v>
      </c>
      <c r="BH21" s="31">
        <f t="shared" si="4"/>
        <v>4.6026353881482974E-16</v>
      </c>
      <c r="BI21" s="31"/>
      <c r="BJ21" s="31"/>
      <c r="BK21" s="31"/>
      <c r="BL21" s="31"/>
      <c r="BM21" s="31"/>
      <c r="BN21" s="114">
        <f>BN20*EXP(-BD20*E20*60)</f>
        <v>1.4061491057597481E-2</v>
      </c>
      <c r="BO21" s="116">
        <f>2*((((BO20/2)*EXP(-BD20*E20*60))^2+(BN20*EXP(-BD20*E20*60)*E20*60*BC20*BD20/BB20)^2)^0.5)</f>
        <v>2.1106009719805948E-3</v>
      </c>
      <c r="BP21" s="23">
        <f>R21+BN22-BN21</f>
        <v>0.61818170759940005</v>
      </c>
      <c r="BQ21" s="23">
        <f>2*(((BO21/2)^2+(BO22/2)^2+(S21/2)^2)^(0.5))</f>
        <v>1.1701238428196261E-2</v>
      </c>
      <c r="BR21" s="72">
        <f>100*(BP21-R21)/R21</f>
        <v>7.1319726864161117</v>
      </c>
      <c r="BS21" s="72"/>
      <c r="BT21" s="31"/>
      <c r="BU21" s="31"/>
      <c r="BV21" s="114">
        <f>BV20*EXP(-BB20*BH20*E20*60*0.91357457380209)*EXP(-(M20-1560)*$CW$126*$BH$48*0.91357457380209)</f>
        <v>3.3236459809107034E-3</v>
      </c>
      <c r="BW21" s="116">
        <f>2*SQRT(
((BW20/2) * EXP(-BB20 * BH20 * E20 * 60 * 0.91357457380209) * EXP(-(M20 - 1560) * $CW$126 * $BH$48 * 0.91357457380209))^2 +
(BC20 * (-BV20 * BH20 * E20 * 60 * 0.91357457380209 * EXP(-BB20 * BH20 * E20 * 60 * 0.91357457380209) * EXP(-(M20 - 1560) * $CW$126 * $BH$48 * 0.91357457380209)))^2 +
((0.146030972937065 / 2) * BV20 * (-BB20 * BH20 * E20 * 60 - (M20 - 1560) * $CW$126 * $BH$48) * EXP(-BB20 * BH20 * E20 * 60 * 0.91357457380209) * EXP(-(M20 - 1560) * $CW$126 * $BH$48 * 0.91357457380209))^2 +
-(M20-1560)*$BH$48*0.91357457380209*BV20*EXP(-BB20*BH20*E20*60*0.91357457380209)*EXP(-(M20-1560)*$CW$126*$BH$48*0.91357457380209))</f>
        <v>8.392530316466833E-4</v>
      </c>
      <c r="BX21" s="23">
        <f>Y21+BV22-BV21</f>
        <v>0.15166157373403114</v>
      </c>
      <c r="BY21" s="23">
        <f>2*(((BW21/2)^2+(BW22/2)^2+(Z21/2)^2)^(0.5))</f>
        <v>7.1272338165366683E-3</v>
      </c>
      <c r="BZ21" s="72">
        <f>100*(BX21-Y21)/Y21</f>
        <v>8.1747118002795816</v>
      </c>
      <c r="CA21" s="140">
        <f>R21*CC21</f>
        <v>0.13406375804081494</v>
      </c>
      <c r="CB21" s="31">
        <f>BH21*BG21*J21</f>
        <v>5.3041327610402282</v>
      </c>
      <c r="CC21" s="31">
        <f>1/(CB21-1)</f>
        <v>0.23233484084220457</v>
      </c>
      <c r="CD21" s="31">
        <f>CF21*T21</f>
        <v>3.8308281275653229E-2</v>
      </c>
      <c r="CE21" s="31">
        <f>BH21*BF21*J21</f>
        <v>4.810854865293944</v>
      </c>
      <c r="CF21" s="31">
        <f>1/(CE21-1)</f>
        <v>0.26240831397363296</v>
      </c>
      <c r="CG21" s="31">
        <f>R21-CA17</f>
        <v>0.44403441204207672</v>
      </c>
      <c r="CH21" s="31">
        <f>R21+CA21</f>
        <v>0.71109197109245692</v>
      </c>
      <c r="CI21" s="31">
        <f>T21-CD17</f>
        <v>0.11631748643863513</v>
      </c>
      <c r="CJ21" s="31">
        <f>T21+CD21</f>
        <v>0.18429558135602522</v>
      </c>
      <c r="CK21" s="31">
        <f>CE21*1.29</f>
        <v>6.2060027762291883</v>
      </c>
      <c r="CL21" s="31">
        <f>R21 / (CK21-1)</f>
        <v>0.11083901370286918</v>
      </c>
      <c r="CM21" s="31">
        <f>1000*T21/R21</f>
        <v>252.99854804033066</v>
      </c>
      <c r="CN21" s="31">
        <f>1000*(T21+CD21)/(R21+CL21)</f>
        <v>267.92318951662656</v>
      </c>
      <c r="CO21" s="31">
        <f>1000*(T21-CD17)/(R21-CL17)</f>
        <v>248.74941640691455</v>
      </c>
      <c r="CP21" s="31">
        <f>1000*(T21+CD21-CD17)/(R21+CL21-CL17)</f>
        <v>267.31139520490439</v>
      </c>
      <c r="CQ21" s="31">
        <f>MAX(CM21:CP21)</f>
        <v>267.92318951662656</v>
      </c>
      <c r="CR21" s="31">
        <f>MIN(CM21:CP21)</f>
        <v>248.74941640691455</v>
      </c>
      <c r="CS21" s="31"/>
    </row>
    <row r="22" spans="1:97" s="32" customFormat="1" x14ac:dyDescent="0.3">
      <c r="A22" s="32" t="s">
        <v>35</v>
      </c>
      <c r="B22" s="32" t="s">
        <v>36</v>
      </c>
      <c r="C22" s="33">
        <v>45326.836111111108</v>
      </c>
      <c r="D22" s="32">
        <v>109.99</v>
      </c>
      <c r="E22" s="32">
        <f t="shared" si="0"/>
        <v>150</v>
      </c>
      <c r="F22" s="32" t="s">
        <v>375</v>
      </c>
      <c r="G22" s="34">
        <v>3.71</v>
      </c>
      <c r="H22" s="34">
        <v>0</v>
      </c>
      <c r="I22" s="34">
        <v>0.374</v>
      </c>
      <c r="J22" s="32">
        <v>9000</v>
      </c>
      <c r="K22" s="32">
        <v>9128.3590000000004</v>
      </c>
      <c r="L22" s="32">
        <f t="shared" si="2"/>
        <v>10559.999999846332</v>
      </c>
      <c r="M22" s="32">
        <f t="shared" si="3"/>
        <v>1559.9999998463318</v>
      </c>
      <c r="N22" s="65"/>
      <c r="O22" s="32">
        <v>6.1766665928778596E-3</v>
      </c>
      <c r="P22" s="32">
        <v>2.5862223658382699E-2</v>
      </c>
      <c r="R22" s="32">
        <v>2.2915433059576801E-2</v>
      </c>
      <c r="S22" s="32">
        <v>3.9302180452129102E-4</v>
      </c>
      <c r="T22" s="32">
        <v>9.6724716482351498E-3</v>
      </c>
      <c r="U22" s="34">
        <v>4.0523335595436699E-5</v>
      </c>
      <c r="V22" s="34"/>
      <c r="Y22" s="34"/>
      <c r="Z22" s="34"/>
      <c r="AA22" s="34"/>
      <c r="AB22" s="34"/>
      <c r="AF22" s="69"/>
      <c r="AQ22" s="34">
        <f>SUM(BP$5:$BP22)</f>
        <v>3.4446942530208933</v>
      </c>
      <c r="AR22" s="34" cm="1">
        <f t="array" ref="AR22">2*SQRT(SUM((BQ$5:$BQ22/2)^2))</f>
        <v>3.7192315004488975E-2</v>
      </c>
      <c r="AS22" s="34">
        <f>SUM($BX$5:BX22)</f>
        <v>0.36188756432613545</v>
      </c>
      <c r="AT22" s="34" cm="1">
        <f t="array" ref="AT22">2*SQRT(SUM(($BY$5:BY22/2)^2))</f>
        <v>1.2197688828078224E-2</v>
      </c>
      <c r="AU22" s="34">
        <f t="shared" si="8"/>
        <v>3.4027676260316961</v>
      </c>
      <c r="AV22" s="34"/>
      <c r="AW22" s="34">
        <f t="shared" si="9"/>
        <v>0.41520990380097422</v>
      </c>
      <c r="AX22" s="34"/>
      <c r="AY22" s="69"/>
      <c r="AZ22" s="34">
        <f>'Naive Apparent Lambdas'!$U$2*(10000/(D22+273))+'Naive Apparent Lambdas'!$V$2</f>
        <v>25.81847690088021</v>
      </c>
      <c r="BA22" s="32">
        <f>'Naive Apparent Lambdas'!$V$4</f>
        <v>6.7480704157997479E-2</v>
      </c>
      <c r="BB22" s="34">
        <f t="shared" si="1"/>
        <v>163238294705.30197</v>
      </c>
      <c r="BC22" s="34">
        <f t="shared" si="5"/>
        <v>11015435072.264488</v>
      </c>
      <c r="BD22" s="34">
        <f>BB22*(D22+273)*$D$145*$F$144</f>
        <v>5.9575668637396499E-5</v>
      </c>
      <c r="BE22" s="34"/>
      <c r="BF22" s="31">
        <f t="shared" si="6"/>
        <v>96683803668.873611</v>
      </c>
      <c r="BG22" s="31">
        <f t="shared" si="7"/>
        <v>104956744957.584</v>
      </c>
      <c r="BH22" s="34">
        <f t="shared" si="4"/>
        <v>3.6496135140929944E-16</v>
      </c>
      <c r="BI22" s="34"/>
      <c r="BJ22" s="34">
        <f>R22/(1-EXP(-E22*60*BD22))</f>
        <v>5.5214985605355503E-2</v>
      </c>
      <c r="BK22" s="34">
        <f>2*SQRT(
((S22/2) * (1 / (1 - EXP(-E22 * 60 * BB22 * BH22))))^2 +
(BC22 * (-R22 * 60 * E22 * BH22 * EXP(-E22 * 60 * BB22 * BH22) / (1 - EXP(-E22 * 60 * BB22 * BH22))^2))^2
)</f>
        <v>5.7108534338673354E-3</v>
      </c>
      <c r="BL22" s="34">
        <f>R22/(1-EXP(-E22*60*BB22*BH22)*EXP(-(M22-1560)*$CW$126*$BH$122))</f>
        <v>5.5214985605442919E-2</v>
      </c>
      <c r="BM22" s="34">
        <f>2*SQRT(
((S22/2) * (1 / (1 - EXP(-E22 * 60 * BB22 * BH22) * EXP(-(M22 - 1560) * $CW$126 * $BH$48))))^2 +
(BC22 * (-R22 * 60 * E22 * BH22 * EXP(-E22 * 60 * BB22 * BH22) / ((1 - EXP(-E22 * 60 * BB22 * BH22) * EXP(-(M22 - 1560) * $CW$126 * $BH$48))^2)))^2 +
($CX$126 * (-R22 * (M22 - 1560) * $BH$48 * EXP(-(M22 - 1560) * $CW$126 * $BH$48) / ((1 - EXP(-E22 * 60 * BB22 * BH22) * EXP(-(M22 - 1560) * $CW$126 * $BH$48))^2)))^2
)</f>
        <v>5.7108534338851692E-3</v>
      </c>
      <c r="BN22" s="117" cm="1">
        <f t="array" ref="BN22:BO22">BJ22:BK22</f>
        <v>5.5214985605355503E-2</v>
      </c>
      <c r="BO22" s="118">
        <v>5.7108534338673354E-3</v>
      </c>
      <c r="BP22" s="24"/>
      <c r="BQ22" s="24"/>
      <c r="BR22" s="73"/>
      <c r="BS22" s="73"/>
      <c r="BT22" s="123">
        <f>BN22*(Y21/R21)*1.10204926384627</f>
        <v>1.4784639366698963E-2</v>
      </c>
      <c r="BU22" s="123">
        <f>2*(((BO22/2)*1.10204926384627*(AB21/(1000)))^2+((AC21/2000)*1.10204926384627*BN22)^2+((0.187040260207234/2)*BN22*(AB21/(1000)))^2)^0.5</f>
        <v>3.0258067642394007E-3</v>
      </c>
      <c r="BV22" s="124">
        <f>BT22</f>
        <v>1.4784639366698963E-2</v>
      </c>
      <c r="BW22" s="125">
        <f>BU22</f>
        <v>3.0258067642394007E-3</v>
      </c>
      <c r="BX22" s="24"/>
      <c r="BY22" s="24"/>
      <c r="BZ22" s="73"/>
      <c r="CA22" s="141">
        <f t="shared" ref="CA22:CA24" si="18">CA21*(EXP(-BH22*BG22*E22))*(EXP(-$BG$140*$F$144*D161*(24+273)*M22))</f>
        <v>0.13329566682857036</v>
      </c>
      <c r="CB22" s="34"/>
      <c r="CC22" s="34"/>
      <c r="CD22" s="34">
        <f t="shared" ref="CD22:CD24" si="19">CD21*(EXP(-BH22*BF22*E22))*(EXP(-$BF$140*$F$144*D161*(24+273)*M22))</f>
        <v>3.8106055875429812E-2</v>
      </c>
      <c r="CE22" s="34"/>
      <c r="CF22" s="34"/>
      <c r="CG22" s="34"/>
      <c r="CH22" s="34"/>
      <c r="CI22" s="34"/>
      <c r="CJ22" s="34"/>
      <c r="CK22" s="34"/>
      <c r="CL22" s="34"/>
      <c r="CM22" s="34"/>
      <c r="CN22" s="34"/>
      <c r="CO22" s="34"/>
      <c r="CP22" s="34"/>
      <c r="CQ22" s="34"/>
      <c r="CR22" s="34"/>
      <c r="CS22" s="34"/>
    </row>
    <row r="23" spans="1:97" s="8" customFormat="1" x14ac:dyDescent="0.3">
      <c r="A23" s="8" t="s">
        <v>37</v>
      </c>
      <c r="B23" s="8" t="s">
        <v>38</v>
      </c>
      <c r="C23" s="35">
        <v>45326.958333333336</v>
      </c>
      <c r="D23" s="8">
        <v>110</v>
      </c>
      <c r="E23" s="8">
        <f t="shared" si="0"/>
        <v>150</v>
      </c>
      <c r="F23" s="8" t="s">
        <v>287</v>
      </c>
      <c r="G23" s="36">
        <v>1.86</v>
      </c>
      <c r="H23" s="36">
        <v>0</v>
      </c>
      <c r="I23" s="36">
        <v>0.17100000000000001</v>
      </c>
      <c r="J23" s="8">
        <v>9000</v>
      </c>
      <c r="K23" s="8">
        <v>9129.1620000000003</v>
      </c>
      <c r="L23" s="8">
        <f t="shared" si="2"/>
        <v>10560.000000474975</v>
      </c>
      <c r="M23" s="8">
        <f t="shared" si="3"/>
        <v>1560.0000004749745</v>
      </c>
      <c r="N23" s="65"/>
      <c r="O23" s="8">
        <v>6.18899770477654E-3</v>
      </c>
      <c r="P23" s="8">
        <v>2.58744490134829E-2</v>
      </c>
      <c r="R23" s="8">
        <v>1.1511535730884301E-2</v>
      </c>
      <c r="S23" s="36">
        <v>2.0127918995059701E-4</v>
      </c>
      <c r="T23" s="8">
        <v>4.4245307813055804E-3</v>
      </c>
      <c r="U23" s="36">
        <v>1.8146534997503102E-5</v>
      </c>
      <c r="V23" s="36"/>
      <c r="Y23" s="36"/>
      <c r="Z23" s="36"/>
      <c r="AA23" s="36"/>
      <c r="AB23" s="36"/>
      <c r="AF23" s="69"/>
      <c r="AQ23" s="36">
        <f>SUM(BP$5:$BP23)</f>
        <v>3.4446942530208933</v>
      </c>
      <c r="AR23" s="36" cm="1">
        <f t="array" ref="AR23">2*SQRT(SUM((BQ$5:$BQ23/2)^2))</f>
        <v>3.7192315004488975E-2</v>
      </c>
      <c r="AS23" s="36">
        <f>SUM($BX$5:BX23)</f>
        <v>0.36188756432613545</v>
      </c>
      <c r="AT23" s="36" cm="1">
        <f t="array" ref="AT23">2*SQRT(SUM(($BY$5:BY23/2)^2))</f>
        <v>1.2197688828078224E-2</v>
      </c>
      <c r="AU23" s="36">
        <f t="shared" si="8"/>
        <v>3.4142791617625803</v>
      </c>
      <c r="AV23" s="36"/>
      <c r="AW23" s="36">
        <f t="shared" si="9"/>
        <v>0.41963443458227978</v>
      </c>
      <c r="AX23" s="36"/>
      <c r="AY23" s="69"/>
      <c r="AZ23" s="36">
        <f>'Naive Apparent Lambdas'!$U$2*(10000/(D23+273))+'Naive Apparent Lambdas'!$V$2</f>
        <v>25.818826597052521</v>
      </c>
      <c r="BA23" s="8">
        <f>'Naive Apparent Lambdas'!$V$4</f>
        <v>6.7480704157997479E-2</v>
      </c>
      <c r="BB23" s="36">
        <f t="shared" si="1"/>
        <v>163295388494.29288</v>
      </c>
      <c r="BC23" s="36">
        <f t="shared" si="5"/>
        <v>11019287801.348642</v>
      </c>
      <c r="BD23" s="36">
        <f>BB23*(D23+273)*$D$145*$F$144</f>
        <v>5.9598061748946858E-5</v>
      </c>
      <c r="BE23" s="36"/>
      <c r="BF23" s="31">
        <f t="shared" si="6"/>
        <v>96700059240.232132</v>
      </c>
      <c r="BG23" s="31">
        <f t="shared" si="7"/>
        <v>104974596762.32733</v>
      </c>
      <c r="BH23" s="36">
        <f t="shared" si="4"/>
        <v>3.6497088067511346E-16</v>
      </c>
      <c r="BI23" s="36"/>
      <c r="BJ23" s="36">
        <f>R23/(1-EXP(-E23*60*BD23))</f>
        <v>2.7729294486729776E-2</v>
      </c>
      <c r="BK23" s="36">
        <f>2*SQRT(
((S23/2) * (1 / (1 - EXP(-E23 * 60 * BB23 * BH23))))^2 +
(BC23 * (-R23 * 60 * E23 * BH23 * EXP(-E23 * 60 * BB23 * BH23) / (1 - EXP(-E23 * 60 * BB23 * BH23))^2))^2
)</f>
        <v>2.8692691871340572E-3</v>
      </c>
      <c r="BL23" s="36">
        <f>R23/(1-EXP(-E23*60*BB23*BH23)*EXP(-(M23-1560)*$CW$126*$BH$122))</f>
        <v>2.7729294486594173E-2</v>
      </c>
      <c r="BM23" s="36">
        <f>2*SQRT(
((S23/2) * (1 / (1 - EXP(-E23 * 60 * BB23 * BH23) * EXP(-(M23 - 1560) * $CW$126 * $BH$48))))^2 +
(BC23 * (-R23 * 60 * E23 * BH23 * EXP(-E23 * 60 * BB23 * BH23) / ((1 - EXP(-E23 * 60 * BB23 * BH23) * EXP(-(M23 - 1560) * $CW$126 * $BH$48))^2)))^2 +
($CX$126 * (-R23 * (M23 - 1560) * $BH$48 * EXP(-(M23 - 1560) * $CW$126 * $BH$48) / ((1 - EXP(-E23 * 60 * BB23 * BH23) * EXP(-(M23 - 1560) * $CW$126 * $BH$48))^2)))^2
)</f>
        <v>2.8692691871063944E-3</v>
      </c>
      <c r="BN23" s="54">
        <f>BN22*EXP(-BD22*E22*60)</f>
        <v>3.2299552545778695E-2</v>
      </c>
      <c r="BO23" s="99">
        <f>2*((((BO22/2)*EXP(-BD22*E22*60))^2+(BN22*EXP(-BD22*E22*60)*E22*60*BC22*BD22/BB22)^2)^0.5)</f>
        <v>4.0771906554461198E-3</v>
      </c>
      <c r="BP23" s="25"/>
      <c r="BQ23" s="25"/>
      <c r="BR23" s="74"/>
      <c r="BS23" s="74"/>
      <c r="BT23" s="36"/>
      <c r="BU23" s="36"/>
      <c r="BV23" s="54">
        <f>BV22*EXP(-BB22*BH22*E22*60*0.91357457380209)*EXP(-(M22-1560)*$CW$126*$BH$48*0.91357457380209)</f>
        <v>9.0588974320912705E-3</v>
      </c>
      <c r="BW23" s="99">
        <f>2*SQRT(
((BW22/2) * EXP(-BB22 * BH22 * E22 * 60 * 0.91357457380209) * EXP(-(M22 - 1560) * $CW$126 * $BH$48 * 0.91357457380209))^2 +
(BC22 * (-BV22 * BH22 * E22 * 60 * 0.91357457380209 * EXP(-BB22 * BH22 * E22 * 60 * 0.91357457380209) * EXP(-(M22 - 1560) * $CW$126 * $BH$48 * 0.91357457380209)))^2 +
((0.146030972937065 / 2) * BV22 * (-BB22 * BH22 * E22 * 60 - (M22 - 1560) * $CW$126 * $BH$48) * EXP(-BB22 * BH22 * E22 * 60 * 0.91357457380209) * EXP(-(M22 - 1560) * $CW$126 * $BH$48 * 0.91357457380209))^2 +
-(M22-1560)*$BH$48*0.91357457380209*BV22*EXP(-BB22*BH22*E22*60*0.91357457380209)*EXP(-(M22-1560)*$CW$126*$BH$48*0.91357457380209))</f>
        <v>2.0734084470826518E-3</v>
      </c>
      <c r="BX23" s="25"/>
      <c r="BY23" s="25"/>
      <c r="BZ23" s="74"/>
      <c r="CA23" s="141">
        <f t="shared" si="18"/>
        <v>0.13253182683221046</v>
      </c>
      <c r="CB23" s="34"/>
      <c r="CC23" s="34"/>
      <c r="CD23" s="34">
        <f t="shared" si="19"/>
        <v>3.7904859031112743E-2</v>
      </c>
      <c r="CE23" s="36"/>
      <c r="CF23" s="36"/>
      <c r="CG23" s="36"/>
      <c r="CH23" s="36"/>
      <c r="CI23" s="36"/>
      <c r="CJ23" s="36"/>
      <c r="CK23" s="36"/>
      <c r="CL23" s="36"/>
      <c r="CM23" s="36"/>
      <c r="CN23" s="36"/>
      <c r="CO23" s="36"/>
      <c r="CP23" s="36"/>
      <c r="CQ23" s="36"/>
      <c r="CR23" s="36"/>
      <c r="CS23" s="36"/>
    </row>
    <row r="24" spans="1:97" s="8" customFormat="1" x14ac:dyDescent="0.3">
      <c r="A24" s="8" t="s">
        <v>39</v>
      </c>
      <c r="B24" s="8" t="s">
        <v>40</v>
      </c>
      <c r="C24" s="35">
        <v>45327.080555555556</v>
      </c>
      <c r="D24" s="8">
        <v>110</v>
      </c>
      <c r="E24" s="8">
        <f t="shared" si="0"/>
        <v>150</v>
      </c>
      <c r="F24" s="8" t="s">
        <v>287</v>
      </c>
      <c r="G24" s="36">
        <v>1.21</v>
      </c>
      <c r="H24" s="36">
        <v>0</v>
      </c>
      <c r="I24" s="36">
        <v>0.126</v>
      </c>
      <c r="J24" s="8">
        <v>9000</v>
      </c>
      <c r="K24" s="8">
        <v>9128.9069999999992</v>
      </c>
      <c r="L24" s="8">
        <f t="shared" si="2"/>
        <v>10559.999999846332</v>
      </c>
      <c r="M24" s="8">
        <f t="shared" si="3"/>
        <v>1559.9999998463318</v>
      </c>
      <c r="N24" s="65"/>
      <c r="O24" s="8">
        <v>6.2128988695499196E-3</v>
      </c>
      <c r="P24" s="8">
        <v>2.5898069578148102E-2</v>
      </c>
      <c r="R24" s="8">
        <v>7.5176076321554E-3</v>
      </c>
      <c r="S24" s="36">
        <v>1.3622341234475701E-4</v>
      </c>
      <c r="T24" s="8">
        <v>3.2631567668466601E-3</v>
      </c>
      <c r="U24" s="36">
        <v>1.28462509090073E-5</v>
      </c>
      <c r="V24" s="36"/>
      <c r="Y24" s="36"/>
      <c r="Z24" s="36"/>
      <c r="AA24" s="36"/>
      <c r="AB24" s="36"/>
      <c r="AF24" s="69"/>
      <c r="AQ24" s="36">
        <f>SUM(BP$5:$BP24)</f>
        <v>3.4446942530208933</v>
      </c>
      <c r="AR24" s="36" cm="1">
        <f t="array" ref="AR24">2*SQRT(SUM((BQ$5:$BQ24/2)^2))</f>
        <v>3.7192315004488975E-2</v>
      </c>
      <c r="AS24" s="36">
        <f>SUM($BX$5:BX24)</f>
        <v>0.36188756432613545</v>
      </c>
      <c r="AT24" s="36" cm="1">
        <f t="array" ref="AT24">2*SQRT(SUM(($BY$5:BY24/2)^2))</f>
        <v>1.2197688828078224E-2</v>
      </c>
      <c r="AU24" s="36">
        <f t="shared" si="8"/>
        <v>3.4217967693947355</v>
      </c>
      <c r="AV24" s="36"/>
      <c r="AW24" s="36">
        <f t="shared" si="9"/>
        <v>0.42289759134912647</v>
      </c>
      <c r="AX24" s="36"/>
      <c r="AY24" s="69"/>
      <c r="AZ24" s="36">
        <f>'Naive Apparent Lambdas'!$U$2*(10000/(D24+273))+'Naive Apparent Lambdas'!$V$2</f>
        <v>25.818826597052521</v>
      </c>
      <c r="BA24" s="8">
        <f>'Naive Apparent Lambdas'!$V$4</f>
        <v>6.7480704157997479E-2</v>
      </c>
      <c r="BB24" s="36">
        <f t="shared" si="1"/>
        <v>163295388494.29288</v>
      </c>
      <c r="BC24" s="36">
        <f t="shared" si="5"/>
        <v>11019287801.348642</v>
      </c>
      <c r="BD24" s="36">
        <f>BB24*(D24+273)*$D$145*$F$144</f>
        <v>5.9598061748946858E-5</v>
      </c>
      <c r="BE24" s="36"/>
      <c r="BF24" s="31">
        <f t="shared" si="6"/>
        <v>96700059240.232132</v>
      </c>
      <c r="BG24" s="31">
        <f t="shared" si="7"/>
        <v>104974596762.32733</v>
      </c>
      <c r="BH24" s="36">
        <f t="shared" si="4"/>
        <v>3.6497088067511346E-16</v>
      </c>
      <c r="BI24" s="36"/>
      <c r="BJ24" s="36">
        <f>R24/(1-EXP(-E24*60*BD24))</f>
        <v>1.8108613893144818E-2</v>
      </c>
      <c r="BK24" s="36">
        <f>2*SQRT(
((S24/2) * (1 / (1 - EXP(-E24 * 60 * BB24 * BH24))))^2 +
(BC24 * (-R24 * 60 * E24 * BH24 * EXP(-E24 * 60 * BB24 * BH24) / (1 - EXP(-E24 * 60 * BB24 * BH24))^2))^2
)</f>
        <v>1.875755216798725E-3</v>
      </c>
      <c r="BL24" s="36">
        <f>R24/(1-EXP(-E24*60*BB24*BH24)*EXP(-(M24-1560)*$CW$126*$BH$122))</f>
        <v>1.8108613893173468E-2</v>
      </c>
      <c r="BM24" s="36">
        <f>2*SQRT(
((S24/2) * (1 / (1 - EXP(-E24 * 60 * BB24 * BH24) * EXP(-(M24 - 1560) * $CW$126 * $BH$48))))^2 +
(BC24 * (-R24 * 60 * E24 * BH24 * EXP(-E24 * 60 * BB24 * BH24) / ((1 - EXP(-E24 * 60 * BB24 * BH24) * EXP(-(M24 - 1560) * $CW$126 * $BH$48))^2)))^2 +
($CX$126 * (-R24 * (M24 - 1560) * $BH$48 * EXP(-(M24 - 1560) * $CW$126 * $BH$48) / ((1 - EXP(-E24 * 60 * BB24 * BH24) * EXP(-(M24 - 1560) * $CW$126 * $BH$48))^2)))^2
)</f>
        <v>1.87575521680457E-3</v>
      </c>
      <c r="BN24" s="54">
        <f>BN23*EXP(-BD23*E23*60)</f>
        <v>1.8890720474690675E-2</v>
      </c>
      <c r="BO24" s="99">
        <f>2*((((BO23/2)*EXP(-BD23*E23*60))^2+(BN23*EXP(-BD23*E23*60)*E23*60*BC23*BD23/BB23)^2)^0.5)</f>
        <v>2.7488824354726625E-3</v>
      </c>
      <c r="BP24" s="25"/>
      <c r="BQ24" s="25"/>
      <c r="BR24" s="74"/>
      <c r="BS24" s="74"/>
      <c r="BT24" s="36"/>
      <c r="BU24" s="36"/>
      <c r="BV24" s="54">
        <f>BV23*EXP(-BB23*BH23*E23*60*0.91357457380209)*EXP(-(M23-1560)*$CW$126*$BH$48*0.91357457380209)</f>
        <v>5.5495783486357014E-3</v>
      </c>
      <c r="BW24" s="99">
        <f>2*SQRT(
((BW23/2) * EXP(-BB23 * BH23 * E23 * 60 * 0.91357457380209) * EXP(-(M23 - 1560) * $CW$126 * $BH$48 * 0.91357457380209))^2 +
(BC23 * (-BV23 * BH23 * E23 * 60 * 0.91357457380209 * EXP(-BB23 * BH23 * E23 * 60 * 0.91357457380209) * EXP(-(M23 - 1560) * $CW$126 * $BH$48 * 0.91357457380209)))^2 +
((0.146030972937065 / 2) * BV23 * (-BB23 * BH23 * E23 * 60 - (M23 - 1560) * $CW$126 * $BH$48) * EXP(-BB23 * BH23 * E23 * 60 * 0.91357457380209) * EXP(-(M23 - 1560) * $CW$126 * $BH$48 * 0.91357457380209))^2 +
-(M23-1560)*$BH$48*0.91357457380209*BV23*EXP(-BB23*BH23*E23*60*0.91357457380209)*EXP(-(M23-1560)*$CW$126*$BH$48*0.91357457380209))</f>
        <v>1.3917783003869746E-3</v>
      </c>
      <c r="BX24" s="25"/>
      <c r="BY24" s="25"/>
      <c r="BZ24" s="74"/>
      <c r="CA24" s="141">
        <f t="shared" si="18"/>
        <v>0.1317723639589328</v>
      </c>
      <c r="CB24" s="34"/>
      <c r="CC24" s="34"/>
      <c r="CD24" s="34">
        <f t="shared" si="19"/>
        <v>3.7704724489603804E-2</v>
      </c>
      <c r="CE24" s="36"/>
      <c r="CF24" s="36"/>
      <c r="CG24" s="36"/>
      <c r="CH24" s="36"/>
      <c r="CI24" s="36"/>
      <c r="CJ24" s="36"/>
      <c r="CK24" s="36"/>
      <c r="CL24" s="36"/>
      <c r="CM24" s="36"/>
      <c r="CN24" s="36"/>
      <c r="CO24" s="36"/>
      <c r="CP24" s="36"/>
      <c r="CQ24" s="36"/>
      <c r="CR24" s="36"/>
      <c r="CS24" s="36"/>
    </row>
    <row r="25" spans="1:97" s="29" customFormat="1" x14ac:dyDescent="0.3">
      <c r="A25" s="29" t="s">
        <v>41</v>
      </c>
      <c r="B25" s="29" t="s">
        <v>42</v>
      </c>
      <c r="C25" s="30">
        <v>45327.411111111112</v>
      </c>
      <c r="D25" s="29">
        <v>220</v>
      </c>
      <c r="E25" s="29">
        <f t="shared" si="0"/>
        <v>450</v>
      </c>
      <c r="F25" s="29" t="s">
        <v>289</v>
      </c>
      <c r="G25" s="31">
        <v>102</v>
      </c>
      <c r="H25" s="31">
        <v>0</v>
      </c>
      <c r="I25" s="31">
        <v>8.07</v>
      </c>
      <c r="J25" s="29">
        <v>27000</v>
      </c>
      <c r="K25" s="29">
        <v>27130.368999999999</v>
      </c>
      <c r="L25" s="29">
        <f t="shared" si="2"/>
        <v>28560.000000055879</v>
      </c>
      <c r="M25" s="29">
        <f t="shared" si="3"/>
        <v>1560.0000000558794</v>
      </c>
      <c r="N25" s="65"/>
      <c r="O25" s="29">
        <v>6.2091427866422999E-3</v>
      </c>
      <c r="P25" s="29">
        <v>2.5904605263157798E-2</v>
      </c>
      <c r="R25" s="29">
        <v>0.63333256423751405</v>
      </c>
      <c r="S25" s="29">
        <v>1.1423818461767999E-2</v>
      </c>
      <c r="T25" s="29">
        <v>0.20905016447368399</v>
      </c>
      <c r="U25" s="29">
        <v>9.6717726032338996E-4</v>
      </c>
      <c r="W25" s="31">
        <f>(1000*T25/R25)/$AG$140</f>
        <v>0.33083390929477968</v>
      </c>
      <c r="X25" s="31"/>
      <c r="Y25" s="31">
        <f>T25-AVERAGE(T26:T28)</f>
        <v>0.20117491590930578</v>
      </c>
      <c r="Z25" s="31">
        <f>U25+AVERAGE(T26:T28)</f>
        <v>8.8424258247016031E-3</v>
      </c>
      <c r="AA25" s="31"/>
      <c r="AB25" s="31">
        <f>(Y25*1000)/R25</f>
        <v>317.64498980327284</v>
      </c>
      <c r="AC25" s="31">
        <f>2*((1000*Z25/(2*R25))^2+((S25/2)*1000*Y25/(R25^2))^2)^0.5</f>
        <v>15.091657559142021</v>
      </c>
      <c r="AD25" s="31">
        <f>AB25/$AG$140</f>
        <v>0.3183708754780839</v>
      </c>
      <c r="AE25" s="31">
        <f>2*(($AH$140*AB25/(2*$AG$140^2))^2+(AC25/($AG$140*2))^2)^0.5</f>
        <v>1.5504091608735868E-2</v>
      </c>
      <c r="AF25" s="69"/>
      <c r="AG25" s="31" cm="1">
        <f t="array" ref="AG25:AH25">BP25:BQ25</f>
        <v>0.66921799917922808</v>
      </c>
      <c r="AH25" s="29">
        <v>1.2436422611370885E-2</v>
      </c>
      <c r="AI25" s="31" cm="1">
        <f t="array" ref="AI25:AJ25">BX25:BY25</f>
        <v>0.21420487284735323</v>
      </c>
      <c r="AJ25" s="29">
        <v>9.4861651864119531E-3</v>
      </c>
      <c r="AL25" s="31">
        <f>1000*AI25/AG25</f>
        <v>320.08235449445152</v>
      </c>
      <c r="AM25" s="31">
        <f>2*((AH25*1000*AI25/(2*AG25^2))^2+(1000*AJ25/(AG25*2))^2)^0.5</f>
        <v>15.372454805119533</v>
      </c>
      <c r="AN25" s="31">
        <f>AL25/$AG$140</f>
        <v>0.32081381006071502</v>
      </c>
      <c r="AO25" s="31">
        <f>2*(($AH$140*AL25/(2*$AG$140^2))^2+(AM25/($AG$140*2))^2)^0.5</f>
        <v>1.5784441010003061E-2</v>
      </c>
      <c r="AP25" s="31"/>
      <c r="AQ25" s="31">
        <f>SUM(BP$5:$BP25)</f>
        <v>4.1139122522001212</v>
      </c>
      <c r="AR25" s="31" cm="1">
        <f t="array" ref="AR25">2*SQRT(SUM((BQ$5:$BQ25/2)^2))</f>
        <v>3.9216487639279388E-2</v>
      </c>
      <c r="AS25" s="31">
        <f>SUM($BX$5:BX25)</f>
        <v>0.57609243717348868</v>
      </c>
      <c r="AT25" s="31" cm="1">
        <f t="array" ref="AT25">2*SQRT(SUM(($BY$5:BY25/2)^2))</f>
        <v>1.5452214815052191E-2</v>
      </c>
      <c r="AU25" s="31">
        <f t="shared" si="8"/>
        <v>4.0551293336322498</v>
      </c>
      <c r="AV25" s="31"/>
      <c r="AW25" s="31">
        <f t="shared" si="9"/>
        <v>0.63194775582281049</v>
      </c>
      <c r="AX25" s="31"/>
      <c r="AY25" s="69"/>
      <c r="AZ25" s="31"/>
      <c r="BB25" s="31"/>
      <c r="BC25" s="31"/>
      <c r="BD25" s="31"/>
      <c r="BE25" s="31"/>
      <c r="BF25" s="31">
        <f t="shared" si="6"/>
        <v>406768781741.35809</v>
      </c>
      <c r="BG25" s="31">
        <f t="shared" si="7"/>
        <v>449017166292.49164</v>
      </c>
      <c r="BH25" s="31">
        <f t="shared" si="4"/>
        <v>4.6979280462880138E-16</v>
      </c>
      <c r="BI25" s="31"/>
      <c r="BJ25" s="31"/>
      <c r="BK25" s="31"/>
      <c r="BL25" s="31"/>
      <c r="BM25" s="31"/>
      <c r="BN25" s="114">
        <f>BN24*EXP(-BD24*E24*60)</f>
        <v>1.1048429217312371E-2</v>
      </c>
      <c r="BO25" s="116">
        <f>2*((((BO24/2)*EXP(-BD24*E24*60))^2+(BN24*EXP(-BD24*E24*60)*E24*60*BC24*BD24/BB24)^2)^0.5)</f>
        <v>1.7956689666237403E-3</v>
      </c>
      <c r="BP25" s="23">
        <f>R25+BN26-BN25</f>
        <v>0.66921799917922808</v>
      </c>
      <c r="BQ25" s="23">
        <f>2*(((BO25/2)^2+(BO26/2)^2+(S25/2)^2)^(0.5))</f>
        <v>1.2436422611370885E-2</v>
      </c>
      <c r="BR25" s="72">
        <f>100*(BP25-R25)/R25</f>
        <v>5.666128187316164</v>
      </c>
      <c r="BS25" s="72"/>
      <c r="BT25" s="31"/>
      <c r="BU25" s="31"/>
      <c r="BV25" s="114">
        <f>BV24*EXP(-BB24*BH24*E24*60*0.91357457380209)*EXP(-(M24-1560)*$CW$126*$BH$48*0.91357457380209)</f>
        <v>3.39973159853579E-3</v>
      </c>
      <c r="BW25" s="116">
        <f>2*SQRT(
((BW24/2) * EXP(-BB24 * BH24 * E24 * 60 * 0.91357457380209) * EXP(-(M24 - 1560) * $CW$126 * $BH$48 * 0.91357457380209))^2 +
(BC24 * (-BV24 * BH24 * E24 * 60 * 0.91357457380209 * EXP(-BB24 * BH24 * E24 * 60 * 0.91357457380209) * EXP(-(M24 - 1560) * $CW$126 * $BH$48 * 0.91357457380209)))^2 +
((0.146030972937065 / 2) * BV24 * (-BB24 * BH24 * E24 * 60 - (M24 - 1560) * $CW$126 * $BH$48) * EXP(-BB24 * BH24 * E24 * 60 * 0.91357457380209) * EXP(-(M24 - 1560) * $CW$126 * $BH$48 * 0.91357457380209))^2 +
-(M24-1560)*$BH$48*0.91357457380209*BV24*EXP(-BB24*BH24*E24*60*0.91357457380209)*EXP(-(M24-1560)*$CW$126*$BH$48*0.91357457380209))</f>
        <v>9.2109958727300397E-4</v>
      </c>
      <c r="BX25" s="23">
        <f>Y25+BV26-BV25</f>
        <v>0.21420487284735323</v>
      </c>
      <c r="BY25" s="23">
        <f>2*(((BW25/2)^2+(BW26/2)^2+(Z25/2)^2)^(0.5))</f>
        <v>9.4861651864119531E-3</v>
      </c>
      <c r="BZ25" s="72">
        <f>100*(BX25-Y25)/Y25</f>
        <v>6.4769292330270707</v>
      </c>
      <c r="CA25" s="140">
        <f>R25*CC25</f>
        <v>0.13488029339869259</v>
      </c>
      <c r="CB25" s="31">
        <f>BH25*BG25*J25</f>
        <v>5.6955159147337167</v>
      </c>
      <c r="CC25" s="31">
        <f>1/(CB25-1)</f>
        <v>0.21296914293532113</v>
      </c>
      <c r="CD25" s="31">
        <f>CF25*T25</f>
        <v>5.0257030981856542E-2</v>
      </c>
      <c r="CE25" s="31">
        <f>BH25*BF25*J25</f>
        <v>5.1596202638622621</v>
      </c>
      <c r="CF25" s="31">
        <f>1/(CE25-1)</f>
        <v>0.2404065603506525</v>
      </c>
      <c r="CG25" s="31">
        <f>R25-CA21</f>
        <v>0.49926880619669911</v>
      </c>
      <c r="CH25" s="31">
        <f>R25+CA25</f>
        <v>0.76821285763620661</v>
      </c>
      <c r="CI25" s="31">
        <f>T25-CD21</f>
        <v>0.17074188319803077</v>
      </c>
      <c r="CJ25" s="31">
        <f>T25+CD25</f>
        <v>0.25930719545554054</v>
      </c>
      <c r="CK25" s="31">
        <f>CE25*1.29</f>
        <v>6.6559101403823187</v>
      </c>
      <c r="CL25" s="31">
        <f>R25 / (CK25-1)</f>
        <v>0.11197712631882499</v>
      </c>
      <c r="CM25" s="31">
        <f>1000*T25/R25</f>
        <v>330.07960789978495</v>
      </c>
      <c r="CN25" s="31">
        <f>1000*(T25+CD25)/(R25+CL25)</f>
        <v>347.91872256750048</v>
      </c>
      <c r="CO25" s="31">
        <f>1000*(T25-CD21)/(R25-CL21)</f>
        <v>326.78275745857155</v>
      </c>
      <c r="CP25" s="31">
        <f>1000*(T25+CD25-CD21)/(R25+CL25-CL21)</f>
        <v>348.32013872711525</v>
      </c>
      <c r="CQ25" s="31">
        <f>MAX(CM25:CP25)</f>
        <v>348.32013872711525</v>
      </c>
      <c r="CR25" s="31">
        <f>MIN(CM25:CP25)</f>
        <v>326.78275745857155</v>
      </c>
      <c r="CS25" s="31"/>
    </row>
    <row r="26" spans="1:97" s="32" customFormat="1" x14ac:dyDescent="0.3">
      <c r="A26" s="32" t="s">
        <v>43</v>
      </c>
      <c r="B26" s="32" t="s">
        <v>44</v>
      </c>
      <c r="C26" s="33">
        <v>45327.533333333333</v>
      </c>
      <c r="D26" s="32">
        <v>115</v>
      </c>
      <c r="E26" s="32">
        <f t="shared" si="0"/>
        <v>150</v>
      </c>
      <c r="F26" s="32" t="s">
        <v>286</v>
      </c>
      <c r="G26" s="34">
        <v>3.59</v>
      </c>
      <c r="H26" s="34">
        <v>0</v>
      </c>
      <c r="I26" s="34">
        <v>0.32900000000000001</v>
      </c>
      <c r="J26" s="32">
        <v>9000</v>
      </c>
      <c r="K26" s="32">
        <v>9127.9359999999997</v>
      </c>
      <c r="L26" s="32">
        <f t="shared" si="2"/>
        <v>10559.999999846332</v>
      </c>
      <c r="M26" s="32">
        <f t="shared" si="3"/>
        <v>1559.9999998463318</v>
      </c>
      <c r="N26" s="65"/>
      <c r="O26" s="32">
        <v>6.2194485886968298E-3</v>
      </c>
      <c r="P26" s="32">
        <v>2.5904605263157798E-2</v>
      </c>
      <c r="R26" s="32">
        <v>2.2327820433421599E-2</v>
      </c>
      <c r="S26" s="32">
        <v>3.7376858861582298E-4</v>
      </c>
      <c r="T26" s="32">
        <v>8.5226151315789395E-3</v>
      </c>
      <c r="U26" s="34">
        <v>3.8388012157614297E-5</v>
      </c>
      <c r="V26" s="34"/>
      <c r="Y26" s="34"/>
      <c r="Z26" s="34"/>
      <c r="AA26" s="34"/>
      <c r="AB26" s="34"/>
      <c r="AF26" s="69"/>
      <c r="AQ26" s="34">
        <f>SUM(BP$5:$BP26)</f>
        <v>4.1139122522001212</v>
      </c>
      <c r="AR26" s="34" cm="1">
        <f t="array" ref="AR26">2*SQRT(SUM((BQ$5:$BQ26/2)^2))</f>
        <v>3.9216487639279388E-2</v>
      </c>
      <c r="AS26" s="34">
        <f>SUM($BX$5:BX26)</f>
        <v>0.57609243717348868</v>
      </c>
      <c r="AT26" s="34" cm="1">
        <f t="array" ref="AT26">2*SQRT(SUM(($BY$5:BY26/2)^2))</f>
        <v>1.5452214815052191E-2</v>
      </c>
      <c r="AU26" s="34">
        <f t="shared" si="8"/>
        <v>4.0774571540656712</v>
      </c>
      <c r="AV26" s="34"/>
      <c r="AW26" s="34">
        <f t="shared" si="9"/>
        <v>0.64047037095438941</v>
      </c>
      <c r="AX26" s="34"/>
      <c r="AY26" s="69"/>
      <c r="AZ26" s="34">
        <f>'Naive Apparent Lambdas'!$U$2*(10000/(D26+273))+'Naive Apparent Lambdas'!$V$2</f>
        <v>25.991416979826834</v>
      </c>
      <c r="BA26" s="32">
        <f>'Naive Apparent Lambdas'!$V$4</f>
        <v>6.7480704157997479E-2</v>
      </c>
      <c r="BB26" s="34">
        <f t="shared" si="1"/>
        <v>194056847187.76276</v>
      </c>
      <c r="BC26" s="34">
        <f t="shared" si="5"/>
        <v>13095092694.911144</v>
      </c>
      <c r="BD26" s="34">
        <f>BB26*(D26+273)*$D$145*$F$144</f>
        <v>7.1749708059090411E-5</v>
      </c>
      <c r="BE26" s="34"/>
      <c r="BF26" s="31">
        <f t="shared" si="6"/>
        <v>105065839002.11293</v>
      </c>
      <c r="BG26" s="31">
        <f t="shared" si="7"/>
        <v>114166368820.14638</v>
      </c>
      <c r="BH26" s="34">
        <f t="shared" si="4"/>
        <v>3.6973551358209923E-16</v>
      </c>
      <c r="BI26" s="34"/>
      <c r="BJ26" s="34">
        <f>R26/(1-EXP(-E26*60*BD26))</f>
        <v>4.693386415902645E-2</v>
      </c>
      <c r="BK26" s="34">
        <f>2*SQRT(
((S26/2) * (1 / (1 - EXP(-E26 * 60 * BB26 * BH26))))^2 +
(BC26 * (-R26 * 60 * E26 * BH26 * EXP(-E26 * 60 * BB26 * BH26) / (1 - EXP(-E26 * 60 * BB26 * BH26))^2))^2
)</f>
        <v>4.5756477228355427E-3</v>
      </c>
      <c r="BL26" s="34">
        <f>R26/(1-EXP(-E26*60*BB26*BH26)*EXP(-(M26-1560)*$CW$126*$BH$122))</f>
        <v>4.6933864159084543E-2</v>
      </c>
      <c r="BM26" s="34">
        <f>2*SQRT(
((S26/2) * (1 / (1 - EXP(-E26 * 60 * BB26 * BH26) * EXP(-(M26 - 1560) * $CW$126 * $BH$48))))^2 +
(BC26 * (-R26 * 60 * E26 * BH26 * EXP(-E26 * 60 * BB26 * BH26) / ((1 - EXP(-E26 * 60 * BB26 * BH26) * EXP(-(M26 - 1560) * $CW$126 * $BH$48))^2)))^2 +
($CX$126 * (-R26 * (M26 - 1560) * $BH$48 * EXP(-(M26 - 1560) * $CW$126 * $BH$48) / ((1 - EXP(-E26 * 60 * BB26 * BH26) * EXP(-(M26 - 1560) * $CW$126 * $BH$48))^2)))^2
)</f>
        <v>4.575647722846703E-3</v>
      </c>
      <c r="BN26" s="117" cm="1">
        <f t="array" ref="BN26:BO26">BJ26:BK26</f>
        <v>4.693386415902645E-2</v>
      </c>
      <c r="BO26" s="118">
        <v>4.5756477228355427E-3</v>
      </c>
      <c r="BP26" s="24"/>
      <c r="BQ26" s="24"/>
      <c r="BR26" s="73"/>
      <c r="BS26" s="73"/>
      <c r="BT26" s="123">
        <f>BN26*(Y25/R25)*1.10204926384627</f>
        <v>1.6429688536583258E-2</v>
      </c>
      <c r="BU26" s="123">
        <f>2*(((BO26/2)*1.10204926384627*(AB25/(1000)))^2+((AC25/2000)*1.10204926384627*BN26)^2+((0.187040260207234/2)*BN26*(AB25/(1000)))^2)^0.5</f>
        <v>3.3091405272169696E-3</v>
      </c>
      <c r="BV26" s="124">
        <f>BT26</f>
        <v>1.6429688536583258E-2</v>
      </c>
      <c r="BW26" s="125">
        <f>BU26</f>
        <v>3.3091405272169696E-3</v>
      </c>
      <c r="BX26" s="24"/>
      <c r="BY26" s="24"/>
      <c r="BZ26" s="73"/>
      <c r="CA26" s="141">
        <f t="shared" ref="CA26:CA28" si="20">CA25*(EXP(-BH26*BG26*E26))*(EXP(-$BG$140*$F$144*D165*(24+273)*M26))</f>
        <v>0.13402896929537775</v>
      </c>
      <c r="CB26" s="34"/>
      <c r="CC26" s="34"/>
      <c r="CD26" s="34">
        <f t="shared" ref="CD26:CD28" si="21">CD25*(EXP(-BH26*BF26*E26))*(EXP(-$BF$140*$F$144*D165*(24+273)*M26))</f>
        <v>4.996503552927354E-2</v>
      </c>
      <c r="CE26" s="34"/>
      <c r="CF26" s="34"/>
      <c r="CG26" s="34"/>
      <c r="CH26" s="34"/>
      <c r="CI26" s="34"/>
      <c r="CJ26" s="34"/>
      <c r="CK26" s="34"/>
      <c r="CL26" s="34"/>
      <c r="CM26" s="34"/>
      <c r="CN26" s="34"/>
      <c r="CO26" s="34"/>
      <c r="CP26" s="34"/>
      <c r="CQ26" s="34"/>
      <c r="CR26" s="34"/>
      <c r="CS26" s="34"/>
    </row>
    <row r="27" spans="1:97" x14ac:dyDescent="0.3">
      <c r="A27" t="s">
        <v>45</v>
      </c>
      <c r="B27" t="s">
        <v>46</v>
      </c>
      <c r="C27" s="1">
        <v>45327.65902777778</v>
      </c>
      <c r="D27">
        <v>115</v>
      </c>
      <c r="E27">
        <f t="shared" si="0"/>
        <v>150</v>
      </c>
      <c r="G27" s="2">
        <v>2.15</v>
      </c>
      <c r="H27" s="2">
        <v>0</v>
      </c>
      <c r="I27" s="2">
        <v>0.29499999999999998</v>
      </c>
      <c r="J27">
        <v>9000</v>
      </c>
      <c r="K27">
        <v>9128.5789999999997</v>
      </c>
      <c r="L27">
        <f t="shared" si="2"/>
        <v>10860.000000195578</v>
      </c>
      <c r="M27">
        <f t="shared" si="3"/>
        <v>1860.0000001955777</v>
      </c>
      <c r="N27" s="65"/>
      <c r="O27">
        <v>6.2368414150355796E-3</v>
      </c>
      <c r="P27">
        <v>2.5904605263157798E-2</v>
      </c>
      <c r="R27">
        <v>1.34092090423265E-2</v>
      </c>
      <c r="S27" s="2">
        <v>2.01020797692531E-4</v>
      </c>
      <c r="T27">
        <v>7.6418585526315704E-3</v>
      </c>
      <c r="U27" s="2">
        <v>3.2517587604878397E-5</v>
      </c>
      <c r="V27" s="2"/>
      <c r="Y27" s="2"/>
      <c r="Z27" s="2"/>
      <c r="AA27" s="2"/>
      <c r="AB27" s="2"/>
      <c r="AQ27" s="2">
        <f>SUM(BP$5:$BP27)</f>
        <v>4.1139122522001212</v>
      </c>
      <c r="AR27" s="2" cm="1">
        <f t="array" ref="AR27">2*SQRT(SUM((BQ$5:$BQ27/2)^2))</f>
        <v>3.9216487639279388E-2</v>
      </c>
      <c r="AS27" s="2">
        <f>SUM($BX$5:BX27)</f>
        <v>0.57609243717348868</v>
      </c>
      <c r="AT27" s="2" cm="1">
        <f t="array" ref="AT27">2*SQRT(SUM(($BY$5:BY27/2)^2))</f>
        <v>1.5452214815052191E-2</v>
      </c>
      <c r="AU27" s="2">
        <f t="shared" si="8"/>
        <v>4.090866363107998</v>
      </c>
      <c r="AV27" s="2"/>
      <c r="AW27" s="2">
        <f t="shared" si="9"/>
        <v>0.64811222950702096</v>
      </c>
      <c r="AX27" s="2"/>
      <c r="AZ27" s="2">
        <f>'Naive Apparent Lambdas'!$U$2*(10000/(D27+273))+'Naive Apparent Lambdas'!$V$2</f>
        <v>25.991416979826834</v>
      </c>
      <c r="BA27">
        <f>'Naive Apparent Lambdas'!$V$4</f>
        <v>6.7480704157997479E-2</v>
      </c>
      <c r="BB27" s="2">
        <f t="shared" si="1"/>
        <v>194056847187.76276</v>
      </c>
      <c r="BC27" s="2">
        <f t="shared" si="5"/>
        <v>13095092694.911144</v>
      </c>
      <c r="BD27" s="2">
        <f>BB27*(D27+273)*$D$145*$F$144</f>
        <v>7.1749708059090411E-5</v>
      </c>
      <c r="BE27" s="2"/>
      <c r="BF27" s="31">
        <f t="shared" si="6"/>
        <v>105065839002.11293</v>
      </c>
      <c r="BG27" s="31">
        <f t="shared" si="7"/>
        <v>114166368820.14638</v>
      </c>
      <c r="BH27" s="2">
        <f t="shared" si="4"/>
        <v>3.6973551358209923E-16</v>
      </c>
      <c r="BI27" s="2"/>
      <c r="BJ27" s="2">
        <f>R27/(1-EXP(-E27*60*BD27))</f>
        <v>2.818662921215986E-2</v>
      </c>
      <c r="BK27" s="2">
        <f>2*SQRT(
((S27/2) * (1 / (1 - EXP(-E27 * 60 * BB27 * BH27))))^2 +
(BC27 * (-R27 * 60 * E27 * BH27 * EXP(-E27 * 60 * BB27 * BH27) / (1 - EXP(-E27 * 60 * BB27 * BH27))^2))^2
)</f>
        <v>2.7399201527442407E-3</v>
      </c>
      <c r="BL27" s="2">
        <f>R27/(1-EXP(-E27*60*BB27*BH27)*EXP(-(M27-1560)*$CW$126*$BH$122))</f>
        <v>2.8118765731845036E-2</v>
      </c>
      <c r="BM27" s="2">
        <f>2*SQRT(
((S27/2) * (1 / (1 - EXP(-E27 * 60 * BB27 * BH27) * EXP(-(M27 - 1560) * $CW$126 * $BH$48))))^2 +
(BC27 * (-R27 * 60 * E27 * BH27 * EXP(-E27 * 60 * BB27 * BH27) / ((1 - EXP(-E27 * 60 * BB27 * BH27) * EXP(-(M27 - 1560) * $CW$126 * $BH$48))^2)))^2 +
($CX$126 * (-R27 * (M27 - 1560) * $BH$48 * EXP(-(M27 - 1560) * $CW$126 * $BH$48) / ((1 - EXP(-E27 * 60 * BB27 * BH27) * EXP(-(M27 - 1560) * $CW$126 * $BH$48))^2)))^2
)</f>
        <v>2.7271689917974253E-3</v>
      </c>
      <c r="BN27" s="54">
        <f>BN26*EXP(-BD26*E26*60)</f>
        <v>2.4606043725604852E-2</v>
      </c>
      <c r="BO27" s="99">
        <f>2*((((BO26/2)*EXP(-BD26*E26*60))^2+(BN26*EXP(-BD26*E26*60)*E26*60*BC26*BD26/BB26)^2)^0.5)</f>
        <v>3.2176449274119931E-3</v>
      </c>
      <c r="BP27" s="22"/>
      <c r="BQ27" s="22"/>
      <c r="BT27" s="2"/>
      <c r="BU27" s="2"/>
      <c r="BV27" s="54">
        <f>BV26*EXP(-BB26*BH26*E26*60*0.91357457380209)*EXP(-(M26-1560)*$CW$126*$BH$48*0.91357457380209)</f>
        <v>9.1079858464534046E-3</v>
      </c>
      <c r="BW27" s="99">
        <f>2*SQRT(
((BW26/2) * EXP(-BB26 * BH26 * E26 * 60 * 0.91357457380209) * EXP(-(M26 - 1560) * $CW$126 * $BH$48 * 0.91357457380209))^2 +
(BC26 * (-BV26 * BH26 * E26 * 60 * 0.91357457380209 * EXP(-BB26 * BH26 * E26 * 60 * 0.91357457380209) * EXP(-(M26 - 1560) * $CW$126 * $BH$48 * 0.91357457380209)))^2 +
((0.146030972937065 / 2) * BV26 * (-BB26 * BH26 * E26 * 60 - (M26 - 1560) * $CW$126 * $BH$48) * EXP(-BB26 * BH26 * E26 * 60 * 0.91357457380209) * EXP(-(M26 - 1560) * $CW$126 * $BH$48 * 0.91357457380209))^2 +
-(M26-1560)*$BH$48*0.91357457380209*BV26*EXP(-BB26*BH26*E26*60*0.91357457380209)*EXP(-(M26-1560)*$CW$126*$BH$48*0.91357457380209))</f>
        <v>2.1514595162081206E-3</v>
      </c>
      <c r="BX27" s="22"/>
      <c r="BY27" s="22"/>
      <c r="CA27" s="141">
        <f t="shared" si="20"/>
        <v>0.13318301849538708</v>
      </c>
      <c r="CB27" s="34"/>
      <c r="CC27" s="34"/>
      <c r="CD27" s="34">
        <f t="shared" si="21"/>
        <v>4.9674736582486112E-2</v>
      </c>
      <c r="CE27" s="2"/>
      <c r="CF27" s="2"/>
      <c r="CS27" s="2"/>
    </row>
    <row r="28" spans="1:97" x14ac:dyDescent="0.3">
      <c r="A28" t="s">
        <v>47</v>
      </c>
      <c r="B28" t="s">
        <v>48</v>
      </c>
      <c r="C28" s="1">
        <v>45327.78125</v>
      </c>
      <c r="D28">
        <v>115</v>
      </c>
      <c r="E28">
        <f t="shared" si="0"/>
        <v>150</v>
      </c>
      <c r="G28" s="2">
        <v>1.25</v>
      </c>
      <c r="H28" s="2">
        <v>0</v>
      </c>
      <c r="I28" s="2">
        <v>0.28799999999999998</v>
      </c>
      <c r="J28">
        <v>9000</v>
      </c>
      <c r="K28">
        <v>9128.2749999999996</v>
      </c>
      <c r="L28">
        <f t="shared" si="2"/>
        <v>10559.999999846332</v>
      </c>
      <c r="M28">
        <f t="shared" si="3"/>
        <v>1559.9999998463318</v>
      </c>
      <c r="N28" s="65"/>
      <c r="O28">
        <v>6.2399393619778998E-3</v>
      </c>
      <c r="P28">
        <v>2.5907194475431002E-2</v>
      </c>
      <c r="R28">
        <v>7.7999242024723798E-3</v>
      </c>
      <c r="S28" s="2">
        <v>1.1374610396681001E-4</v>
      </c>
      <c r="T28">
        <v>7.4612720089241302E-3</v>
      </c>
      <c r="U28" s="2">
        <v>3.1275993887812099E-5</v>
      </c>
      <c r="V28" s="2"/>
      <c r="Y28" s="2"/>
      <c r="Z28" s="2"/>
      <c r="AA28" s="2"/>
      <c r="AB28" s="2"/>
      <c r="AQ28" s="2">
        <f>SUM(BP$5:$BP28)</f>
        <v>4.1139122522001212</v>
      </c>
      <c r="AR28" s="2" cm="1">
        <f t="array" ref="AR28">2*SQRT(SUM((BQ$5:$BQ28/2)^2))</f>
        <v>3.9216487639279388E-2</v>
      </c>
      <c r="AS28" s="2">
        <f>SUM($BX$5:BX28)</f>
        <v>0.57609243717348868</v>
      </c>
      <c r="AT28" s="2" cm="1">
        <f t="array" ref="AT28">2*SQRT(SUM(($BY$5:BY28/2)^2))</f>
        <v>1.5452214815052191E-2</v>
      </c>
      <c r="AU28" s="2">
        <f t="shared" si="8"/>
        <v>4.0986662873104702</v>
      </c>
      <c r="AV28" s="2"/>
      <c r="AW28" s="2">
        <f t="shared" si="9"/>
        <v>0.65557350151594507</v>
      </c>
      <c r="AX28" s="2"/>
      <c r="AZ28" s="2">
        <f>'Naive Apparent Lambdas'!$U$2*(10000/(D28+273))+'Naive Apparent Lambdas'!$V$2</f>
        <v>25.991416979826834</v>
      </c>
      <c r="BA28">
        <f>'Naive Apparent Lambdas'!$V$4</f>
        <v>6.7480704157997479E-2</v>
      </c>
      <c r="BB28" s="2">
        <f t="shared" si="1"/>
        <v>194056847187.76276</v>
      </c>
      <c r="BC28" s="2">
        <f t="shared" si="5"/>
        <v>13095092694.911144</v>
      </c>
      <c r="BD28" s="2">
        <f>BB28*(D28+273)*$D$145*$F$144</f>
        <v>7.1749708059090411E-5</v>
      </c>
      <c r="BE28" s="2"/>
      <c r="BF28" s="31">
        <f t="shared" si="6"/>
        <v>105065839002.11293</v>
      </c>
      <c r="BG28" s="31">
        <f t="shared" si="7"/>
        <v>114166368820.14638</v>
      </c>
      <c r="BH28" s="2">
        <f t="shared" si="4"/>
        <v>3.6973551358209923E-16</v>
      </c>
      <c r="BI28" s="2"/>
      <c r="BJ28" s="2">
        <f>R28/(1-EXP(-E28*60*BD28))</f>
        <v>1.6395715115191913E-2</v>
      </c>
      <c r="BK28" s="2">
        <f>2*SQRT(
((S28/2) * (1 / (1 - EXP(-E28 * 60 * BB28 * BH28))))^2 +
(BC28 * (-R28 * 60 * E28 * BH28 * EXP(-E28 * 60 * BB28 * BH28) / (1 - EXP(-E28 * 60 * BB28 * BH28))^2))^2
)</f>
        <v>1.5927494786934992E-3</v>
      </c>
      <c r="BL28" s="2">
        <f>R28/(1-EXP(-E28*60*BB28*BH28)*EXP(-(M28-1560)*$CW$126*$BH$122))</f>
        <v>1.639571511521221E-2</v>
      </c>
      <c r="BM28" s="2">
        <f>2*SQRT(
((S28/2) * (1 / (1 - EXP(-E28 * 60 * BB28 * BH28) * EXP(-(M28 - 1560) * $CW$126 * $BH$48))))^2 +
(BC28 * (-R28 * 60 * E28 * BH28 * EXP(-E28 * 60 * BB28 * BH28) / ((1 - EXP(-E28 * 60 * BB28 * BH28) * EXP(-(M28 - 1560) * $CW$126 * $BH$48))^2)))^2 +
($CX$126 * (-R28 * (M28 - 1560) * $BH$48 * EXP(-(M28 - 1560) * $CW$126 * $BH$48) / ((1 - EXP(-E28 * 60 * BB28 * BH28) * EXP(-(M28 - 1560) * $CW$126 * $BH$48))^2)))^2
)</f>
        <v>1.5927494786973978E-3</v>
      </c>
      <c r="BN28" s="107">
        <f>BN27-R27</f>
        <v>1.1196834683278352E-2</v>
      </c>
      <c r="BO28" s="101">
        <f>BO27+S27</f>
        <v>3.4186657251045242E-3</v>
      </c>
      <c r="BP28" s="22"/>
      <c r="BQ28" s="22"/>
      <c r="BT28" s="2"/>
      <c r="BU28" s="2"/>
      <c r="BV28" s="54">
        <f>BV27*EXP(-BB27*BH27*E27*60*0.91357457380209)*EXP(-(M27-1560)*$CW$126*$BH$48*0.91357457380209)</f>
        <v>5.0390133039290557E-3</v>
      </c>
      <c r="BW28" s="99">
        <f>2*SQRT(
((BW27/2) * EXP(-BB27 * BH27 * E27 * 60 * 0.91357457380209) * EXP(-(M27 - 1560) * $CW$126 * $BH$48 * 0.91357457380209))^2 +
(BC27 * (-BV27 * BH27 * E27 * 60 * 0.91357457380209 * EXP(-BB27 * BH27 * E27 * 60 * 0.91357457380209) * EXP(-(M27 - 1560) * $CW$126 * $BH$48 * 0.91357457380209)))^2 +
((0.146030972937065 / 2) * BV27 * (-BB27 * BH27 * E27 * 60 - (M27 - 1560) * $CW$126 * $BH$48) * EXP(-BB27 * BH27 * E27 * 60 * 0.91357457380209) * EXP(-(M27 - 1560) * $CW$126 * $BH$48 * 0.91357457380209))^2 +
-(M27-1560)*$BH$48*0.91357457380209*BV27*EXP(-BB27*BH27*E27*60*0.91357457380209)*EXP(-(M27-1560)*$CW$126*$BH$48*0.91357457380209))</f>
        <v>1.3435408845010801E-3</v>
      </c>
      <c r="BX28" s="22"/>
      <c r="BY28" s="22"/>
      <c r="CA28" s="141">
        <f t="shared" si="20"/>
        <v>0.1323424070840358</v>
      </c>
      <c r="CB28" s="34"/>
      <c r="CC28" s="34"/>
      <c r="CD28" s="34">
        <f t="shared" si="21"/>
        <v>4.9386124284724608E-2</v>
      </c>
      <c r="CE28" s="2"/>
      <c r="CF28" s="2"/>
      <c r="CS28" s="2"/>
    </row>
    <row r="29" spans="1:97" s="29" customFormat="1" x14ac:dyDescent="0.3">
      <c r="A29" s="29" t="s">
        <v>49</v>
      </c>
      <c r="B29" s="29" t="s">
        <v>50</v>
      </c>
      <c r="C29" s="30">
        <v>45328.094444444447</v>
      </c>
      <c r="D29" s="29">
        <v>230</v>
      </c>
      <c r="E29" s="29">
        <f t="shared" si="0"/>
        <v>425</v>
      </c>
      <c r="F29" s="29" t="s">
        <v>289</v>
      </c>
      <c r="G29" s="31">
        <v>127</v>
      </c>
      <c r="H29" s="31">
        <v>0</v>
      </c>
      <c r="I29" s="31">
        <v>12.5</v>
      </c>
      <c r="J29" s="29">
        <v>25500</v>
      </c>
      <c r="K29" s="29">
        <v>25626.655999999999</v>
      </c>
      <c r="L29" s="29">
        <f t="shared" si="2"/>
        <v>27060.000000195578</v>
      </c>
      <c r="M29" s="29">
        <f t="shared" si="3"/>
        <v>1560.0000001955777</v>
      </c>
      <c r="N29" s="65"/>
      <c r="O29" s="29">
        <v>6.2195121951219498E-3</v>
      </c>
      <c r="P29" s="29">
        <v>2.5947281713344299E-2</v>
      </c>
      <c r="R29" s="29">
        <v>0.78987804878048695</v>
      </c>
      <c r="S29" s="29">
        <v>1.18260781863488E-2</v>
      </c>
      <c r="T29" s="29">
        <v>0.32434102141680399</v>
      </c>
      <c r="U29" s="29">
        <v>1.3404084162086101E-3</v>
      </c>
      <c r="W29" s="31">
        <f>(1000*T29/R29)/$AG$140</f>
        <v>0.41155999895864398</v>
      </c>
      <c r="X29" s="31"/>
      <c r="Y29" s="31">
        <f>T29-AVERAGE(T30:T32)</f>
        <v>0.3174978583196047</v>
      </c>
      <c r="Z29" s="31">
        <f>U29+AVERAGE(T30:T32)</f>
        <v>8.1835715134079209E-3</v>
      </c>
      <c r="AA29" s="31"/>
      <c r="AB29" s="31">
        <f>(Y29*1000)/R29</f>
        <v>401.95807290732768</v>
      </c>
      <c r="AC29" s="31">
        <f>2*((1000*Z29/(2*R29))^2+((S29/2)*1000*Y29/(R29^2))^2)^0.5</f>
        <v>11.981605900209221</v>
      </c>
      <c r="AD29" s="31">
        <f>AB29/$AG$140</f>
        <v>0.402876631727282</v>
      </c>
      <c r="AE29" s="31">
        <f>2*(($AH$140*AB29/(2*$AG$140^2))^2+(AC29/($AG$140*2))^2)^0.5</f>
        <v>1.2757489963573178E-2</v>
      </c>
      <c r="AF29" s="69"/>
      <c r="AG29" s="31" cm="1">
        <f t="array" ref="AG29:AH29">BP29:BQ29</f>
        <v>0.84786085132689337</v>
      </c>
      <c r="AH29" s="29">
        <v>1.2467122897981167E-2</v>
      </c>
      <c r="AI29" s="31" cm="1">
        <f t="array" ref="AI29:AJ29">BX29:BY29</f>
        <v>0.34298986045903518</v>
      </c>
      <c r="AJ29" s="29">
        <v>9.6837695819786355E-3</v>
      </c>
      <c r="AL29" s="31">
        <f>1000*AI29/AG29</f>
        <v>404.53555547736357</v>
      </c>
      <c r="AM29" s="31">
        <f>2*((AH29*1000*AI29/(2*AG29^2))^2+(1000*AJ29/(AG29*2))^2)^0.5</f>
        <v>12.877571969731683</v>
      </c>
      <c r="AN29" s="31">
        <f>AL29/$AG$140</f>
        <v>0.4054600043876222</v>
      </c>
      <c r="AO29" s="31">
        <f>2*(($AH$140*AL29/(2*$AG$140^2))^2+(AM29/($AG$140*2))^2)^0.5</f>
        <v>1.3614953027808933E-2</v>
      </c>
      <c r="AP29" s="31"/>
      <c r="AQ29" s="31">
        <f>SUM(BP$5:$BP29)</f>
        <v>4.9617731035270145</v>
      </c>
      <c r="AR29" s="31" cm="1">
        <f t="array" ref="AR29">2*SQRT(SUM((BQ$5:$BQ29/2)^2))</f>
        <v>4.1150480630426652E-2</v>
      </c>
      <c r="AS29" s="31">
        <f>SUM($BX$5:BX29)</f>
        <v>0.91908229763252391</v>
      </c>
      <c r="AT29" s="31" cm="1">
        <f t="array" ref="AT29">2*SQRT(SUM(($BY$5:BY29/2)^2))</f>
        <v>1.8235853037556898E-2</v>
      </c>
      <c r="AU29" s="31">
        <f t="shared" si="8"/>
        <v>4.8885443360909573</v>
      </c>
      <c r="AV29" s="31"/>
      <c r="AW29" s="31">
        <f t="shared" si="9"/>
        <v>0.97991452293274905</v>
      </c>
      <c r="AX29" s="31"/>
      <c r="AY29" s="69"/>
      <c r="AZ29" s="31"/>
      <c r="BB29" s="31"/>
      <c r="BC29" s="31"/>
      <c r="BD29" s="31"/>
      <c r="BE29" s="31"/>
      <c r="BF29" s="31">
        <f t="shared" si="6"/>
        <v>449299634150.43091</v>
      </c>
      <c r="BG29" s="31">
        <f t="shared" si="7"/>
        <v>496539487006.60864</v>
      </c>
      <c r="BH29" s="31">
        <f t="shared" si="4"/>
        <v>4.7932207044277302E-16</v>
      </c>
      <c r="BI29" s="31"/>
      <c r="BJ29" s="31"/>
      <c r="BK29" s="31"/>
      <c r="BL29" s="31"/>
      <c r="BM29" s="31"/>
      <c r="BN29" s="114">
        <f>BN28*EXP(-BD28*E28*60)</f>
        <v>5.870170904138718E-3</v>
      </c>
      <c r="BO29" s="116">
        <f>2*((((BO28/2)*EXP(-BD28*E28*60))^2+(BN28*EXP(-BD28*E28*60)*E28*60*BC28*BD28/BB28)^2)^0.5)</f>
        <v>1.8638899258493376E-3</v>
      </c>
      <c r="BP29" s="23">
        <f>R29+BN30-BN29</f>
        <v>0.84786085132689337</v>
      </c>
      <c r="BQ29" s="23">
        <f>2*(((BO29/2)^2+(BO30/2)^2+(S29/2)^2)^(0.5))</f>
        <v>1.2467122897981167E-2</v>
      </c>
      <c r="BR29" s="72">
        <f>100*(BP29-R29)/R29</f>
        <v>7.3407284372476944</v>
      </c>
      <c r="BS29" s="72"/>
      <c r="BT29" s="31"/>
      <c r="BU29" s="31"/>
      <c r="BV29" s="114">
        <f>BV28*EXP(-BB28*BH28*E28*60*0.91357457380209)*EXP(-(M28-1560)*$CW$126*$BH$48*0.91357457380209)</f>
        <v>2.793434686852603E-3</v>
      </c>
      <c r="BW29" s="116">
        <f>2*SQRT(
((BW28/2) * EXP(-BB28 * BH28 * E28 * 60 * 0.91357457380209) * EXP(-(M28 - 1560) * $CW$126 * $BH$48 * 0.91357457380209))^2 +
(BC28 * (-BV28 * BH28 * E28 * 60 * 0.91357457380209 * EXP(-BB28 * BH28 * E28 * 60 * 0.91357457380209) * EXP(-(M28 - 1560) * $CW$126 * $BH$48 * 0.91357457380209)))^2 +
((0.146030972937065 / 2) * BV28 * (-BB28 * BH28 * E28 * 60 - (M28 - 1560) * $CW$126 * $BH$48) * EXP(-BB28 * BH28 * E28 * 60 * 0.91357457380209) * EXP(-(M28 - 1560) * $CW$126 * $BH$48 * 0.91357457380209))^2 +
-(M28-1560)*$BH$48*0.91357457380209*BV28*EXP(-BB28*BH28*E28*60*0.91357457380209)*EXP(-(M28-1560)*$CW$126*$BH$48*0.91357457380209))</f>
        <v>8.2072738484367065E-4</v>
      </c>
      <c r="BX29" s="23">
        <f>Y29+BV30-BV29</f>
        <v>0.34298986045903518</v>
      </c>
      <c r="BY29" s="23">
        <f>2*(((BW29/2)^2+(BW30/2)^2+(Z29/2)^2)^(0.5))</f>
        <v>9.6837695819786355E-3</v>
      </c>
      <c r="BZ29" s="72">
        <f>100*(BX29-Y29)/Y29</f>
        <v>8.0290312112182249</v>
      </c>
      <c r="CA29" s="140">
        <f>R29*CC29</f>
        <v>0.15582339135746193</v>
      </c>
      <c r="CB29" s="31">
        <f>BH29*BG29*J29</f>
        <v>6.0690595416993016</v>
      </c>
      <c r="CC29" s="31">
        <f>1/(CB29-1)</f>
        <v>0.1972752522975435</v>
      </c>
      <c r="CD29" s="31">
        <f>CF29*T29</f>
        <v>7.2209604783353476E-2</v>
      </c>
      <c r="CE29" s="31">
        <f>BH29*BF29*J29</f>
        <v>5.4916603876992074</v>
      </c>
      <c r="CF29" s="31">
        <f>1/(CE29-1)</f>
        <v>0.22263481957331074</v>
      </c>
      <c r="CG29" s="31">
        <f>R29-CA25</f>
        <v>0.65499775538179439</v>
      </c>
      <c r="CH29" s="31">
        <f>R29+CA29</f>
        <v>0.94570144013794888</v>
      </c>
      <c r="CI29" s="31">
        <f>T29-CD25</f>
        <v>0.27408399043494747</v>
      </c>
      <c r="CJ29" s="31">
        <f>T29+CD29</f>
        <v>0.39655062620015746</v>
      </c>
      <c r="CK29" s="31">
        <f>CE29*1.29</f>
        <v>7.0842419001319774</v>
      </c>
      <c r="CL29" s="31">
        <f>R29 / (CK29-1)</f>
        <v>0.12982357732412861</v>
      </c>
      <c r="CM29" s="31">
        <f>1000*T29/R29</f>
        <v>410.62164205925512</v>
      </c>
      <c r="CN29" s="31">
        <f>1000*(T29+CD29)/(R29+CL29)</f>
        <v>431.17312718010788</v>
      </c>
      <c r="CO29" s="31">
        <f>1000*(T29-CD25)/(R29-CL25)</f>
        <v>404.31275626483307</v>
      </c>
      <c r="CP29" s="31">
        <f>1000*(T29+CD29-CD25)/(R29+CL29-CL25)</f>
        <v>428.72736348858842</v>
      </c>
      <c r="CQ29" s="31">
        <f>MAX(CM29:CP29)</f>
        <v>431.17312718010788</v>
      </c>
      <c r="CR29" s="31">
        <f>MIN(CM29:CP29)</f>
        <v>404.31275626483307</v>
      </c>
      <c r="CS29" s="31"/>
    </row>
    <row r="30" spans="1:97" x14ac:dyDescent="0.3">
      <c r="A30" t="s">
        <v>51</v>
      </c>
      <c r="B30" t="s">
        <v>52</v>
      </c>
      <c r="C30" s="1">
        <v>45328.522916666669</v>
      </c>
      <c r="D30">
        <v>85.009999999999906</v>
      </c>
      <c r="E30">
        <f t="shared" si="0"/>
        <v>150</v>
      </c>
      <c r="G30" s="2">
        <v>5.53</v>
      </c>
      <c r="H30" s="2">
        <v>0</v>
      </c>
      <c r="I30" s="2">
        <v>0.627</v>
      </c>
      <c r="J30">
        <v>9000</v>
      </c>
      <c r="K30">
        <v>9124.2909999999993</v>
      </c>
      <c r="L30">
        <f t="shared" si="2"/>
        <v>37019.99999997206</v>
      </c>
      <c r="M30">
        <f t="shared" si="3"/>
        <v>28019.99999997206</v>
      </c>
      <c r="N30" s="65"/>
      <c r="O30">
        <v>6.2099608210223201E-3</v>
      </c>
      <c r="P30">
        <v>2.5947281713344299E-2</v>
      </c>
      <c r="R30">
        <v>3.4341083340253403E-2</v>
      </c>
      <c r="S30" s="2">
        <v>4.7740278661688901E-4</v>
      </c>
      <c r="T30">
        <v>1.6268945634266799E-2</v>
      </c>
      <c r="U30" s="2">
        <v>6.3388239870227397E-5</v>
      </c>
      <c r="V30" s="2"/>
      <c r="W30" s="2"/>
      <c r="X30" s="2"/>
      <c r="Y30" s="2"/>
      <c r="Z30" s="2"/>
      <c r="AA30" s="2"/>
      <c r="AB30" s="2"/>
      <c r="AC30" s="2"/>
      <c r="AD30" s="2"/>
      <c r="AE30" s="2"/>
      <c r="AQ30" s="2">
        <f>SUM(BP$5:$BP30)</f>
        <v>4.9617731035270145</v>
      </c>
      <c r="AR30" s="2" cm="1">
        <f t="array" ref="AR30">2*SQRT(SUM((BQ$5:$BQ30/2)^2))</f>
        <v>4.1150480630426652E-2</v>
      </c>
      <c r="AS30" s="2">
        <f>SUM($BX$5:BX30)</f>
        <v>0.91908229763252391</v>
      </c>
      <c r="AT30" s="2" cm="1">
        <f t="array" ref="AT30">2*SQRT(SUM(($BY$5:BY30/2)^2))</f>
        <v>1.8235853037556898E-2</v>
      </c>
      <c r="AU30" s="2">
        <f t="shared" si="8"/>
        <v>4.9228854194312106</v>
      </c>
      <c r="AV30" s="2"/>
      <c r="AW30" s="2">
        <f t="shared" si="9"/>
        <v>0.9961834685670159</v>
      </c>
      <c r="AX30" s="2"/>
      <c r="AZ30" s="2">
        <f>'Naive Apparent Lambdas'!$U$2*(10000/(D30+273))+'Naive Apparent Lambdas'!$V$2</f>
        <v>24.88396049709683</v>
      </c>
      <c r="BA30">
        <f>'Naive Apparent Lambdas'!$V$4</f>
        <v>6.7480704157997479E-2</v>
      </c>
      <c r="BB30" s="2">
        <f t="shared" si="1"/>
        <v>64116045995.987526</v>
      </c>
      <c r="BC30" s="2">
        <f t="shared" si="5"/>
        <v>4326595931.6357927</v>
      </c>
      <c r="BD30" s="2">
        <f>BB30*(D30+273)*$D$145*$F$144</f>
        <v>2.1873653638315384E-5</v>
      </c>
      <c r="BE30" s="2"/>
      <c r="BF30" s="31">
        <f t="shared" si="6"/>
        <v>61693294182.493675</v>
      </c>
      <c r="BG30" s="31">
        <f t="shared" si="7"/>
        <v>66623105422.359612</v>
      </c>
      <c r="BH30" s="2">
        <f t="shared" si="4"/>
        <v>3.4115724540599822E-16</v>
      </c>
      <c r="BI30" s="2"/>
      <c r="BJ30" s="2">
        <f>R30/(1-EXP(-E30*60*BD30))</f>
        <v>0.19217518786842641</v>
      </c>
      <c r="BK30" s="2">
        <f>2*SQRT(
((S30/2) * (1 / (1 - EXP(-E30 * 60 * BB30 * BH30))))^2 +
(BC30 * (-R30 * 60 * E30 * BH30 * EXP(-E30 * 60 * BB30 * BH30) / (1 - EXP(-E30 * 60 * BB30 * BH30))^2))^2
)</f>
        <v>2.3618584587753545E-2</v>
      </c>
      <c r="BL30" s="2">
        <f>R30/(1-EXP(-E30*60*BB30*BH30)*EXP(-(M30-1560)*$CW$126*$BH$122))</f>
        <v>0.10628599126619946</v>
      </c>
      <c r="BM30" s="2">
        <f>2*SQRT(
((S30/2) * (1 / (1 - EXP(-E30 * 60 * BB30 * BH30) * EXP(-(M30 - 1560) * $CW$126 * $BH$48))))^2 +
(BC30 * (-R30 * 60 * E30 * BH30 * EXP(-E30 * 60 * BB30 * BH30) / ((1 - EXP(-E30 * 60 * BB30 * BH30) * EXP(-(M30 - 1560) * $CW$126 * $BH$48))^2)))^2 +
($CX$126 * (-R30 * (M30 - 1560) * $BH$48 * EXP(-(M30 - 1560) * $CW$126 * $BH$48) / ((1 - EXP(-E30 * 60 * BB30 * BH30) * EXP(-(M30 - 1560) * $CW$126 * $BH$48))^2)))^2
)</f>
        <v>1.7226903220690815E-2</v>
      </c>
      <c r="BN30" s="113">
        <f>BN31+R30</f>
        <v>6.3852973450545164E-2</v>
      </c>
      <c r="BO30" s="115">
        <f>BO31+S30</f>
        <v>3.4783534075836465E-3</v>
      </c>
      <c r="BP30" s="22"/>
      <c r="BQ30" s="22"/>
      <c r="BT30" s="123">
        <f>BN30*(Y29/R29)*1.10204926384627</f>
        <v>2.8285436826283095E-2</v>
      </c>
      <c r="BU30" s="123">
        <f>2*(((BO30/2)*1.10204926384627*(AB29/(1000)))^2+((AC29/2000)*1.10204926384627*BN30)^2+((0.187040260207234/2)*BN30*(AB29/(1000)))^2)^0.5</f>
        <v>5.1118447904411899E-3</v>
      </c>
      <c r="BV30" s="124">
        <f>BT30</f>
        <v>2.8285436826283095E-2</v>
      </c>
      <c r="BW30" s="125">
        <f>BU30</f>
        <v>5.1118447904411899E-3</v>
      </c>
      <c r="BX30" s="22"/>
      <c r="BY30" s="22"/>
      <c r="CA30" s="141">
        <f t="shared" ref="CA30:CA32" si="22">CA29*(EXP(-BH30*BG30*E30))*(EXP(-$BG$140*$F$144*D169*(24+273)*M30))</f>
        <v>0.15529304051474777</v>
      </c>
      <c r="CB30" s="34"/>
      <c r="CC30" s="34"/>
      <c r="CD30" s="34">
        <f t="shared" ref="CD30:CD32" si="23">CD29*(EXP(-BH30*BF30*E30))*(EXP(-$BF$140*$F$144*D169*(24+273)*M30))</f>
        <v>7.198199369330105E-2</v>
      </c>
      <c r="CE30" s="2"/>
      <c r="CF30" s="2"/>
      <c r="CS30" s="2"/>
    </row>
    <row r="31" spans="1:97" x14ac:dyDescent="0.3">
      <c r="A31" t="s">
        <v>53</v>
      </c>
      <c r="B31" t="s">
        <v>54</v>
      </c>
      <c r="C31" s="1">
        <v>45328.645833333336</v>
      </c>
      <c r="D31">
        <v>85</v>
      </c>
      <c r="E31">
        <f t="shared" si="0"/>
        <v>150</v>
      </c>
      <c r="G31" s="2">
        <v>0.93500000000000005</v>
      </c>
      <c r="H31" s="2">
        <v>0</v>
      </c>
      <c r="I31" s="2">
        <v>0.121</v>
      </c>
      <c r="J31">
        <v>9000</v>
      </c>
      <c r="K31">
        <v>9127.5310000000009</v>
      </c>
      <c r="L31">
        <f t="shared" si="2"/>
        <v>10620.00000004191</v>
      </c>
      <c r="M31">
        <f t="shared" si="3"/>
        <v>1620.0000000419095</v>
      </c>
      <c r="N31" s="65"/>
      <c r="O31">
        <v>6.2086956521739097E-3</v>
      </c>
      <c r="P31">
        <v>2.5947281713344299E-2</v>
      </c>
      <c r="R31">
        <v>5.8051304347826E-3</v>
      </c>
      <c r="S31" s="2">
        <v>8.13428865864297E-5</v>
      </c>
      <c r="T31">
        <v>3.1396210873146598E-3</v>
      </c>
      <c r="U31" s="2">
        <v>1.23070198387767E-5</v>
      </c>
      <c r="V31" s="2"/>
      <c r="Y31" s="2"/>
      <c r="Z31" s="2"/>
      <c r="AA31" s="2"/>
      <c r="AB31" s="2"/>
      <c r="AQ31" s="2">
        <f>SUM(BP$5:$BP31)</f>
        <v>4.9617731035270145</v>
      </c>
      <c r="AR31" s="2" cm="1">
        <f t="array" ref="AR31">2*SQRT(SUM((BQ$5:$BQ31/2)^2))</f>
        <v>4.1150480630426652E-2</v>
      </c>
      <c r="AS31" s="2">
        <f>SUM($BX$5:BX31)</f>
        <v>0.91908229763252391</v>
      </c>
      <c r="AT31" s="2" cm="1">
        <f t="array" ref="AT31">2*SQRT(SUM(($BY$5:BY31/2)^2))</f>
        <v>1.8235853037556898E-2</v>
      </c>
      <c r="AU31" s="2">
        <f t="shared" si="8"/>
        <v>4.9286905498659932</v>
      </c>
      <c r="AV31" s="2"/>
      <c r="AW31" s="2">
        <f t="shared" si="9"/>
        <v>0.99932308965433059</v>
      </c>
      <c r="AX31" s="2"/>
      <c r="AZ31" s="2">
        <f>'Naive Apparent Lambdas'!$U$2*(10000/(D31+273))+'Naive Apparent Lambdas'!$V$2</f>
        <v>24.8835602769906</v>
      </c>
      <c r="BA31">
        <f>'Naive Apparent Lambdas'!$V$4</f>
        <v>6.7480704157997479E-2</v>
      </c>
      <c r="BB31" s="2">
        <f t="shared" si="1"/>
        <v>64090390599.493225</v>
      </c>
      <c r="BC31" s="2">
        <f t="shared" si="5"/>
        <v>4324864687.4149046</v>
      </c>
      <c r="BD31" s="2">
        <f>BB31*(D31+273)*$D$145*$F$144</f>
        <v>2.1864290379549456E-5</v>
      </c>
      <c r="BE31" s="2"/>
      <c r="BF31" s="31">
        <f t="shared" si="6"/>
        <v>61681425125.664085</v>
      </c>
      <c r="BG31" s="31">
        <f t="shared" si="7"/>
        <v>66610138841.468307</v>
      </c>
      <c r="BH31" s="2">
        <f t="shared" si="4"/>
        <v>3.4114771614018435E-16</v>
      </c>
      <c r="BI31" s="2"/>
      <c r="BJ31" s="2">
        <f>R31/(1-EXP(-E31*60*BD31))</f>
        <v>3.2498517533648318E-2</v>
      </c>
      <c r="BK31" s="2">
        <f>2*SQRT(
((S31/2) * (1 / (1 - EXP(-E31 * 60 * BB31 * BH31))))^2 +
(BC31 * (-R31 * 60 * E31 * BH31 * EXP(-E31 * 60 * BB31 * BH31) / (1 - EXP(-E31 * 60 * BB31 * BH31))^2))^2
)</f>
        <v>3.9946899126815094E-3</v>
      </c>
      <c r="BL31" s="2">
        <f>R31/(1-EXP(-E31*60*BB31*BH31)*EXP(-(M31-1560)*$CW$126*$BH$122))</f>
        <v>3.2433138895499695E-2</v>
      </c>
      <c r="BM31" s="2">
        <f>2*SQRT(
((S31/2) * (1 / (1 - EXP(-E31 * 60 * BB31 * BH31) * EXP(-(M31 - 1560) * $CW$126 * $BH$48))))^2 +
(BC31 * (-R31 * 60 * E31 * BH31 * EXP(-E31 * 60 * BB31 * BH31) / ((1 - EXP(-E31 * 60 * BB31 * BH31) * EXP(-(M31 - 1560) * $CW$126 * $BH$48))^2)))^2 +
($CX$126 * (-R31 * (M31 - 1560) * $BH$48 * EXP(-(M31 - 1560) * $CW$126 * $BH$48) / ((1 - EXP(-E31 * 60 * BB31 * BH31) * EXP(-(M31 - 1560) * $CW$126 * $BH$48))^2)))^2
)</f>
        <v>3.978807927084849E-3</v>
      </c>
      <c r="BN31" s="108">
        <f>BN32+R31</f>
        <v>2.9511890110291754E-2</v>
      </c>
      <c r="BO31" s="102">
        <f>BO32+S31</f>
        <v>3.0009506209667577E-3</v>
      </c>
      <c r="BP31" s="22"/>
      <c r="BQ31" s="22"/>
      <c r="BT31" s="2"/>
      <c r="BU31" s="2"/>
      <c r="BV31" s="54">
        <f>BV30*EXP(-BB30*BH30*E30*60*0.91357457380209)*EXP(-(M30-1560)*$CW$126*$BH$48*0.91357457380209)</f>
        <v>1.9803135386439012E-2</v>
      </c>
      <c r="BW31" s="99">
        <f>2*SQRT(
((BW30/2) * EXP(-BB30 * BH30 * E30 * 60 * 0.91357457380209) * EXP(-(M30 - 1560) * $CW$126 * $BH$48 * 0.91357457380209))^2 +
(BC30 * (-BV30 * BH30 * E30 * 60 * 0.91357457380209 * EXP(-BB30 * BH30 * E30 * 60 * 0.91357457380209) * EXP(-(M30 - 1560) * $CW$126 * $BH$48 * 0.91357457380209)))^2 +
((0.146030972937065 / 2) * BV30 * (-BB30 * BH30 * E30 * 60 - (M30 - 1560) * $CW$126 * $BH$48) * EXP(-BB30 * BH30 * E30 * 60 * 0.91357457380209) * EXP(-(M30 - 1560) * $CW$126 * $BH$48 * 0.91357457380209))^2 +
-(M30-1560)*$BH$48*0.91357457380209*BV30*EXP(-BB30*BH30*E30*60*0.91357457380209)*EXP(-(M30-1560)*$CW$126*$BH$48*0.91357457380209))</f>
        <v>3.783258211835428E-3</v>
      </c>
      <c r="BX31" s="22"/>
      <c r="BY31" s="22"/>
      <c r="CA31" s="141">
        <f t="shared" si="22"/>
        <v>0.15476461217020168</v>
      </c>
      <c r="CB31" s="34"/>
      <c r="CC31" s="34"/>
      <c r="CD31" s="34">
        <f t="shared" si="23"/>
        <v>7.1755149962834039E-2</v>
      </c>
      <c r="CE31" s="2"/>
      <c r="CF31" s="2"/>
      <c r="CS31" s="2"/>
    </row>
    <row r="32" spans="1:97" s="32" customFormat="1" x14ac:dyDescent="0.3">
      <c r="A32" s="32" t="s">
        <v>55</v>
      </c>
      <c r="B32" s="32" t="s">
        <v>56</v>
      </c>
      <c r="C32" s="33">
        <v>45328.768055555556</v>
      </c>
      <c r="D32" s="32">
        <v>84.959999999999894</v>
      </c>
      <c r="E32" s="32">
        <f t="shared" si="0"/>
        <v>150</v>
      </c>
      <c r="F32" s="32" t="s">
        <v>286</v>
      </c>
      <c r="G32" s="34">
        <v>0.68100000000000005</v>
      </c>
      <c r="H32" s="34">
        <v>0</v>
      </c>
      <c r="I32" s="34">
        <v>4.3200000000000002E-2</v>
      </c>
      <c r="J32" s="32">
        <v>9000</v>
      </c>
      <c r="K32" s="32">
        <v>8219.518</v>
      </c>
      <c r="L32" s="32">
        <f t="shared" si="2"/>
        <v>10559.999999846332</v>
      </c>
      <c r="M32" s="32">
        <f t="shared" si="3"/>
        <v>1559.9999998463318</v>
      </c>
      <c r="N32" s="65"/>
      <c r="O32" s="32">
        <v>6.2086956521739097E-3</v>
      </c>
      <c r="P32" s="32">
        <v>2.5947281713344299E-2</v>
      </c>
      <c r="R32" s="32">
        <v>4.2281217391304301E-3</v>
      </c>
      <c r="S32" s="34">
        <v>6.6747034559970503E-5</v>
      </c>
      <c r="T32" s="32">
        <v>1.1209225700164699E-3</v>
      </c>
      <c r="U32" s="34">
        <v>4.5553949021524998E-6</v>
      </c>
      <c r="V32" s="34"/>
      <c r="Y32" s="34"/>
      <c r="Z32" s="34"/>
      <c r="AA32" s="34"/>
      <c r="AB32" s="34"/>
      <c r="AF32" s="69"/>
      <c r="AQ32" s="34">
        <f>SUM(BP$5:$BP32)</f>
        <v>4.9617731035270145</v>
      </c>
      <c r="AR32" s="34" cm="1">
        <f t="array" ref="AR32">2*SQRT(SUM((BQ$5:$BQ32/2)^2))</f>
        <v>4.1150480630426652E-2</v>
      </c>
      <c r="AS32" s="34">
        <f>SUM($BX$5:BX32)</f>
        <v>0.91908229763252391</v>
      </c>
      <c r="AT32" s="34" cm="1">
        <f t="array" ref="AT32">2*SQRT(SUM(($BY$5:BY32/2)^2))</f>
        <v>1.8235853037556898E-2</v>
      </c>
      <c r="AU32" s="34">
        <f t="shared" si="8"/>
        <v>4.9329186716051234</v>
      </c>
      <c r="AV32" s="34"/>
      <c r="AW32" s="34">
        <f t="shared" si="9"/>
        <v>1.000444012224347</v>
      </c>
      <c r="AX32" s="34"/>
      <c r="AY32" s="69"/>
      <c r="AZ32" s="34">
        <f>'Naive Apparent Lambdas'!$U$2*(10000/(D32+273))+'Naive Apparent Lambdas'!$V$2</f>
        <v>24.881959172954019</v>
      </c>
      <c r="BA32" s="32">
        <f>'Naive Apparent Lambdas'!$V$4</f>
        <v>6.7480704157997479E-2</v>
      </c>
      <c r="BB32" s="34">
        <f t="shared" si="1"/>
        <v>63987857321.524895</v>
      </c>
      <c r="BC32" s="34">
        <f t="shared" si="5"/>
        <v>4317945669.6179743</v>
      </c>
      <c r="BD32" s="34">
        <f>BB32*(D32+273)*$D$145*$F$144</f>
        <v>2.1826872356737053E-5</v>
      </c>
      <c r="BE32" s="34"/>
      <c r="BF32" s="31">
        <f t="shared" si="6"/>
        <v>61633965102.84819</v>
      </c>
      <c r="BG32" s="31">
        <f t="shared" si="7"/>
        <v>66558290510.947922</v>
      </c>
      <c r="BH32" s="34">
        <f t="shared" si="4"/>
        <v>3.4110959907692837E-16</v>
      </c>
      <c r="BI32" s="34"/>
      <c r="BJ32" s="34">
        <f>R32/(1-EXP(-E32*60*BD32))</f>
        <v>2.3706759675509153E-2</v>
      </c>
      <c r="BK32" s="34">
        <f>2*SQRT(
((S32/2) * (1 / (1 - EXP(-E32 * 60 * BB32 * BH32))))^2 +
(BC32 * (-R32 * 60 * E32 * BH32 * EXP(-E32 * 60 * BB32 * BH32) / (1 - EXP(-E32 * 60 * BB32 * BH32))^2))^2
)</f>
        <v>2.9196077343803281E-3</v>
      </c>
      <c r="BL32" s="34">
        <f>R32/(1-EXP(-E32*60*BB32*BH32)*EXP(-(M32-1560)*$CW$126*$BH$122))</f>
        <v>2.3706759675631815E-2</v>
      </c>
      <c r="BM32" s="34">
        <f>2*SQRT(
((S32/2) * (1 / (1 - EXP(-E32 * 60 * BB32 * BH32) * EXP(-(M32 - 1560) * $CW$126 * $BH$48))))^2 +
(BC32 * (-R32 * 60 * E32 * BH32 * EXP(-E32 * 60 * BB32 * BH32) / ((1 - EXP(-E32 * 60 * BB32 * BH32) * EXP(-(M32 - 1560) * $CW$126 * $BH$48))^2)))^2 +
($CX$126 * (-R32 * (M32 - 1560) * $BH$48 * EXP(-(M32 - 1560) * $CW$126 * $BH$48) / ((1 - EXP(-E32 * 60 * BB32 * BH32) * EXP(-(M32 - 1560) * $CW$126 * $BH$48))^2)))^2
)</f>
        <v>2.9196077344102928E-3</v>
      </c>
      <c r="BN32" s="55" cm="1">
        <f t="array" ref="BN32:BO32">BJ32:BK32</f>
        <v>2.3706759675509153E-2</v>
      </c>
      <c r="BO32" s="100">
        <v>2.9196077343803281E-3</v>
      </c>
      <c r="BP32" s="24"/>
      <c r="BQ32" s="24"/>
      <c r="BR32" s="73"/>
      <c r="BS32" s="73"/>
      <c r="BT32" s="34"/>
      <c r="BU32" s="34"/>
      <c r="BV32" s="54">
        <f>BV31*EXP(-BB31*BH31*E31*60*0.91357457380209)*EXP(-(M31-1560)*$CW$126*$BH$48*0.91357457380209)</f>
        <v>1.6538115635583245E-2</v>
      </c>
      <c r="BW32" s="99">
        <f>2*SQRT(
((BW31/2) * EXP(-BB31 * BH31 * E31 * 60 * 0.91357457380209) * EXP(-(M31 - 1560) * $CW$126 * $BH$48 * 0.91357457380209))^2 +
(BC31 * (-BV31 * BH31 * E31 * 60 * 0.91357457380209 * EXP(-BB31 * BH31 * E31 * 60 * 0.91357457380209) * EXP(-(M31 - 1560) * $CW$126 * $BH$48 * 0.91357457380209)))^2 +
((0.146030972937065 / 2) * BV31 * (-BB31 * BH31 * E31 * 60 - (M31 - 1560) * $CW$126 * $BH$48) * EXP(-BB31 * BH31 * E31 * 60 * 0.91357457380209) * EXP(-(M31 - 1560) * $CW$126 * $BH$48 * 0.91357457380209))^2 +
-(M31-1560)*$BH$48*0.91357457380209*BV31*EXP(-BB31*BH31*E31*60*0.91357457380209)*EXP(-(M31-1560)*$CW$126*$BH$48*0.91357457380209))</f>
        <v>3.2202928288401008E-3</v>
      </c>
      <c r="BX32" s="24"/>
      <c r="BY32" s="24"/>
      <c r="BZ32" s="73"/>
      <c r="CA32" s="141">
        <f t="shared" si="22"/>
        <v>0.15423844987099275</v>
      </c>
      <c r="CB32" s="34"/>
      <c r="CC32" s="34"/>
      <c r="CD32" s="34">
        <f t="shared" si="23"/>
        <v>7.1529220031136723E-2</v>
      </c>
      <c r="CE32" s="34"/>
      <c r="CF32" s="34"/>
      <c r="CG32" s="34"/>
      <c r="CH32" s="34"/>
      <c r="CI32" s="34"/>
      <c r="CJ32" s="34"/>
      <c r="CK32" s="34"/>
      <c r="CL32" s="34"/>
      <c r="CM32" s="34"/>
      <c r="CN32" s="34"/>
      <c r="CO32" s="34"/>
      <c r="CP32" s="34"/>
      <c r="CQ32" s="34"/>
      <c r="CR32" s="34"/>
      <c r="CS32" s="34"/>
    </row>
    <row r="33" spans="1:100" s="29" customFormat="1" x14ac:dyDescent="0.3">
      <c r="A33" s="29" t="s">
        <v>57</v>
      </c>
      <c r="B33" s="29" t="s">
        <v>58</v>
      </c>
      <c r="C33" s="30">
        <v>45329.416666666664</v>
      </c>
      <c r="D33" s="29">
        <v>225</v>
      </c>
      <c r="E33" s="29">
        <f t="shared" si="0"/>
        <v>908</v>
      </c>
      <c r="F33" s="29" t="s">
        <v>289</v>
      </c>
      <c r="G33" s="31">
        <v>120</v>
      </c>
      <c r="H33" s="31">
        <v>0</v>
      </c>
      <c r="I33" s="31">
        <v>13.4</v>
      </c>
      <c r="J33" s="29">
        <v>54480</v>
      </c>
      <c r="K33" s="29">
        <v>54635.563000000002</v>
      </c>
      <c r="L33" s="29">
        <f t="shared" si="2"/>
        <v>56039.999999734573</v>
      </c>
      <c r="M33" s="29">
        <f t="shared" si="3"/>
        <v>1559.9999997345731</v>
      </c>
      <c r="N33" s="65"/>
      <c r="O33" s="29">
        <v>6.2605931822187497E-3</v>
      </c>
      <c r="P33" s="29">
        <v>2.5990099009900899E-2</v>
      </c>
      <c r="R33" s="29">
        <v>0.75127118186624997</v>
      </c>
      <c r="S33" s="29">
        <v>1.30581166522855E-2</v>
      </c>
      <c r="T33" s="29">
        <v>0.34826732673267302</v>
      </c>
      <c r="U33" s="29">
        <v>1.60772558430234E-3</v>
      </c>
      <c r="W33" s="31">
        <f>(1000*T33/R33)/$AG$140</f>
        <v>0.46463008207915824</v>
      </c>
      <c r="X33" s="31"/>
      <c r="Y33" s="31">
        <f>T33-AVERAGE(T34:T37)</f>
        <v>0.3443557169247809</v>
      </c>
      <c r="Z33" s="31">
        <f>U33+AVERAGE(T34:T37)</f>
        <v>5.5193353921944802E-3</v>
      </c>
      <c r="AA33" s="31"/>
      <c r="AB33" s="31">
        <f>(Y33*1000)/R33</f>
        <v>458.36407044039538</v>
      </c>
      <c r="AC33" s="31">
        <f>2*((1000*Z33/(2*R33))^2+((S33/2)*1000*Y33/(R33^2))^2)^0.5</f>
        <v>10.837269175321746</v>
      </c>
      <c r="AD33" s="31">
        <f>AB33/$AG$140</f>
        <v>0.45941152883974501</v>
      </c>
      <c r="AE33" s="31">
        <f>2*(($AH$140*AB33/(2*$AG$140^2))^2+(AC33/($AG$140*2))^2)^0.5</f>
        <v>1.1920125152171824E-2</v>
      </c>
      <c r="AF33" s="69"/>
      <c r="AG33" s="31" cm="1">
        <f t="array" ref="AG33:AH33">BP33:BQ33</f>
        <v>0.77380778922117921</v>
      </c>
      <c r="AH33" s="29">
        <v>1.4174904928116006E-2</v>
      </c>
      <c r="AI33" s="31" cm="1">
        <f t="array" ref="AI33:AJ33">BX33:BY33</f>
        <v>0.35175809131140301</v>
      </c>
      <c r="AJ33" s="29">
        <v>7.5779924100981338E-3</v>
      </c>
      <c r="AL33" s="31">
        <f>1000*AI33/AG33</f>
        <v>454.58070623124627</v>
      </c>
      <c r="AM33" s="31">
        <f>2*((AH33*1000*AI33/(2*AG33^2))^2+(1000*AJ33/(AG33*2))^2)^0.5</f>
        <v>12.854849519545622</v>
      </c>
      <c r="AN33" s="31">
        <f>AL33/$AG$140</f>
        <v>0.45561951884687457</v>
      </c>
      <c r="AO33" s="31">
        <f>2*(($AH$140*AL33/(2*$AG$140^2))^2+(AM33/($AG$140*2))^2)^0.5</f>
        <v>1.3773618269383951E-2</v>
      </c>
      <c r="AP33" s="31"/>
      <c r="AQ33" s="31">
        <f>SUM(BP$5:$BP33)</f>
        <v>5.7355808927481942</v>
      </c>
      <c r="AR33" s="31" cm="1">
        <f t="array" ref="AR33">2*SQRT(SUM((BQ$5:$BQ33/2)^2))</f>
        <v>4.3523441796763346E-2</v>
      </c>
      <c r="AS33" s="31">
        <f>SUM($BX$5:BX33)</f>
        <v>1.270840388943927</v>
      </c>
      <c r="AT33" s="31" cm="1">
        <f t="array" ref="AT33">2*SQRT(SUM(($BY$5:BY33/2)^2))</f>
        <v>1.9747716449627233E-2</v>
      </c>
      <c r="AU33" s="31">
        <f t="shared" si="8"/>
        <v>5.6841898534713735</v>
      </c>
      <c r="AV33" s="31"/>
      <c r="AW33" s="31">
        <f t="shared" si="9"/>
        <v>1.34871133895702</v>
      </c>
      <c r="AX33" s="31"/>
      <c r="AY33" s="69"/>
      <c r="AZ33" s="31"/>
      <c r="BB33" s="31"/>
      <c r="BC33" s="31"/>
      <c r="BD33" s="31"/>
      <c r="BE33" s="31"/>
      <c r="BF33" s="31">
        <f t="shared" si="6"/>
        <v>427719104955.93579</v>
      </c>
      <c r="BG33" s="31">
        <f t="shared" si="7"/>
        <v>472419373721.47552</v>
      </c>
      <c r="BH33" s="31">
        <f t="shared" si="4"/>
        <v>4.745574375357872E-16</v>
      </c>
      <c r="BI33" s="31"/>
      <c r="BJ33" s="31"/>
      <c r="BK33" s="31"/>
      <c r="BL33" s="31"/>
      <c r="BM33" s="31"/>
      <c r="BN33" s="114">
        <f>BN32*EXP(-BD32*E32*60)</f>
        <v>1.9478637936378721E-2</v>
      </c>
      <c r="BO33" s="116">
        <f>2*((((BO32/2)*EXP(-BD32*E32*60))^2+(BN32*EXP(-BD32*E32*60)*E32*60*BC32*BD32/BB32)^2)^0.5)</f>
        <v>2.4538493498737417E-3</v>
      </c>
      <c r="BP33" s="23">
        <f>R33+BN34-BN33</f>
        <v>0.77380778922117921</v>
      </c>
      <c r="BQ33" s="23">
        <f>2*(((BO33/2)^2+(BO34/2)^2+(S33/2)^2)^(0.5))</f>
        <v>1.4174904928116006E-2</v>
      </c>
      <c r="BR33" s="72">
        <f>100*(BP33-R33)/R33</f>
        <v>2.9997965979402452</v>
      </c>
      <c r="BS33" s="72"/>
      <c r="BT33" s="31"/>
      <c r="BU33" s="31"/>
      <c r="BV33" s="114">
        <f>BV32*EXP(-BB32*BH32*E32*60*0.91357457380209)*EXP(-(M32-1560)*$CW$126*$BH$48*0.91357457380209)</f>
        <v>1.3821197645474355E-2</v>
      </c>
      <c r="BW33" s="116">
        <f>2*SQRT(
((BW32/2) * EXP(-BB32 * BH32 * E32 * 60 * 0.91357457380209) * EXP(-(M32 - 1560) * $CW$126 * $BH$48 * 0.91357457380209))^2 +
(BC32 * (-BV32 * BH32 * E32 * 60 * 0.91357457380209 * EXP(-BB32 * BH32 * E32 * 60 * 0.91357457380209) * EXP(-(M32 - 1560) * $CW$126 * $BH$48 * 0.91357457380209)))^2 +
((0.146030972937065 / 2) * BV32 * (-BB32 * BH32 * E32 * 60 - (M32 - 1560) * $CW$126 * $BH$48) * EXP(-BB32 * BH32 * E32 * 60 * 0.91357457380209) * EXP(-(M32 - 1560) * $CW$126 * $BH$48 * 0.91357457380209))^2 +
-(M32-1560)*$BH$48*0.91357457380209*BV32*EXP(-BB32*BH32*E32*60*0.91357457380209)*EXP(-(M32-1560)*$CW$126*$BH$48*0.91357457380209))</f>
        <v>2.7408250699405908E-3</v>
      </c>
      <c r="BX33" s="23">
        <f>Y33+BV34-BV33</f>
        <v>0.35175809131140301</v>
      </c>
      <c r="BY33" s="23">
        <f>2*(((BW33/2)^2+(BW34/2)^2+(Z33/2)^2)^(0.5))</f>
        <v>7.5779924100981338E-3</v>
      </c>
      <c r="BZ33" s="72">
        <f>100*(BX33-Y33)/Y33</f>
        <v>2.1496301710126815</v>
      </c>
      <c r="CA33" s="140">
        <f>R33*CC33</f>
        <v>6.6994769544214849E-2</v>
      </c>
      <c r="CB33" s="31">
        <f>BH33*BG33*J33</f>
        <v>12.213878142687394</v>
      </c>
      <c r="CC33" s="31">
        <f>1/(CB33-1)</f>
        <v>8.9175215503131108E-2</v>
      </c>
      <c r="CD33" s="31">
        <f>CF33*T33</f>
        <v>3.4625205848866775E-2</v>
      </c>
      <c r="CE33" s="31">
        <f>BH33*BF33*J33</f>
        <v>11.058202346949258</v>
      </c>
      <c r="CF33" s="31">
        <f>1/(CE33-1)</f>
        <v>9.942134444166445E-2</v>
      </c>
      <c r="CG33" s="31">
        <f>R33-CA29</f>
        <v>0.59544779050878804</v>
      </c>
      <c r="CH33" s="31">
        <f>R33+CA33</f>
        <v>0.81826595141046488</v>
      </c>
      <c r="CI33" s="31">
        <f>T33-CD29</f>
        <v>0.27605772194931955</v>
      </c>
      <c r="CJ33" s="31">
        <f>T33+CD33</f>
        <v>0.38289253258153977</v>
      </c>
      <c r="CK33" s="31">
        <f>CE33*1.29</f>
        <v>14.265081027564543</v>
      </c>
      <c r="CL33" s="31">
        <f>R33 / (CK33-1)</f>
        <v>5.6635250120608022E-2</v>
      </c>
      <c r="CM33" s="31">
        <f>1000*T33/R33</f>
        <v>463.57072537713236</v>
      </c>
      <c r="CN33" s="31">
        <f>1000*(T33+CD33)/(R33+CL33)</f>
        <v>473.9317790055274</v>
      </c>
      <c r="CO33" s="31">
        <f>1000*(T33-CD29)/(R33-CL29)</f>
        <v>444.21721144571336</v>
      </c>
      <c r="CP33" s="31">
        <f>1000*(T33+CD33-CD29)/(R33+CL33-CL29)</f>
        <v>458.17841530990552</v>
      </c>
      <c r="CQ33" s="31">
        <f>MAX(CM33:CP33)</f>
        <v>473.9317790055274</v>
      </c>
      <c r="CR33" s="31">
        <f>MIN(CM33:CP33)</f>
        <v>444.21721144571336</v>
      </c>
      <c r="CS33" s="31"/>
    </row>
    <row r="34" spans="1:100" s="32" customFormat="1" x14ac:dyDescent="0.3">
      <c r="A34" s="32" t="s">
        <v>59</v>
      </c>
      <c r="B34" s="32" t="s">
        <v>60</v>
      </c>
      <c r="C34" s="33">
        <v>45329.518055555556</v>
      </c>
      <c r="D34" s="32">
        <v>99.86</v>
      </c>
      <c r="E34" s="32">
        <f t="shared" si="0"/>
        <v>120</v>
      </c>
      <c r="F34" s="32" t="s">
        <v>375</v>
      </c>
      <c r="G34" s="34">
        <v>1.69</v>
      </c>
      <c r="H34" s="34">
        <v>0</v>
      </c>
      <c r="I34" s="34">
        <v>0.14899999999999999</v>
      </c>
      <c r="J34" s="32">
        <v>7200</v>
      </c>
      <c r="K34" s="32">
        <v>7326.3419999999996</v>
      </c>
      <c r="L34" s="32">
        <f t="shared" si="2"/>
        <v>8760.0000002654269</v>
      </c>
      <c r="M34" s="32">
        <f t="shared" si="3"/>
        <v>1560.0000002654269</v>
      </c>
      <c r="N34" s="65"/>
      <c r="O34" s="32">
        <v>6.2625738048337001E-3</v>
      </c>
      <c r="P34" s="32">
        <v>2.5990099009900899E-2</v>
      </c>
      <c r="R34" s="32">
        <v>1.0583749730168899E-2</v>
      </c>
      <c r="S34" s="34">
        <v>1.7919806178688199E-4</v>
      </c>
      <c r="T34" s="32">
        <v>3.8725247524752401E-3</v>
      </c>
      <c r="U34" s="34">
        <v>1.7923631463329201E-5</v>
      </c>
      <c r="V34" s="34"/>
      <c r="Y34" s="34"/>
      <c r="Z34" s="34"/>
      <c r="AA34" s="34"/>
      <c r="AB34" s="34"/>
      <c r="AF34" s="69"/>
      <c r="AQ34" s="34">
        <f>SUM(BP$5:$BP34)</f>
        <v>5.7355808927481942</v>
      </c>
      <c r="AR34" s="34" cm="1">
        <f t="array" ref="AR34">2*SQRT(SUM((BQ$5:$BQ34/2)^2))</f>
        <v>4.3523441796763346E-2</v>
      </c>
      <c r="AS34" s="34">
        <f>SUM($BX$5:BX34)</f>
        <v>1.270840388943927</v>
      </c>
      <c r="AT34" s="34" cm="1">
        <f t="array" ref="AT34">2*SQRT(SUM(($BY$5:BY34/2)^2))</f>
        <v>1.9747716449627233E-2</v>
      </c>
      <c r="AU34" s="34">
        <f t="shared" si="8"/>
        <v>5.6947736032015426</v>
      </c>
      <c r="AV34" s="34"/>
      <c r="AW34" s="34">
        <f t="shared" si="9"/>
        <v>1.3525838637094953</v>
      </c>
      <c r="AX34" s="34"/>
      <c r="AY34" s="69"/>
      <c r="AZ34" s="34">
        <f>'Naive Apparent Lambdas'!$U$2*(10000/(D34+273))+'Naive Apparent Lambdas'!$V$2</f>
        <v>25.454600992398426</v>
      </c>
      <c r="BA34" s="32">
        <f>'Naive Apparent Lambdas'!$V$4</f>
        <v>6.7480704157997479E-2</v>
      </c>
      <c r="BB34" s="34">
        <f t="shared" si="1"/>
        <v>113446930563.98146</v>
      </c>
      <c r="BC34" s="34">
        <f t="shared" si="5"/>
        <v>7655478759.020915</v>
      </c>
      <c r="BD34" s="34">
        <f>BB34*(D34+273)*$D$145*$F$144</f>
        <v>4.0308625277301677E-5</v>
      </c>
      <c r="BE34" s="34"/>
      <c r="BF34" s="31">
        <f t="shared" si="6"/>
        <v>81167248049.789017</v>
      </c>
      <c r="BG34" s="31">
        <f t="shared" si="7"/>
        <v>87933362538.821121</v>
      </c>
      <c r="BH34" s="34">
        <f t="shared" si="4"/>
        <v>3.5530820513974619E-16</v>
      </c>
      <c r="BI34" s="34"/>
      <c r="BJ34" s="34">
        <f>R34/(1-EXP(-E34*60*BD34))</f>
        <v>4.2015245291307901E-2</v>
      </c>
      <c r="BK34" s="34">
        <f>2*SQRT(
((S34/2) * (1 / (1 - EXP(-E34 * 60 * BB34 * BH34))))^2 +
(BC34 * (-R34 * 60 * E34 * BH34 * EXP(-E34 * 60 * BB34 * BH34) / (1 - EXP(-E34 * 60 * BB34 * BH34))^2))^2
)</f>
        <v>4.9388402064205091E-3</v>
      </c>
      <c r="BL34" s="34">
        <f>R34/(1-EXP(-E34*60*BB34*BH34)*EXP(-(M34-1560)*$CW$126*$BH$122))</f>
        <v>4.2015245291065879E-2</v>
      </c>
      <c r="BM34" s="34">
        <f>2*SQRT(
((S34/2) * (1 / (1 - EXP(-E34 * 60 * BB34 * BH34) * EXP(-(M34 - 1560) * $CW$126 * $BH$48))))^2 +
(BC34 * (-R34 * 60 * E34 * BH34 * EXP(-E34 * 60 * BB34 * BH34) / ((1 - EXP(-E34 * 60 * BB34 * BH34) * EXP(-(M34 - 1560) * $CW$126 * $BH$48))^2)))^2 +
($CX$126 * (-R34 * (M34 - 1560) * $BH$48 * EXP(-(M34 - 1560) * $CW$126 * $BH$48) / ((1 - EXP(-E34 * 60 * BB34 * BH34) * EXP(-(M34 - 1560) * $CW$126 * $BH$48))^2)))^2
)</f>
        <v>4.9388402063641956E-3</v>
      </c>
      <c r="BN34" s="117" cm="1">
        <f t="array" ref="BN34:BO34">BJ34:BK34</f>
        <v>4.2015245291307901E-2</v>
      </c>
      <c r="BO34" s="118">
        <v>4.9388402064205091E-3</v>
      </c>
      <c r="BP34" s="24"/>
      <c r="BQ34" s="24"/>
      <c r="BR34" s="73"/>
      <c r="BS34" s="73"/>
      <c r="BT34" s="123">
        <f>BN34*(Y33/R33)*1.10204926384627</f>
        <v>2.1223572032096454E-2</v>
      </c>
      <c r="BU34" s="123">
        <f>2*(((BO34/2)*1.10204926384627*(AB33/(1000)))^2+((AC33/2000)*1.10204926384627*BN34)^2+((0.187040260207234/2)*BN34*(AB33/(1000)))^2)^0.5</f>
        <v>4.4103042675034884E-3</v>
      </c>
      <c r="BV34" s="124">
        <f>BT34</f>
        <v>2.1223572032096454E-2</v>
      </c>
      <c r="BW34" s="125">
        <f>BU34</f>
        <v>4.4103042675034884E-3</v>
      </c>
      <c r="BX34" s="24"/>
      <c r="BY34" s="24"/>
      <c r="BZ34" s="73"/>
      <c r="CA34" s="141">
        <f t="shared" ref="CA34:CA37" si="24">CA33*(EXP(-BH34*BG34*E34))*(EXP(-$BG$140*$F$144*D173*(24+273)*M34))</f>
        <v>6.6744062126259843E-2</v>
      </c>
      <c r="CB34" s="34"/>
      <c r="CC34" s="34"/>
      <c r="CD34" s="34">
        <f t="shared" ref="CD34:CD37" si="25">CD33*(EXP(-BH34*BF34*E34))*(EXP(-$BF$140*$F$144*D173*(24+273)*M34))</f>
        <v>3.4505584581912961E-2</v>
      </c>
      <c r="CE34" s="34"/>
      <c r="CF34" s="34"/>
      <c r="CG34" s="34"/>
      <c r="CH34" s="34"/>
      <c r="CI34" s="34"/>
      <c r="CJ34" s="34"/>
      <c r="CK34" s="34"/>
      <c r="CL34" s="34"/>
      <c r="CM34" s="34"/>
      <c r="CN34" s="34"/>
      <c r="CO34" s="34"/>
      <c r="CP34" s="34"/>
      <c r="CQ34" s="34"/>
      <c r="CR34" s="34"/>
      <c r="CS34" s="34"/>
    </row>
    <row r="35" spans="1:100" s="8" customFormat="1" x14ac:dyDescent="0.3">
      <c r="A35" s="8" t="s">
        <v>61</v>
      </c>
      <c r="B35" s="8" t="s">
        <v>62</v>
      </c>
      <c r="C35" s="35">
        <v>45329.619444444441</v>
      </c>
      <c r="D35" s="8">
        <v>100</v>
      </c>
      <c r="E35" s="8">
        <f t="shared" si="0"/>
        <v>120</v>
      </c>
      <c r="F35" s="8" t="s">
        <v>287</v>
      </c>
      <c r="G35" s="36">
        <v>1.19</v>
      </c>
      <c r="H35" s="36">
        <v>0</v>
      </c>
      <c r="I35" s="36">
        <v>0.124</v>
      </c>
      <c r="J35" s="8">
        <v>7200</v>
      </c>
      <c r="K35" s="8">
        <v>7324.7139999999999</v>
      </c>
      <c r="L35" s="8">
        <f t="shared" si="2"/>
        <v>8759.9999996367842</v>
      </c>
      <c r="M35" s="8">
        <f t="shared" si="3"/>
        <v>1559.9999996367842</v>
      </c>
      <c r="N35" s="65"/>
      <c r="O35" s="8">
        <v>6.25857059078333E-3</v>
      </c>
      <c r="P35" s="8">
        <v>2.5990099009900899E-2</v>
      </c>
      <c r="R35" s="8">
        <v>7.4476990030321599E-3</v>
      </c>
      <c r="S35" s="36">
        <v>1.22691391867855E-4</v>
      </c>
      <c r="T35" s="8">
        <v>3.22277227722772E-3</v>
      </c>
      <c r="U35" s="36">
        <v>1.41967006788208E-5</v>
      </c>
      <c r="V35" s="36"/>
      <c r="Y35" s="36"/>
      <c r="Z35" s="36"/>
      <c r="AA35" s="36"/>
      <c r="AB35" s="36"/>
      <c r="AF35" s="69"/>
      <c r="AQ35" s="36">
        <f>SUM(BP$5:$BP35)</f>
        <v>5.7355808927481942</v>
      </c>
      <c r="AR35" s="36" cm="1">
        <f t="array" ref="AR35">2*SQRT(SUM((BQ$5:$BQ35/2)^2))</f>
        <v>4.3523441796763346E-2</v>
      </c>
      <c r="AS35" s="36">
        <f>SUM($BX$5:BX35)</f>
        <v>1.270840388943927</v>
      </c>
      <c r="AT35" s="36" cm="1">
        <f t="array" ref="AT35">2*SQRT(SUM(($BY$5:BY35/2)^2))</f>
        <v>1.9747716449627233E-2</v>
      </c>
      <c r="AU35" s="36">
        <f t="shared" si="8"/>
        <v>5.7022213022045749</v>
      </c>
      <c r="AV35" s="36"/>
      <c r="AW35" s="36">
        <f t="shared" si="9"/>
        <v>1.3558066359867231</v>
      </c>
      <c r="AX35" s="36"/>
      <c r="AY35" s="69"/>
      <c r="AZ35" s="36">
        <f>'Naive Apparent Lambdas'!$U$2*(10000/(D35+273))+'Naive Apparent Lambdas'!$V$2</f>
        <v>25.45976456747379</v>
      </c>
      <c r="BA35" s="8">
        <f>'Naive Apparent Lambdas'!$V$4</f>
        <v>6.7480704157997479E-2</v>
      </c>
      <c r="BB35" s="36">
        <f t="shared" si="1"/>
        <v>114034237303.31673</v>
      </c>
      <c r="BC35" s="36">
        <f t="shared" si="5"/>
        <v>7695110631.3479958</v>
      </c>
      <c r="BD35" s="36">
        <f>BB35*(D35+273)*$D$145*$F$144</f>
        <v>4.053251345654956E-5</v>
      </c>
      <c r="BE35" s="36"/>
      <c r="BF35" s="31">
        <f t="shared" si="6"/>
        <v>81368987856.687653</v>
      </c>
      <c r="BG35" s="31">
        <f t="shared" si="7"/>
        <v>88154464997.476822</v>
      </c>
      <c r="BH35" s="36">
        <f t="shared" si="4"/>
        <v>3.5544161486114176E-16</v>
      </c>
      <c r="BI35" s="36"/>
      <c r="BJ35" s="36">
        <f>R35/(1-EXP(-E35*60*BD35))</f>
        <v>2.9425035462201172E-2</v>
      </c>
      <c r="BK35" s="36">
        <f>2*SQRT(
((S35/2) * (1 / (1 - EXP(-E35 * 60 * BB35 * BH35))))^2 +
(BC35 * (-R35 * 60 * E35 * BH35 * EXP(-E35 * 60 * BB35 * BH35) / (1 - EXP(-E35 * 60 * BB35 * BH35))^2))^2
)</f>
        <v>3.4540998007322674E-3</v>
      </c>
      <c r="BL35" s="36">
        <f>R35/(1-EXP(-E35*60*BB35*BH35)*EXP(-(M35-1560)*$CW$126*$BH$122))</f>
        <v>2.9425035462431651E-2</v>
      </c>
      <c r="BM35" s="36">
        <f>2*SQRT(
((S35/2) * (1 / (1 - EXP(-E35 * 60 * BB35 * BH35) * EXP(-(M35 - 1560) * $CW$126 * $BH$48))))^2 +
(BC35 * (-R35 * 60 * E35 * BH35 * EXP(-E35 * 60 * BB35 * BH35) / ((1 - EXP(-E35 * 60 * BB35 * BH35) * EXP(-(M35 - 1560) * $CW$126 * $BH$48))^2)))^2 +
($CX$126 * (-R35 * (M35 - 1560) * $BH$48 * EXP(-(M35 - 1560) * $CW$126 * $BH$48) / ((1 - EXP(-E35 * 60 * BB35 * BH35) * EXP(-(M35 - 1560) * $CW$126 * $BH$48))^2)))^2
)</f>
        <v>3.4540998007858443E-3</v>
      </c>
      <c r="BN35" s="54">
        <f>BN34*EXP(-BD34*E34*60)</f>
        <v>3.1431495561139E-2</v>
      </c>
      <c r="BO35" s="99">
        <f>2*((((BO34/2)*EXP(-BD34*E34*60))^2+(BN34*EXP(-BD34*E34*60)*E34*60*BC34*BD34/BB34)^2)^0.5)</f>
        <v>3.8944505590554758E-3</v>
      </c>
      <c r="BP35" s="25"/>
      <c r="BQ35" s="25"/>
      <c r="BR35" s="74"/>
      <c r="BS35" s="74"/>
      <c r="BT35" s="36"/>
      <c r="BU35" s="36"/>
      <c r="BV35" s="54">
        <f>BV34*EXP(-BB34*BH34*E34*60*0.91357457380209)*EXP(-(M34-1560)*$CW$126*$BH$48*0.91357457380209)</f>
        <v>1.6280578903955217E-2</v>
      </c>
      <c r="BW35" s="99">
        <f>2*SQRT(
((BW34/2) * EXP(-BB34 * BH34 * E34 * 60 * 0.91357457380209) * EXP(-(M34 - 1560) * $CW$126 * $BH$48 * 0.91357457380209))^2 +
(BC34 * (-BV34 * BH34 * E34 * 60 * 0.91357457380209 * EXP(-BB34 * BH34 * E34 * 60 * 0.91357457380209) * EXP(-(M34 - 1560) * $CW$126 * $BH$48 * 0.91357457380209)))^2 +
((0.146030972937065 / 2) * BV34 * (-BB34 * BH34 * E34 * 60 - (M34 - 1560) * $CW$126 * $BH$48) * EXP(-BB34 * BH34 * E34 * 60 * 0.91357457380209) * EXP(-(M34 - 1560) * $CW$126 * $BH$48 * 0.91357457380209))^2 +
-(M34-1560)*$BH$48*0.91357457380209*BV34*EXP(-BB34*BH34*E34*60*0.91357457380209)*EXP(-(M34-1560)*$CW$126*$BH$48*0.91357457380209))</f>
        <v>3.5015885006581069E-3</v>
      </c>
      <c r="BX35" s="25"/>
      <c r="BY35" s="25"/>
      <c r="BZ35" s="74"/>
      <c r="CA35" s="141">
        <f t="shared" si="24"/>
        <v>6.6493572214797403E-2</v>
      </c>
      <c r="CB35" s="34"/>
      <c r="CC35" s="34"/>
      <c r="CD35" s="34">
        <f t="shared" si="25"/>
        <v>3.4386036007184928E-2</v>
      </c>
      <c r="CE35" s="36"/>
      <c r="CF35" s="36"/>
      <c r="CG35" s="36"/>
      <c r="CH35" s="36"/>
      <c r="CI35" s="36"/>
      <c r="CJ35" s="36"/>
      <c r="CK35" s="36"/>
      <c r="CL35" s="36"/>
      <c r="CM35" s="36"/>
      <c r="CN35" s="36"/>
      <c r="CO35" s="36"/>
      <c r="CP35" s="36"/>
      <c r="CQ35" s="36"/>
      <c r="CR35" s="36"/>
      <c r="CS35" s="36"/>
    </row>
    <row r="36" spans="1:100" s="8" customFormat="1" x14ac:dyDescent="0.3">
      <c r="A36" s="8" t="s">
        <v>63</v>
      </c>
      <c r="B36" s="8" t="s">
        <v>64</v>
      </c>
      <c r="C36" s="35">
        <v>45329.720833333333</v>
      </c>
      <c r="D36" s="8">
        <v>100</v>
      </c>
      <c r="E36" s="8">
        <f t="shared" si="0"/>
        <v>120</v>
      </c>
      <c r="F36" s="8" t="s">
        <v>287</v>
      </c>
      <c r="G36" s="36">
        <v>0.78600000000000003</v>
      </c>
      <c r="H36" s="36">
        <v>0</v>
      </c>
      <c r="I36" s="36">
        <v>0.186</v>
      </c>
      <c r="J36" s="8">
        <v>7200</v>
      </c>
      <c r="K36" s="8">
        <v>7324.4070000000002</v>
      </c>
      <c r="L36" s="8">
        <f t="shared" si="2"/>
        <v>8760.0000002654269</v>
      </c>
      <c r="M36" s="8">
        <f t="shared" si="3"/>
        <v>1560.0000002654269</v>
      </c>
      <c r="N36" s="65"/>
      <c r="O36" s="8">
        <v>6.2550481403230301E-3</v>
      </c>
      <c r="P36" s="8">
        <v>2.5990099009900899E-2</v>
      </c>
      <c r="R36" s="8">
        <v>4.9164678382939003E-3</v>
      </c>
      <c r="S36" s="36">
        <v>7.9749570211355101E-5</v>
      </c>
      <c r="T36" s="8">
        <v>4.8341584158415798E-3</v>
      </c>
      <c r="U36" s="36">
        <v>2.0568625086483599E-5</v>
      </c>
      <c r="V36" s="36"/>
      <c r="Y36" s="36"/>
      <c r="Z36" s="36"/>
      <c r="AA36" s="36"/>
      <c r="AB36" s="36"/>
      <c r="AF36" s="69"/>
      <c r="AQ36" s="36">
        <f>SUM(BP$5:$BP36)</f>
        <v>5.7355808927481942</v>
      </c>
      <c r="AR36" s="36" cm="1">
        <f t="array" ref="AR36">2*SQRT(SUM((BQ$5:$BQ36/2)^2))</f>
        <v>4.3523441796763346E-2</v>
      </c>
      <c r="AS36" s="36">
        <f>SUM($BX$5:BX36)</f>
        <v>1.270840388943927</v>
      </c>
      <c r="AT36" s="36" cm="1">
        <f t="array" ref="AT36">2*SQRT(SUM(($BY$5:BY36/2)^2))</f>
        <v>1.9747716449627233E-2</v>
      </c>
      <c r="AU36" s="36">
        <f t="shared" si="8"/>
        <v>5.7071377700428689</v>
      </c>
      <c r="AV36" s="36"/>
      <c r="AW36" s="36">
        <f t="shared" si="9"/>
        <v>1.3606407944025647</v>
      </c>
      <c r="AX36" s="36"/>
      <c r="AY36" s="69"/>
      <c r="AZ36" s="36">
        <f>'Naive Apparent Lambdas'!$U$2*(10000/(D36+273))+'Naive Apparent Lambdas'!$V$2</f>
        <v>25.45976456747379</v>
      </c>
      <c r="BA36" s="8">
        <f>'Naive Apparent Lambdas'!$V$4</f>
        <v>6.7480704157997479E-2</v>
      </c>
      <c r="BB36" s="36">
        <f t="shared" si="1"/>
        <v>114034237303.31673</v>
      </c>
      <c r="BC36" s="36">
        <f t="shared" si="5"/>
        <v>7695110631.3479958</v>
      </c>
      <c r="BD36" s="36">
        <f>BB36*(D36+273)*$D$145*$F$144</f>
        <v>4.053251345654956E-5</v>
      </c>
      <c r="BE36" s="36"/>
      <c r="BF36" s="31">
        <f t="shared" si="6"/>
        <v>81368987856.687653</v>
      </c>
      <c r="BG36" s="31">
        <f t="shared" si="7"/>
        <v>88154464997.476822</v>
      </c>
      <c r="BH36" s="36">
        <f t="shared" ref="BH36:BH67" si="26">(D36+273)*$D$145*$F$144</f>
        <v>3.5544161486114176E-16</v>
      </c>
      <c r="BI36" s="36"/>
      <c r="BJ36" s="36">
        <f>R36/(1-EXP(-E36*60*BD36))</f>
        <v>1.9424420942853841E-2</v>
      </c>
      <c r="BK36" s="36">
        <f>2*SQRT(
((S36/2) * (1 / (1 - EXP(-E36 * 60 * BB36 * BH36))))^2 +
(BC36 * (-R36 * 60 * E36 * BH36 * EXP(-E36 * 60 * BB36 * BH36) / (1 - EXP(-E36 * 60 * BB36 * BH36))^2))^2
)</f>
        <v>2.2794793808443808E-3</v>
      </c>
      <c r="BL36" s="36">
        <f>R36/(1-EXP(-E36*60*BB36*BH36)*EXP(-(M36-1560)*$CW$126*$BH$122))</f>
        <v>1.9424420942742649E-2</v>
      </c>
      <c r="BM36" s="36">
        <f>2*SQRT(
((S36/2) * (1 / (1 - EXP(-E36 * 60 * BB36 * BH36) * EXP(-(M36 - 1560) * $CW$126 * $BH$48))))^2 +
(BC36 * (-R36 * 60 * E36 * BH36 * EXP(-E36 * 60 * BB36 * BH36) / ((1 - EXP(-E36 * 60 * BB36 * BH36) * EXP(-(M36 - 1560) * $CW$126 * $BH$48))^2)))^2 +
($CX$126 * (-R36 * (M36 - 1560) * $BH$48 * EXP(-(M36 - 1560) * $CW$126 * $BH$48) / ((1 - EXP(-E36 * 60 * BB36 * BH36) * EXP(-(M36 - 1560) * $CW$126 * $BH$48))^2)))^2
)</f>
        <v>2.2794793808185334E-3</v>
      </c>
      <c r="BN36" s="54">
        <f>BN35*EXP(-BD35*E35*60)</f>
        <v>2.3475946333162193E-2</v>
      </c>
      <c r="BO36" s="99">
        <f>2*((((BO35/2)*EXP(-BD35*E35*60))^2+(BN35*EXP(-BD35*E35*60)*E35*60*BC35*BD35/BB35)^2)^0.5)</f>
        <v>3.0521610108312498E-3</v>
      </c>
      <c r="BP36" s="25"/>
      <c r="BQ36" s="25"/>
      <c r="BR36" s="74"/>
      <c r="BS36" s="74"/>
      <c r="BT36" s="36"/>
      <c r="BU36" s="36"/>
      <c r="BV36" s="54">
        <f>BV35*EXP(-BB35*BH35*E35*60*0.91357457380209)*EXP(-(M35-1560)*$CW$126*$BH$48*0.91357457380209)</f>
        <v>1.2470435818890586E-2</v>
      </c>
      <c r="BW36" s="99">
        <f>2*SQRT(
((BW35/2) * EXP(-BB35 * BH35 * E35 * 60 * 0.91357457380209) * EXP(-(M35 - 1560) * $CW$126 * $BH$48 * 0.91357457380209))^2 +
(BC35 * (-BV35 * BH35 * E35 * 60 * 0.91357457380209 * EXP(-BB35 * BH35 * E35 * 60 * 0.91357457380209) * EXP(-(M35 - 1560) * $CW$126 * $BH$48 * 0.91357457380209)))^2 +
((0.146030972937065 / 2) * BV35 * (-BB35 * BH35 * E35 * 60 - (M35 - 1560) * $CW$126 * $BH$48) * EXP(-BB35 * BH35 * E35 * 60 * 0.91357457380209) * EXP(-(M35 - 1560) * $CW$126 * $BH$48 * 0.91357457380209))^2 +
-(M35-1560)*$BH$48*0.91357457380209*BV35*EXP(-BB35*BH35*E35*60*0.91357457380209)*EXP(-(M35-1560)*$CW$126*$BH$48*0.91357457380209))</f>
        <v>2.7708319166498577E-3</v>
      </c>
      <c r="BX36" s="25"/>
      <c r="BY36" s="25"/>
      <c r="BZ36" s="74"/>
      <c r="CA36" s="141">
        <f t="shared" si="24"/>
        <v>6.6244022389894658E-2</v>
      </c>
      <c r="CB36" s="34"/>
      <c r="CC36" s="34"/>
      <c r="CD36" s="34">
        <f t="shared" si="25"/>
        <v>3.4266901622272625E-2</v>
      </c>
      <c r="CE36" s="36"/>
      <c r="CF36" s="36"/>
      <c r="CG36" s="36"/>
      <c r="CH36" s="36"/>
      <c r="CI36" s="36"/>
      <c r="CJ36" s="36"/>
      <c r="CK36" s="36"/>
      <c r="CL36" s="36"/>
      <c r="CM36" s="36"/>
      <c r="CN36" s="36"/>
      <c r="CO36" s="36"/>
      <c r="CP36" s="36"/>
      <c r="CQ36" s="36"/>
      <c r="CR36" s="36"/>
      <c r="CS36" s="36"/>
    </row>
    <row r="37" spans="1:100" s="8" customFormat="1" x14ac:dyDescent="0.3">
      <c r="A37" s="8" t="s">
        <v>65</v>
      </c>
      <c r="B37" s="8" t="s">
        <v>66</v>
      </c>
      <c r="C37" s="35">
        <v>45329.822222222225</v>
      </c>
      <c r="D37" s="8">
        <v>99.99</v>
      </c>
      <c r="E37" s="8">
        <f t="shared" si="0"/>
        <v>120</v>
      </c>
      <c r="F37" s="8" t="s">
        <v>287</v>
      </c>
      <c r="G37" s="36">
        <v>0.68200000000000005</v>
      </c>
      <c r="H37" s="36">
        <v>0</v>
      </c>
      <c r="I37" s="36">
        <v>0.14299999999999999</v>
      </c>
      <c r="J37" s="8">
        <v>7200</v>
      </c>
      <c r="K37" s="8">
        <v>7329.0789999999997</v>
      </c>
      <c r="L37" s="8">
        <f t="shared" si="2"/>
        <v>8760.0000002654269</v>
      </c>
      <c r="M37" s="8">
        <f t="shared" si="3"/>
        <v>1560.0000002654269</v>
      </c>
      <c r="N37" s="65"/>
      <c r="O37" s="8">
        <v>6.2505943530833498E-3</v>
      </c>
      <c r="P37" s="8">
        <v>2.5992893608559501E-2</v>
      </c>
      <c r="R37" s="8">
        <v>4.2629053488028399E-3</v>
      </c>
      <c r="S37" s="36">
        <v>6.8351505282079601E-5</v>
      </c>
      <c r="T37" s="8">
        <v>3.7169837860240198E-3</v>
      </c>
      <c r="U37" s="36">
        <v>1.5599912757482299E-5</v>
      </c>
      <c r="V37" s="36"/>
      <c r="Y37" s="36"/>
      <c r="Z37" s="36"/>
      <c r="AA37" s="36"/>
      <c r="AB37" s="36"/>
      <c r="AF37" s="69"/>
      <c r="AQ37" s="36">
        <f>SUM(BP$5:$BP37)</f>
        <v>5.7355808927481942</v>
      </c>
      <c r="AR37" s="36" cm="1">
        <f t="array" ref="AR37">2*SQRT(SUM((BQ$5:$BQ37/2)^2))</f>
        <v>4.3523441796763346E-2</v>
      </c>
      <c r="AS37" s="36">
        <f>SUM($BX$5:BX37)</f>
        <v>1.270840388943927</v>
      </c>
      <c r="AT37" s="36" cm="1">
        <f t="array" ref="AT37">2*SQRT(SUM(($BY$5:BY37/2)^2))</f>
        <v>1.9747716449627233E-2</v>
      </c>
      <c r="AU37" s="36">
        <f t="shared" si="8"/>
        <v>5.7114006753916717</v>
      </c>
      <c r="AV37" s="36"/>
      <c r="AW37" s="36">
        <f t="shared" si="9"/>
        <v>1.3643577781885887</v>
      </c>
      <c r="AX37" s="36"/>
      <c r="AY37" s="69"/>
      <c r="AZ37" s="36">
        <f>'Naive Apparent Lambdas'!$U$2*(10000/(D37+273))+'Naive Apparent Lambdas'!$V$2</f>
        <v>25.45939586923167</v>
      </c>
      <c r="BA37" s="8">
        <f>'Naive Apparent Lambdas'!$V$4</f>
        <v>6.7480704157997479E-2</v>
      </c>
      <c r="BB37" s="36">
        <f t="shared" si="1"/>
        <v>113992200830.34454</v>
      </c>
      <c r="BC37" s="36">
        <f t="shared" si="5"/>
        <v>7692273980.5515146</v>
      </c>
      <c r="BD37" s="36">
        <f>BB37*(D37+273)*$D$145*$F$144</f>
        <v>4.0516485682730825E-5</v>
      </c>
      <c r="BE37" s="36"/>
      <c r="BF37" s="31">
        <f t="shared" si="6"/>
        <v>81354566284.197021</v>
      </c>
      <c r="BG37" s="31">
        <f t="shared" si="7"/>
        <v>88138659054.577789</v>
      </c>
      <c r="BH37" s="36">
        <f t="shared" si="26"/>
        <v>3.5543208559532784E-16</v>
      </c>
      <c r="BI37" s="36"/>
      <c r="BJ37" s="36">
        <f>R37/(1-EXP(-E37*60*BD37))</f>
        <v>1.6848005419772254E-2</v>
      </c>
      <c r="BK37" s="36">
        <f>2*SQRT(
((S37/2) * (1 / (1 - EXP(-E37 * 60 * BB37 * BH37))))^2 +
(BC37 * (-R37 * 60 * E37 * BH37 * EXP(-E37 * 60 * BB37 * BH37) / (1 - EXP(-E37 * 60 * BB37 * BH37))^2))^2
)</f>
        <v>1.9768184853475855E-3</v>
      </c>
      <c r="BL37" s="36">
        <f>R37/(1-EXP(-E37*60*BB37*BH37)*EXP(-(M37-1560)*$CW$126*$BH$122))</f>
        <v>1.6848005419675773E-2</v>
      </c>
      <c r="BM37" s="36">
        <f>2*SQRT(
((S37/2) * (1 / (1 - EXP(-E37 * 60 * BB37 * BH37) * EXP(-(M37 - 1560) * $CW$126 * $BH$48))))^2 +
(BC37 * (-R37 * 60 * E37 * BH37 * EXP(-E37 * 60 * BB37 * BH37) / ((1 - EXP(-E37 * 60 * BB37 * BH37) * EXP(-(M37 - 1560) * $CW$126 * $BH$48))^2)))^2 +
($CX$126 * (-R37 * (M37 - 1560) * $BH$48 * EXP(-(M37 - 1560) * $CW$126 * $BH$48) / ((1 - EXP(-E37 * 60 * BB37 * BH37) * EXP(-(M37 - 1560) * $CW$126 * $BH$48))^2)))^2
)</f>
        <v>1.9768184853251559E-3</v>
      </c>
      <c r="BN37" s="54">
        <f>BN36*EXP(-BD36*E36*60)</f>
        <v>1.7534006778821574E-2</v>
      </c>
      <c r="BO37" s="99">
        <f>2*((((BO36/2)*EXP(-BD36*E36*60))^2+(BN36*EXP(-BD36*E36*60)*E36*60*BC36*BD36/BB36)^2)^0.5)</f>
        <v>2.3819464837707602E-3</v>
      </c>
      <c r="BP37" s="25"/>
      <c r="BQ37" s="25"/>
      <c r="BR37" s="74"/>
      <c r="BS37" s="74"/>
      <c r="BT37" s="36"/>
      <c r="BU37" s="36"/>
      <c r="BV37" s="54">
        <f>BV36*EXP(-BB36*BH36*E36*60*0.91357457380209)*EXP(-(M36-1560)*$CW$126*$BH$48*0.91357457380209)</f>
        <v>9.5519803337359502E-3</v>
      </c>
      <c r="BW37" s="99">
        <f>2*SQRT(
((BW36/2) * EXP(-BB36 * BH36 * E36 * 60 * 0.91357457380209) * EXP(-(M36 - 1560) * $CW$126 * $BH$48 * 0.91357457380209))^2 +
(BC36 * (-BV36 * BH36 * E36 * 60 * 0.91357457380209 * EXP(-BB36 * BH36 * E36 * 60 * 0.91357457380209) * EXP(-(M36 - 1560) * $CW$126 * $BH$48 * 0.91357457380209)))^2 +
((0.146030972937065 / 2) * BV36 * (-BB36 * BH36 * E36 * 60 - (M36 - 1560) * $CW$126 * $BH$48) * EXP(-BB36 * BH36 * E36 * 60 * 0.91357457380209) * EXP(-(M36 - 1560) * $CW$126 * $BH$48 * 0.91357457380209))^2 +
-(M36-1560)*$BH$48*0.91357457380209*BV36*EXP(-BB36*BH36*E36*60*0.91357457380209)*EXP(-(M36-1560)*$CW$126*$BH$48*0.91357457380209))</f>
        <v>2.1882216880381479E-3</v>
      </c>
      <c r="BX37" s="25"/>
      <c r="BY37" s="25"/>
      <c r="BZ37" s="74"/>
      <c r="CA37" s="141">
        <f t="shared" si="24"/>
        <v>6.5995460267130338E-2</v>
      </c>
      <c r="CB37" s="34"/>
      <c r="CC37" s="34"/>
      <c r="CD37" s="34">
        <f t="shared" si="25"/>
        <v>3.4148204174317701E-2</v>
      </c>
      <c r="CE37" s="36"/>
      <c r="CF37" s="36"/>
      <c r="CG37" s="36"/>
      <c r="CH37" s="36"/>
      <c r="CI37" s="36"/>
      <c r="CJ37" s="36"/>
      <c r="CK37" s="36"/>
      <c r="CL37" s="36"/>
      <c r="CM37" s="36"/>
      <c r="CN37" s="36"/>
      <c r="CO37" s="36"/>
      <c r="CP37" s="36"/>
      <c r="CQ37" s="36"/>
      <c r="CR37" s="36"/>
      <c r="CS37" s="36"/>
    </row>
    <row r="38" spans="1:100" s="29" customFormat="1" x14ac:dyDescent="0.3">
      <c r="A38" s="29" t="s">
        <v>67</v>
      </c>
      <c r="B38" s="29" t="s">
        <v>68</v>
      </c>
      <c r="C38" s="30">
        <v>45330.152777777781</v>
      </c>
      <c r="D38" s="29">
        <v>215</v>
      </c>
      <c r="E38" s="29">
        <f t="shared" si="0"/>
        <v>450</v>
      </c>
      <c r="F38" s="29" t="s">
        <v>289</v>
      </c>
      <c r="G38" s="31">
        <v>22.7</v>
      </c>
      <c r="H38" s="31">
        <v>0</v>
      </c>
      <c r="I38" s="31">
        <v>2.75</v>
      </c>
      <c r="J38" s="29">
        <v>27000</v>
      </c>
      <c r="K38" s="29">
        <v>27125.348999999998</v>
      </c>
      <c r="L38" s="29">
        <f t="shared" si="2"/>
        <v>28560.000000055879</v>
      </c>
      <c r="M38" s="29">
        <f t="shared" si="3"/>
        <v>1560.0000000558794</v>
      </c>
      <c r="N38" s="65"/>
      <c r="O38" s="29">
        <v>6.2340449997199E-3</v>
      </c>
      <c r="P38" s="29">
        <v>2.6033057851239601E-2</v>
      </c>
      <c r="R38" s="29">
        <v>0.141512821493641</v>
      </c>
      <c r="S38" s="29">
        <v>5.1011835913082303E-3</v>
      </c>
      <c r="T38" s="29">
        <v>7.1590909090909094E-2</v>
      </c>
      <c r="U38" s="29">
        <v>2.2087206993923699E-3</v>
      </c>
      <c r="W38" s="31">
        <f>(1000*T38/R38)/$AG$140</f>
        <v>0.50705306157212715</v>
      </c>
      <c r="X38" s="31"/>
      <c r="Y38" s="31">
        <f>T38-AVERAGE(T39:T42)</f>
        <v>6.7383446280991757E-2</v>
      </c>
      <c r="Z38" s="31">
        <f>U38+AVERAGE(T39:T42)</f>
        <v>6.416183509309701E-3</v>
      </c>
      <c r="AA38" s="31"/>
      <c r="AB38" s="31">
        <f>(Y38*1000)/R38</f>
        <v>476.16495501801364</v>
      </c>
      <c r="AC38" s="31">
        <f>2*((1000*Z38/(2*R38))^2+((S38/2)*1000*Y38/(R38^2))^2)^0.5</f>
        <v>48.48022895175793</v>
      </c>
      <c r="AD38" s="31">
        <f>AB38/$AG$140</f>
        <v>0.47725309218620476</v>
      </c>
      <c r="AE38" s="31">
        <f>2*(($AH$140*AB38/(2*$AG$140^2))^2+(AC38/($AG$140*2))^2)^0.5</f>
        <v>4.8857969061750363E-2</v>
      </c>
      <c r="AF38" s="69"/>
      <c r="AG38" s="31" cm="1">
        <f t="array" ref="AG38:AH38">BP38:BQ38</f>
        <v>0.15625071646896596</v>
      </c>
      <c r="AH38" s="29">
        <v>6.4784413975517447E-3</v>
      </c>
      <c r="AI38" s="31" cm="1">
        <f t="array" ref="AI38:AJ38">BX38:BY38</f>
        <v>7.4672983949395463E-2</v>
      </c>
      <c r="AJ38" s="29">
        <v>7.4798385123084508E-3</v>
      </c>
      <c r="AL38" s="31">
        <f>1000*AI38/AG38</f>
        <v>477.90490589031492</v>
      </c>
      <c r="AM38" s="31">
        <f>2*((AH38*1000*AI38/(2*AG38^2))^2+(1000*AJ38/(AG38*2))^2)^0.5</f>
        <v>51.809606061386908</v>
      </c>
      <c r="AN38" s="31">
        <f>AL38/$AG$140</f>
        <v>0.47899701921255733</v>
      </c>
      <c r="AO38" s="31">
        <f>2*(($AH$140*AL38/(2*$AG$140^2))^2+(AM38/($AG$140*2))^2)^0.5</f>
        <v>5.2179709713441727E-2</v>
      </c>
      <c r="AP38" s="31"/>
      <c r="AQ38" s="31">
        <f>SUM(BP$5:$BP38)</f>
        <v>5.8918316092171601</v>
      </c>
      <c r="AR38" s="31" cm="1">
        <f t="array" ref="AR38">2*SQRT(SUM((BQ$5:$BQ38/2)^2))</f>
        <v>4.400295659132189E-2</v>
      </c>
      <c r="AS38" s="31">
        <f>SUM($BX$5:BX38)</f>
        <v>1.3455133728933224</v>
      </c>
      <c r="AT38" s="31" cm="1">
        <f t="array" ref="AT38">2*SQRT(SUM(($BY$5:BY38/2)^2))</f>
        <v>2.1116824788426188E-2</v>
      </c>
      <c r="AU38" s="31">
        <f t="shared" si="8"/>
        <v>5.8529134968853125</v>
      </c>
      <c r="AV38" s="31"/>
      <c r="AW38" s="31">
        <f t="shared" si="9"/>
        <v>1.4359486872794978</v>
      </c>
      <c r="AX38" s="31"/>
      <c r="AY38" s="69"/>
      <c r="AZ38" s="31"/>
      <c r="BB38" s="31"/>
      <c r="BC38" s="31"/>
      <c r="BD38" s="31"/>
      <c r="BE38" s="31"/>
      <c r="BF38" s="31">
        <f t="shared" si="6"/>
        <v>386446726405.9859</v>
      </c>
      <c r="BG38" s="31">
        <f t="shared" si="7"/>
        <v>426330146446.07654</v>
      </c>
      <c r="BH38" s="31">
        <f t="shared" si="26"/>
        <v>4.6502817172181556E-16</v>
      </c>
      <c r="BI38" s="31"/>
      <c r="BJ38" s="31"/>
      <c r="BK38" s="31"/>
      <c r="BL38" s="31"/>
      <c r="BM38" s="31"/>
      <c r="BN38" s="114">
        <f>BN37*EXP(-BD37*E37*60)</f>
        <v>1.3097528428947316E-2</v>
      </c>
      <c r="BO38" s="116">
        <f>2*((((BO37/2)*EXP(-BD37*E37*60))^2+(BN37*EXP(-BD37*E37*60)*E37*60*BC37*BD37/BB37)^2)^0.5)</f>
        <v>1.8524800249933666E-3</v>
      </c>
      <c r="BP38" s="23">
        <f>R38+BN39-BN38</f>
        <v>0.15625071646896596</v>
      </c>
      <c r="BQ38" s="23">
        <f>2*(((BO38/2)^2+(BO39/2)^2+(S38/2)^2)^(0.5))</f>
        <v>6.4784413975517447E-3</v>
      </c>
      <c r="BR38" s="72">
        <f>100*(BP38-R38)/R38</f>
        <v>10.414529807101063</v>
      </c>
      <c r="BS38" s="72"/>
      <c r="BT38" s="31"/>
      <c r="BU38" s="31"/>
      <c r="BV38" s="114">
        <f>BV37*EXP(-BB37*BH37*E37*60*0.91357457380209)*EXP(-(M37-1560)*$CW$126*$BH$48*0.91357457380209)</f>
        <v>7.3173022398744254E-3</v>
      </c>
      <c r="BW38" s="116">
        <f>2*SQRT(
((BW37/2) * EXP(-BB37 * BH37 * E37 * 60 * 0.91357457380209) * EXP(-(M37 - 1560) * $CW$126 * $BH$48 * 0.91357457380209))^2 +
(BC37 * (-BV37 * BH37 * E37 * 60 * 0.91357457380209 * EXP(-BB37 * BH37 * E37 * 60 * 0.91357457380209) * EXP(-(M37 - 1560) * $CW$126 * $BH$48 * 0.91357457380209)))^2 +
((0.146030972937065 / 2) * BV37 * (-BB37 * BH37 * E37 * 60 - (M37 - 1560) * $CW$126 * $BH$48) * EXP(-BB37 * BH37 * E37 * 60 * 0.91357457380209) * EXP(-(M37 - 1560) * $CW$126 * $BH$48 * 0.91357457380209))^2 +
-(M37-1560)*$BH$48*0.91357457380209*BV37*EXP(-BB37*BH37*E37*60*0.91357457380209)*EXP(-(M37-1560)*$CW$126*$BH$48*0.91357457380209))</f>
        <v>1.7252191054747954E-3</v>
      </c>
      <c r="BX38" s="23">
        <f>Y38+BV39-BV38</f>
        <v>7.4672983949395463E-2</v>
      </c>
      <c r="BY38" s="23">
        <f>2*(((BW38/2)^2+(BW39/2)^2+(Z38/2)^2)^(0.5))</f>
        <v>7.4798385123084508E-3</v>
      </c>
      <c r="BZ38" s="72">
        <f>100*(BX38-Y38)/Y38</f>
        <v>10.817994731237153</v>
      </c>
      <c r="CA38" s="140">
        <f>R38*CC38</f>
        <v>3.2510015207520296E-2</v>
      </c>
      <c r="CB38" s="31">
        <f>BH38*BG38*J38</f>
        <v>5.3528992708962475</v>
      </c>
      <c r="CC38" s="31">
        <f>1/(CB38-1)</f>
        <v>0.22973194134908234</v>
      </c>
      <c r="CD38" s="31">
        <f>CF38*T38</f>
        <v>1.8584746842407716E-2</v>
      </c>
      <c r="CE38" s="31">
        <f>BH38*BF38*J38</f>
        <v>4.8521325955083201</v>
      </c>
      <c r="CF38" s="31">
        <f>1/(CE38-1)</f>
        <v>0.25959646383045698</v>
      </c>
      <c r="CG38" s="31">
        <f>R38-CA33</f>
        <v>7.4518051949426151E-2</v>
      </c>
      <c r="CH38" s="31">
        <f>R38+CA38</f>
        <v>0.17402283670116131</v>
      </c>
      <c r="CI38" s="31">
        <f>T38-CD33</f>
        <v>3.6965703242042319E-2</v>
      </c>
      <c r="CJ38" s="31">
        <f>T38+CD38</f>
        <v>9.0175655933316806E-2</v>
      </c>
      <c r="CK38" s="31">
        <f>CE38*1.29</f>
        <v>6.2592510482057335</v>
      </c>
      <c r="CL38" s="31">
        <f>R38 / (CK38-1)</f>
        <v>2.6907409476472903E-2</v>
      </c>
      <c r="CM38" s="31">
        <f>1000*T38/R38</f>
        <v>505.89698046636778</v>
      </c>
      <c r="CN38" s="31">
        <f>1000*(T38+CD38)/(R38+CL38)</f>
        <v>535.4205692148613</v>
      </c>
      <c r="CO38" s="31">
        <f>1000*(T38-CD33)/(R38-CL33)</f>
        <v>435.51791885726527</v>
      </c>
      <c r="CP38" s="31">
        <f>1000*(T38+CD38-CD33)/(R38+CL38-CL33)</f>
        <v>496.94019413248913</v>
      </c>
      <c r="CQ38" s="31">
        <f>MAX(CM38:CP38)</f>
        <v>535.4205692148613</v>
      </c>
      <c r="CR38" s="31">
        <f>MIN(CM38:CP38)</f>
        <v>435.51791885726527</v>
      </c>
      <c r="CS38" s="31"/>
    </row>
    <row r="39" spans="1:100" x14ac:dyDescent="0.3">
      <c r="A39" t="s">
        <v>69</v>
      </c>
      <c r="B39" t="s">
        <v>70</v>
      </c>
      <c r="C39" s="1">
        <v>45330.254166666666</v>
      </c>
      <c r="D39">
        <v>110</v>
      </c>
      <c r="E39">
        <f t="shared" si="0"/>
        <v>120</v>
      </c>
      <c r="G39" s="2">
        <v>1</v>
      </c>
      <c r="H39" s="2">
        <v>0</v>
      </c>
      <c r="I39" s="2">
        <v>0.152</v>
      </c>
      <c r="J39">
        <v>7200</v>
      </c>
      <c r="K39">
        <v>7324.4369999999999</v>
      </c>
      <c r="L39">
        <f t="shared" si="2"/>
        <v>8759.9999996367842</v>
      </c>
      <c r="M39">
        <f t="shared" si="3"/>
        <v>1559.9999996367842</v>
      </c>
      <c r="N39" s="65"/>
      <c r="O39">
        <v>6.2235374577745096E-3</v>
      </c>
      <c r="P39">
        <v>2.6033057851239601E-2</v>
      </c>
      <c r="R39">
        <v>6.2235374577745096E-3</v>
      </c>
      <c r="S39">
        <v>5.1765378238661803E-4</v>
      </c>
      <c r="T39">
        <v>3.95702479338842E-3</v>
      </c>
      <c r="U39">
        <v>3.6787273936767699E-4</v>
      </c>
      <c r="AQ39" s="2">
        <f>SUM(BP$5:$BP39)</f>
        <v>5.8918316092171601</v>
      </c>
      <c r="AR39" s="2" cm="1">
        <f t="array" ref="AR39">2*SQRT(SUM((BQ$5:$BQ39/2)^2))</f>
        <v>4.400295659132189E-2</v>
      </c>
      <c r="AS39" s="2">
        <f>SUM($BX$5:BX39)</f>
        <v>1.3455133728933224</v>
      </c>
      <c r="AT39" s="2" cm="1">
        <f t="array" ref="AT39">2*SQRT(SUM(($BY$5:BY39/2)^2))</f>
        <v>2.1116824788426188E-2</v>
      </c>
      <c r="AU39" s="2">
        <f t="shared" si="8"/>
        <v>5.8591370343430871</v>
      </c>
      <c r="AV39" s="2"/>
      <c r="AW39" s="2">
        <f t="shared" si="9"/>
        <v>1.4399057120728862</v>
      </c>
      <c r="AX39" s="2"/>
      <c r="AZ39" s="2">
        <f>'Naive Apparent Lambdas'!$U$2*(10000/(D39+273))+'Naive Apparent Lambdas'!$V$2</f>
        <v>25.818826597052521</v>
      </c>
      <c r="BA39">
        <f>'Naive Apparent Lambdas'!$V$4</f>
        <v>6.7480704157997479E-2</v>
      </c>
      <c r="BB39" s="2">
        <f t="shared" si="1"/>
        <v>163295388494.29288</v>
      </c>
      <c r="BC39" s="2">
        <f t="shared" si="5"/>
        <v>11019287801.348642</v>
      </c>
      <c r="BD39" s="2">
        <f>BB39*(D39+273)*$D$145*$F$144</f>
        <v>5.9598061748946858E-5</v>
      </c>
      <c r="BE39" s="2"/>
      <c r="BF39" s="31">
        <f t="shared" si="6"/>
        <v>96700059240.232132</v>
      </c>
      <c r="BG39" s="31">
        <f t="shared" si="7"/>
        <v>104974596762.32733</v>
      </c>
      <c r="BH39" s="2">
        <f t="shared" si="26"/>
        <v>3.6497088067511346E-16</v>
      </c>
      <c r="BI39" s="2"/>
      <c r="BJ39" s="2">
        <f>R39/(1-EXP(-E39*60*BD39))</f>
        <v>1.783713040515527E-2</v>
      </c>
      <c r="BK39" s="2">
        <f>2*SQRT(
((S39/2) * (1 / (1 - EXP(-E39 * 60 * BB39 * BH39))))^2 +
(BC39 * (-R39 * 60 * E39 * BH39 * EXP(-E39 * 60 * BB39 * BH39) / (1 - EXP(-E39 * 60 * BB39 * BH39))^2))^2
)</f>
        <v>2.4324911114983533E-3</v>
      </c>
      <c r="BL39" s="2">
        <f>R39/(1-EXP(-E39*60*BB39*BH39)*EXP(-(M39-1560)*$CW$126*$BH$122))</f>
        <v>1.783713040524362E-2</v>
      </c>
      <c r="BM39" s="2">
        <f>2*SQRT(
((S39/2) * (1 / (1 - EXP(-E39 * 60 * BB39 * BH39) * EXP(-(M39 - 1560) * $CW$126 * $BH$48))))^2 +
(BC39 * (-R39 * 60 * E39 * BH39 * EXP(-E39 * 60 * BB39 * BH39) / ((1 - EXP(-E39 * 60 * BB39 * BH39) * EXP(-(M39 - 1560) * $CW$126 * $BH$48))^2)))^2 +
($CX$126 * (-R39 * (M39 - 1560) * $BH$48 * EXP(-(M39 - 1560) * $CW$126 * $BH$48) / ((1 - EXP(-E39 * 60 * BB39 * BH39) * EXP(-(M39 - 1560) * $CW$126 * $BH$48))^2)))^2
)</f>
        <v>2.4324911115179673E-3</v>
      </c>
      <c r="BN39" s="113">
        <f>BN40+R39</f>
        <v>2.7835423404272291E-2</v>
      </c>
      <c r="BO39" s="115">
        <f>BO40+S39</f>
        <v>3.5378590512173389E-3</v>
      </c>
      <c r="BP39" s="22"/>
      <c r="BQ39" s="22"/>
      <c r="BT39" s="123">
        <f>BN39*(Y38/R38)*1.10204926384627</f>
        <v>1.460683990827813E-2</v>
      </c>
      <c r="BU39" s="123">
        <f>2*(((BO39/2)*1.10204926384627*(AB38/(1000)))^2+((AC38/2000)*1.10204926384627*BN39)^2+((0.187040260207234/2)*BN39*(AB38/(1000)))^2)^0.5</f>
        <v>3.4357229782361232E-3</v>
      </c>
      <c r="BV39" s="124">
        <f>BT39</f>
        <v>1.460683990827813E-2</v>
      </c>
      <c r="BW39" s="125">
        <f>BU39</f>
        <v>3.4357229782361232E-3</v>
      </c>
      <c r="BX39" s="22"/>
      <c r="BY39" s="22"/>
      <c r="CA39" s="141">
        <f t="shared" ref="CA39:CA42" si="27">CA38*(EXP(-BH39*BG39*E39))*(EXP(-$BG$140*$F$144*D178*(24+273)*M39))</f>
        <v>3.2360892804708351E-2</v>
      </c>
      <c r="CB39" s="34"/>
      <c r="CC39" s="34"/>
      <c r="CD39" s="34">
        <f t="shared" ref="CD39:CD42" si="28">CD38*(EXP(-BH39*BF39*E39))*(EXP(-$BF$140*$F$144*D178*(24+273)*M39))</f>
        <v>1.8506204557707191E-2</v>
      </c>
      <c r="CE39" s="2"/>
      <c r="CF39" s="2"/>
      <c r="CS39" s="2"/>
    </row>
    <row r="40" spans="1:100" x14ac:dyDescent="0.3">
      <c r="A40" t="s">
        <v>71</v>
      </c>
      <c r="B40" t="s">
        <v>72</v>
      </c>
      <c r="C40" s="1">
        <v>45330.374305555553</v>
      </c>
      <c r="D40">
        <v>110</v>
      </c>
      <c r="E40">
        <f t="shared" si="0"/>
        <v>120</v>
      </c>
      <c r="G40" s="2">
        <v>0.752</v>
      </c>
      <c r="H40" s="2">
        <v>0</v>
      </c>
      <c r="I40" s="2">
        <v>0.46600000000000003</v>
      </c>
      <c r="J40">
        <v>7200</v>
      </c>
      <c r="K40">
        <v>7328.951</v>
      </c>
      <c r="L40">
        <f t="shared" si="2"/>
        <v>10379.999999888241</v>
      </c>
      <c r="M40">
        <f t="shared" si="3"/>
        <v>3179.9999998882413</v>
      </c>
      <c r="N40" s="65"/>
      <c r="O40">
        <v>6.2196625450180697E-3</v>
      </c>
      <c r="P40">
        <v>2.6033057851239601E-2</v>
      </c>
      <c r="R40">
        <v>4.67718623385359E-3</v>
      </c>
      <c r="S40">
        <v>4.8454755082717298E-4</v>
      </c>
      <c r="T40">
        <v>1.2131404958677599E-2</v>
      </c>
      <c r="U40">
        <v>1.4505933040221499E-3</v>
      </c>
      <c r="AQ40" s="2">
        <f>SUM(BP$5:$BP40)</f>
        <v>5.8918316092171601</v>
      </c>
      <c r="AR40" s="2" cm="1">
        <f t="array" ref="AR40">2*SQRT(SUM((BQ$5:$BQ40/2)^2))</f>
        <v>4.400295659132189E-2</v>
      </c>
      <c r="AS40" s="2">
        <f>SUM($BX$5:BX40)</f>
        <v>1.3455133728933224</v>
      </c>
      <c r="AT40" s="2" cm="1">
        <f t="array" ref="AT40">2*SQRT(SUM(($BY$5:BY40/2)^2))</f>
        <v>2.1116824788426188E-2</v>
      </c>
      <c r="AU40" s="2">
        <f t="shared" si="8"/>
        <v>5.8638142205769404</v>
      </c>
      <c r="AV40" s="2"/>
      <c r="AW40" s="2">
        <f t="shared" si="9"/>
        <v>1.4520371170315638</v>
      </c>
      <c r="AX40" s="2"/>
      <c r="AZ40" s="2">
        <f>'Naive Apparent Lambdas'!$U$2*(10000/(D40+273))+'Naive Apparent Lambdas'!$V$2</f>
        <v>25.818826597052521</v>
      </c>
      <c r="BA40">
        <f>'Naive Apparent Lambdas'!$V$4</f>
        <v>6.7480704157997479E-2</v>
      </c>
      <c r="BB40" s="2">
        <f t="shared" si="1"/>
        <v>163295388494.29288</v>
      </c>
      <c r="BC40" s="2">
        <f t="shared" si="5"/>
        <v>11019287801.348642</v>
      </c>
      <c r="BD40" s="2">
        <f>BB40*(D40+273)*$D$145*$F$144</f>
        <v>5.9598061748946858E-5</v>
      </c>
      <c r="BE40" s="2"/>
      <c r="BF40" s="31">
        <f t="shared" si="6"/>
        <v>96700059240.232132</v>
      </c>
      <c r="BG40" s="31">
        <f t="shared" si="7"/>
        <v>104974596762.32733</v>
      </c>
      <c r="BH40" s="2">
        <f t="shared" si="26"/>
        <v>3.6497088067511346E-16</v>
      </c>
      <c r="BI40" s="2"/>
      <c r="BJ40" s="2">
        <f>R40/(1-EXP(-E40*60*BD40))</f>
        <v>1.3405170507686895E-2</v>
      </c>
      <c r="BK40" s="2">
        <f>2*SQRT(
((S40/2) * (1 / (1 - EXP(-E40 * 60 * BB40 * BH40))))^2 +
(BC40 * (-R40 * 60 * E40 * BH40 * EXP(-E40 * 60 * BB40 * BH40) / (1 - EXP(-E40 * 60 * BB40 * BH40))^2))^2
)</f>
        <v>2.0068216900989248E-3</v>
      </c>
      <c r="BL40" s="2">
        <f>R40/(1-EXP(-E40*60*BB40*BH40)*EXP(-(M40-1560)*$CW$126*$BH$122))</f>
        <v>1.3117090770399947E-2</v>
      </c>
      <c r="BM40" s="2">
        <f>2*SQRT(
((S40/2) * (1 / (1 - EXP(-E40 * 60 * BB40 * BH40) * EXP(-(M40 - 1560) * $CW$126 * $BH$48))))^2 +
(BC40 * (-R40 * 60 * E40 * BH40 * EXP(-E40 * 60 * BB40 * BH40) / ((1 - EXP(-E40 * 60 * BB40 * BH40) * EXP(-(M40 - 1560) * $CW$126 * $BH$48))^2)))^2 +
($CX$126 * (-R40 * (M40 - 1560) * $BH$48 * EXP(-(M40 - 1560) * $CW$126 * $BH$48) / ((1 - EXP(-E40 * 60 * BB40 * BH40) * EXP(-(M40 - 1560) * $CW$126 * $BH$48))^2)))^2
)</f>
        <v>1.9460313196763368E-3</v>
      </c>
      <c r="BN40" s="108">
        <f>BN41+R40</f>
        <v>2.161188594649778E-2</v>
      </c>
      <c r="BO40" s="102">
        <f>BO41+S40</f>
        <v>3.0202052688307209E-3</v>
      </c>
      <c r="BP40" s="22"/>
      <c r="BQ40" s="22"/>
      <c r="BT40" s="2"/>
      <c r="BU40" s="2"/>
      <c r="BV40" s="54">
        <f>BV39*EXP(-BB39*BH39*E39*60*0.91357457380209)*EXP(-(M39-1560)*$CW$126*$BH$48*0.91357457380209)</f>
        <v>9.8697007523502987E-3</v>
      </c>
      <c r="BW40" s="99">
        <f>2*SQRT(
((BW39/2) * EXP(-BB39 * BH39 * E39 * 60 * 0.91357457380209) * EXP(-(M39 - 1560) * $CW$126 * $BH$48 * 0.91357457380209))^2 +
(BC39 * (-BV39 * BH39 * E39 * 60 * 0.91357457380209 * EXP(-BB39 * BH39 * E39 * 60 * 0.91357457380209) * EXP(-(M39 - 1560) * $CW$126 * $BH$48 * 0.91357457380209)))^2 +
((0.146030972937065 / 2) * BV39 * (-BB39 * BH39 * E39 * 60 - (M39 - 1560) * $CW$126 * $BH$48) * EXP(-BB39 * BH39 * E39 * 60 * 0.91357457380209) * EXP(-(M39 - 1560) * $CW$126 * $BH$48 * 0.91357457380209))^2 +
-(M39-1560)*$BH$48*0.91357457380209*BV39*EXP(-BB39*BH39*E39*60*0.91357457380209)*EXP(-(M39-1560)*$CW$126*$BH$48*0.91357457380209))</f>
        <v>2.458548891689468E-3</v>
      </c>
      <c r="BX40" s="22"/>
      <c r="BY40" s="22"/>
      <c r="CA40" s="141">
        <f t="shared" si="27"/>
        <v>3.2212454421601665E-2</v>
      </c>
      <c r="CB40" s="34"/>
      <c r="CC40" s="34"/>
      <c r="CD40" s="34">
        <f t="shared" si="28"/>
        <v>1.8427994205991189E-2</v>
      </c>
      <c r="CE40" s="2"/>
      <c r="CF40" s="2"/>
      <c r="CS40" s="2"/>
    </row>
    <row r="41" spans="1:100" s="32" customFormat="1" x14ac:dyDescent="0.3">
      <c r="A41" s="32" t="s">
        <v>73</v>
      </c>
      <c r="B41" s="32" t="s">
        <v>74</v>
      </c>
      <c r="C41" s="33">
        <v>45330.475694444445</v>
      </c>
      <c r="D41" s="32">
        <v>110</v>
      </c>
      <c r="E41" s="32">
        <f t="shared" si="0"/>
        <v>120</v>
      </c>
      <c r="F41" s="32" t="s">
        <v>286</v>
      </c>
      <c r="G41" s="34">
        <v>0.94899999999999995</v>
      </c>
      <c r="H41" s="34">
        <v>0</v>
      </c>
      <c r="I41" s="34">
        <v>-5.8199999999999997E-3</v>
      </c>
      <c r="J41" s="32">
        <v>7200</v>
      </c>
      <c r="K41" s="32">
        <v>7329.33</v>
      </c>
      <c r="L41" s="32">
        <f t="shared" si="2"/>
        <v>8760.0000002654269</v>
      </c>
      <c r="M41" s="32">
        <f t="shared" si="3"/>
        <v>1560.0000002654269</v>
      </c>
      <c r="N41" s="65"/>
      <c r="O41" s="32">
        <v>6.2262077552783703E-3</v>
      </c>
      <c r="P41" s="32">
        <v>2.6033057851239601E-2</v>
      </c>
      <c r="R41" s="32">
        <v>5.9086711597591702E-3</v>
      </c>
      <c r="S41" s="32">
        <v>6.1235273507157699E-4</v>
      </c>
      <c r="T41" s="32">
        <v>-1.5151239669421401E-4</v>
      </c>
      <c r="U41" s="34">
        <v>-1.8076683693016001E-5</v>
      </c>
      <c r="V41" s="34"/>
      <c r="Y41" s="34"/>
      <c r="Z41" s="34"/>
      <c r="AA41" s="34"/>
      <c r="AB41" s="34"/>
      <c r="AF41" s="69"/>
      <c r="AQ41" s="34">
        <f>SUM(BP$5:$BP41)</f>
        <v>5.8918316092171601</v>
      </c>
      <c r="AR41" s="34" cm="1">
        <f t="array" ref="AR41">2*SQRT(SUM((BQ$5:$BQ41/2)^2))</f>
        <v>4.400295659132189E-2</v>
      </c>
      <c r="AS41" s="34">
        <f>SUM($BX$5:BX41)</f>
        <v>1.3455133728933224</v>
      </c>
      <c r="AT41" s="34" cm="1">
        <f t="array" ref="AT41">2*SQRT(SUM(($BY$5:BY41/2)^2))</f>
        <v>2.1116824788426188E-2</v>
      </c>
      <c r="AU41" s="34">
        <f t="shared" si="8"/>
        <v>5.8697228917366999</v>
      </c>
      <c r="AV41" s="34"/>
      <c r="AW41" s="34">
        <f t="shared" si="9"/>
        <v>1.4518856046348696</v>
      </c>
      <c r="AX41" s="34"/>
      <c r="AY41" s="69"/>
      <c r="AZ41" s="34">
        <f>'Naive Apparent Lambdas'!$U$2*(10000/(D41+273))+'Naive Apparent Lambdas'!$V$2</f>
        <v>25.818826597052521</v>
      </c>
      <c r="BA41" s="32">
        <f>'Naive Apparent Lambdas'!$V$4</f>
        <v>6.7480704157997479E-2</v>
      </c>
      <c r="BB41" s="34">
        <f t="shared" si="1"/>
        <v>163295388494.29288</v>
      </c>
      <c r="BC41" s="34">
        <f t="shared" si="5"/>
        <v>11019287801.348642</v>
      </c>
      <c r="BD41" s="34">
        <f>BB41*(D41+273)*$D$145*$F$144</f>
        <v>5.9598061748946858E-5</v>
      </c>
      <c r="BE41" s="34"/>
      <c r="BF41" s="31">
        <f t="shared" si="6"/>
        <v>96700059240.232132</v>
      </c>
      <c r="BG41" s="31">
        <f t="shared" si="7"/>
        <v>104974596762.32733</v>
      </c>
      <c r="BH41" s="34">
        <f t="shared" si="26"/>
        <v>3.6497088067511346E-16</v>
      </c>
      <c r="BI41" s="34"/>
      <c r="BJ41" s="34">
        <f>R41/(1-EXP(-E41*60*BD41))</f>
        <v>1.6934699712644191E-2</v>
      </c>
      <c r="BK41" s="34">
        <f>2*SQRT(
((S41/2) * (1 / (1 - EXP(-E41 * 60 * BB41 * BH41))))^2 +
(BC41 * (-R41 * 60 * E41 * BH41 * EXP(-E41 * 60 * BB41 * BH41) / (1 - EXP(-E41 * 60 * BB41 * BH41))^2))^2
)</f>
        <v>2.5356577180035479E-3</v>
      </c>
      <c r="BL41" s="34">
        <f>R41/(1-EXP(-E41*60*BB41*BH41)*EXP(-(M41-1560)*$CW$126*$BH$122))</f>
        <v>1.693469971258289E-2</v>
      </c>
      <c r="BM41" s="34">
        <f>2*SQRT(
((S41/2) * (1 / (1 - EXP(-E41 * 60 * BB41 * BH41) * EXP(-(M41 - 1560) * $CW$126 * $BH$48))))^2 +
(BC41 * (-R41 * 60 * E41 * BH41 * EXP(-E41 * 60 * BB41 * BH41) / ((1 - EXP(-E41 * 60 * BB41 * BH41) * EXP(-(M41 - 1560) * $CW$126 * $BH$48))^2)))^2 +
($CX$126 * (-R41 * (M41 - 1560) * $BH$48 * EXP(-(M41 - 1560) * $CW$126 * $BH$48) / ((1 - EXP(-E41 * 60 * BB41 * BH41) * EXP(-(M41 - 1560) * $CW$126 * $BH$48))^2)))^2
)</f>
        <v>2.5356577179895881E-3</v>
      </c>
      <c r="BN41" s="55" cm="1">
        <f t="array" ref="BN41:BO41">BJ41:BK41</f>
        <v>1.6934699712644191E-2</v>
      </c>
      <c r="BO41" s="100">
        <v>2.5356577180035479E-3</v>
      </c>
      <c r="BP41" s="24"/>
      <c r="BQ41" s="24"/>
      <c r="BR41" s="73"/>
      <c r="BS41" s="73"/>
      <c r="BT41" s="34"/>
      <c r="BU41" s="34"/>
      <c r="BV41" s="54">
        <f>BV40*EXP(-BB40*BH40*E40*60*0.91357457380209)*EXP(-(M40-1560)*$CW$126*$BH$48*0.91357457380209)</f>
        <v>6.5971212147799968E-3</v>
      </c>
      <c r="BW41" s="99">
        <f>2*SQRT(
((BW40/2) * EXP(-BB40 * BH40 * E40 * 60 * 0.91357457380209) * EXP(-(M40 - 1560) * $CW$126 * $BH$48 * 0.91357457380209))^2 +
(BC40 * (-BV40 * BH40 * E40 * 60 * 0.91357457380209 * EXP(-BB40 * BH40 * E40 * 60 * 0.91357457380209) * EXP(-(M40 - 1560) * $CW$126 * $BH$48 * 0.91357457380209)))^2 +
((0.146030972937065 / 2) * BV40 * (-BB40 * BH40 * E40 * 60 - (M40 - 1560) * $CW$126 * $BH$48) * EXP(-BB40 * BH40 * E40 * 60 * 0.91357457380209) * EXP(-(M40 - 1560) * $CW$126 * $BH$48 * 0.91357457380209))^2 +
-(M40-1560)*$BH$48*0.91357457380209*BV40*EXP(-BB40*BH40*E40*60*0.91357457380209)*EXP(-(M40-1560)*$CW$126*$BH$48*0.91357457380209))</f>
        <v>1.7328796946876797E-3</v>
      </c>
      <c r="BX41" s="24"/>
      <c r="BY41" s="24"/>
      <c r="BZ41" s="73"/>
      <c r="CA41" s="141">
        <f t="shared" si="27"/>
        <v>3.2064696920623678E-2</v>
      </c>
      <c r="CB41" s="34"/>
      <c r="CC41" s="34"/>
      <c r="CD41" s="34">
        <f t="shared" si="28"/>
        <v>1.8350114384454753E-2</v>
      </c>
      <c r="CE41" s="34"/>
      <c r="CF41" s="34"/>
      <c r="CG41" s="34"/>
      <c r="CH41" s="34"/>
      <c r="CI41" s="34"/>
      <c r="CJ41" s="34"/>
      <c r="CK41" s="34"/>
      <c r="CL41" s="34"/>
      <c r="CM41" s="34"/>
      <c r="CN41" s="34"/>
      <c r="CO41" s="34"/>
      <c r="CP41" s="34"/>
      <c r="CQ41" s="34"/>
      <c r="CR41" s="34"/>
      <c r="CS41" s="34"/>
    </row>
    <row r="42" spans="1:100" x14ac:dyDescent="0.3">
      <c r="A42" t="s">
        <v>75</v>
      </c>
      <c r="B42" t="s">
        <v>76</v>
      </c>
      <c r="C42" s="1">
        <v>45330.57708333333</v>
      </c>
      <c r="D42">
        <v>110</v>
      </c>
      <c r="E42">
        <f t="shared" si="0"/>
        <v>120</v>
      </c>
      <c r="G42" s="2">
        <v>0.503</v>
      </c>
      <c r="H42" s="2">
        <v>0</v>
      </c>
      <c r="I42" s="2">
        <v>3.4299999999999997E-2</v>
      </c>
      <c r="J42">
        <v>7200</v>
      </c>
      <c r="K42">
        <v>7329.8010000000004</v>
      </c>
      <c r="L42">
        <f t="shared" si="2"/>
        <v>8759.9999996367842</v>
      </c>
      <c r="M42">
        <f t="shared" si="3"/>
        <v>1559.9999996367842</v>
      </c>
      <c r="N42" s="65"/>
      <c r="O42">
        <v>6.2417600896480102E-3</v>
      </c>
      <c r="P42">
        <v>2.6033057851239601E-2</v>
      </c>
      <c r="R42">
        <v>3.1396053250929501E-3</v>
      </c>
      <c r="S42">
        <v>3.2488261216261798E-4</v>
      </c>
      <c r="T42">
        <v>8.9293388429752003E-4</v>
      </c>
      <c r="U42">
        <v>1.0623926996572399E-4</v>
      </c>
      <c r="AQ42" s="2">
        <f>SUM(BP$5:$BP42)</f>
        <v>5.8918316092171601</v>
      </c>
      <c r="AR42" s="2" cm="1">
        <f t="array" ref="AR42">2*SQRT(SUM((BQ$5:$BQ42/2)^2))</f>
        <v>4.400295659132189E-2</v>
      </c>
      <c r="AS42" s="2">
        <f>SUM($BX$5:BX42)</f>
        <v>1.3455133728933224</v>
      </c>
      <c r="AT42" s="2" cm="1">
        <f t="array" ref="AT42">2*SQRT(SUM(($BY$5:BY42/2)^2))</f>
        <v>2.1116824788426188E-2</v>
      </c>
      <c r="AU42" s="2">
        <f t="shared" si="8"/>
        <v>5.8728624970617931</v>
      </c>
      <c r="AV42" s="2"/>
      <c r="AW42" s="2">
        <f t="shared" si="9"/>
        <v>1.4527785385191672</v>
      </c>
      <c r="AX42" s="2"/>
      <c r="AZ42" s="2">
        <f>'Naive Apparent Lambdas'!$U$2*(10000/(D42+273))+'Naive Apparent Lambdas'!$V$2</f>
        <v>25.818826597052521</v>
      </c>
      <c r="BA42">
        <f>'Naive Apparent Lambdas'!$V$4</f>
        <v>6.7480704157997479E-2</v>
      </c>
      <c r="BB42" s="2">
        <f t="shared" si="1"/>
        <v>163295388494.29288</v>
      </c>
      <c r="BC42" s="2">
        <f t="shared" si="5"/>
        <v>11019287801.348642</v>
      </c>
      <c r="BD42" s="2">
        <f>BB42*(D42+273)*$D$145*$F$144</f>
        <v>5.9598061748946858E-5</v>
      </c>
      <c r="BE42" s="2"/>
      <c r="BF42" s="31">
        <f t="shared" si="6"/>
        <v>96700059240.232132</v>
      </c>
      <c r="BG42" s="31">
        <f t="shared" si="7"/>
        <v>104974596762.32733</v>
      </c>
      <c r="BH42" s="2">
        <f t="shared" si="26"/>
        <v>3.6497088067511346E-16</v>
      </c>
      <c r="BI42" s="2"/>
      <c r="BJ42" s="2">
        <f>R42/(1-EXP(-E42*60*BD42))</f>
        <v>8.9983469986904506E-3</v>
      </c>
      <c r="BK42" s="2">
        <f>2*SQRT(
((S42/2) * (1 / (1 - EXP(-E42 * 60 * BB42 * BH42))))^2 +
(BC42 * (-R42 * 60 * E42 * BH42 * EXP(-E42 * 60 * BB42 * BH42) / (1 - EXP(-E42 * 60 * BB42 * BH42))^2))^2
)</f>
        <v>1.3463554257876304E-3</v>
      </c>
      <c r="BL42" s="2">
        <f>R42/(1-EXP(-E42*60*BB42*BH42)*EXP(-(M42-1560)*$CW$126*$BH$122))</f>
        <v>8.9983469987350208E-3</v>
      </c>
      <c r="BM42" s="2">
        <f>2*SQRT(
((S42/2) * (1 / (1 - EXP(-E42 * 60 * BB42 * BH42) * EXP(-(M42 - 1560) * $CW$126 * $BH$48))))^2 +
(BC42 * (-R42 * 60 * E42 * BH42 * EXP(-E42 * 60 * BB42 * BH42) / ((1 - EXP(-E42 * 60 * BB42 * BH42) * EXP(-(M42 - 1560) * $CW$126 * $BH$48))^2)))^2 +
($CX$126 * (-R42 * (M42 - 1560) * $BH$48 * EXP(-(M42 - 1560) * $CW$126 * $BH$48) / ((1 - EXP(-E42 * 60 * BB42 * BH42) * EXP(-(M42 - 1560) * $CW$126 * $BH$48))^2)))^2
)</f>
        <v>1.3463554257977779E-3</v>
      </c>
      <c r="BN42" s="54">
        <f>BN41*EXP(-BD41*E41*60)</f>
        <v>1.1026028552885021E-2</v>
      </c>
      <c r="BO42" s="99">
        <f>2*((((BO41/2)*EXP(-BD41*E41*60))^2+(BN41*EXP(-BD41*E41*60)*E41*60*BC41*BD41/BB41)^2)^0.5)</f>
        <v>1.7701293724238371E-3</v>
      </c>
      <c r="BP42" s="22"/>
      <c r="BQ42" s="22"/>
      <c r="BT42" s="2"/>
      <c r="BU42" s="2"/>
      <c r="BV42" s="54">
        <f>BV41*EXP(-BB41*BH41*E41*60*0.91357457380209)*EXP(-(M41-1560)*$CW$126*$BH$48*0.91357457380209)</f>
        <v>4.457611134608676E-3</v>
      </c>
      <c r="BW42" s="99">
        <f>2*SQRT(
((BW41/2) * EXP(-BB41 * BH41 * E41 * 60 * 0.91357457380209) * EXP(-(M41 - 1560) * $CW$126 * $BH$48 * 0.91357457380209))^2 +
(BC41 * (-BV41 * BH41 * E41 * 60 * 0.91357457380209 * EXP(-BB41 * BH41 * E41 * 60 * 0.91357457380209) * EXP(-(M41 - 1560) * $CW$126 * $BH$48 * 0.91357457380209)))^2 +
((0.146030972937065 / 2) * BV41 * (-BB41 * BH41 * E41 * 60 - (M41 - 1560) * $CW$126 * $BH$48) * EXP(-BB41 * BH41 * E41 * 60 * 0.91357457380209) * EXP(-(M41 - 1560) * $CW$126 * $BH$48 * 0.91357457380209))^2 +
-(M41-1560)*$BH$48*0.91357457380209*BV41*EXP(-BB41*BH41*E41*60*0.91357457380209)*EXP(-(M41-1560)*$CW$126*$BH$48*0.91357457380209))</f>
        <v>1.226632798170234E-3</v>
      </c>
      <c r="BX42" s="22"/>
      <c r="BY42" s="22"/>
      <c r="CA42" s="141">
        <f t="shared" si="27"/>
        <v>3.1917617178589777E-2</v>
      </c>
      <c r="CB42" s="34"/>
      <c r="CC42" s="34"/>
      <c r="CD42" s="34">
        <f t="shared" si="28"/>
        <v>1.8272563696221419E-2</v>
      </c>
      <c r="CE42" s="2"/>
      <c r="CF42" s="2"/>
      <c r="CS42" s="2"/>
    </row>
    <row r="43" spans="1:100" s="29" customFormat="1" x14ac:dyDescent="0.3">
      <c r="A43" s="29" t="s">
        <v>77</v>
      </c>
      <c r="B43" s="29" t="s">
        <v>78</v>
      </c>
      <c r="C43" s="30">
        <v>45331.148611111108</v>
      </c>
      <c r="D43" s="29">
        <v>205</v>
      </c>
      <c r="E43" s="29">
        <f t="shared" si="0"/>
        <v>520</v>
      </c>
      <c r="F43" s="29" t="s">
        <v>289</v>
      </c>
      <c r="G43" s="31">
        <v>11.9</v>
      </c>
      <c r="H43" s="31">
        <v>0</v>
      </c>
      <c r="I43" s="31">
        <v>1.43</v>
      </c>
      <c r="J43" s="29">
        <v>31200</v>
      </c>
      <c r="K43" s="29">
        <v>31324.581999999999</v>
      </c>
      <c r="L43" s="29">
        <f t="shared" si="2"/>
        <v>49380.00000002794</v>
      </c>
      <c r="M43" s="29">
        <f t="shared" si="3"/>
        <v>18180.00000002794</v>
      </c>
      <c r="N43" s="65"/>
      <c r="O43" s="29">
        <v>6.4091708667438898E-3</v>
      </c>
      <c r="P43" s="29">
        <v>2.6889443919736002E-2</v>
      </c>
      <c r="R43" s="29">
        <v>7.6269133314252294E-2</v>
      </c>
      <c r="S43" s="29">
        <v>7.8357777589790102E-3</v>
      </c>
      <c r="T43" s="29">
        <v>3.8451904805222398E-2</v>
      </c>
      <c r="U43" s="29">
        <v>4.4113712431420402E-3</v>
      </c>
      <c r="W43" s="31">
        <f>(1000*T43/R43)/$AG$140</f>
        <v>0.50531288121634599</v>
      </c>
      <c r="X43" s="31"/>
      <c r="Y43" s="31">
        <f>T43-AVERAGE(T44:T46)</f>
        <v>3.115118844322376E-2</v>
      </c>
      <c r="Z43" s="31">
        <f>U43+AVERAGE(T44:T46)</f>
        <v>1.1712087605140677E-2</v>
      </c>
      <c r="AA43" s="31"/>
      <c r="AB43" s="31">
        <f>(Y43*1000)/R43</f>
        <v>408.43768756190372</v>
      </c>
      <c r="AC43" s="31">
        <f>2*((1000*Z43/(2*R43))^2+((S43/2)*1000*Y43/(R43^2))^2)^0.5</f>
        <v>159.19268234134992</v>
      </c>
      <c r="AD43" s="31">
        <f>AB43/$AG$140</f>
        <v>0.40937105366548293</v>
      </c>
      <c r="AE43" s="31">
        <f>2*(($AH$140*AB43/(2*$AG$140^2))^2+(AC43/($AG$140*2))^2)^0.5</f>
        <v>0.15961643949625162</v>
      </c>
      <c r="AF43" s="69"/>
      <c r="AG43" s="31" cm="1">
        <f t="array" ref="AG43:AH43">BP43:BQ43</f>
        <v>8.1617858083723835E-2</v>
      </c>
      <c r="AH43" s="29">
        <v>8.0957866822480781E-3</v>
      </c>
      <c r="AI43" s="31" cm="1">
        <f t="array" ref="AI43:AJ43">BX43:BY43</f>
        <v>3.377815969550093E-2</v>
      </c>
      <c r="AJ43" s="29">
        <v>1.2008433830876741E-2</v>
      </c>
      <c r="AL43" s="31">
        <f>1000*AI43/AG43</f>
        <v>413.85746316512251</v>
      </c>
      <c r="AM43" s="31">
        <f>2*((AH43*1000*AI43/(2*AG43^2))^2+(1000*AJ43/(AG43*2))^2)^0.5</f>
        <v>152.7495424419416</v>
      </c>
      <c r="AN43" s="31">
        <f>AL43/$AG$140</f>
        <v>0.41480321459696867</v>
      </c>
      <c r="AO43" s="31">
        <f>2*(($AH$140*AL43/(2*$AG$140^2))^2+(AM43/($AG$140*2))^2)^0.5</f>
        <v>0.15316277344737708</v>
      </c>
      <c r="AP43" s="31"/>
      <c r="AQ43" s="31">
        <f>SUM(BP$5:$BP43)</f>
        <v>5.9734494673008838</v>
      </c>
      <c r="AR43" s="31" cm="1">
        <f t="array" ref="AR43">2*SQRT(SUM((BQ$5:$BQ43/2)^2))</f>
        <v>4.4741501436387048E-2</v>
      </c>
      <c r="AS43" s="31">
        <f>SUM($BX$5:BX43)</f>
        <v>1.3792915325888233</v>
      </c>
      <c r="AT43" s="31" cm="1">
        <f t="array" ref="AT43">2*SQRT(SUM(($BY$5:BY43/2)^2))</f>
        <v>2.4292442697588807E-2</v>
      </c>
      <c r="AU43" s="31">
        <f t="shared" si="8"/>
        <v>5.9491316303760451</v>
      </c>
      <c r="AV43" s="31"/>
      <c r="AW43" s="31">
        <f t="shared" si="9"/>
        <v>1.4912304433243895</v>
      </c>
      <c r="AX43" s="31"/>
      <c r="AY43" s="69"/>
      <c r="AZ43" s="31"/>
      <c r="BB43" s="31"/>
      <c r="BC43" s="31"/>
      <c r="BD43" s="31"/>
      <c r="BE43" s="31"/>
      <c r="BF43" s="31">
        <f t="shared" si="6"/>
        <v>347677610520.19244</v>
      </c>
      <c r="BG43" s="31">
        <f t="shared" si="7"/>
        <v>383088439025.48938</v>
      </c>
      <c r="BH43" s="31">
        <f t="shared" si="26"/>
        <v>4.5549890590784391E-16</v>
      </c>
      <c r="BI43" s="31"/>
      <c r="BJ43" s="31"/>
      <c r="BK43" s="31"/>
      <c r="BL43" s="31"/>
      <c r="BM43" s="31"/>
      <c r="BN43" s="114">
        <f>BN42*EXP(-BD42*E42*60)</f>
        <v>7.17894664280724E-3</v>
      </c>
      <c r="BO43" s="116">
        <f>2*((((BO42/2)*EXP(-BD42*E42*60))^2+(BN42*EXP(-BD42*E42*60)*E42*60*BC42*BD42/BB42)^2)^0.5)</f>
        <v>1.2252106964655493E-3</v>
      </c>
      <c r="BP43" s="23">
        <f>R43+BN44-BN43</f>
        <v>8.1617858083723835E-2</v>
      </c>
      <c r="BQ43" s="23">
        <f>2*(((BO43/2)^2+(BO44/2)^2+(S43/2)^2)^(0.5))</f>
        <v>8.0957866822480781E-3</v>
      </c>
      <c r="BR43" s="72">
        <f>100*(BP43-R43)/R43</f>
        <v>7.0129612558112457</v>
      </c>
      <c r="BS43" s="72"/>
      <c r="BT43" s="31"/>
      <c r="BU43" s="31"/>
      <c r="BV43" s="114">
        <f>BV42*EXP(-BB42*BH42*E42*60*0.91357457380209)*EXP(-(M42-1560)*$CW$126*$BH$48*0.91357457380209)</f>
        <v>3.0119648223158029E-3</v>
      </c>
      <c r="BW43" s="116">
        <f>2*SQRT(
((BW42/2) * EXP(-BB42 * BH42 * E42 * 60 * 0.91357457380209) * EXP(-(M42 - 1560) * $CW$126 * $BH$48 * 0.91357457380209))^2 +
(BC42 * (-BV42 * BH42 * E42 * 60 * 0.91357457380209 * EXP(-BB42 * BH42 * E42 * 60 * 0.91357457380209) * EXP(-(M42 - 1560) * $CW$126 * $BH$48 * 0.91357457380209)))^2 +
((0.146030972937065 / 2) * BV42 * (-BB42 * BH42 * E42 * 60 - (M42 - 1560) * $CW$126 * $BH$48) * EXP(-BB42 * BH42 * E42 * 60 * 0.91357457380209) * EXP(-(M42 - 1560) * $CW$126 * $BH$48 * 0.91357457380209))^2 +
-(M42-1560)*$BH$48*0.91357457380209*BV42*EXP(-BB42*BH42*E42*60*0.91357457380209)*EXP(-(M42-1560)*$CW$126*$BH$48*0.91357457380209))</f>
        <v>8.6484998037315971E-4</v>
      </c>
      <c r="BX43" s="23">
        <f>Y43+BV44-BV43</f>
        <v>3.377815969550093E-2</v>
      </c>
      <c r="BY43" s="23">
        <f>2*(((BW43/2)^2+(BW44/2)^2+(Z43/2)^2)^(0.5))</f>
        <v>1.2008433830876741E-2</v>
      </c>
      <c r="BZ43" s="72">
        <f>100*(BX43-Y43)/Y43</f>
        <v>8.4329728127872077</v>
      </c>
      <c r="CA43" s="140">
        <f>R43*CC43</f>
        <v>1.7161164539828491E-2</v>
      </c>
      <c r="CB43" s="31">
        <f>BH43*BG43*J43</f>
        <v>5.444286583072091</v>
      </c>
      <c r="CC43" s="31">
        <f>1/(CB43-1)</f>
        <v>0.22500799201584226</v>
      </c>
      <c r="CD43" s="31">
        <f>CF43*T43</f>
        <v>9.7567832307909347E-3</v>
      </c>
      <c r="CE43" s="31">
        <f>BH43*BF43*J43</f>
        <v>4.9410432614587556</v>
      </c>
      <c r="CF43" s="31">
        <f>1/(CE43-1)</f>
        <v>0.25373991952320146</v>
      </c>
      <c r="CG43" s="31">
        <f>R43-CA38</f>
        <v>4.3759118106731998E-2</v>
      </c>
      <c r="CH43" s="31">
        <f>R43+CA43</f>
        <v>9.3430297854080788E-2</v>
      </c>
      <c r="CI43" s="31">
        <f>T43-CD38</f>
        <v>1.9867157962814682E-2</v>
      </c>
      <c r="CJ43" s="31">
        <f>T43+CD43</f>
        <v>4.8208688036013331E-2</v>
      </c>
      <c r="CK43" s="31">
        <f>CE43*1.29</f>
        <v>6.3739458072817952</v>
      </c>
      <c r="CL43" s="31">
        <f>R43 / (CK43-1)</f>
        <v>1.4192389735472623E-2</v>
      </c>
      <c r="CM43" s="31">
        <f>1000*T43/R43</f>
        <v>504.16076772222806</v>
      </c>
      <c r="CN43" s="31">
        <f>1000*(T43+CD43)/(R43+CL43)</f>
        <v>532.91926125888858</v>
      </c>
      <c r="CO43" s="31">
        <f>1000*(T43-CD38)/(R43-CL38)</f>
        <v>402.48104033208813</v>
      </c>
      <c r="CP43" s="31">
        <f>1000*(T43+CD43-CD38)/(R43+CL43-CL38)</f>
        <v>466.12153845024159</v>
      </c>
      <c r="CQ43" s="31">
        <f>MAX(CM43:CP43)</f>
        <v>532.91926125888858</v>
      </c>
      <c r="CR43" s="31">
        <f>MIN(CM43:CP43)</f>
        <v>402.48104033208813</v>
      </c>
      <c r="CS43" s="31"/>
    </row>
    <row r="44" spans="1:100" x14ac:dyDescent="0.3">
      <c r="A44" t="s">
        <v>79</v>
      </c>
      <c r="B44" t="s">
        <v>80</v>
      </c>
      <c r="C44" s="1">
        <v>45331.275000000001</v>
      </c>
      <c r="D44">
        <v>115</v>
      </c>
      <c r="E44">
        <f t="shared" si="0"/>
        <v>150</v>
      </c>
      <c r="G44" s="2">
        <v>0.77600000000000002</v>
      </c>
      <c r="H44" s="2">
        <v>0</v>
      </c>
      <c r="I44" s="2">
        <v>0.22500000000000001</v>
      </c>
      <c r="J44">
        <v>9000</v>
      </c>
      <c r="K44">
        <v>9129.4480000000003</v>
      </c>
      <c r="L44">
        <f t="shared" si="2"/>
        <v>10920.000000391155</v>
      </c>
      <c r="M44">
        <f t="shared" si="3"/>
        <v>1920.0000003911555</v>
      </c>
      <c r="N44" s="65"/>
      <c r="O44">
        <v>6.2223910876263496E-3</v>
      </c>
      <c r="P44">
        <v>2.60604678825452E-2</v>
      </c>
      <c r="R44">
        <v>4.8285754839980499E-3</v>
      </c>
      <c r="S44">
        <v>5.1122593874018002E-4</v>
      </c>
      <c r="T44">
        <v>5.8636052735726802E-3</v>
      </c>
      <c r="U44">
        <v>6.9281250406146196E-4</v>
      </c>
      <c r="AQ44" s="2">
        <f>SUM(BP$5:$BP44)</f>
        <v>5.9734494673008838</v>
      </c>
      <c r="AR44" s="2" cm="1">
        <f t="array" ref="AR44">2*SQRT(SUM((BQ$5:$BQ44/2)^2))</f>
        <v>4.4741501436387048E-2</v>
      </c>
      <c r="AS44" s="2">
        <f>SUM($BX$5:BX44)</f>
        <v>1.3792915325888233</v>
      </c>
      <c r="AT44" s="2" cm="1">
        <f t="array" ref="AT44">2*SQRT(SUM(($BY$5:BY44/2)^2))</f>
        <v>2.4292442697588807E-2</v>
      </c>
      <c r="AU44" s="2">
        <f t="shared" si="8"/>
        <v>5.9539602058600432</v>
      </c>
      <c r="AV44" s="2"/>
      <c r="AW44" s="2">
        <f t="shared" si="9"/>
        <v>1.4970940485979622</v>
      </c>
      <c r="AX44" s="2"/>
      <c r="AZ44" s="2">
        <f>'Naive Apparent Lambdas'!$U$2*(10000/(D44+273))+'Naive Apparent Lambdas'!$V$2</f>
        <v>25.991416979826834</v>
      </c>
      <c r="BA44">
        <f>'Naive Apparent Lambdas'!$V$4</f>
        <v>6.7480704157997479E-2</v>
      </c>
      <c r="BB44" s="2">
        <f t="shared" si="1"/>
        <v>194056847187.76276</v>
      </c>
      <c r="BC44" s="2">
        <f t="shared" si="5"/>
        <v>13095092694.911144</v>
      </c>
      <c r="BD44" s="2">
        <f>BB44*(D44+273)*$D$145*$F$144</f>
        <v>7.1749708059090411E-5</v>
      </c>
      <c r="BE44" s="2"/>
      <c r="BF44" s="31">
        <f t="shared" si="6"/>
        <v>105065839002.11293</v>
      </c>
      <c r="BG44" s="31">
        <f t="shared" si="7"/>
        <v>114166368820.14638</v>
      </c>
      <c r="BH44" s="2">
        <f t="shared" si="26"/>
        <v>3.6973551358209923E-16</v>
      </c>
      <c r="BI44" s="2"/>
      <c r="BJ44" s="2">
        <f>R44/(1-EXP(-E44*60*BD44))</f>
        <v>1.0149835561573495E-2</v>
      </c>
      <c r="BK44" s="2">
        <f>2*SQRT(
((S44/2) * (1 / (1 - EXP(-E44 * 60 * BB44 * BH44))))^2 +
(BC44 * (-R44 * 60 * E44 * BH44 * EXP(-E44 * 60 * BB44 * BH44) / (1 - EXP(-E44 * 60 * BB44 * BH44))^2))^2
)</f>
        <v>1.4508898096194877E-3</v>
      </c>
      <c r="BL44" s="2">
        <f>R44/(1-EXP(-E44*60*BB44*BH44)*EXP(-(M44-1560)*$CW$126*$BH$122))</f>
        <v>1.0120531402633031E-2</v>
      </c>
      <c r="BM44" s="2">
        <f>2*SQRT(
((S44/2) * (1 / (1 - EXP(-E44 * 60 * BB44 * BH44) * EXP(-(M44 - 1560) * $CW$126 * $BH$48))))^2 +
(BC44 * (-R44 * 60 * E44 * BH44 * EXP(-E44 * 60 * BB44 * BH44) / ((1 - EXP(-E44 * 60 * BB44 * BH44) * EXP(-(M44 - 1560) * $CW$126 * $BH$48))^2)))^2 +
($CX$126 * (-R44 * (M44 - 1560) * $BH$48 * EXP(-(M44 - 1560) * $CW$126 * $BH$48) / ((1 - EXP(-E44 * 60 * BB44 * BH44) * EXP(-(M44 - 1560) * $CW$126 * $BH$48))^2)))^2
)</f>
        <v>1.4449116377397069E-3</v>
      </c>
      <c r="BN44" s="113">
        <f>BN45+R44</f>
        <v>1.2527671412278786E-2</v>
      </c>
      <c r="BO44" s="115">
        <f>BO45+S44</f>
        <v>1.6251792718409938E-3</v>
      </c>
      <c r="BP44" s="22"/>
      <c r="BQ44" s="22"/>
      <c r="BT44" s="123">
        <f>BN44*(Y43/R43)*1.10204926384627</f>
        <v>5.6389360745929739E-3</v>
      </c>
      <c r="BU44" s="123">
        <f>2*(((BO44/2)*1.10204926384627*(AB43/(1000)))^2+((AC43/2000)*1.10204926384627*BN44)^2+((0.187040260207234/2)*BN44*(AB43/(1000)))^2)^0.5</f>
        <v>2.5062963734370576E-3</v>
      </c>
      <c r="BV44" s="124">
        <f>BT44</f>
        <v>5.6389360745929739E-3</v>
      </c>
      <c r="BW44" s="125">
        <f>BU44</f>
        <v>2.5062963734370576E-3</v>
      </c>
      <c r="BX44" s="22"/>
      <c r="BY44" s="22"/>
      <c r="CA44" s="141">
        <f t="shared" ref="CA44:CA46" si="29">CA43*(EXP(-BH44*BG44*E44))*(EXP(-$BG$140*$F$144*D183*(24+273)*M44))</f>
        <v>1.705284839782157E-2</v>
      </c>
      <c r="CB44" s="34"/>
      <c r="CC44" s="34"/>
      <c r="CD44" s="34">
        <f t="shared" ref="CD44:CD46" si="30">CD43*(EXP(-BH44*BF44*E44))*(EXP(-$BF$140*$F$144*D183*(24+273)*M44))</f>
        <v>9.7000959120303511E-3</v>
      </c>
      <c r="CE44" s="2"/>
      <c r="CF44" s="2"/>
      <c r="CS44" s="2"/>
    </row>
    <row r="45" spans="1:100" s="32" customFormat="1" x14ac:dyDescent="0.3">
      <c r="A45" s="32" t="s">
        <v>81</v>
      </c>
      <c r="B45" s="32" t="s">
        <v>82</v>
      </c>
      <c r="C45" s="33">
        <v>45331.397222222222</v>
      </c>
      <c r="D45" s="32">
        <v>115</v>
      </c>
      <c r="E45" s="32">
        <f t="shared" si="0"/>
        <v>150</v>
      </c>
      <c r="F45" s="32" t="s">
        <v>286</v>
      </c>
      <c r="G45" s="34">
        <v>0.59099999999999997</v>
      </c>
      <c r="H45" s="34">
        <v>0</v>
      </c>
      <c r="I45" s="34">
        <v>0.19</v>
      </c>
      <c r="J45" s="32">
        <v>9000</v>
      </c>
      <c r="K45" s="32">
        <v>9128.5689999999995</v>
      </c>
      <c r="L45" s="32">
        <f t="shared" si="2"/>
        <v>10559.999999846332</v>
      </c>
      <c r="M45" s="32">
        <f t="shared" si="3"/>
        <v>1559.9999998463318</v>
      </c>
      <c r="N45" s="65"/>
      <c r="O45" s="32">
        <v>6.19743911290924E-3</v>
      </c>
      <c r="P45" s="32">
        <v>2.6040721506737498E-2</v>
      </c>
      <c r="R45" s="32">
        <v>3.6626865157293599E-3</v>
      </c>
      <c r="S45" s="32">
        <v>3.9634548341569201E-4</v>
      </c>
      <c r="T45" s="32">
        <v>4.9477370862801304E-3</v>
      </c>
      <c r="U45" s="32">
        <v>5.85036575764367E-4</v>
      </c>
      <c r="AF45" s="69"/>
      <c r="AQ45" s="34">
        <f>SUM(BP$5:$BP45)</f>
        <v>5.9734494673008838</v>
      </c>
      <c r="AR45" s="34" cm="1">
        <f t="array" ref="AR45">2*SQRT(SUM((BQ$5:$BQ45/2)^2))</f>
        <v>4.4741501436387048E-2</v>
      </c>
      <c r="AS45" s="34">
        <f>SUM($BX$5:BX45)</f>
        <v>1.3792915325888233</v>
      </c>
      <c r="AT45" s="34" cm="1">
        <f t="array" ref="AT45">2*SQRT(SUM(($BY$5:BY45/2)^2))</f>
        <v>2.4292442697588807E-2</v>
      </c>
      <c r="AU45" s="34">
        <f t="shared" si="8"/>
        <v>5.9576228923757721</v>
      </c>
      <c r="AV45" s="34"/>
      <c r="AW45" s="34">
        <f t="shared" si="9"/>
        <v>1.5020417856842423</v>
      </c>
      <c r="AX45" s="34"/>
      <c r="AY45" s="69"/>
      <c r="AZ45" s="34">
        <f>'Naive Apparent Lambdas'!$U$2*(10000/(D45+273))+'Naive Apparent Lambdas'!$V$2</f>
        <v>25.991416979826834</v>
      </c>
      <c r="BA45" s="32">
        <f>'Naive Apparent Lambdas'!$V$4</f>
        <v>6.7480704157997479E-2</v>
      </c>
      <c r="BB45" s="34">
        <f t="shared" si="1"/>
        <v>194056847187.76276</v>
      </c>
      <c r="BC45" s="34">
        <f t="shared" si="5"/>
        <v>13095092694.911144</v>
      </c>
      <c r="BD45" s="34">
        <f>BB45*(D45+273)*$D$145*$F$144</f>
        <v>7.1749708059090411E-5</v>
      </c>
      <c r="BE45" s="34"/>
      <c r="BF45" s="31">
        <f t="shared" si="6"/>
        <v>105065839002.11293</v>
      </c>
      <c r="BG45" s="31">
        <f t="shared" si="7"/>
        <v>114166368820.14638</v>
      </c>
      <c r="BH45" s="34">
        <f t="shared" si="26"/>
        <v>3.6973551358209923E-16</v>
      </c>
      <c r="BI45" s="34"/>
      <c r="BJ45" s="34">
        <f>R45/(1-EXP(-E45*60*BD45))</f>
        <v>7.6990959282807366E-3</v>
      </c>
      <c r="BK45" s="34">
        <f>2*SQRT(
((S45/2) * (1 / (1 - EXP(-E45 * 60 * BB45 * BH45))))^2 +
(BC45 * (-R45 * 60 * E45 * BH45 * EXP(-E45 * 60 * BB45 * BH45) / (1 - EXP(-E45 * 60 * BB45 * BH45))^2))^2
)</f>
        <v>1.1139533331008136E-3</v>
      </c>
      <c r="BL45" s="34">
        <f>R45/(1-EXP(-E45*60*BB45*BH45)*EXP(-(M45-1560)*$CW$126*$BH$122))</f>
        <v>7.6990959282902671E-3</v>
      </c>
      <c r="BM45" s="34">
        <f>2*SQRT(
((S45/2) * (1 / (1 - EXP(-E45 * 60 * BB45 * BH45) * EXP(-(M45 - 1560) * $CW$126 * $BH$48))))^2 +
(BC45 * (-R45 * 60 * E45 * BH45 * EXP(-E45 * 60 * BB45 * BH45) / ((1 - EXP(-E45 * 60 * BB45 * BH45) * EXP(-(M45 - 1560) * $CW$126 * $BH$48))^2)))^2 +
($CX$126 * (-R45 * (M45 - 1560) * $BH$48 * EXP(-(M45 - 1560) * $CW$126 * $BH$48) / ((1 - EXP(-E45 * 60 * BB45 * BH45) * EXP(-(M45 - 1560) * $CW$126 * $BH$48))^2)))^2
)</f>
        <v>1.1139533331028001E-3</v>
      </c>
      <c r="BN45" s="55" cm="1">
        <f t="array" ref="BN45:BO45">BJ45:BK45</f>
        <v>7.6990959282807366E-3</v>
      </c>
      <c r="BO45" s="100">
        <v>1.1139533331008136E-3</v>
      </c>
      <c r="BP45" s="24"/>
      <c r="BQ45" s="24"/>
      <c r="BR45" s="73"/>
      <c r="BS45" s="73"/>
      <c r="BT45" s="34"/>
      <c r="BU45" s="34"/>
      <c r="BV45" s="54">
        <f>BV44*EXP(-BB44*BH44*E44*60*0.91357457380209)*EXP(-(M44-1560)*$CW$126*$BH$48*0.91357457380209)</f>
        <v>3.1185043733544357E-3</v>
      </c>
      <c r="BW45" s="99">
        <f>2*SQRT(
((BW44/2) * EXP(-BB44 * BH44 * E44 * 60 * 0.91357457380209) * EXP(-(M44 - 1560) * $CW$126 * $BH$48 * 0.91357457380209))^2 +
(BC44 * (-BV44 * BH44 * E44 * 60 * 0.91357457380209 * EXP(-BB44 * BH44 * E44 * 60 * 0.91357457380209) * EXP(-(M44 - 1560) * $CW$126 * $BH$48 * 0.91357457380209)))^2 +
((0.146030972937065 / 2) * BV44 * (-BB44 * BH44 * E44 * 60 - (M44 - 1560) * $CW$126 * $BH$48) * EXP(-BB44 * BH44 * E44 * 60 * 0.91357457380209) * EXP(-(M44 - 1560) * $CW$126 * $BH$48 * 0.91357457380209))^2 +
-(M44-1560)*$BH$48*0.91357457380209*BV44*EXP(-BB44*BH44*E44*60*0.91357457380209)*EXP(-(M44-1560)*$CW$126*$BH$48*0.91357457380209))</f>
        <v>1.4387466970278995E-3</v>
      </c>
      <c r="BX45" s="24"/>
      <c r="BY45" s="24"/>
      <c r="BZ45" s="73"/>
      <c r="CA45" s="141">
        <f t="shared" si="29"/>
        <v>1.6945215914933004E-2</v>
      </c>
      <c r="CB45" s="34"/>
      <c r="CC45" s="34"/>
      <c r="CD45" s="34">
        <f t="shared" si="30"/>
        <v>9.6437379489633657E-3</v>
      </c>
      <c r="CE45" s="34"/>
      <c r="CF45" s="34"/>
      <c r="CG45" s="34"/>
      <c r="CH45" s="34"/>
      <c r="CI45" s="34"/>
      <c r="CJ45" s="34"/>
      <c r="CK45" s="34"/>
      <c r="CL45" s="34"/>
      <c r="CM45" s="34"/>
      <c r="CN45" s="34"/>
      <c r="CO45" s="34"/>
      <c r="CP45" s="34"/>
      <c r="CQ45" s="34"/>
      <c r="CR45" s="34"/>
      <c r="CS45" s="34"/>
    </row>
    <row r="46" spans="1:100" ht="15" thickBot="1" x14ac:dyDescent="0.35">
      <c r="A46" t="s">
        <v>83</v>
      </c>
      <c r="B46" t="s">
        <v>84</v>
      </c>
      <c r="C46" s="1">
        <v>45331.540972222225</v>
      </c>
      <c r="D46">
        <v>115</v>
      </c>
      <c r="E46">
        <f t="shared" si="0"/>
        <v>150</v>
      </c>
      <c r="G46" s="2">
        <v>-1.06E-2</v>
      </c>
      <c r="H46" s="2">
        <v>0</v>
      </c>
      <c r="I46" s="2">
        <v>0.42599999999999999</v>
      </c>
      <c r="J46">
        <v>9000</v>
      </c>
      <c r="K46">
        <v>9129.4539999999997</v>
      </c>
      <c r="L46">
        <f t="shared" si="2"/>
        <v>12420.000000251457</v>
      </c>
      <c r="M46">
        <f t="shared" si="3"/>
        <v>3420.0000002514571</v>
      </c>
      <c r="N46" s="65"/>
      <c r="O46">
        <v>6.1880252759547996E-3</v>
      </c>
      <c r="P46">
        <v>2.6034757573105801E-2</v>
      </c>
      <c r="R46" s="2">
        <v>-6.5593067925120898E-5</v>
      </c>
      <c r="S46" s="2">
        <v>-7.0894824866621797E-6</v>
      </c>
      <c r="T46">
        <v>1.10908067261431E-2</v>
      </c>
      <c r="U46">
        <v>1.2870092699348099E-3</v>
      </c>
      <c r="AQ46" s="2">
        <f>SUM(BP$5:$BP46)</f>
        <v>5.9734494673008838</v>
      </c>
      <c r="AR46" s="2" cm="1">
        <f t="array" ref="AR46">2*SQRT(SUM((BQ$5:$BQ46/2)^2))</f>
        <v>4.4741501436387048E-2</v>
      </c>
      <c r="AS46" s="2">
        <f>SUM($BX$5:BX46)</f>
        <v>1.3792915325888233</v>
      </c>
      <c r="AT46" s="2" cm="1">
        <f t="array" ref="AT46">2*SQRT(SUM(($BY$5:BY46/2)^2))</f>
        <v>2.4292442697588807E-2</v>
      </c>
      <c r="AU46" s="2">
        <f t="shared" si="8"/>
        <v>5.9575572993078474</v>
      </c>
      <c r="AV46" s="2"/>
      <c r="AW46" s="2">
        <f t="shared" si="9"/>
        <v>1.5131325924103853</v>
      </c>
      <c r="AX46" s="2"/>
      <c r="AZ46" s="2">
        <f>'Naive Apparent Lambdas'!$U$2*(10000/(D46+273))+'Naive Apparent Lambdas'!$V$2</f>
        <v>25.991416979826834</v>
      </c>
      <c r="BA46">
        <f>'Naive Apparent Lambdas'!$V$4</f>
        <v>6.7480704157997479E-2</v>
      </c>
      <c r="BB46" s="2">
        <f t="shared" si="1"/>
        <v>194056847187.76276</v>
      </c>
      <c r="BC46" s="2">
        <f t="shared" si="5"/>
        <v>13095092694.911144</v>
      </c>
      <c r="BD46" s="2">
        <f>BB46*(D46+273)*$D$145*$F$144</f>
        <v>7.1749708059090411E-5</v>
      </c>
      <c r="BE46" s="2"/>
      <c r="BF46" s="31">
        <f t="shared" si="6"/>
        <v>105065839002.11293</v>
      </c>
      <c r="BG46" s="31">
        <f t="shared" si="7"/>
        <v>114166368820.14638</v>
      </c>
      <c r="BH46" s="2">
        <f t="shared" si="26"/>
        <v>3.6973551358209923E-16</v>
      </c>
      <c r="BI46" s="2"/>
      <c r="BJ46" s="2">
        <f>R46/(1-EXP(-E46*60*BD46))</f>
        <v>-1.3787893668131102E-4</v>
      </c>
      <c r="BK46" s="2">
        <f>2*SQRT(
((S46/2) * (1 / (1 - EXP(-E46 * 60 * BB46 * BH46))))^2 +
(BC46 * (-R46 * 60 * E46 * BH46 * EXP(-E46 * 60 * BB46 * BH46) / (1 - EXP(-E46 * 60 * BB46 * BH46))^2))^2
)</f>
        <v>1.9935899338228696E-5</v>
      </c>
      <c r="BL46" s="2">
        <f>R46/(1-EXP(-E46*60*BB46*BH46)*EXP(-(M46-1560)*$CW$126*$BH$122))</f>
        <v>-1.3585757929230423E-4</v>
      </c>
      <c r="BM46" s="2">
        <f>2*SQRT(
((S46/2) * (1 / (1 - EXP(-E46 * 60 * BB46 * BH46) * EXP(-(M46 - 1560) * $CW$126 * $BH$48))))^2 +
(BC46 * (-R46 * 60 * E46 * BH46 * EXP(-E46 * 60 * BB46 * BH46) / ((1 - EXP(-E46 * 60 * BB46 * BH46) * EXP(-(M46 - 1560) * $CW$126 * $BH$48))^2)))^2 +
($CX$126 * (-R46 * (M46 - 1560) * $BH$48 * EXP(-(M46 - 1560) * $CW$126 * $BH$48) / ((1 - EXP(-E46 * 60 * BB46 * BH46) * EXP(-(M46 - 1560) * $CW$126 * $BH$48))^2)))^2
)</f>
        <v>1.9549319088841279E-5</v>
      </c>
      <c r="BN46" s="54">
        <f>BN45*EXP(-BD45*E45*60)</f>
        <v>4.0364094125513771E-3</v>
      </c>
      <c r="BO46" s="99">
        <f>2*((((BO45/2)*EXP(-BD45*E45*60))^2+(BN45*EXP(-BD45*E45*60)*E45*60*BC45*BD45/BB45)^2)^0.5)</f>
        <v>6.8177576452444952E-4</v>
      </c>
      <c r="BP46" s="22"/>
      <c r="BQ46" s="22"/>
      <c r="BT46" s="2"/>
      <c r="BU46" s="2"/>
      <c r="BV46" s="54">
        <f>BV45*EXP(-BB45*BH45*E45*60*0.91357457380209)*EXP(-(M45-1560)*$CW$126*$BH$48*0.91357457380209)</f>
        <v>1.7287785846561178E-3</v>
      </c>
      <c r="BW46" s="99">
        <f>2*SQRT(
((BW45/2) * EXP(-BB45 * BH45 * E45 * 60 * 0.91357457380209) * EXP(-(M45 - 1560) * $CW$126 * $BH$48 * 0.91357457380209))^2 +
(BC45 * (-BV45 * BH45 * E45 * 60 * 0.91357457380209 * EXP(-BB45 * BH45 * E45 * 60 * 0.91357457380209) * EXP(-(M45 - 1560) * $CW$126 * $BH$48 * 0.91357457380209)))^2 +
((0.146030972937065 / 2) * BV45 * (-BB45 * BH45 * E45 * 60 - (M45 - 1560) * $CW$126 * $BH$48) * EXP(-BB45 * BH45 * E45 * 60 * 0.91357457380209) * EXP(-(M45 - 1560) * $CW$126 * $BH$48 * 0.91357457380209))^2 +
-(M45-1560)*$BH$48*0.91357457380209*BV45*EXP(-BB45*BH45*E45*60*0.91357457380209)*EXP(-(M45-1560)*$CW$126*$BH$48*0.91357457380209))</f>
        <v>8.2563002347698939E-4</v>
      </c>
      <c r="BX46" s="22"/>
      <c r="BY46" s="22"/>
      <c r="CA46" s="141">
        <f t="shared" si="29"/>
        <v>1.6838262776110752E-2</v>
      </c>
      <c r="CB46" s="34"/>
      <c r="CC46" s="34"/>
      <c r="CD46" s="34">
        <f t="shared" si="30"/>
        <v>9.5877074280196189E-3</v>
      </c>
      <c r="CE46" s="2"/>
      <c r="CF46" s="2"/>
      <c r="CS46" s="2"/>
    </row>
    <row r="47" spans="1:100" s="29" customFormat="1" x14ac:dyDescent="0.3">
      <c r="A47" s="29" t="s">
        <v>85</v>
      </c>
      <c r="B47" s="29" t="s">
        <v>86</v>
      </c>
      <c r="C47" s="30">
        <v>45332.32708333333</v>
      </c>
      <c r="D47" s="29">
        <v>195</v>
      </c>
      <c r="E47" s="29">
        <f t="shared" si="0"/>
        <v>1106</v>
      </c>
      <c r="F47" s="29" t="s">
        <v>289</v>
      </c>
      <c r="G47" s="31">
        <v>10.9</v>
      </c>
      <c r="H47" s="31">
        <v>0</v>
      </c>
      <c r="I47" s="31">
        <v>1.29</v>
      </c>
      <c r="J47" s="29">
        <v>66360</v>
      </c>
      <c r="K47" s="29">
        <v>66479.634999999995</v>
      </c>
      <c r="L47" s="29">
        <f t="shared" si="2"/>
        <v>67919.999999483116</v>
      </c>
      <c r="M47" s="29">
        <f t="shared" si="3"/>
        <v>1559.999999483116</v>
      </c>
      <c r="N47" s="65"/>
      <c r="O47" s="29">
        <v>6.1509317807778296E-3</v>
      </c>
      <c r="P47" s="29">
        <v>2.6033057851239601E-2</v>
      </c>
      <c r="R47" s="29">
        <v>6.7045156410478396E-2</v>
      </c>
      <c r="S47" s="29">
        <v>1.44825071526862E-3</v>
      </c>
      <c r="T47" s="29">
        <v>3.3582644628099102E-2</v>
      </c>
      <c r="U47" s="31">
        <v>1.7718206848745099E-4</v>
      </c>
      <c r="V47" s="31"/>
      <c r="W47" s="31">
        <f>(1000*T47/R47)/$AG$140</f>
        <v>0.50204056255874507</v>
      </c>
      <c r="X47" s="31"/>
      <c r="Y47" s="31">
        <f>T47-AVERAGE(T48:T50)</f>
        <v>1.7787242959722026E-2</v>
      </c>
      <c r="Z47" s="31">
        <f>U47+AVERAGE(T48:T50)</f>
        <v>1.5972583736864526E-2</v>
      </c>
      <c r="AA47" s="31"/>
      <c r="AB47" s="31">
        <f>(Y47*1000)/R47</f>
        <v>265.3024306606298</v>
      </c>
      <c r="AC47" s="31">
        <f>2*((1000*Z47/(2*R47))^2+((S47/2)*1000*Y47/(R47^2))^2)^0.5</f>
        <v>238.30512494298162</v>
      </c>
      <c r="AD47" s="31">
        <f>AB47/$AG$140</f>
        <v>0.26590870256823451</v>
      </c>
      <c r="AE47" s="31">
        <f>2*(($AH$140*AB47/(2*$AG$140^2))^2+(AC47/($AG$140*2))^2)^0.5</f>
        <v>0.23886660708208554</v>
      </c>
      <c r="AF47" s="69"/>
      <c r="AG47" s="31" cm="1">
        <f t="array" ref="AG47:AH47">BP47:BQ47</f>
        <v>9.5647148256692044E-2</v>
      </c>
      <c r="AH47" s="29">
        <v>3.2294417173976387E-3</v>
      </c>
      <c r="AI47" s="31" cm="1">
        <f t="array" ref="AI47:AJ47">BX47:BY47</f>
        <v>2.5821966501222947E-2</v>
      </c>
      <c r="AJ47" s="29">
        <v>1.7984588756625664E-2</v>
      </c>
      <c r="AL47" s="31">
        <f>1000*AI47/AG47</f>
        <v>269.97110705196889</v>
      </c>
      <c r="AM47" s="31">
        <f>2*((AH47*1000*AI47/(2*AG47^2))^2+(1000*AJ47/(AG47*2))^2)^0.5</f>
        <v>188.25139669063589</v>
      </c>
      <c r="AN47" s="31">
        <f>AL47/$AG$140</f>
        <v>0.2705880478680141</v>
      </c>
      <c r="AO47" s="31">
        <f>2*(($AH$140*AL47/(2*$AG$140^2))^2+(AM47/($AG$140*2))^2)^0.5</f>
        <v>0.1887037495590892</v>
      </c>
      <c r="AP47" s="31"/>
      <c r="AQ47" s="31">
        <f>SUM(BP$5:$BP47)</f>
        <v>6.0690966155575756</v>
      </c>
      <c r="AR47" s="31" cm="1">
        <f t="array" ref="AR47">2*SQRT(SUM((BQ$5:$BQ47/2)^2))</f>
        <v>4.4857900581595347E-2</v>
      </c>
      <c r="AS47" s="31">
        <f>SUM($BX$5:BX47)</f>
        <v>1.4051134990900462</v>
      </c>
      <c r="AT47" s="31" cm="1">
        <f t="array" ref="AT47">2*SQRT(SUM(($BY$5:BY47/2)^2))</f>
        <v>3.0225290816807408E-2</v>
      </c>
      <c r="AU47" s="31">
        <f t="shared" si="8"/>
        <v>6.024602455718326</v>
      </c>
      <c r="AV47" s="31"/>
      <c r="AW47" s="31">
        <f t="shared" si="9"/>
        <v>1.5467152370384845</v>
      </c>
      <c r="AX47" s="31"/>
      <c r="AY47" s="69"/>
      <c r="AZ47" s="31"/>
      <c r="BB47" s="31"/>
      <c r="BC47" s="31"/>
      <c r="BD47" s="31"/>
      <c r="BE47" s="31"/>
      <c r="BF47" s="31">
        <f t="shared" si="6"/>
        <v>311387894957.35785</v>
      </c>
      <c r="BG47" s="31">
        <f t="shared" si="7"/>
        <v>342662937842.04254</v>
      </c>
      <c r="BH47" s="31">
        <f t="shared" si="26"/>
        <v>4.4596964009387227E-16</v>
      </c>
      <c r="BI47" s="31"/>
      <c r="BJ47" s="31"/>
      <c r="BK47" s="31"/>
      <c r="BL47" s="31"/>
      <c r="BM47" s="31"/>
      <c r="BN47" s="114">
        <f>BN46*EXP(-BD46*E46*60)</f>
        <v>2.1161706643875533E-3</v>
      </c>
      <c r="BO47" s="116">
        <f>2*((((BO46/2)*EXP(-BD46*E46*60))^2+(BN46*EXP(-BD46*E46*60)*E46*60*BC46*BD46/BB46)^2)^0.5)</f>
        <v>4.0220993331389725E-4</v>
      </c>
      <c r="BP47" s="23">
        <f>R47+BN48-BN47</f>
        <v>9.5647148256692044E-2</v>
      </c>
      <c r="BQ47" s="23">
        <f>2*(((BO47/2)^2+(BO48/2)^2+(S47/2)^2)^(0.5))</f>
        <v>3.2294417173976387E-3</v>
      </c>
      <c r="BR47" s="72">
        <f>100*(BP47-R47)/R47</f>
        <v>42.660787710152142</v>
      </c>
      <c r="BS47" s="72"/>
      <c r="BT47" s="31"/>
      <c r="BU47" s="31"/>
      <c r="BV47" s="114">
        <f>BV46*EXP(-BB46*BH46*E46*60*0.91357457380209)*EXP(-(M46-1560)*$CW$126*$BH$48*0.91357457380209)</f>
        <v>9.4654064309606604E-4</v>
      </c>
      <c r="BW47" s="116">
        <f>2*SQRT(
((BW46/2) * EXP(-BB46 * BH46 * E46 * 60 * 0.91357457380209) * EXP(-(M46 - 1560) * $CW$126 * $BH$48 * 0.91357457380209))^2 +
(BC46 * (-BV46 * BH46 * E46 * 60 * 0.91357457380209 * EXP(-BB46 * BH46 * E46 * 60 * 0.91357457380209) * EXP(-(M46 - 1560) * $CW$126 * $BH$48 * 0.91357457380209)))^2 +
((0.146030972937065 / 2) * BV46 * (-BB46 * BH46 * E46 * 60 - (M46 - 1560) * $CW$126 * $BH$48) * EXP(-BB46 * BH46 * E46 * 60 * 0.91357457380209) * EXP(-(M46 - 1560) * $CW$126 * $BH$48 * 0.91357457380209))^2 +
-(M46-1560)*$BH$48*0.91357457380209*BV46*EXP(-BB46*BH46*E46*60*0.91357457380209)*EXP(-(M46-1560)*$CW$126*$BH$48*0.91357457380209))</f>
        <v>4.6726180399538986E-4</v>
      </c>
      <c r="BX47" s="23">
        <f>Y47+BV48-BV47</f>
        <v>2.5821966501222947E-2</v>
      </c>
      <c r="BY47" s="23">
        <f>2*(((BW47/2)^2+(BW48/2)^2+(Z47/2)^2)^(0.5))</f>
        <v>1.7984588756625664E-2</v>
      </c>
      <c r="BZ47" s="72">
        <f>100*(BX47-Y47)/Y47</f>
        <v>45.171269992179191</v>
      </c>
      <c r="CA47" s="140">
        <f>R47*CC47</f>
        <v>7.3345908498363586E-3</v>
      </c>
      <c r="CB47" s="31">
        <f>BH47*BG47*J47</f>
        <v>10.14095384229568</v>
      </c>
      <c r="CC47" s="31">
        <f>1/(CB47-1)</f>
        <v>0.1093977737173277</v>
      </c>
      <c r="CD47" s="31">
        <f>CF47*T47</f>
        <v>4.0877758151822369E-3</v>
      </c>
      <c r="CE47" s="31">
        <f>BH47*BF47*J47</f>
        <v>9.2153831683653511</v>
      </c>
      <c r="CF47" s="31">
        <f>1/(CE47-1)</f>
        <v>0.12172286788164187</v>
      </c>
      <c r="CG47" s="31">
        <f>R47-CA43</f>
        <v>4.9883991870649902E-2</v>
      </c>
      <c r="CH47" s="31">
        <f>R47+CA47</f>
        <v>7.4379747260314752E-2</v>
      </c>
      <c r="CI47" s="31">
        <f>T47-CD43</f>
        <v>2.3825861397308169E-2</v>
      </c>
      <c r="CJ47" s="31">
        <f>T47+CD47</f>
        <v>3.7670420443281338E-2</v>
      </c>
      <c r="CK47" s="31">
        <f>CE47*1.29</f>
        <v>11.887844287191303</v>
      </c>
      <c r="CL47" s="31">
        <f>R47 / (CK47-1)</f>
        <v>6.157798976731489E-3</v>
      </c>
      <c r="CM47" s="31">
        <f>1000*T47/R47</f>
        <v>500.89590995197557</v>
      </c>
      <c r="CN47" s="31">
        <f>1000*(T47+CD47)/(R47+CL47)</f>
        <v>514.60245346683314</v>
      </c>
      <c r="CO47" s="31">
        <f>1000*(T47-CD43)/(R47-CL43)</f>
        <v>450.79686260919033</v>
      </c>
      <c r="CP47" s="31">
        <f>1000*(T47+CD47-CD43)/(R47+CL47-CL43)</f>
        <v>473.02778585835557</v>
      </c>
      <c r="CQ47" s="31">
        <f>MAX(CM47:CP47)</f>
        <v>514.60245346683314</v>
      </c>
      <c r="CR47" s="31">
        <f>MIN(CM47:CP47)</f>
        <v>450.79686260919033</v>
      </c>
      <c r="CS47" s="88"/>
      <c r="CT47" s="89" t="s">
        <v>377</v>
      </c>
      <c r="CU47" s="89" t="s">
        <v>378</v>
      </c>
      <c r="CV47" s="90" t="s">
        <v>379</v>
      </c>
    </row>
    <row r="48" spans="1:100" s="47" customFormat="1" ht="15" thickBot="1" x14ac:dyDescent="0.35">
      <c r="A48" s="47" t="s">
        <v>87</v>
      </c>
      <c r="B48" s="47" t="s">
        <v>88</v>
      </c>
      <c r="C48" s="48">
        <v>45332.866666666669</v>
      </c>
      <c r="D48" s="47">
        <v>26</v>
      </c>
      <c r="E48" s="50">
        <f>L48/60</f>
        <v>777.00000000768341</v>
      </c>
      <c r="G48" s="49">
        <v>1.28</v>
      </c>
      <c r="H48" s="49">
        <v>0</v>
      </c>
      <c r="I48" s="49">
        <v>4.5199999999999997E-2</v>
      </c>
      <c r="J48" s="47">
        <f>E48*60</f>
        <v>46620.000000461005</v>
      </c>
      <c r="K48" s="47">
        <v>186.58199999999999</v>
      </c>
      <c r="L48" s="47">
        <f t="shared" si="2"/>
        <v>46620.000000461005</v>
      </c>
      <c r="M48" s="47">
        <f t="shared" si="3"/>
        <v>0</v>
      </c>
      <c r="N48" s="65"/>
      <c r="O48" s="47">
        <v>6.1885167058906001E-3</v>
      </c>
      <c r="P48" s="47">
        <v>2.6033057851239601E-2</v>
      </c>
      <c r="R48" s="47">
        <v>7.9213013835399797E-3</v>
      </c>
      <c r="S48" s="49">
        <v>1.7186420137959199E-4</v>
      </c>
      <c r="T48" s="47">
        <v>1.17669421487603E-3</v>
      </c>
      <c r="U48" s="49">
        <v>6.4610474500057298E-6</v>
      </c>
      <c r="V48" s="49"/>
      <c r="Y48" s="49"/>
      <c r="Z48" s="49"/>
      <c r="AA48" s="49"/>
      <c r="AB48" s="49"/>
      <c r="AF48" s="69"/>
      <c r="AQ48" s="49">
        <f>SUM(BP$5:$BP48)</f>
        <v>6.0690966155575756</v>
      </c>
      <c r="AR48" s="49" cm="1">
        <f t="array" ref="AR48">2*SQRT(SUM((BQ$5:$BQ48/2)^2))</f>
        <v>4.4857900581595347E-2</v>
      </c>
      <c r="AS48" s="49">
        <f>SUM($BX$5:BX48)</f>
        <v>1.4051134990900462</v>
      </c>
      <c r="AT48" s="49" cm="1">
        <f t="array" ref="AT48">2*SQRT(SUM(($BY$5:BY48/2)^2))</f>
        <v>3.0225290816807408E-2</v>
      </c>
      <c r="AU48" s="49">
        <f t="shared" si="8"/>
        <v>6.0325237571018659</v>
      </c>
      <c r="AV48" s="49"/>
      <c r="AW48" s="49">
        <f t="shared" si="9"/>
        <v>1.5478919312533606</v>
      </c>
      <c r="AX48" s="49"/>
      <c r="AY48" s="69"/>
      <c r="AZ48" s="49">
        <f>'Naive Apparent Lambdas'!$U$2*(10000/(D48+273))+'Naive Apparent Lambdas'!$V$2</f>
        <v>22.056240807500409</v>
      </c>
      <c r="BA48" s="47">
        <f>'Naive Apparent Lambdas'!$V$4</f>
        <v>6.7480704157997479E-2</v>
      </c>
      <c r="BB48" s="49">
        <f t="shared" si="1"/>
        <v>3792308628.8822436</v>
      </c>
      <c r="BC48" s="49">
        <f t="shared" si="5"/>
        <v>255907656.66142374</v>
      </c>
      <c r="BD48" s="49">
        <f>BB48*(D48+273)*$D$145*$F$144</f>
        <v>1.0805237174997918E-6</v>
      </c>
      <c r="BE48" s="49"/>
      <c r="BF48" s="31">
        <f t="shared" si="6"/>
        <v>15843245574.991554</v>
      </c>
      <c r="BG48" s="31">
        <f t="shared" si="7"/>
        <v>16840819425.918863</v>
      </c>
      <c r="BH48" s="49">
        <f t="shared" si="26"/>
        <v>2.8492504783775176E-16</v>
      </c>
      <c r="BI48" s="49"/>
      <c r="BJ48" s="49">
        <f>R48/(1-EXP(-E48*60*BD48))</f>
        <v>0.16124365172978278</v>
      </c>
      <c r="BK48" s="49">
        <f>2*SQRT(
((S48/2) * (1 / (1 - EXP(-E48 * 60 * BB48 * BH48))))^2 +
(BC48 * (-R48 * 60 * E48 * BH48 * EXP(-E48 * 60 * BB48 * BH48) / (1 - EXP(-E48 * 60 * BB48 * BH48))^2))^2
)</f>
        <v>2.1504633316073087E-2</v>
      </c>
      <c r="BL48" s="49">
        <f>R48/(1-EXP(-E48*60*BB48*BH48)*EXP(-(M48-1560)*$CW$126*$BH$122))</f>
        <v>0.20723467032359477</v>
      </c>
      <c r="BM48" s="49">
        <f>2*SQRT(
((S48/2) * (1 / (1 - EXP(-E48 * 60 * BB48 * BH48) * EXP(-(M48 - 1560) * $CW$126 * $BH$48))))^2 +
(BC48 * (-R48 * 60 * E48 * BH48 * EXP(-E48 * 60 * BB48 * BH48) / ((1 - EXP(-E48 * 60 * BB48 * BH48) * EXP(-(M48 - 1560) * $CW$126 * $BH$48))^2)))^2 +
($CX$126 * (-R48 * (M48 - 1560) * $BH$48 * EXP(-(M48 - 1560) * $CW$126 * $BH$48) / ((1 - EXP(-E48 * 60 * BB48 * BH48) * EXP(-(M48 - 1560) * $CW$126 * $BH$48))^2)))^2
)</f>
        <v>3.9927902862758109E-2</v>
      </c>
      <c r="BN48" s="113">
        <f>BN49+R48</f>
        <v>3.0718162510601207E-2</v>
      </c>
      <c r="BO48" s="115">
        <f>BO49+S48</f>
        <v>2.8583370762273247E-3</v>
      </c>
      <c r="BP48" s="27"/>
      <c r="BQ48" s="27"/>
      <c r="BR48" s="76"/>
      <c r="BS48" s="76"/>
      <c r="BT48" s="123">
        <f>BN48*(Y47/R47)*1.10204926384627</f>
        <v>8.9812641845969862E-3</v>
      </c>
      <c r="BU48" s="123">
        <f>2*(((BO48/2)*1.10204926384627*(AB47/(1000)))^2+((AC47/2000)*1.10204926384627*BN48)^2+((0.187040260207234/2)*BN48*(AB47/(1000)))^2)^0.5</f>
        <v>8.2524946483062949E-3</v>
      </c>
      <c r="BV48" s="124">
        <f>BT48</f>
        <v>8.9812641845969862E-3</v>
      </c>
      <c r="BW48" s="125">
        <f>BU48</f>
        <v>8.2524946483062949E-3</v>
      </c>
      <c r="BX48" s="27"/>
      <c r="BY48" s="27"/>
      <c r="BZ48" s="76"/>
      <c r="CA48" s="141">
        <f>CA47*(EXP(-BH48*BG48*E48))*(EXP(-$BG$140*$F$144*D187*(24+273)*M48))</f>
        <v>7.3072959557025294E-3</v>
      </c>
      <c r="CB48" s="34"/>
      <c r="CC48" s="34"/>
      <c r="CD48" s="34">
        <f>CD47*(EXP(-BH48*BF48*E48))*(EXP(-$BF$140*$F$144*D187*(24+273)*M48))</f>
        <v>4.073463118936557E-3</v>
      </c>
      <c r="CE48" s="49"/>
      <c r="CF48" s="49"/>
      <c r="CG48" s="49"/>
      <c r="CH48" s="49"/>
      <c r="CI48" s="49"/>
      <c r="CJ48" s="49"/>
      <c r="CK48" s="49"/>
      <c r="CL48" s="49"/>
      <c r="CM48" s="49"/>
      <c r="CN48" s="49"/>
      <c r="CO48" s="49"/>
      <c r="CP48" s="49"/>
      <c r="CQ48" s="49"/>
      <c r="CR48" s="49"/>
      <c r="CS48" s="91"/>
      <c r="CT48" s="11">
        <f>BN49/BN48</f>
        <v>0.74212971297335106</v>
      </c>
      <c r="CU48" s="11">
        <f>-LN(BN49/BN48)/L48</f>
        <v>6.3970664041668814E-6</v>
      </c>
      <c r="CV48" s="92">
        <f>CU48/((D48+273)*CU50*CV50)</f>
        <v>23413554244.686165</v>
      </c>
    </row>
    <row r="49" spans="1:100" s="78" customFormat="1" ht="15" thickBot="1" x14ac:dyDescent="0.35">
      <c r="A49" s="78" t="s">
        <v>89</v>
      </c>
      <c r="B49" s="78" t="s">
        <v>90</v>
      </c>
      <c r="C49" s="79">
        <v>45332.993055555555</v>
      </c>
      <c r="D49" s="78">
        <v>95</v>
      </c>
      <c r="E49" s="78">
        <f t="shared" ref="E49:E80" si="31">J49/60</f>
        <v>150</v>
      </c>
      <c r="F49" s="78" t="s">
        <v>286</v>
      </c>
      <c r="G49" s="80">
        <v>0.94899999999999995</v>
      </c>
      <c r="H49" s="80">
        <v>0</v>
      </c>
      <c r="I49" s="80">
        <v>1.0900000000000001</v>
      </c>
      <c r="J49" s="78">
        <v>9000</v>
      </c>
      <c r="K49" s="78">
        <v>9128.5220000000008</v>
      </c>
      <c r="L49" s="78">
        <f t="shared" si="2"/>
        <v>10919.999999762513</v>
      </c>
      <c r="M49" s="78">
        <f t="shared" si="3"/>
        <v>1919.9999997625127</v>
      </c>
      <c r="N49" s="96"/>
      <c r="O49" s="78">
        <v>6.2004888099120902E-3</v>
      </c>
      <c r="P49" s="78">
        <v>2.6033057851239601E-2</v>
      </c>
      <c r="R49" s="78">
        <v>5.8842638806065701E-3</v>
      </c>
      <c r="S49" s="80">
        <v>1.2811692649028901E-4</v>
      </c>
      <c r="T49" s="78">
        <v>2.8376033057851201E-2</v>
      </c>
      <c r="U49" s="80">
        <v>1.56973692678986E-4</v>
      </c>
      <c r="V49" s="80"/>
      <c r="Y49" s="80"/>
      <c r="Z49" s="80"/>
      <c r="AA49" s="80"/>
      <c r="AB49" s="80"/>
      <c r="AF49" s="97"/>
      <c r="AQ49" s="80">
        <f>SUM(BP$5:$BP49)</f>
        <v>6.0690966155575756</v>
      </c>
      <c r="AR49" s="80" cm="1">
        <f t="array" ref="AR49">2*SQRT(SUM((BQ$5:$BQ49/2)^2))</f>
        <v>4.4857900581595347E-2</v>
      </c>
      <c r="AS49" s="80">
        <f>SUM($BX$5:BX49)</f>
        <v>1.4051134990900462</v>
      </c>
      <c r="AT49" s="80" cm="1">
        <f t="array" ref="AT49">2*SQRT(SUM(($BY$5:BY49/2)^2))</f>
        <v>3.0225290816807408E-2</v>
      </c>
      <c r="AU49" s="80">
        <f t="shared" si="8"/>
        <v>6.0384080209824722</v>
      </c>
      <c r="AV49" s="80"/>
      <c r="AW49" s="80">
        <f t="shared" si="9"/>
        <v>1.5762679643112119</v>
      </c>
      <c r="AX49" s="80"/>
      <c r="AY49" s="97"/>
      <c r="AZ49" s="80">
        <f>'Naive Apparent Lambdas'!$U$2*(10000/(D49+273))+'Naive Apparent Lambdas'!$V$2</f>
        <v>25.272915712407681</v>
      </c>
      <c r="BA49" s="78">
        <f>'Naive Apparent Lambdas'!$V$4</f>
        <v>6.7480704157997479E-2</v>
      </c>
      <c r="BB49" s="80">
        <f t="shared" si="1"/>
        <v>94599280986.297607</v>
      </c>
      <c r="BC49" s="80">
        <f t="shared" si="5"/>
        <v>6383626093.7956247</v>
      </c>
      <c r="BD49" s="80">
        <f>BB49*(D49+273)*$D$145*$F$144</f>
        <v>3.3173790351308016E-5</v>
      </c>
      <c r="BE49" s="80"/>
      <c r="BF49" s="31">
        <f t="shared" si="6"/>
        <v>74378450025.067627</v>
      </c>
      <c r="BG49" s="31">
        <f t="shared" si="7"/>
        <v>80496818032.103622</v>
      </c>
      <c r="BH49" s="80">
        <f t="shared" si="26"/>
        <v>3.5067698195415599E-16</v>
      </c>
      <c r="BI49" s="80"/>
      <c r="BJ49" s="80">
        <f>R49/(1-EXP(-E49*60*BD49))</f>
        <v>2.2796861127061228E-2</v>
      </c>
      <c r="BK49" s="80">
        <f>2*SQRT(
((S49/2) * (1 / (1 - EXP(-E49 * 60 * BB49 * BH49))))^2 +
(BC49 * (-R49 * 60 * E49 * BH49 * EXP(-E49 * 60 * BB49 * BH49) / (1 - EXP(-E49 * 60 * BB49 * BH49))^2))^2
)</f>
        <v>2.6864728748477325E-3</v>
      </c>
      <c r="BL49" s="80">
        <f>R49/(1-EXP(-E49*60*BB49*BH49)*EXP(-(M49-1560)*$CW$122*$BH$122))</f>
        <v>2.2618617607336231E-2</v>
      </c>
      <c r="BM49" s="80">
        <f>2*SQRT(
((S49/2) * (1 / (1 - EXP(-E49 * 60 * BB49 * BH49) * EXP(-(M49 - 1560) * $CW$122 * $BH$48))))^2 +
(BC49 * (-R49 * 60 * E49 * BH49 * EXP(-E49 * 60 * BB49 * BH49) / ((1 - EXP(-E49 * 60 * BB49 * BH49) * EXP(-(M49 - 1560) * $CW$122 * $BH$48))^2)))^2 +
($CX$122 * (-R49 * (M49 - 1560) * $BH$48 * EXP(-(M49 - 1560) * $CW$122 * $BH$48) / ((1 - EXP(-E49 * 60 * BB49 * BH49) * EXP(-(M49 - 1560) * $CW$122 * $BH$48))^2)))^2
)</f>
        <v>2.6464216937493509E-3</v>
      </c>
      <c r="BN49" s="109" cm="1">
        <f t="array" ref="BN49:BO49">BJ49:BK49</f>
        <v>2.2796861127061228E-2</v>
      </c>
      <c r="BO49" s="103">
        <v>2.6864728748477325E-3</v>
      </c>
      <c r="BP49" s="80"/>
      <c r="BQ49" s="80"/>
      <c r="BR49" s="81"/>
      <c r="BS49" s="81"/>
      <c r="BT49" s="80"/>
      <c r="BU49" s="80"/>
      <c r="BV49" s="54">
        <f>BV48*EXP(-BB48*BH48*E48*60*0.91357457380209)*EXP(-(M48-1560)*$CW$126*$BH$48*0.91357457380209)</f>
        <v>8.6671102739509162E-3</v>
      </c>
      <c r="BW49" s="99">
        <f>2*SQRT(
((BW48/2) * EXP(-BB48 * BH48 * E48 * 60 * 0.91357457380209) * EXP(-(M48 - 1560) * $CW$126 * $BH$48 * 0.91357457380209))^2 +
(BC48 * (-BV48 * BH48 * E48 * 60 * 0.91357457380209 * EXP(-BB48 * BH48 * E48 * 60 * 0.91357457380209) * EXP(-(M48 - 1560) * $CW$126 * $BH$48 * 0.91357457380209)))^2 +
((0.146030972937065 / 2) * BV48 * (-BB48 * BH48 * E48 * 60 - (M48 - 1560) * $CW$126 * $BH$48) * EXP(-BB48 * BH48 * E48 * 60 * 0.91357457380209) * EXP(-(M48 - 1560) * $CW$126 * $BH$48 * 0.91357457380209))^2 +
-(M48-1560)*$BH$48*0.91357457380209*BV48*EXP(-BB48*BH48*E48*60*0.91357457380209)*EXP(-(M48-1560)*$CW$126*$BH$48*0.91357457380209))</f>
        <v>7.9641669217420472E-3</v>
      </c>
      <c r="BX49" s="80"/>
      <c r="BY49" s="80"/>
      <c r="BZ49" s="81"/>
      <c r="CA49" s="141">
        <f>CA48*(EXP(-BH49*BG49*E49))*(EXP(-$BG$140*$F$144*D188*(24+273)*M49))</f>
        <v>7.276420398985216E-3</v>
      </c>
      <c r="CB49" s="34"/>
      <c r="CC49" s="34"/>
      <c r="CD49" s="34">
        <f>CD48*(EXP(-BH49*BF49*E49))*(EXP(-$BF$140*$F$144*D188*(24+273)*M49))</f>
        <v>4.0575571497379103E-3</v>
      </c>
      <c r="CE49" s="80"/>
      <c r="CF49" s="80"/>
      <c r="CG49" s="80"/>
      <c r="CH49" s="80"/>
      <c r="CI49" s="80"/>
      <c r="CJ49" s="80"/>
      <c r="CK49" s="80"/>
      <c r="CL49" s="80"/>
      <c r="CM49" s="80"/>
      <c r="CN49" s="80"/>
      <c r="CO49" s="80"/>
      <c r="CP49" s="80"/>
      <c r="CQ49" s="80"/>
      <c r="CR49" s="80"/>
      <c r="CS49" s="15" t="s">
        <v>616</v>
      </c>
      <c r="CT49" s="131">
        <f>((BO49/(BN48*2))^2+(BO48*BN49/(2*BN48^2))^2)^0.5</f>
        <v>5.5716076383195187E-2</v>
      </c>
      <c r="CU49" s="131">
        <f>CT49/(CT48*L48)</f>
        <v>1.6103802510891613E-6</v>
      </c>
      <c r="CV49" s="132">
        <f>CU49/((D48+273)*CU50*CV50)</f>
        <v>5894065026.2575884</v>
      </c>
    </row>
    <row r="50" spans="1:100" x14ac:dyDescent="0.3">
      <c r="A50" t="s">
        <v>91</v>
      </c>
      <c r="B50" t="s">
        <v>92</v>
      </c>
      <c r="C50" s="1">
        <v>45333.140277777777</v>
      </c>
      <c r="D50">
        <v>95</v>
      </c>
      <c r="E50">
        <f t="shared" si="31"/>
        <v>150</v>
      </c>
      <c r="G50" s="2">
        <v>-8.7399999999999995E-3</v>
      </c>
      <c r="H50" s="2">
        <v>0</v>
      </c>
      <c r="I50" s="2">
        <v>0.68500000000000005</v>
      </c>
      <c r="J50">
        <v>9000</v>
      </c>
      <c r="K50">
        <v>9125.9959999999992</v>
      </c>
      <c r="L50">
        <f t="shared" si="2"/>
        <v>12719.99999997206</v>
      </c>
      <c r="M50">
        <f t="shared" si="3"/>
        <v>3719.9999999720603</v>
      </c>
      <c r="N50" s="65"/>
      <c r="O50">
        <v>6.2115001154924203E-3</v>
      </c>
      <c r="P50">
        <v>2.60342740619036E-2</v>
      </c>
      <c r="R50" s="2">
        <v>-5.4288511009403798E-5</v>
      </c>
      <c r="S50" s="2">
        <v>-1.1919127212803099E-6</v>
      </c>
      <c r="T50">
        <v>1.7833477732403999E-2</v>
      </c>
      <c r="U50" s="2">
        <v>9.8885668615163302E-5</v>
      </c>
      <c r="V50" s="2"/>
      <c r="Y50" s="2"/>
      <c r="Z50" s="2"/>
      <c r="AA50" s="2"/>
      <c r="AB50" s="2"/>
      <c r="AQ50" s="2">
        <f>SUM(BP$5:$BP50)</f>
        <v>6.0690966155575756</v>
      </c>
      <c r="AR50" s="2" cm="1">
        <f t="array" ref="AR50">2*SQRT(SUM((BQ$5:$BQ50/2)^2))</f>
        <v>4.4857900581595347E-2</v>
      </c>
      <c r="AS50" s="2">
        <f>SUM($BX$5:BX50)</f>
        <v>1.4051134990900462</v>
      </c>
      <c r="AT50" s="2" cm="1">
        <f t="array" ref="AT50">2*SQRT(SUM(($BY$5:BY50/2)^2))</f>
        <v>3.0225290816807408E-2</v>
      </c>
      <c r="AU50" s="2">
        <f t="shared" si="8"/>
        <v>6.0383537324714629</v>
      </c>
      <c r="AV50" s="2"/>
      <c r="AW50" s="2">
        <f t="shared" si="9"/>
        <v>1.5941014420436159</v>
      </c>
      <c r="AX50" s="2"/>
      <c r="AZ50" s="2">
        <f>'Naive Apparent Lambdas'!$U$2*(10000/(D50+273))+'Naive Apparent Lambdas'!$V$2</f>
        <v>25.272915712407681</v>
      </c>
      <c r="BA50">
        <f>'Naive Apparent Lambdas'!$V$4</f>
        <v>6.7480704157997479E-2</v>
      </c>
      <c r="BB50" s="2">
        <f t="shared" si="1"/>
        <v>94599280986.297607</v>
      </c>
      <c r="BC50" s="2">
        <f t="shared" si="5"/>
        <v>6383626093.7956247</v>
      </c>
      <c r="BD50" s="2">
        <f>BB50*(D50+273)*$D$145*$F$144</f>
        <v>3.3173790351308016E-5</v>
      </c>
      <c r="BE50" s="2"/>
      <c r="BF50" s="31">
        <f t="shared" si="6"/>
        <v>74378450025.067627</v>
      </c>
      <c r="BG50" s="31">
        <f t="shared" si="7"/>
        <v>80496818032.103622</v>
      </c>
      <c r="BH50" s="2">
        <f t="shared" si="26"/>
        <v>3.5067698195415599E-16</v>
      </c>
      <c r="BI50" s="2"/>
      <c r="BJ50" s="2">
        <f>R50/(1-EXP(-E50*60*BD50))</f>
        <v>-2.1032497375843994E-4</v>
      </c>
      <c r="BK50" s="2">
        <f>2*SQRT(
((S50/2) * (1 / (1 - EXP(-E50 * 60 * BB50 * BH50))))^2 +
(BC50 * (-R50 * 60 * E50 * BH50 * EXP(-E50 * 60 * BB50 * BH50) / (1 - EXP(-E50 * 60 * BB50 * BH50))^2))^2
)</f>
        <v>2.4792647010116761E-5</v>
      </c>
      <c r="BL50" s="11">
        <f>R50/(1-EXP(-E50*60*BB50*BH50)*EXP(-(M50-1560)*$CW$126*$BH$122))</f>
        <v>-2.0126521647588854E-4</v>
      </c>
      <c r="BM50" s="11">
        <f>2*SQRT(
((S50/2) * (1 / (1 - EXP(-E50 * 60 * BB50 * BH50) * EXP(-(M50 - 1560) * $CW$126 * $BH$48))))^2 +
(BC50 * (-R50 * 60 * E50 * BH50 * EXP(-E50 * 60 * BB50 * BH50) / ((1 - EXP(-E50 * 60 * BB50 * BH50) * EXP(-(M50 - 1560) * $CW$126 * $BH$48))^2)))^2 +
($CX$126 * (-R50 * (M50 - 1560) * $BH$48 * EXP(-(M50 - 1560) * $CW$126 * $BH$48) / ((1 - EXP(-E50 * 60 * BB50 * BH50) * EXP(-(M50 - 1560) * $CW$126 * $BH$48))^2)))^2
)</f>
        <v>2.2998871156778766E-5</v>
      </c>
      <c r="BN50" s="54">
        <f>BN49*EXP(-BD49*E49*60)</f>
        <v>1.691259724645466E-2</v>
      </c>
      <c r="BO50" s="99">
        <f>2*((((BO49/2)*EXP(-BD49*E49*60))^2+(BN49*EXP(-BD49*E49*60)*E49*60*BC49*BD49/BB49)^2)^0.5)</f>
        <v>2.1063389806092255E-3</v>
      </c>
      <c r="BP50" s="22"/>
      <c r="BQ50" s="22"/>
      <c r="BT50" s="2"/>
      <c r="BU50" s="2"/>
      <c r="BV50" s="54">
        <f>BV49*EXP(-BB49*BH49*E49*60*0.91357457380209)*EXP(-(M49-1560)*$CW$126*$BH$48*0.91357457380209)</f>
        <v>6.5822151829672253E-3</v>
      </c>
      <c r="BW50" s="99">
        <f>2*SQRT(
((BW49/2) * EXP(-BB49 * BH49 * E49 * 60 * 0.91357457380209) * EXP(-(M49 - 1560) * $CW$126 * $BH$48 * 0.91357457380209))^2 +
(BC49 * (-BV49 * BH49 * E49 * 60 * 0.91357457380209 * EXP(-BB49 * BH49 * E49 * 60 * 0.91357457380209) * EXP(-(M49 - 1560) * $CW$126 * $BH$48 * 0.91357457380209)))^2 +
((0.146030972937065 / 2) * BV49 * (-BB49 * BH49 * E49 * 60 - (M49 - 1560) * $CW$126 * $BH$48) * EXP(-BB49 * BH49 * E49 * 60 * 0.91357457380209) * EXP(-(M49 - 1560) * $CW$126 * $BH$48 * 0.91357457380209))^2 +
-(M49-1560)*$BH$48*0.91357457380209*BV49*EXP(-BB49*BH49*E49*60*0.91357457380209)*EXP(-(M49-1560)*$CW$126*$BH$48*0.91357457380209))</f>
        <v>6.0601375552012471E-3</v>
      </c>
      <c r="BX50" s="22"/>
      <c r="BY50" s="22"/>
      <c r="CA50" s="141">
        <f>CA49*(EXP(-BH50*BG50*E50))*(EXP(-$BG$140*$F$144*D189*(24+273)*M50))</f>
        <v>7.2456753009229758E-3</v>
      </c>
      <c r="CB50" s="34"/>
      <c r="CC50" s="34"/>
      <c r="CD50" s="34">
        <f>CD49*(EXP(-BH50*BF50*E50))*(EXP(-$BF$140*$F$144*D189*(24+273)*M50))</f>
        <v>4.0417132898179688E-3</v>
      </c>
      <c r="CE50" s="2"/>
      <c r="CF50" s="2"/>
      <c r="CS50" s="91"/>
      <c r="CT50" s="7"/>
      <c r="CU50" s="133">
        <v>6708.6221501703521</v>
      </c>
      <c r="CV50" s="132">
        <v>1.3621000000000001E-22</v>
      </c>
    </row>
    <row r="51" spans="1:100" s="29" customFormat="1" ht="15" thickBot="1" x14ac:dyDescent="0.35">
      <c r="A51" s="29" t="s">
        <v>93</v>
      </c>
      <c r="B51" s="29" t="s">
        <v>94</v>
      </c>
      <c r="C51" s="30">
        <v>45333.672222222223</v>
      </c>
      <c r="D51" s="29">
        <v>185</v>
      </c>
      <c r="E51" s="29">
        <f t="shared" si="31"/>
        <v>740</v>
      </c>
      <c r="F51" s="29" t="s">
        <v>289</v>
      </c>
      <c r="G51" s="31">
        <v>3.64</v>
      </c>
      <c r="H51" s="31">
        <v>0</v>
      </c>
      <c r="I51" s="31">
        <v>0.30399999999999999</v>
      </c>
      <c r="J51" s="29">
        <v>44400</v>
      </c>
      <c r="K51" s="29">
        <v>44525.35</v>
      </c>
      <c r="L51" s="29">
        <f t="shared" si="2"/>
        <v>45960.000000195578</v>
      </c>
      <c r="M51" s="29">
        <f t="shared" si="3"/>
        <v>1560.0000001955777</v>
      </c>
      <c r="N51" s="65"/>
      <c r="O51" s="29">
        <v>6.2303664921465902E-3</v>
      </c>
      <c r="P51" s="29">
        <v>2.6118202865730501E-2</v>
      </c>
      <c r="R51" s="29">
        <v>2.2678534031413601E-2</v>
      </c>
      <c r="S51" s="29">
        <v>4.1845996469789599E-4</v>
      </c>
      <c r="T51" s="29">
        <v>7.9399336711820697E-3</v>
      </c>
      <c r="U51" s="31">
        <v>4.1864933422355398E-5</v>
      </c>
      <c r="V51" s="31"/>
      <c r="W51" s="31">
        <f>(1000*T51/R51)/$AG$140</f>
        <v>0.35090795904948924</v>
      </c>
      <c r="X51" s="31"/>
      <c r="Y51" s="31">
        <f>T51-AVERAGE(T52:T54)</f>
        <v>1.9794859099880515E-3</v>
      </c>
      <c r="Z51" s="31">
        <f>U51+AVERAGE(T52:T54)</f>
        <v>6.0023126946163732E-3</v>
      </c>
      <c r="AA51" s="31"/>
      <c r="AB51" s="31">
        <f>(Y51*1000)/R51</f>
        <v>87.284562011200947</v>
      </c>
      <c r="AC51" s="31">
        <f>2*((1000*Z51/(2*R51))^2+((S51/2)*1000*Y51/(R51^2))^2)^0.5</f>
        <v>264.67424287581741</v>
      </c>
      <c r="AD51" s="31">
        <f>AB51/$AG$140</f>
        <v>8.7484025611226021E-2</v>
      </c>
      <c r="AE51" s="31">
        <f>2*(($AH$140*AB51/(2*$AG$140^2))^2+(AC51/($AG$140*2))^2)^0.5</f>
        <v>0.26528072678644021</v>
      </c>
      <c r="AF51" s="69"/>
      <c r="AG51" s="31" cm="1">
        <f t="array" ref="AG51:AH51">BP51:BQ51</f>
        <v>1.9150163564983974E-2</v>
      </c>
      <c r="AH51" s="29">
        <v>1.996667060471457E-3</v>
      </c>
      <c r="AI51" s="31" cm="1">
        <f t="array" ref="AI51:AJ51">BX51:BY51</f>
        <v>-2.0921118646812058E-3</v>
      </c>
      <c r="AJ51" s="29">
        <v>7.9839286225403313E-3</v>
      </c>
      <c r="AL51" s="31">
        <f>1000*AI51/AG51</f>
        <v>-109.24772822863127</v>
      </c>
      <c r="AM51" s="31">
        <f>2*((AH51*1000*AI51/(2*AG51^2))^2+(1000*AJ51/(AG51*2))^2)^0.5</f>
        <v>417.06734545081815</v>
      </c>
      <c r="AN51" s="31">
        <f>AL51/$AG$140</f>
        <v>-0.10949738228732091</v>
      </c>
      <c r="AO51" s="31">
        <f>2*(($AH$140*AL51/(2*$AG$140^2))^2+(AM51/($AG$140*2))^2)^0.5</f>
        <v>0.41802207006087083</v>
      </c>
      <c r="AP51" s="31"/>
      <c r="AQ51" s="31">
        <f>SUM(BP$5:$BP51)</f>
        <v>6.0882467791225592</v>
      </c>
      <c r="AR51" s="31" cm="1">
        <f t="array" ref="AR51">2*SQRT(SUM((BQ$5:$BQ51/2)^2))</f>
        <v>4.4902315351646002E-2</v>
      </c>
      <c r="AS51" s="31">
        <f>SUM($BX$5:BX51)</f>
        <v>1.403021387225365</v>
      </c>
      <c r="AT51" s="31" cm="1">
        <f t="array" ref="AT51">2*SQRT(SUM(($BY$5:BY51/2)^2))</f>
        <v>3.1261978843483355E-2</v>
      </c>
      <c r="AU51" s="31">
        <f t="shared" si="8"/>
        <v>6.0610322665028766</v>
      </c>
      <c r="AV51" s="31"/>
      <c r="AW51" s="31">
        <f t="shared" si="9"/>
        <v>1.602041375714798</v>
      </c>
      <c r="AX51" s="31"/>
      <c r="AY51" s="69"/>
      <c r="AZ51" s="31"/>
      <c r="BB51" s="31"/>
      <c r="BC51" s="31"/>
      <c r="BD51" s="31"/>
      <c r="BE51" s="31"/>
      <c r="BF51" s="31">
        <f t="shared" si="6"/>
        <v>277546730471.91608</v>
      </c>
      <c r="BG51" s="31">
        <f t="shared" si="7"/>
        <v>305014363640.75323</v>
      </c>
      <c r="BH51" s="31">
        <f t="shared" si="26"/>
        <v>4.3644037427990068E-16</v>
      </c>
      <c r="BI51" s="31"/>
      <c r="BJ51" s="31"/>
      <c r="BK51" s="31"/>
      <c r="BL51" s="31"/>
      <c r="BM51" s="31"/>
      <c r="BN51" s="54">
        <f>BN50*EXP(-BD50*E50*60)</f>
        <v>1.2547163577763086E-2</v>
      </c>
      <c r="BO51" s="99">
        <f>2*((((BO50/2)*EXP(-BD50*E50*60))^2+(BN50*EXP(-BD50*E50*60)*E50*60*BC50*BD50/BB50)^2)^0.5)</f>
        <v>1.6424097579863276E-3</v>
      </c>
      <c r="BP51" s="23">
        <f>R51+BN52-BN51</f>
        <v>1.9150163564983974E-2</v>
      </c>
      <c r="BQ51" s="23">
        <f>2*(((BO51/2)^2+(BO52/2)^2+(S51/2)^2)^(0.5))</f>
        <v>1.996667060471457E-3</v>
      </c>
      <c r="BR51" s="72">
        <f>100*(BP51-R51)/R51</f>
        <v>-15.558194641427164</v>
      </c>
      <c r="BS51" s="72"/>
      <c r="BT51" s="31"/>
      <c r="BU51" s="31"/>
      <c r="BV51" s="114">
        <f>BV50*EXP(-BB50*BH50*E50*60*0.91357457380209)*EXP(-(M50-1560)*$CW$126*$BH$48*0.91357457380209)</f>
        <v>4.939132505303135E-3</v>
      </c>
      <c r="BW51" s="116">
        <f>2*SQRT(
((BW50/2) * EXP(-BB50 * BH50 * E50 * 60 * 0.91357457380209) * EXP(-(M50 - 1560) * $CW$126 * $BH$48 * 0.91357457380209))^2 +
(BC50 * (-BV50 * BH50 * E50 * 60 * 0.91357457380209 * EXP(-BB50 * BH50 * E50 * 60 * 0.91357457380209) * EXP(-(M50 - 1560) * $CW$126 * $BH$48 * 0.91357457380209)))^2 +
((0.146030972937065 / 2) * BV50 * (-BB50 * BH50 * E50 * 60 - (M50 - 1560) * $CW$126 * $BH$48) * EXP(-BB50 * BH50 * E50 * 60 * 0.91357457380209) * EXP(-(M50 - 1560) * $CW$126 * $BH$48 * 0.91357457380209))^2 +
-(M50-1560)*$BH$48*0.91357457380209*BV50*EXP(-BB50*BH50*E50*60*0.91357457380209)*EXP(-(M50-1560)*$CW$126*$BH$48*0.91357457380209))</f>
        <v>4.5566560250318812E-3</v>
      </c>
      <c r="BX51" s="23">
        <f>Y51+BV52-BV51</f>
        <v>-2.0921118646812058E-3</v>
      </c>
      <c r="BY51" s="23">
        <f>2*(((BW51/2)^2+(BW52/2)^2+(Z51/2)^2)^(0.5))</f>
        <v>7.9839286225403313E-3</v>
      </c>
      <c r="BZ51" s="72">
        <f>100*(BX51-Y51)/Y51</f>
        <v>-205.68965680052929</v>
      </c>
      <c r="CA51" s="140">
        <f>R51*CC51</f>
        <v>4.6183250516809334E-3</v>
      </c>
      <c r="CB51" s="31">
        <f>BH51*BG51*J51</f>
        <v>5.910553886448354</v>
      </c>
      <c r="CC51" s="31">
        <f>1/(CB51-1)</f>
        <v>0.20364301525326869</v>
      </c>
      <c r="CD51" s="31">
        <f>CF51*T51</f>
        <v>1.8134793264172192E-3</v>
      </c>
      <c r="CE51" s="31">
        <f>BH51*BF51*J51</f>
        <v>5.3782873923732639</v>
      </c>
      <c r="CF51" s="31">
        <f>1/(CE51-1)</f>
        <v>0.2283998080486779</v>
      </c>
      <c r="CG51" s="31">
        <f>R51-CA47</f>
        <v>1.5343943181577242E-2</v>
      </c>
      <c r="CH51" s="31">
        <f>R51+CA51</f>
        <v>2.7296859083094534E-2</v>
      </c>
      <c r="CI51" s="31">
        <f>T51-CD47</f>
        <v>3.8521578559998328E-3</v>
      </c>
      <c r="CJ51" s="31">
        <f>T51+CD51</f>
        <v>9.7534129975992891E-3</v>
      </c>
      <c r="CK51" s="31">
        <f>CE51*1.29</f>
        <v>6.9379907361615105</v>
      </c>
      <c r="CL51" s="31">
        <f>R51 / (CK51-1)</f>
        <v>3.8192269134582151E-3</v>
      </c>
      <c r="CM51" s="31">
        <f>1000*T51/R51</f>
        <v>350.10788881609017</v>
      </c>
      <c r="CN51" s="31">
        <f>1000*(T51+CD51)/(R51+CL51)</f>
        <v>368.08442109094108</v>
      </c>
      <c r="CO51" s="31">
        <f>1000*(T51-CD47)/(R51-CL47)</f>
        <v>233.17109337142355</v>
      </c>
      <c r="CP51" s="31">
        <f>1000*(T51+CD51-CD47)/(R51+CL51-CL47)</f>
        <v>278.54708830289223</v>
      </c>
      <c r="CQ51" s="31">
        <f>MAX(CM51:CP51)</f>
        <v>368.08442109094108</v>
      </c>
      <c r="CR51" s="31">
        <f>MIN(CM51:CP51)</f>
        <v>233.17109337142355</v>
      </c>
      <c r="CS51" s="93"/>
      <c r="CT51" s="94"/>
      <c r="CU51" s="94" t="s">
        <v>324</v>
      </c>
      <c r="CV51" s="95" t="s">
        <v>349</v>
      </c>
    </row>
    <row r="52" spans="1:100" s="32" customFormat="1" x14ac:dyDescent="0.3">
      <c r="A52" s="32" t="s">
        <v>95</v>
      </c>
      <c r="B52" s="32" t="s">
        <v>96</v>
      </c>
      <c r="C52" s="33">
        <v>45333.794444444444</v>
      </c>
      <c r="D52" s="32">
        <v>95</v>
      </c>
      <c r="E52" s="32">
        <f t="shared" si="31"/>
        <v>150</v>
      </c>
      <c r="F52" s="32" t="s">
        <v>286</v>
      </c>
      <c r="G52" s="34">
        <v>0.373</v>
      </c>
      <c r="H52" s="34">
        <v>0</v>
      </c>
      <c r="I52" s="34">
        <v>3.56E-2</v>
      </c>
      <c r="J52" s="32">
        <v>9000</v>
      </c>
      <c r="K52" s="32">
        <v>9127.4410000000007</v>
      </c>
      <c r="L52" s="32">
        <f t="shared" si="2"/>
        <v>10559.999999846332</v>
      </c>
      <c r="M52" s="32">
        <f t="shared" si="3"/>
        <v>1559.9999998463318</v>
      </c>
      <c r="N52" s="65"/>
      <c r="O52" s="32">
        <v>6.2410358819005897E-3</v>
      </c>
      <c r="P52" s="32">
        <v>2.6119402985074602E-2</v>
      </c>
      <c r="R52" s="32">
        <v>2.3279063839489202E-3</v>
      </c>
      <c r="S52" s="34">
        <v>3.9191053589740702E-5</v>
      </c>
      <c r="T52" s="32">
        <v>9.29850746268656E-4</v>
      </c>
      <c r="U52" s="34">
        <v>4.6911004159342199E-6</v>
      </c>
      <c r="V52" s="34"/>
      <c r="Y52" s="34"/>
      <c r="Z52" s="34"/>
      <c r="AA52" s="34"/>
      <c r="AB52" s="34"/>
      <c r="AF52" s="69"/>
      <c r="AQ52" s="34">
        <f>SUM(BP$5:$BP52)</f>
        <v>6.0882467791225592</v>
      </c>
      <c r="AR52" s="34" cm="1">
        <f t="array" ref="AR52">2*SQRT(SUM((BQ$5:$BQ52/2)^2))</f>
        <v>4.4902315351646002E-2</v>
      </c>
      <c r="AS52" s="34">
        <f>SUM($BX$5:BX52)</f>
        <v>1.403021387225365</v>
      </c>
      <c r="AT52" s="34" cm="1">
        <f t="array" ref="AT52">2*SQRT(SUM(($BY$5:BY52/2)^2))</f>
        <v>3.1261978843483355E-2</v>
      </c>
      <c r="AU52" s="34">
        <f t="shared" si="8"/>
        <v>6.0633601728868252</v>
      </c>
      <c r="AV52" s="34"/>
      <c r="AW52" s="34">
        <f t="shared" si="9"/>
        <v>1.6029712264610667</v>
      </c>
      <c r="AX52" s="34"/>
      <c r="AY52" s="69"/>
      <c r="AZ52" s="34">
        <f>'Naive Apparent Lambdas'!$U$2*(10000/(D52+273))+'Naive Apparent Lambdas'!$V$2</f>
        <v>25.272915712407681</v>
      </c>
      <c r="BA52" s="32">
        <f>'Naive Apparent Lambdas'!$V$4</f>
        <v>6.7480704157997479E-2</v>
      </c>
      <c r="BB52" s="34">
        <f t="shared" si="1"/>
        <v>94599280986.297607</v>
      </c>
      <c r="BC52" s="34">
        <f t="shared" si="5"/>
        <v>6383626093.7956247</v>
      </c>
      <c r="BD52" s="34">
        <f>BB52*(D52+273)*$D$145*$F$144</f>
        <v>3.3173790351308016E-5</v>
      </c>
      <c r="BE52" s="34"/>
      <c r="BF52" s="31">
        <f t="shared" si="6"/>
        <v>74378450025.067627</v>
      </c>
      <c r="BG52" s="31">
        <f t="shared" si="7"/>
        <v>80496818032.103622</v>
      </c>
      <c r="BH52" s="34">
        <f t="shared" si="26"/>
        <v>3.5067698195415599E-16</v>
      </c>
      <c r="BI52" s="34"/>
      <c r="BJ52" s="34">
        <f>R52/(1-EXP(-E52*60*BD52))</f>
        <v>9.018793111333457E-3</v>
      </c>
      <c r="BK52" s="34">
        <f>2*SQRT(
((S52/2) * (1 / (1 - EXP(-E52 * 60 * BB52 * BH52))))^2 +
(BC52 * (-R52 * 60 * E52 * BH52 * EXP(-E52 * 60 * BB52 * BH52) / (1 - EXP(-E52 * 60 * BB52 * BH52))^2))^2
)</f>
        <v>1.0554907840374817E-3</v>
      </c>
      <c r="BL52" s="34">
        <f>R52/(1-EXP(-E52*60*BB52*BH52)*EXP(-(M52-1560)*$CW$126*$BH$122))</f>
        <v>9.0187931113625691E-3</v>
      </c>
      <c r="BM52" s="34">
        <f>2*SQRT(
((S52/2) * (1 / (1 - EXP(-E52 * 60 * BB52 * BH52) * EXP(-(M52 - 1560) * $CW$126 * $BH$48))))^2 +
(BC52 * (-R52 * 60 * E52 * BH52 * EXP(-E52 * 60 * BB52 * BH52) / ((1 - EXP(-E52 * 60 * BB52 * BH52) * EXP(-(M52 - 1560) * $CW$126 * $BH$48))^2)))^2 +
($CX$126 * (-R52 * (M52 - 1560) * $BH$48 * EXP(-(M52 - 1560) * $CW$126 * $BH$48) / ((1 - EXP(-E52 * 60 * BB52 * BH52) * EXP(-(M52 - 1560) * $CW$126 * $BH$48))^2)))^2
)</f>
        <v>1.0554907840442257E-3</v>
      </c>
      <c r="BN52" s="117" cm="1">
        <f t="array" ref="BN52:BO52">BJ52:BK52</f>
        <v>9.018793111333457E-3</v>
      </c>
      <c r="BO52" s="118">
        <v>1.0554907840374817E-3</v>
      </c>
      <c r="BP52" s="24"/>
      <c r="BQ52" s="24"/>
      <c r="BR52" s="73"/>
      <c r="BS52" s="73"/>
      <c r="BT52" s="123">
        <f>BN52*(Y51/R51)*1.10204926384627</f>
        <v>8.675347306338775E-4</v>
      </c>
      <c r="BU52" s="123">
        <f>2*(((BO52/2)*1.10204926384627*(AB51/(1000)))^2+((AC51/2000)*1.10204926384627*BN52)^2+((0.187040260207234/2)*BN52*(AB51/(1000)))^2)^0.5</f>
        <v>2.636710912369149E-3</v>
      </c>
      <c r="BV52" s="124">
        <f>BT52</f>
        <v>8.675347306338775E-4</v>
      </c>
      <c r="BW52" s="125">
        <f>BU52</f>
        <v>2.636710912369149E-3</v>
      </c>
      <c r="BX52" s="24"/>
      <c r="BY52" s="24"/>
      <c r="BZ52" s="73"/>
      <c r="CA52" s="141">
        <f t="shared" ref="CA52:CA54" si="32">CA51*(EXP(-BH52*BG52*E52))*(EXP(-$BG$140*$F$144*D191*(24+273)*M52))</f>
        <v>4.5988112181183432E-3</v>
      </c>
      <c r="CB52" s="34"/>
      <c r="CC52" s="34"/>
      <c r="CD52" s="34">
        <f t="shared" ref="CD52:CD54" si="33">CD51*(EXP(-BH52*BF52*E52))*(EXP(-$BF$140*$F$144*D191*(24+273)*M52))</f>
        <v>1.8063980922274998E-3</v>
      </c>
      <c r="CE52" s="34"/>
      <c r="CF52" s="34"/>
      <c r="CG52" s="34"/>
      <c r="CH52" s="34"/>
      <c r="CI52" s="34"/>
      <c r="CJ52" s="34"/>
      <c r="CK52" s="34"/>
      <c r="CL52" s="34"/>
      <c r="CM52" s="34"/>
      <c r="CN52" s="34"/>
      <c r="CO52" s="34"/>
      <c r="CP52" s="34"/>
      <c r="CQ52" s="34"/>
      <c r="CR52" s="34"/>
      <c r="CS52" s="34"/>
    </row>
    <row r="53" spans="1:100" x14ac:dyDescent="0.3">
      <c r="A53" t="s">
        <v>97</v>
      </c>
      <c r="B53" t="s">
        <v>98</v>
      </c>
      <c r="C53" s="1">
        <v>45333.916666666664</v>
      </c>
      <c r="D53">
        <v>95</v>
      </c>
      <c r="E53">
        <f t="shared" si="31"/>
        <v>150</v>
      </c>
      <c r="G53" s="2">
        <v>0</v>
      </c>
      <c r="H53" s="2">
        <v>0</v>
      </c>
      <c r="I53" s="2">
        <v>0.26400000000000001</v>
      </c>
      <c r="J53">
        <v>9000</v>
      </c>
      <c r="K53">
        <v>9128.2530000000006</v>
      </c>
      <c r="L53">
        <f t="shared" si="2"/>
        <v>10559.999999846332</v>
      </c>
      <c r="M53">
        <f t="shared" si="3"/>
        <v>1559.9999998463318</v>
      </c>
      <c r="N53" s="65"/>
      <c r="O53">
        <v>6.2583606300620001E-3</v>
      </c>
      <c r="P53">
        <v>2.6119402985074602E-2</v>
      </c>
      <c r="R53">
        <v>0</v>
      </c>
      <c r="S53">
        <v>0</v>
      </c>
      <c r="T53">
        <v>6.8955223880597001E-3</v>
      </c>
      <c r="U53" s="2">
        <v>3.3284447537149201E-5</v>
      </c>
      <c r="V53" s="2"/>
      <c r="Y53" s="2"/>
      <c r="Z53" s="2"/>
      <c r="AA53" s="2"/>
      <c r="AB53" s="2"/>
      <c r="AQ53" s="2">
        <f>SUM(BP$5:$BP53)</f>
        <v>6.0882467791225592</v>
      </c>
      <c r="AR53" s="2" cm="1">
        <f t="array" ref="AR53">2*SQRT(SUM((BQ$5:$BQ53/2)^2))</f>
        <v>4.4902315351646002E-2</v>
      </c>
      <c r="AS53" s="2">
        <f>SUM($BX$5:BX53)</f>
        <v>1.403021387225365</v>
      </c>
      <c r="AT53" s="2" cm="1">
        <f t="array" ref="AT53">2*SQRT(SUM(($BY$5:BY53/2)^2))</f>
        <v>3.1261978843483355E-2</v>
      </c>
      <c r="AU53" s="2">
        <f t="shared" si="8"/>
        <v>6.0633601728868252</v>
      </c>
      <c r="AV53" s="2"/>
      <c r="AW53" s="2">
        <f t="shared" si="9"/>
        <v>1.6098667488491265</v>
      </c>
      <c r="AX53" s="2"/>
      <c r="AZ53" s="2">
        <f>'Naive Apparent Lambdas'!$U$2*(10000/(D53+273))+'Naive Apparent Lambdas'!$V$2</f>
        <v>25.272915712407681</v>
      </c>
      <c r="BA53">
        <f>'Naive Apparent Lambdas'!$V$4</f>
        <v>6.7480704157997479E-2</v>
      </c>
      <c r="BB53" s="2">
        <f t="shared" si="1"/>
        <v>94599280986.297607</v>
      </c>
      <c r="BC53" s="2">
        <f t="shared" si="5"/>
        <v>6383626093.7956247</v>
      </c>
      <c r="BD53" s="2">
        <f>BB53*(D53+273)*$D$145*$F$144</f>
        <v>3.3173790351308016E-5</v>
      </c>
      <c r="BE53" s="2"/>
      <c r="BF53" s="31">
        <f t="shared" si="6"/>
        <v>74378450025.067627</v>
      </c>
      <c r="BG53" s="31">
        <f t="shared" si="7"/>
        <v>80496818032.103622</v>
      </c>
      <c r="BH53" s="2">
        <f t="shared" si="26"/>
        <v>3.5067698195415599E-16</v>
      </c>
      <c r="BI53" s="2"/>
      <c r="BJ53" s="2">
        <f>R53/(1-EXP(-E53*60*BD53))</f>
        <v>0</v>
      </c>
      <c r="BK53" s="2">
        <f>2*SQRT(
((S53/2) * (1 / (1 - EXP(-E53 * 60 * BB53 * BH53))))^2 +
(BC53 * (-R53 * 60 * E53 * BH53 * EXP(-E53 * 60 * BB53 * BH53) / (1 - EXP(-E53 * 60 * BB53 * BH53))^2))^2
)</f>
        <v>0</v>
      </c>
      <c r="BL53" s="2">
        <f>R53/(1-EXP(-E53*60*BB53*BH53)*EXP(-(M53-1560)*$CW$126*$BH$122))</f>
        <v>0</v>
      </c>
      <c r="BM53" s="2">
        <f>2*SQRT(
((S53/2) * (1 / (1 - EXP(-E53 * 60 * BB53 * BH53) * EXP(-(M53 - 1560) * $CW$126 * $BH$48))))^2 +
(BC53 * (-R53 * 60 * E53 * BH53 * EXP(-E53 * 60 * BB53 * BH53) / ((1 - EXP(-E53 * 60 * BB53 * BH53) * EXP(-(M53 - 1560) * $CW$126 * $BH$48))^2)))^2 +
($CX$126 * (-R53 * (M53 - 1560) * $BH$48 * EXP(-(M53 - 1560) * $CW$126 * $BH$48) / ((1 - EXP(-E53 * 60 * BB53 * BH53) * EXP(-(M53 - 1560) * $CW$126 * $BH$48))^2)))^2
)</f>
        <v>0</v>
      </c>
      <c r="BN53" s="54">
        <f>BN52*EXP(-BD52*E52*60)</f>
        <v>6.6908867273845372E-3</v>
      </c>
      <c r="BO53" s="99">
        <f>2*((((BO52/2)*EXP(-BD52*E52*60))^2+(BN52*EXP(-BD52*E52*60)*E52*60*BC52*BD52/BB52)^2)^0.5)</f>
        <v>8.2816406702509407E-4</v>
      </c>
      <c r="BP53" s="22"/>
      <c r="BQ53" s="22"/>
      <c r="BT53" s="2"/>
      <c r="BU53" s="2"/>
      <c r="BV53" s="54">
        <f>BV52*EXP(-BB52*BH52*E52*60*0.91357457380209)*EXP(-(M52-1560)*$CW$126*$BH$48*0.91357457380209)</f>
        <v>6.6043252672480621E-4</v>
      </c>
      <c r="BW53" s="99">
        <f>2*SQRT(
((BW52/2) * EXP(-BB52 * BH52 * E52 * 60 * 0.91357457380209) * EXP(-(M52 - 1560) * $CW$126 * $BH$48 * 0.91357457380209))^2 +
(BC52 * (-BV52 * BH52 * E52 * 60 * 0.91357457380209 * EXP(-BB52 * BH52 * E52 * 60 * 0.91357457380209) * EXP(-(M52 - 1560) * $CW$126 * $BH$48 * 0.91357457380209)))^2 +
((0.146030972937065 / 2) * BV52 * (-BB52 * BH52 * E52 * 60 - (M52 - 1560) * $CW$126 * $BH$48) * EXP(-BB52 * BH52 * E52 * 60 * 0.91357457380209) * EXP(-(M52 - 1560) * $CW$126 * $BH$48 * 0.91357457380209))^2 +
-(M52-1560)*$BH$48*0.91357457380209*BV52*EXP(-BB52*BH52*E52*60*0.91357457380209)*EXP(-(M52-1560)*$CW$126*$BH$48*0.91357457380209))</f>
        <v>2.007615908922949E-3</v>
      </c>
      <c r="BX53" s="22"/>
      <c r="BY53" s="22"/>
      <c r="CA53" s="141">
        <f t="shared" si="32"/>
        <v>4.5793798364611622E-3</v>
      </c>
      <c r="CB53" s="34"/>
      <c r="CC53" s="34"/>
      <c r="CD53" s="34">
        <f t="shared" si="33"/>
        <v>1.7993445086853059E-3</v>
      </c>
      <c r="CE53" s="2"/>
      <c r="CF53" s="2"/>
      <c r="CS53" s="2"/>
    </row>
    <row r="54" spans="1:100" x14ac:dyDescent="0.3">
      <c r="A54" t="s">
        <v>99</v>
      </c>
      <c r="B54" t="s">
        <v>100</v>
      </c>
      <c r="C54" s="1">
        <v>45334.041666666664</v>
      </c>
      <c r="D54">
        <v>95</v>
      </c>
      <c r="E54">
        <f t="shared" si="31"/>
        <v>150</v>
      </c>
      <c r="G54" s="2">
        <v>0</v>
      </c>
      <c r="H54" s="2">
        <v>0</v>
      </c>
      <c r="I54" s="2">
        <v>0.38500000000000001</v>
      </c>
      <c r="J54">
        <v>9000</v>
      </c>
      <c r="K54">
        <v>9130.3619999999992</v>
      </c>
      <c r="L54">
        <f t="shared" si="2"/>
        <v>10800</v>
      </c>
      <c r="M54">
        <f t="shared" si="3"/>
        <v>1800</v>
      </c>
      <c r="N54" s="65"/>
      <c r="O54">
        <v>6.2631578947368403E-3</v>
      </c>
      <c r="P54">
        <v>2.6119402985074602E-2</v>
      </c>
      <c r="R54">
        <v>0</v>
      </c>
      <c r="S54">
        <v>0</v>
      </c>
      <c r="T54">
        <v>1.0055970149253701E-2</v>
      </c>
      <c r="U54" s="2">
        <v>4.5970617241161898E-5</v>
      </c>
      <c r="V54" s="2"/>
      <c r="Y54" s="2"/>
      <c r="Z54" s="2"/>
      <c r="AA54" s="2"/>
      <c r="AB54" s="2"/>
      <c r="AQ54" s="2">
        <f>SUM(BP$5:$BP54)</f>
        <v>6.0882467791225592</v>
      </c>
      <c r="AR54" s="2" cm="1">
        <f t="array" ref="AR54">2*SQRT(SUM((BQ$5:$BQ54/2)^2))</f>
        <v>4.4902315351646002E-2</v>
      </c>
      <c r="AS54" s="2">
        <f>SUM($BX$5:BX54)</f>
        <v>1.403021387225365</v>
      </c>
      <c r="AT54" s="2" cm="1">
        <f t="array" ref="AT54">2*SQRT(SUM(($BY$5:BY54/2)^2))</f>
        <v>3.1261978843483355E-2</v>
      </c>
      <c r="AU54" s="2">
        <f t="shared" si="8"/>
        <v>6.0633601728868252</v>
      </c>
      <c r="AV54" s="2"/>
      <c r="AW54" s="2">
        <f t="shared" si="9"/>
        <v>1.6199227189983803</v>
      </c>
      <c r="AX54" s="2"/>
      <c r="AZ54" s="2">
        <f>'Naive Apparent Lambdas'!$U$2*(10000/(D54+273))+'Naive Apparent Lambdas'!$V$2</f>
        <v>25.272915712407681</v>
      </c>
      <c r="BA54">
        <f>'Naive Apparent Lambdas'!$V$4</f>
        <v>6.7480704157997479E-2</v>
      </c>
      <c r="BB54" s="2">
        <f t="shared" si="1"/>
        <v>94599280986.297607</v>
      </c>
      <c r="BC54" s="2">
        <f t="shared" si="5"/>
        <v>6383626093.7956247</v>
      </c>
      <c r="BD54" s="2">
        <f>BB54*(D54+273)*$D$145*$F$144</f>
        <v>3.3173790351308016E-5</v>
      </c>
      <c r="BE54" s="2"/>
      <c r="BF54" s="31">
        <f t="shared" si="6"/>
        <v>74378450025.067627</v>
      </c>
      <c r="BG54" s="31">
        <f t="shared" si="7"/>
        <v>80496818032.103622</v>
      </c>
      <c r="BH54" s="2">
        <f t="shared" si="26"/>
        <v>3.5067698195415599E-16</v>
      </c>
      <c r="BI54" s="2"/>
      <c r="BJ54" s="2">
        <f>R54/(1-EXP(-E54*60*BD54))</f>
        <v>0</v>
      </c>
      <c r="BK54" s="2">
        <f>2*SQRT(
((S54/2) * (1 / (1 - EXP(-E54 * 60 * BB54 * BH54))))^2 +
(BC54 * (-R54 * 60 * E54 * BH54 * EXP(-E54 * 60 * BB54 * BH54) / (1 - EXP(-E54 * 60 * BB54 * BH54))^2))^2
)</f>
        <v>0</v>
      </c>
      <c r="BL54" s="2">
        <f>R54/(1-EXP(-E54*60*BB54*BH54)*EXP(-(M54-1560)*$CW$126*$BH$122))</f>
        <v>0</v>
      </c>
      <c r="BM54" s="2">
        <f>2*SQRT(
((S54/2) * (1 / (1 - EXP(-E54 * 60 * BB54 * BH54) * EXP(-(M54 - 1560) * $CW$126 * $BH$48))))^2 +
(BC54 * (-R54 * 60 * E54 * BH54 * EXP(-E54 * 60 * BB54 * BH54) / ((1 - EXP(-E54 * 60 * BB54 * BH54) * EXP(-(M54 - 1560) * $CW$126 * $BH$48))^2)))^2 +
($CX$126 * (-R54 * (M54 - 1560) * $BH$48 * EXP(-(M54 - 1560) * $CW$126 * $BH$48) / ((1 - EXP(-E54 * 60 * BB54 * BH54) * EXP(-(M54 - 1560) * $CW$126 * $BH$48))^2)))^2
)</f>
        <v>0</v>
      </c>
      <c r="BN54" s="54">
        <f>BN53*EXP(-BD53*E53*60)</f>
        <v>4.9638532169490558E-3</v>
      </c>
      <c r="BO54" s="99">
        <f>2*((((BO53/2)*EXP(-BD53*E53*60))^2+(BN53*EXP(-BD53*E53*60)*E53*60*BC53*BD53/BB53)^2)^0.5)</f>
        <v>6.4613834762803377E-4</v>
      </c>
      <c r="BP54" s="22"/>
      <c r="BQ54" s="22"/>
      <c r="BT54" s="2"/>
      <c r="BU54" s="2"/>
      <c r="BV54" s="54">
        <f>BV53*EXP(-BB53*BH53*E53*60*0.91357457380209)*EXP(-(M53-1560)*$CW$126*$BH$48*0.91357457380209)</f>
        <v>5.0277079055661175E-4</v>
      </c>
      <c r="BW54" s="99">
        <f>2*SQRT(
((BW53/2) * EXP(-BB53 * BH53 * E53 * 60 * 0.91357457380209) * EXP(-(M53 - 1560) * $CW$126 * $BH$48 * 0.91357457380209))^2 +
(BC53 * (-BV53 * BH53 * E53 * 60 * 0.91357457380209 * EXP(-BB53 * BH53 * E53 * 60 * 0.91357457380209) * EXP(-(M53 - 1560) * $CW$126 * $BH$48 * 0.91357457380209)))^2 +
((0.146030972937065 / 2) * BV53 * (-BB53 * BH53 * E53 * 60 - (M53 - 1560) * $CW$126 * $BH$48) * EXP(-BB53 * BH53 * E53 * 60 * 0.91357457380209) * EXP(-(M53 - 1560) * $CW$126 * $BH$48 * 0.91357457380209))^2 +
-(M53-1560)*$BH$48*0.91357457380209*BV53*EXP(-BB53*BH53*E53*60*0.91357457380209)*EXP(-(M53-1560)*$CW$126*$BH$48*0.91357457380209))</f>
        <v>1.5286170996756622E-3</v>
      </c>
      <c r="BX54" s="22"/>
      <c r="BY54" s="22"/>
      <c r="CA54" s="141">
        <f t="shared" si="32"/>
        <v>4.5600305583249129E-3</v>
      </c>
      <c r="CB54" s="34"/>
      <c r="CC54" s="34"/>
      <c r="CD54" s="34">
        <f t="shared" si="33"/>
        <v>1.7923184678209974E-3</v>
      </c>
      <c r="CE54" s="2"/>
      <c r="CF54" s="2"/>
      <c r="CS54" s="2"/>
    </row>
    <row r="55" spans="1:100" s="29" customFormat="1" x14ac:dyDescent="0.3">
      <c r="A55" s="29" t="s">
        <v>101</v>
      </c>
      <c r="B55" s="29" t="s">
        <v>102</v>
      </c>
      <c r="C55" s="30">
        <v>45334.70416666667</v>
      </c>
      <c r="D55" s="29">
        <v>175</v>
      </c>
      <c r="E55" s="29">
        <f t="shared" si="31"/>
        <v>920</v>
      </c>
      <c r="F55" s="29" t="s">
        <v>289</v>
      </c>
      <c r="G55" s="31">
        <v>2.89</v>
      </c>
      <c r="H55" s="31">
        <v>0</v>
      </c>
      <c r="I55" s="31">
        <v>0.58099999999999996</v>
      </c>
      <c r="J55" s="29">
        <v>55200</v>
      </c>
      <c r="K55" s="29">
        <v>55330.002</v>
      </c>
      <c r="L55" s="29">
        <f t="shared" si="2"/>
        <v>57240.000000502914</v>
      </c>
      <c r="M55" s="29">
        <f t="shared" si="3"/>
        <v>2040.0000005029142</v>
      </c>
      <c r="N55" s="65"/>
      <c r="O55" s="29">
        <v>6.23457148623556E-3</v>
      </c>
      <c r="P55" s="29">
        <v>2.6147739799487899E-2</v>
      </c>
      <c r="R55" s="29">
        <v>1.80179115952207E-2</v>
      </c>
      <c r="S55" s="29">
        <v>3.2107528292879398E-4</v>
      </c>
      <c r="T55" s="29">
        <v>1.5191836823502501E-2</v>
      </c>
      <c r="U55" s="31">
        <v>6.3860130088477996E-5</v>
      </c>
      <c r="V55" s="31"/>
      <c r="W55" s="31">
        <f>(1000*T55/R55)/$AG$140</f>
        <v>0.8450787034046463</v>
      </c>
      <c r="X55" s="31"/>
      <c r="Y55" s="31">
        <f>T55-AVERAGE(T56:T58)</f>
        <v>1.2228067032370183E-2</v>
      </c>
      <c r="Z55" s="31">
        <f>U55+AVERAGE(T56:T58)</f>
        <v>3.027629921220795E-3</v>
      </c>
      <c r="AA55" s="31"/>
      <c r="AB55" s="31">
        <f>(Y55*1000)/R55</f>
        <v>678.66172878846362</v>
      </c>
      <c r="AC55" s="31">
        <f>2*((1000*Z55/(2*R55))^2+((S55/2)*1000*Y55/(R55^2))^2)^0.5</f>
        <v>168.46908534646045</v>
      </c>
      <c r="AD55" s="31">
        <f>AB55/$AG$140</f>
        <v>0.68021261371592667</v>
      </c>
      <c r="AE55" s="31">
        <f>2*(($AH$140*AB55/(2*$AG$140^2))^2+(AC55/($AG$140*2))^2)^0.5</f>
        <v>0.16901048129040583</v>
      </c>
      <c r="AF55" s="69"/>
      <c r="AG55" s="31" cm="1">
        <f t="array" ref="AG55:AH55">BP55:BQ55</f>
        <v>1.8864768406653305E-2</v>
      </c>
      <c r="AH55" s="29">
        <v>7.419842691148348E-4</v>
      </c>
      <c r="AI55" s="31" cm="1">
        <f t="array" ref="AI55:AJ55">BX55:BY55</f>
        <v>1.5233595932043658E-2</v>
      </c>
      <c r="AJ55" s="29">
        <v>3.4152721933003961E-3</v>
      </c>
      <c r="AL55" s="31">
        <f>1000*AI55/AG55</f>
        <v>807.51566113427657</v>
      </c>
      <c r="AM55" s="31">
        <f>2*((AH55*1000*AI55/(2*AG55^2))^2+(1000*AJ55/(AG55*2))^2)^0.5</f>
        <v>183.80461797032731</v>
      </c>
      <c r="AN55" s="31">
        <f>AL55/$AG$140</f>
        <v>0.80936100442448866</v>
      </c>
      <c r="AO55" s="31">
        <f>2*(($AH$140*AL55/(2*$AG$140^2))^2+(AM55/($AG$140*2))^2)^0.5</f>
        <v>0.18442759673913381</v>
      </c>
      <c r="AP55" s="31"/>
      <c r="AQ55" s="31">
        <f>SUM(BP$5:$BP55)</f>
        <v>6.1071115475292128</v>
      </c>
      <c r="AR55" s="31" cm="1">
        <f t="array" ref="AR55">2*SQRT(SUM((BQ$5:$BQ55/2)^2))</f>
        <v>4.4908445359356161E-2</v>
      </c>
      <c r="AS55" s="31">
        <f>SUM($BX$5:BX55)</f>
        <v>1.4182549831574087</v>
      </c>
      <c r="AT55" s="31" cm="1">
        <f t="array" ref="AT55">2*SQRT(SUM(($BY$5:BY55/2)^2))</f>
        <v>3.1447979352650493E-2</v>
      </c>
      <c r="AU55" s="31">
        <f t="shared" si="8"/>
        <v>6.0813780844820462</v>
      </c>
      <c r="AV55" s="31"/>
      <c r="AW55" s="31">
        <f t="shared" si="9"/>
        <v>1.6351145558218827</v>
      </c>
      <c r="AX55" s="31"/>
      <c r="AY55" s="69"/>
      <c r="AZ55" s="31"/>
      <c r="BB55" s="31"/>
      <c r="BC55" s="31"/>
      <c r="BD55" s="31"/>
      <c r="BE55" s="31"/>
      <c r="BF55" s="31">
        <f t="shared" si="6"/>
        <v>246116028366.41577</v>
      </c>
      <c r="BG55" s="31">
        <f t="shared" si="7"/>
        <v>270095216980.86789</v>
      </c>
      <c r="BH55" s="31">
        <f t="shared" si="26"/>
        <v>4.2691110846592899E-16</v>
      </c>
      <c r="BI55" s="31"/>
      <c r="BJ55" s="31"/>
      <c r="BK55" s="31"/>
      <c r="BL55" s="31"/>
      <c r="BM55" s="31"/>
      <c r="BN55" s="54">
        <f>BN54*EXP(-BD54*E54*60)</f>
        <v>3.6825969058135863E-3</v>
      </c>
      <c r="BO55" s="99">
        <f>2*((((BO54/2)*EXP(-BD54*E54*60))^2+(BN54*EXP(-BD54*E54*60)*E54*60*BC54*BD54/BB54)^2)^0.5)</f>
        <v>5.0180094803284705E-4</v>
      </c>
      <c r="BP55" s="23">
        <f>R55+BN56-BN55</f>
        <v>1.8864768406653305E-2</v>
      </c>
      <c r="BQ55" s="23">
        <f>2*(((BO55/2)^2+(BO56/2)^2+(S55/2)^2)^(0.5))</f>
        <v>7.419842691148348E-4</v>
      </c>
      <c r="BR55" s="72">
        <f>100*(BP55-R55)/R55</f>
        <v>4.7000830643282558</v>
      </c>
      <c r="BS55" s="72"/>
      <c r="BT55" s="31"/>
      <c r="BU55" s="31"/>
      <c r="BV55" s="114">
        <f>BV54*EXP(-BB54*BH54*E54*60*0.91357457380209)*EXP(-(M54-1560)*$CW$126*$BH$48*0.91357457380209)</f>
        <v>3.8213404877426627E-4</v>
      </c>
      <c r="BW55" s="116">
        <f>2*SQRT(
((BW54/2) * EXP(-BB54 * BH54 * E54 * 60 * 0.91357457380209) * EXP(-(M54 - 1560) * $CW$126 * $BH$48 * 0.91357457380209))^2 +
(BC54 * (-BV54 * BH54 * E54 * 60 * 0.91357457380209 * EXP(-BB54 * BH54 * E54 * 60 * 0.91357457380209) * EXP(-(M54 - 1560) * $CW$126 * $BH$48 * 0.91357457380209)))^2 +
((0.146030972937065 / 2) * BV54 * (-BB54 * BH54 * E54 * 60 - (M54 - 1560) * $CW$126 * $BH$48) * EXP(-BB54 * BH54 * E54 * 60 * 0.91357457380209) * EXP(-(M54 - 1560) * $CW$126 * $BH$48 * 0.91357457380209))^2 +
-(M54-1560)*$BH$48*0.91357457380209*BV54*EXP(-BB54*BH54*E54*60*0.91357457380209)*EXP(-(M54-1560)*$CW$126*$BH$48*0.91357457380209))</f>
        <v>1.1620408904525791E-3</v>
      </c>
      <c r="BX55" s="23">
        <f>Y55+BV56-BV55</f>
        <v>1.5233595932043658E-2</v>
      </c>
      <c r="BY55" s="23">
        <f>2*(((BW55/2)^2+(BW56/2)^2+(Z55/2)^2)^(0.5))</f>
        <v>3.4152721933003961E-3</v>
      </c>
      <c r="BZ55" s="72">
        <f>100*(BX55-Y55)/Y55</f>
        <v>24.578937061084375</v>
      </c>
      <c r="CA55" s="140">
        <f>R55*CC55</f>
        <v>3.3584635186452907E-3</v>
      </c>
      <c r="CB55" s="31">
        <f>BH55*BG55*J55</f>
        <v>6.3649269956901646</v>
      </c>
      <c r="CC55" s="31">
        <f>1/(CB55-1)</f>
        <v>0.18639582622528419</v>
      </c>
      <c r="CD55" s="31">
        <f>CF55*T55</f>
        <v>3.1650678213308433E-3</v>
      </c>
      <c r="CE55" s="31">
        <f>BH55*BF55*J55</f>
        <v>5.7998455897588501</v>
      </c>
      <c r="CF55" s="31">
        <f>1/(CE55-1)</f>
        <v>0.20834003538231344</v>
      </c>
      <c r="CG55" s="31">
        <f>R55-CA51</f>
        <v>1.3399586543539767E-2</v>
      </c>
      <c r="CH55" s="31">
        <f>R55+CA55</f>
        <v>2.1376375113865989E-2</v>
      </c>
      <c r="CI55" s="31">
        <f>T55-CD51</f>
        <v>1.3378357497085281E-2</v>
      </c>
      <c r="CJ55" s="31">
        <f>T55+CD55</f>
        <v>1.8356904644833343E-2</v>
      </c>
      <c r="CK55" s="31">
        <f>CE55*1.29</f>
        <v>7.4818008107889167</v>
      </c>
      <c r="CL55" s="31">
        <f>R55 / (CK55-1)</f>
        <v>2.7797694068645244E-3</v>
      </c>
      <c r="CM55" s="31">
        <f>1000*T55/R55</f>
        <v>843.15192375192782</v>
      </c>
      <c r="CN55" s="31">
        <f>1000*(T55+CD55)/(R55+CL55)</f>
        <v>882.64189853632399</v>
      </c>
      <c r="CO55" s="31">
        <f>1000*(T55-CD51)/(R55-CL51)</f>
        <v>942.22512837890724</v>
      </c>
      <c r="CP55" s="31">
        <f>1000*(T55+CD55-CD51)/(R55+CL55-CL51)</f>
        <v>974.37759834081169</v>
      </c>
      <c r="CQ55" s="31">
        <f>MAX(CM55:CP55)</f>
        <v>974.37759834081169</v>
      </c>
      <c r="CR55" s="31">
        <f>MIN(CM55:CP55)</f>
        <v>843.15192375192782</v>
      </c>
      <c r="CS55" s="31"/>
    </row>
    <row r="56" spans="1:100" s="32" customFormat="1" x14ac:dyDescent="0.3">
      <c r="A56" s="32" t="s">
        <v>103</v>
      </c>
      <c r="B56" s="32" t="s">
        <v>104</v>
      </c>
      <c r="C56" s="33">
        <v>45334.826388888891</v>
      </c>
      <c r="D56" s="32">
        <v>115</v>
      </c>
      <c r="E56" s="32">
        <f t="shared" si="31"/>
        <v>150</v>
      </c>
      <c r="F56" s="32" t="s">
        <v>286</v>
      </c>
      <c r="G56" s="34">
        <v>0.34699999999999998</v>
      </c>
      <c r="H56" s="34">
        <v>0</v>
      </c>
      <c r="I56" s="34">
        <v>7.4200000000000002E-2</v>
      </c>
      <c r="J56" s="32">
        <v>9000</v>
      </c>
      <c r="K56" s="32">
        <v>9127.5220000000008</v>
      </c>
      <c r="L56" s="32">
        <f t="shared" si="2"/>
        <v>10559.999999846332</v>
      </c>
      <c r="M56" s="32">
        <f t="shared" si="3"/>
        <v>1559.9999998463318</v>
      </c>
      <c r="N56" s="65"/>
      <c r="O56" s="32">
        <v>6.2097822308045001E-3</v>
      </c>
      <c r="P56" s="32">
        <v>2.6120648038791199E-2</v>
      </c>
      <c r="R56" s="32">
        <v>2.1547944340891598E-3</v>
      </c>
      <c r="S56" s="34">
        <v>3.80612337538873E-5</v>
      </c>
      <c r="T56" s="32">
        <v>1.9381520844783001E-3</v>
      </c>
      <c r="U56" s="34">
        <v>8.1504492003701294E-6</v>
      </c>
      <c r="V56" s="34"/>
      <c r="Y56" s="34"/>
      <c r="Z56" s="34"/>
      <c r="AA56" s="34"/>
      <c r="AB56" s="34"/>
      <c r="AF56" s="69"/>
      <c r="AQ56" s="34">
        <f>SUM(BP$5:$BP56)</f>
        <v>6.1071115475292128</v>
      </c>
      <c r="AR56" s="34" cm="1">
        <f t="array" ref="AR56">2*SQRT(SUM((BQ$5:$BQ56/2)^2))</f>
        <v>4.4908445359356161E-2</v>
      </c>
      <c r="AS56" s="34">
        <f>SUM($BX$5:BX56)</f>
        <v>1.4182549831574087</v>
      </c>
      <c r="AT56" s="34" cm="1">
        <f t="array" ref="AT56">2*SQRT(SUM(($BY$5:BY56/2)^2))</f>
        <v>3.1447979352650493E-2</v>
      </c>
      <c r="AU56" s="34">
        <f t="shared" si="8"/>
        <v>6.0835328789161354</v>
      </c>
      <c r="AV56" s="34"/>
      <c r="AW56" s="34">
        <f t="shared" si="9"/>
        <v>1.637052707906361</v>
      </c>
      <c r="AX56" s="34"/>
      <c r="AY56" s="69"/>
      <c r="AZ56" s="34">
        <f>'Naive Apparent Lambdas'!$U$2*(10000/(D56+273))+'Naive Apparent Lambdas'!$V$2</f>
        <v>25.991416979826834</v>
      </c>
      <c r="BA56" s="32">
        <f>'Naive Apparent Lambdas'!$V$4</f>
        <v>6.7480704157997479E-2</v>
      </c>
      <c r="BB56" s="34">
        <f t="shared" si="1"/>
        <v>194056847187.76276</v>
      </c>
      <c r="BC56" s="34">
        <f t="shared" si="5"/>
        <v>13095092694.911144</v>
      </c>
      <c r="BD56" s="34">
        <f>BB56*(D56+273)*$D$145*$F$144</f>
        <v>7.1749708059090411E-5</v>
      </c>
      <c r="BE56" s="34"/>
      <c r="BF56" s="31">
        <f t="shared" si="6"/>
        <v>105065839002.11293</v>
      </c>
      <c r="BG56" s="31">
        <f t="shared" si="7"/>
        <v>114166368820.14638</v>
      </c>
      <c r="BH56" s="34">
        <f t="shared" si="26"/>
        <v>3.6973551358209923E-16</v>
      </c>
      <c r="BI56" s="34"/>
      <c r="BJ56" s="34">
        <f>R56/(1-EXP(-E56*60*BD56))</f>
        <v>4.5294537172461905E-3</v>
      </c>
      <c r="BK56" s="34">
        <f>2*SQRT(
((S56/2) * (1 / (1 - EXP(-E56 * 60 * BB56 * BH56))))^2 +
(BC56 * (-R56 * 60 * E56 * BH56 * EXP(-E56 * 60 * BB56 * BH56) / (1 - EXP(-E56 * 60 * BB56 * BH56))^2))^2
)</f>
        <v>4.4232016329736354E-4</v>
      </c>
      <c r="BL56" s="34">
        <f>R56/(1-EXP(-E56*60*BB56*BH56)*EXP(-(M56-1560)*$CW$126*$BH$122))</f>
        <v>4.5294537172517963E-3</v>
      </c>
      <c r="BM56" s="34">
        <f>2*SQRT(
((S56/2) * (1 / (1 - EXP(-E56 * 60 * BB56 * BH56) * EXP(-(M56 - 1560) * $CW$126 * $BH$48))))^2 +
(BC56 * (-R56 * 60 * E56 * BH56 * EXP(-E56 * 60 * BB56 * BH56) / ((1 - EXP(-E56 * 60 * BB56 * BH56) * EXP(-(M56 - 1560) * $CW$126 * $BH$48))^2)))^2 +
($CX$126 * (-R56 * (M56 - 1560) * $BH$48 * EXP(-(M56 - 1560) * $CW$126 * $BH$48) / ((1 - EXP(-E56 * 60 * BB56 * BH56) * EXP(-(M56 - 1560) * $CW$126 * $BH$48))^2)))^2
)</f>
        <v>4.4232016329844069E-4</v>
      </c>
      <c r="BN56" s="117" cm="1">
        <f t="array" ref="BN56:BO56">BJ56:BK56</f>
        <v>4.5294537172461905E-3</v>
      </c>
      <c r="BO56" s="118">
        <v>4.4232016329736354E-4</v>
      </c>
      <c r="BP56" s="24"/>
      <c r="BQ56" s="24"/>
      <c r="BR56" s="73"/>
      <c r="BS56" s="73"/>
      <c r="BT56" s="123">
        <f>BN56*(Y55/R55)*1.10204926384627</f>
        <v>3.387662948447741E-3</v>
      </c>
      <c r="BU56" s="123">
        <f>2*(((BO56/2)*1.10204926384627*(AB55/(1000)))^2+((AC55/2000)*1.10204926384627*BN56)^2+((0.187040260207234/2)*BN56*(AB55/(1000)))^2)^0.5</f>
        <v>1.0710752463649036E-3</v>
      </c>
      <c r="BV56" s="124">
        <f>BT56</f>
        <v>3.387662948447741E-3</v>
      </c>
      <c r="BW56" s="125">
        <f>BU56</f>
        <v>1.0710752463649036E-3</v>
      </c>
      <c r="BX56" s="24"/>
      <c r="BY56" s="24"/>
      <c r="BZ56" s="73"/>
      <c r="CA56" s="141">
        <f t="shared" ref="CA56:CA58" si="34">CA55*(EXP(-BH56*BG56*E56))*(EXP(-$BG$140*$F$144*D195*(24+273)*M56))</f>
        <v>3.3372659005835108E-3</v>
      </c>
      <c r="CB56" s="34"/>
      <c r="CC56" s="34"/>
      <c r="CD56" s="34">
        <f t="shared" ref="CD56:CD58" si="35">CD55*(EXP(-BH56*BF56*E56))*(EXP(-$BF$140*$F$144*D195*(24+273)*M56))</f>
        <v>3.1466786448735426E-3</v>
      </c>
      <c r="CE56" s="34"/>
      <c r="CF56" s="34"/>
      <c r="CG56" s="34"/>
      <c r="CH56" s="34"/>
      <c r="CI56" s="34"/>
      <c r="CJ56" s="34"/>
      <c r="CK56" s="34"/>
      <c r="CL56" s="34"/>
      <c r="CM56" s="34"/>
      <c r="CN56" s="34"/>
      <c r="CO56" s="34"/>
      <c r="CP56" s="34"/>
      <c r="CQ56" s="34"/>
      <c r="CR56" s="34"/>
      <c r="CS56" s="34"/>
    </row>
    <row r="57" spans="1:100" x14ac:dyDescent="0.3">
      <c r="A57" t="s">
        <v>105</v>
      </c>
      <c r="B57" t="s">
        <v>106</v>
      </c>
      <c r="C57" s="1">
        <v>45334.947916666664</v>
      </c>
      <c r="D57">
        <v>115</v>
      </c>
      <c r="E57">
        <f t="shared" si="31"/>
        <v>150</v>
      </c>
      <c r="G57" s="2">
        <v>-3.9500000000000004E-3</v>
      </c>
      <c r="H57" s="2">
        <v>0</v>
      </c>
      <c r="I57" s="2">
        <v>0.126</v>
      </c>
      <c r="J57">
        <v>9000</v>
      </c>
      <c r="K57">
        <v>9123.8080000000009</v>
      </c>
      <c r="L57">
        <f t="shared" si="2"/>
        <v>10499.999999650754</v>
      </c>
      <c r="M57">
        <f t="shared" si="3"/>
        <v>1499.999999650754</v>
      </c>
      <c r="N57" s="65"/>
      <c r="O57">
        <v>6.2188139287797E-3</v>
      </c>
      <c r="P57">
        <v>2.6127463778327299E-2</v>
      </c>
      <c r="R57" s="2">
        <v>-2.4564315018679799E-5</v>
      </c>
      <c r="S57" s="2">
        <v>-4.8146793960017803E-7</v>
      </c>
      <c r="T57">
        <v>3.29206043606924E-3</v>
      </c>
      <c r="U57" s="2">
        <v>1.4470161998891E-5</v>
      </c>
      <c r="V57" s="2"/>
      <c r="Y57" s="2"/>
      <c r="Z57" s="2"/>
      <c r="AA57" s="2"/>
      <c r="AB57" s="2"/>
      <c r="AQ57" s="2">
        <f>SUM(BP$5:$BP57)</f>
        <v>6.1071115475292128</v>
      </c>
      <c r="AR57" s="2" cm="1">
        <f t="array" ref="AR57">2*SQRT(SUM((BQ$5:$BQ57/2)^2))</f>
        <v>4.4908445359356161E-2</v>
      </c>
      <c r="AS57" s="2">
        <f>SUM($BX$5:BX57)</f>
        <v>1.4182549831574087</v>
      </c>
      <c r="AT57" s="2" cm="1">
        <f t="array" ref="AT57">2*SQRT(SUM(($BY$5:BY57/2)^2))</f>
        <v>3.1447979352650493E-2</v>
      </c>
      <c r="AU57" s="2">
        <f t="shared" si="8"/>
        <v>6.0835083146011169</v>
      </c>
      <c r="AV57" s="2"/>
      <c r="AW57" s="2">
        <f t="shared" si="9"/>
        <v>1.6403447683424304</v>
      </c>
      <c r="AX57" s="2"/>
      <c r="AZ57" s="2">
        <f>'Naive Apparent Lambdas'!$U$2*(10000/(D57+273))+'Naive Apparent Lambdas'!$V$2</f>
        <v>25.991416979826834</v>
      </c>
      <c r="BA57">
        <f>'Naive Apparent Lambdas'!$V$4</f>
        <v>6.7480704157997479E-2</v>
      </c>
      <c r="BB57" s="2">
        <f t="shared" si="1"/>
        <v>194056847187.76276</v>
      </c>
      <c r="BC57" s="2">
        <f t="shared" si="5"/>
        <v>13095092694.911144</v>
      </c>
      <c r="BD57" s="2">
        <f>BB57*(D57+273)*$D$145*$F$144</f>
        <v>7.1749708059090411E-5</v>
      </c>
      <c r="BE57" s="2"/>
      <c r="BF57" s="31">
        <f t="shared" si="6"/>
        <v>105065839002.11293</v>
      </c>
      <c r="BG57" s="31">
        <f t="shared" si="7"/>
        <v>114166368820.14638</v>
      </c>
      <c r="BH57" s="2">
        <f t="shared" si="26"/>
        <v>3.6973551358209923E-16</v>
      </c>
      <c r="BI57" s="2"/>
      <c r="BJ57" s="2">
        <f>R57/(1-EXP(-E57*60*BD57))</f>
        <v>-5.1635054468663002E-5</v>
      </c>
      <c r="BK57" s="2">
        <f>2*SQRT(
((S57/2) * (1 / (1 - EXP(-E57 * 60 * BB57 * BH57))))^2 +
(BC57 * (-R57 * 60 * E57 * BH57 * EXP(-E57 * 60 * BB57 * BH57) / (1 - EXP(-E57 * 60 * BB57 * BH57))^2))^2
)</f>
        <v>5.061424450583177E-6</v>
      </c>
      <c r="BL57" s="2">
        <f>R57/(1-EXP(-E57*60*BB57*BH57)*EXP(-(M57-1560)*$CW$126*$BH$122))</f>
        <v>-5.1660023153915536E-5</v>
      </c>
      <c r="BM57" s="2">
        <f>2*SQRT(
((S57/2) * (1 / (1 - EXP(-E57 * 60 * BB57 * BH57) * EXP(-(M57 - 1560) * $CW$126 * $BH$48))))^2 +
(BC57 * (-R57 * 60 * E57 * BH57 * EXP(-E57 * 60 * BB57 * BH57) / ((1 - EXP(-E57 * 60 * BB57 * BH57) * EXP(-(M57 - 1560) * $CW$126 * $BH$48))^2)))^2 +
($CX$126 * (-R57 * (M57 - 1560) * $BH$48 * EXP(-(M57 - 1560) * $CW$126 * $BH$48) / ((1 - EXP(-E57 * 60 * BB57 * BH57) * EXP(-(M57 - 1560) * $CW$126 * $BH$48))^2)))^2
)</f>
        <v>5.0662425884193709E-6</v>
      </c>
      <c r="BN57" s="54">
        <f>BN56*EXP(-BD56*E56*60)</f>
        <v>2.3746592831570307E-3</v>
      </c>
      <c r="BO57" s="99">
        <f>2*((((BO56/2)*EXP(-BD56*E56*60))^2+(BN56*EXP(-BD56*E56*60)*E56*60*BC56*BD56/BB56)^2)^0.5)</f>
        <v>3.1081409545666446E-4</v>
      </c>
      <c r="BP57" s="22"/>
      <c r="BQ57" s="22"/>
      <c r="BT57" s="2"/>
      <c r="BU57" s="2"/>
      <c r="BV57" s="54">
        <f>BV56*EXP(-BB56*BH56*E56*60*0.91357457380209)*EXP(-(M56-1560)*$CW$126*$BH$48*0.91357457380209)</f>
        <v>1.8779897207615139E-3</v>
      </c>
      <c r="BW57" s="99">
        <f>2*SQRT(
((BW56/2) * EXP(-BB56 * BH56 * E56 * 60 * 0.91357457380209) * EXP(-(M56 - 1560) * $CW$126 * $BH$48 * 0.91357457380209))^2 +
(BC56 * (-BV56 * BH56 * E56 * 60 * 0.91357457380209 * EXP(-BB56 * BH56 * E56 * 60 * 0.91357457380209) * EXP(-(M56 - 1560) * $CW$126 * $BH$48 * 0.91357457380209)))^2 +
((0.146030972937065 / 2) * BV56 * (-BB56 * BH56 * E56 * 60 - (M56 - 1560) * $CW$126 * $BH$48) * EXP(-BB56 * BH56 * E56 * 60 * 0.91357457380209) * EXP(-(M56 - 1560) * $CW$126 * $BH$48 * 0.91357457380209))^2 +
-(M56-1560)*$BH$48*0.91357457380209*BV56*EXP(-BB56*BH56*E56*60*0.91357457380209)*EXP(-(M56-1560)*$CW$126*$BH$48*0.91357457380209))</f>
        <v>6.3739580609524342E-4</v>
      </c>
      <c r="BX57" s="22"/>
      <c r="BY57" s="22"/>
      <c r="CA57" s="141">
        <f t="shared" si="34"/>
        <v>3.3162020755520849E-3</v>
      </c>
      <c r="CB57" s="34"/>
      <c r="CC57" s="34"/>
      <c r="CD57" s="34">
        <f t="shared" si="35"/>
        <v>3.1283963103007975E-3</v>
      </c>
      <c r="CE57" s="2"/>
      <c r="CF57" s="2"/>
      <c r="CS57" s="2"/>
    </row>
    <row r="58" spans="1:100" x14ac:dyDescent="0.3">
      <c r="A58" t="s">
        <v>107</v>
      </c>
      <c r="B58" t="s">
        <v>108</v>
      </c>
      <c r="C58" s="1">
        <v>45335.070833333331</v>
      </c>
      <c r="D58">
        <v>115</v>
      </c>
      <c r="E58">
        <f t="shared" si="31"/>
        <v>150</v>
      </c>
      <c r="G58" s="2">
        <v>0.34599999999999997</v>
      </c>
      <c r="H58" s="2">
        <v>0</v>
      </c>
      <c r="I58" s="2">
        <v>0.14000000000000001</v>
      </c>
      <c r="J58">
        <v>9000</v>
      </c>
      <c r="K58">
        <v>9127.5169999999998</v>
      </c>
      <c r="L58">
        <f t="shared" si="2"/>
        <v>10620.00000004191</v>
      </c>
      <c r="M58">
        <f t="shared" si="3"/>
        <v>1620.0000000419095</v>
      </c>
      <c r="N58" s="65"/>
      <c r="O58">
        <v>6.2479708122665104E-3</v>
      </c>
      <c r="P58">
        <v>2.6150691806067199E-2</v>
      </c>
      <c r="R58">
        <v>2.1617979010442102E-3</v>
      </c>
      <c r="S58" s="2">
        <v>5.6464439554593698E-5</v>
      </c>
      <c r="T58">
        <v>3.66109685284941E-3</v>
      </c>
      <c r="U58" s="2">
        <v>1.80956611504072E-5</v>
      </c>
      <c r="V58" s="2"/>
      <c r="Y58" s="2"/>
      <c r="Z58" s="2"/>
      <c r="AA58" s="2"/>
      <c r="AB58" s="2"/>
      <c r="AQ58" s="2">
        <f>SUM(BP$5:$BP58)</f>
        <v>6.1071115475292128</v>
      </c>
      <c r="AR58" s="2" cm="1">
        <f t="array" ref="AR58">2*SQRT(SUM((BQ$5:$BQ58/2)^2))</f>
        <v>4.4908445359356161E-2</v>
      </c>
      <c r="AS58" s="2">
        <f>SUM($BX$5:BX58)</f>
        <v>1.4182549831574087</v>
      </c>
      <c r="AT58" s="2" cm="1">
        <f t="array" ref="AT58">2*SQRT(SUM(($BY$5:BY58/2)^2))</f>
        <v>3.1447979352650493E-2</v>
      </c>
      <c r="AU58" s="2">
        <f t="shared" si="8"/>
        <v>6.0856701125021608</v>
      </c>
      <c r="AV58" s="2"/>
      <c r="AW58" s="2">
        <f t="shared" si="9"/>
        <v>1.6440058651952798</v>
      </c>
      <c r="AX58" s="2"/>
      <c r="AZ58" s="2">
        <f>'Naive Apparent Lambdas'!$U$2*(10000/(D58+273))+'Naive Apparent Lambdas'!$V$2</f>
        <v>25.991416979826834</v>
      </c>
      <c r="BA58">
        <f>'Naive Apparent Lambdas'!$V$4</f>
        <v>6.7480704157997479E-2</v>
      </c>
      <c r="BB58" s="2">
        <f t="shared" si="1"/>
        <v>194056847187.76276</v>
      </c>
      <c r="BC58" s="2">
        <f t="shared" si="5"/>
        <v>13095092694.911144</v>
      </c>
      <c r="BD58" s="2">
        <f>BB58*(D58+273)*$D$145*$F$144</f>
        <v>7.1749708059090411E-5</v>
      </c>
      <c r="BE58" s="2"/>
      <c r="BF58" s="31">
        <f t="shared" si="6"/>
        <v>105065839002.11293</v>
      </c>
      <c r="BG58" s="31">
        <f t="shared" si="7"/>
        <v>114166368820.14638</v>
      </c>
      <c r="BH58" s="2">
        <f t="shared" si="26"/>
        <v>3.6973551358209923E-16</v>
      </c>
      <c r="BI58" s="2"/>
      <c r="BJ58" s="2">
        <f>R58/(1-EXP(-E58*60*BD58))</f>
        <v>4.5441752512038235E-3</v>
      </c>
      <c r="BK58" s="2">
        <f>2*SQRT(
((S58/2) * (1 / (1 - EXP(-E58 * 60 * BB58 * BH58))))^2 +
(BC58 * (-R58 * 60 * E58 * BH58 * EXP(-E58 * 60 * BB58 * BH58) / (1 - EXP(-E58 * 60 * BB58 * BH58))^2))^2
)</f>
        <v>4.5228939625368138E-4</v>
      </c>
      <c r="BL58" s="2">
        <f>R58/(1-EXP(-E58*60*BB58*BH58)*EXP(-(M58-1560)*$CW$126*$BH$122))</f>
        <v>4.5419809514474644E-3</v>
      </c>
      <c r="BM58" s="2">
        <f>2*SQRT(
((S58/2) * (1 / (1 - EXP(-E58 * 60 * BB58 * BH58) * EXP(-(M58 - 1560) * $CW$126 * $BH$48))))^2 +
(BC58 * (-R58 * 60 * E58 * BH58 * EXP(-E58 * 60 * BB58 * BH58) / ((1 - EXP(-E58 * 60 * BB58 * BH58) * EXP(-(M58 - 1560) * $CW$126 * $BH$48))^2)))^2 +
($CX$126 * (-R58 * (M58 - 1560) * $BH$48 * EXP(-(M58 - 1560) * $CW$126 * $BH$48) / ((1 - EXP(-E58 * 60 * BB58 * BH58) * EXP(-(M58 - 1560) * $CW$126 * $BH$48))^2)))^2
)</f>
        <v>4.5186944513619015E-4</v>
      </c>
      <c r="BN58" s="54">
        <f>BN57*EXP(-BD57*E57*60)</f>
        <v>1.2449639764753476E-3</v>
      </c>
      <c r="BO58" s="99">
        <f>2*((((BO57/2)*EXP(-BD57*E57*60))^2+(BN57*EXP(-BD57*E57*60)*E57*60*BC57*BD57/BB57)^2)^0.5)</f>
        <v>1.9576806928542321E-4</v>
      </c>
      <c r="BP58" s="22"/>
      <c r="BQ58" s="22"/>
      <c r="BT58" s="2"/>
      <c r="BU58" s="2"/>
      <c r="BV58" s="54">
        <f>BV57*EXP(-BB57*BH57*E57*60*0.91357457380209)*EXP(-(M57-1560)*$CW$126*$BH$48*0.91357457380209)</f>
        <v>1.0415022180294338E-3</v>
      </c>
      <c r="BW58" s="99">
        <f>2*SQRT(
((BW57/2) * EXP(-BB57 * BH57 * E57 * 60 * 0.91357457380209) * EXP(-(M57 - 1560) * $CW$126 * $BH$48 * 0.91357457380209))^2 +
(BC57 * (-BV57 * BH57 * E57 * 60 * 0.91357457380209 * EXP(-BB57 * BH57 * E57 * 60 * 0.91357457380209) * EXP(-(M57 - 1560) * $CW$126 * $BH$48 * 0.91357457380209)))^2 +
((0.146030972937065 / 2) * BV57 * (-BB57 * BH57 * E57 * 60 - (M57 - 1560) * $CW$126 * $BH$48) * EXP(-BB57 * BH57 * E57 * 60 * 0.91357457380209) * EXP(-(M57 - 1560) * $CW$126 * $BH$48 * 0.91357457380209))^2 +
-(M57-1560)*$BH$48*0.91357457380209*BV57*EXP(-BB57*BH57*E57*60*0.91357457380209)*EXP(-(M57-1560)*$CW$126*$BH$48*0.91357457380209))</f>
        <v>3.7611641123173352E-4</v>
      </c>
      <c r="BX58" s="22"/>
      <c r="BY58" s="22"/>
      <c r="CA58" s="141">
        <f t="shared" si="34"/>
        <v>3.2952711990893893E-3</v>
      </c>
      <c r="CB58" s="34"/>
      <c r="CC58" s="34"/>
      <c r="CD58" s="34">
        <f t="shared" si="35"/>
        <v>3.110220196856789E-3</v>
      </c>
      <c r="CE58" s="2"/>
      <c r="CF58" s="2"/>
      <c r="CS58" s="2"/>
    </row>
    <row r="59" spans="1:100" s="29" customFormat="1" x14ac:dyDescent="0.3">
      <c r="A59" s="29" t="s">
        <v>109</v>
      </c>
      <c r="B59" s="29" t="s">
        <v>110</v>
      </c>
      <c r="C59" s="30">
        <v>45335.586805555555</v>
      </c>
      <c r="D59" s="29">
        <v>200</v>
      </c>
      <c r="E59" s="29">
        <f t="shared" si="31"/>
        <v>260</v>
      </c>
      <c r="F59" s="29" t="s">
        <v>289</v>
      </c>
      <c r="G59" s="31">
        <v>3.62</v>
      </c>
      <c r="H59" s="31">
        <v>0</v>
      </c>
      <c r="I59" s="31">
        <v>0.40799999999999997</v>
      </c>
      <c r="J59" s="29">
        <v>15600</v>
      </c>
      <c r="K59" s="29">
        <v>186.16300000000001</v>
      </c>
      <c r="L59" s="29">
        <f t="shared" si="2"/>
        <v>44580.000000097789</v>
      </c>
      <c r="M59" s="29">
        <f t="shared" si="3"/>
        <v>28980.000000097789</v>
      </c>
      <c r="N59" s="65"/>
      <c r="O59" s="29">
        <v>6.1944598904137196E-3</v>
      </c>
      <c r="P59" s="29">
        <v>2.6133299645816101E-2</v>
      </c>
      <c r="R59" s="29">
        <v>2.24239448032976E-2</v>
      </c>
      <c r="S59" s="29">
        <v>1.09531923925058E-3</v>
      </c>
      <c r="T59" s="29">
        <v>1.0662386255492901E-2</v>
      </c>
      <c r="U59" s="31">
        <v>5.7384764189552802E-5</v>
      </c>
      <c r="V59" s="31"/>
      <c r="W59" s="31">
        <f>(1000*T59/R59)/$AG$140</f>
        <v>0.47657770060351673</v>
      </c>
      <c r="X59" s="31"/>
      <c r="Y59" s="31">
        <f>T59-AVERAGE(T60)</f>
        <v>1.0517017525419333E-2</v>
      </c>
      <c r="Z59" s="31">
        <f>U59+AVERAGE(T60)</f>
        <v>2.0275349426312079E-4</v>
      </c>
      <c r="AA59" s="31"/>
      <c r="AB59" s="31">
        <f>(Y59*1000)/R59</f>
        <v>469.00835770308942</v>
      </c>
      <c r="AC59" s="31">
        <f>2*((1000*Z59/(2*R59))^2+((S59/2)*1000*Y59/(R59^2))^2)^0.5</f>
        <v>24.628937898763791</v>
      </c>
      <c r="AD59" s="31">
        <f>AB59/$AG$140</f>
        <v>0.470080140539753</v>
      </c>
      <c r="AE59" s="31">
        <f>2*(($AH$140*AB59/(2*$AG$140^2))^2+(AC59/($AG$140*2))^2)^0.5</f>
        <v>2.5191233798450448E-2</v>
      </c>
      <c r="AF59" s="69"/>
      <c r="AG59" s="31" cm="1">
        <f t="array" ref="AG59:AH59">BP59:BQ59</f>
        <v>3.1311094664891286E-2</v>
      </c>
      <c r="AH59" s="29">
        <v>1.6538991465150745E-3</v>
      </c>
      <c r="AI59" s="31" cm="1">
        <f t="array" ref="AI59:AJ59">BX59:BY59</f>
        <v>1.4870744250674086E-2</v>
      </c>
      <c r="AJ59" s="29">
        <v>1.1240999959807906E-3</v>
      </c>
      <c r="AL59" s="31">
        <f>1000*AI59/AG59</f>
        <v>474.9353035985821</v>
      </c>
      <c r="AM59" s="31">
        <f>2*((AH59*1000*AI59/(2*AG59^2))^2+(1000*AJ59/(AG59*2))^2)^0.5</f>
        <v>43.797603804202794</v>
      </c>
      <c r="AN59" s="31">
        <f>AL59/$AG$140</f>
        <v>0.47602063075440398</v>
      </c>
      <c r="AO59" s="31">
        <f>2*(($AH$140*AL59/(2*$AG$140^2))^2+(AM59/($AG$140*2))^2)^0.5</f>
        <v>4.4191484569320788E-2</v>
      </c>
      <c r="AP59" s="31"/>
      <c r="AQ59" s="31">
        <f>SUM(BP$5:$BP59)</f>
        <v>6.1384226421941044</v>
      </c>
      <c r="AR59" s="31" cm="1">
        <f t="array" ref="AR59">2*SQRT(SUM((BQ$5:$BQ59/2)^2))</f>
        <v>4.4938890139623176E-2</v>
      </c>
      <c r="AS59" s="31">
        <f>SUM($BX$5:BX59)</f>
        <v>1.4331257274080829</v>
      </c>
      <c r="AT59" s="31" cm="1">
        <f t="array" ref="AT59">2*SQRT(SUM(($BY$5:BY59/2)^2))</f>
        <v>3.1468063273193278E-2</v>
      </c>
      <c r="AU59" s="31">
        <f t="shared" si="8"/>
        <v>6.1080940573054585</v>
      </c>
      <c r="AV59" s="31"/>
      <c r="AW59" s="31">
        <f t="shared" si="9"/>
        <v>1.6546682514507727</v>
      </c>
      <c r="AX59" s="31"/>
      <c r="AY59" s="69"/>
      <c r="AZ59" s="31"/>
      <c r="BB59" s="31"/>
      <c r="BC59" s="31"/>
      <c r="BD59" s="31"/>
      <c r="BE59" s="31"/>
      <c r="BF59" s="31">
        <f t="shared" si="6"/>
        <v>329224588875.15717</v>
      </c>
      <c r="BG59" s="31">
        <f t="shared" si="7"/>
        <v>362525927700.55493</v>
      </c>
      <c r="BH59" s="31">
        <f t="shared" si="26"/>
        <v>4.5073427300085809E-16</v>
      </c>
      <c r="BI59" s="31"/>
      <c r="BJ59" s="31"/>
      <c r="BK59" s="31"/>
      <c r="BL59" s="31"/>
      <c r="BM59" s="31"/>
      <c r="BN59" s="114">
        <f>BN58*EXP(-BD58*E58*60)</f>
        <v>6.5269797385868438E-4</v>
      </c>
      <c r="BO59" s="116">
        <f>2*((((BO58/2)*EXP(-BD58*E58*60))^2+(BN58*EXP(-BD58*E58*60)*E58*60*BC58*BD58/BB58)^2)^0.5)</f>
        <v>1.1734453031074406E-4</v>
      </c>
      <c r="BP59" s="23">
        <f>R59+BN60-BN59</f>
        <v>3.1311094664891286E-2</v>
      </c>
      <c r="BQ59" s="23">
        <f>2*(((BO59/2)^2+(BO60/2)^2+(S59/2)^2)^(0.5))</f>
        <v>1.6538991465150745E-3</v>
      </c>
      <c r="BR59" s="72">
        <f>100*(BP59-R59)/R59</f>
        <v>39.632410530580543</v>
      </c>
      <c r="BS59" s="72"/>
      <c r="BT59" s="31"/>
      <c r="BU59" s="31"/>
      <c r="BV59" s="114">
        <f>BV58*EXP(-BB58*BH58*E58*60*0.91357457380209)*EXP(-(M58-1560)*$CW$126*$BH$48*0.91357457380209)</f>
        <v>5.7713743379346298E-4</v>
      </c>
      <c r="BW59" s="116">
        <f>2*SQRT(
((BW58/2) * EXP(-BB58 * BH58 * E58 * 60 * 0.91357457380209) * EXP(-(M58 - 1560) * $CW$126 * $BH$48 * 0.91357457380209))^2 +
(BC58 * (-BV58 * BH58 * E58 * 60 * 0.91357457380209 * EXP(-BB58 * BH58 * E58 * 60 * 0.91357457380209) * EXP(-(M58 - 1560) * $CW$126 * $BH$48 * 0.91357457380209)))^2 +
((0.146030972937065 / 2) * BV58 * (-BB58 * BH58 * E58 * 60 - (M58 - 1560) * $CW$126 * $BH$48) * EXP(-BB58 * BH58 * E58 * 60 * 0.91357457380209) * EXP(-(M58 - 1560) * $CW$126 * $BH$48 * 0.91357457380209))^2 +
-(M58-1560)*$BH$48*0.91357457380209*BV58*EXP(-BB58*BH58*E58*60*0.91357457380209)*EXP(-(M58-1560)*$CW$126*$BH$48*0.91357457380209))</f>
        <v>2.2026513580472188E-4</v>
      </c>
      <c r="BX59" s="23">
        <f>Y59+BV60-BV59</f>
        <v>1.4870744250674086E-2</v>
      </c>
      <c r="BY59" s="23">
        <f>2*(((BW59/2)^2+(BW60/2)^2+(Z59/2)^2)^(0.5))</f>
        <v>1.1240999959807906E-3</v>
      </c>
      <c r="BZ59" s="72">
        <f>100*(BX59-Y59)/Y59</f>
        <v>41.39697128707752</v>
      </c>
      <c r="CA59" s="142">
        <f>(R59*CC59)+((CA55-(CC59*R59))*EXP(-CB59))</f>
        <v>1.3606769693483249E-2</v>
      </c>
      <c r="CB59" s="143">
        <f>BH59*BG59*J59</f>
        <v>2.5490846232707116</v>
      </c>
      <c r="CC59" s="143">
        <f>1/(CB59-1)</f>
        <v>0.64554252555203639</v>
      </c>
      <c r="CD59" s="143">
        <f>(CF59*T59) + ((CD55-(CF59*T59))*EXP(-CE59))</f>
        <v>7.6204226029924606E-3</v>
      </c>
      <c r="CE59" s="143">
        <f>BH59*BF59*J59</f>
        <v>2.3149277692421459</v>
      </c>
      <c r="CF59" s="143">
        <f>1/(CE59-1)</f>
        <v>0.7604980466541873</v>
      </c>
      <c r="CG59" s="143">
        <f>R59-CA55</f>
        <v>1.9065481284652311E-2</v>
      </c>
      <c r="CH59" s="143">
        <f>R59+CA59</f>
        <v>3.6030714496780851E-2</v>
      </c>
      <c r="CI59" s="143">
        <f>T59-CD55</f>
        <v>7.4973184341620572E-3</v>
      </c>
      <c r="CJ59" s="143">
        <f>T59+CD59</f>
        <v>1.828280885848536E-2</v>
      </c>
      <c r="CK59" s="31">
        <f>CE59*1.29</f>
        <v>2.9862568223223684</v>
      </c>
      <c r="CL59" s="31">
        <f>(R59 / (CK59-1)) + ((CL55-(R59 / (CK59-1)))*EXP(-CK59))</f>
        <v>1.0860009675523396E-2</v>
      </c>
      <c r="CM59" s="31">
        <f>1000*T59/R59</f>
        <v>475.49110332830116</v>
      </c>
      <c r="CN59" s="31">
        <f>1000*(T59+CD59)/(R59+CL59)</f>
        <v>549.29797690112048</v>
      </c>
      <c r="CO59" s="31">
        <f>1000*(T59-CD55)/(R59-CL55)</f>
        <v>381.65605238504418</v>
      </c>
      <c r="CP59" s="31">
        <f>1000*(T59+CD59-CD55)/(R59+CL59-CL55)</f>
        <v>495.59563717218481</v>
      </c>
      <c r="CQ59" s="31">
        <f>MAX(CM59:CP59)</f>
        <v>549.29797690112048</v>
      </c>
      <c r="CR59" s="31">
        <f>MIN(CM59:CP59)</f>
        <v>381.65605238504418</v>
      </c>
      <c r="CS59" s="31"/>
    </row>
    <row r="60" spans="1:100" s="32" customFormat="1" x14ac:dyDescent="0.3">
      <c r="A60" s="32" t="s">
        <v>111</v>
      </c>
      <c r="B60" s="32" t="s">
        <v>112</v>
      </c>
      <c r="C60" s="33">
        <v>45335.709027777775</v>
      </c>
      <c r="D60" s="32">
        <v>89.99</v>
      </c>
      <c r="E60" s="32">
        <f t="shared" si="31"/>
        <v>150</v>
      </c>
      <c r="F60" s="32" t="s">
        <v>286</v>
      </c>
      <c r="G60" s="34">
        <v>0.33500000000000002</v>
      </c>
      <c r="H60" s="34">
        <v>0</v>
      </c>
      <c r="I60" s="34">
        <v>5.5700000000000003E-3</v>
      </c>
      <c r="J60" s="32">
        <v>9000</v>
      </c>
      <c r="K60" s="32">
        <v>9129.0810000000001</v>
      </c>
      <c r="L60" s="32">
        <f t="shared" si="2"/>
        <v>10559.999999846332</v>
      </c>
      <c r="M60" s="32">
        <f t="shared" si="3"/>
        <v>1559.9999998463318</v>
      </c>
      <c r="N60" s="65"/>
      <c r="O60" s="32">
        <v>6.1424121164710297E-3</v>
      </c>
      <c r="P60" s="32">
        <v>2.60985152735312E-2</v>
      </c>
      <c r="R60" s="32">
        <v>2.0577080590177899E-3</v>
      </c>
      <c r="S60" s="34">
        <v>1.03024182143892E-4</v>
      </c>
      <c r="T60" s="32">
        <v>1.45368730073568E-4</v>
      </c>
      <c r="U60" s="34">
        <v>8.1348216485297299E-7</v>
      </c>
      <c r="V60" s="34"/>
      <c r="Y60" s="34"/>
      <c r="Z60" s="34"/>
      <c r="AA60" s="34"/>
      <c r="AB60" s="34"/>
      <c r="AF60" s="69"/>
      <c r="AQ60" s="34">
        <f>SUM(BP$5:$BP60)</f>
        <v>6.1384226421941044</v>
      </c>
      <c r="AR60" s="34" cm="1">
        <f t="array" ref="AR60">2*SQRT(SUM((BQ$5:$BQ60/2)^2))</f>
        <v>4.4938890139623176E-2</v>
      </c>
      <c r="AS60" s="34">
        <f>SUM($BX$5:BX60)</f>
        <v>1.4331257274080829</v>
      </c>
      <c r="AT60" s="34" cm="1">
        <f t="array" ref="AT60">2*SQRT(SUM(($BY$5:BY60/2)^2))</f>
        <v>3.1468063273193278E-2</v>
      </c>
      <c r="AU60" s="34">
        <f t="shared" si="8"/>
        <v>6.1101517653644759</v>
      </c>
      <c r="AV60" s="34"/>
      <c r="AW60" s="34">
        <f t="shared" si="9"/>
        <v>1.6548136201808463</v>
      </c>
      <c r="AX60" s="34"/>
      <c r="AY60" s="69"/>
      <c r="AZ60" s="34">
        <f>'Naive Apparent Lambdas'!$U$2*(10000/(D60+273))+'Naive Apparent Lambdas'!$V$2</f>
        <v>25.080530213673455</v>
      </c>
      <c r="BA60" s="32">
        <f>'Naive Apparent Lambdas'!$V$4</f>
        <v>6.7480704157997479E-2</v>
      </c>
      <c r="BB60" s="34">
        <f t="shared" si="1"/>
        <v>78043344941.948532</v>
      </c>
      <c r="BC60" s="34">
        <f t="shared" si="5"/>
        <v>5266419871.5281782</v>
      </c>
      <c r="BD60" s="34">
        <f>BB60*(D60+273)*$D$145*$F$144</f>
        <v>2.699541308058904E-5</v>
      </c>
      <c r="BE60" s="34"/>
      <c r="BF60" s="31">
        <f t="shared" si="6"/>
        <v>67807752416.268387</v>
      </c>
      <c r="BG60" s="31">
        <f t="shared" si="7"/>
        <v>73306701944.978058</v>
      </c>
      <c r="BH60" s="34">
        <f t="shared" si="26"/>
        <v>3.459028197813562E-16</v>
      </c>
      <c r="BI60" s="34"/>
      <c r="BJ60" s="34">
        <f>R60/(1-EXP(-E60*60*BD60))</f>
        <v>9.5398478354523676E-3</v>
      </c>
      <c r="BK60" s="34">
        <f>2*SQRT(
((S60/2) * (1 / (1 - EXP(-E60 * 60 * BB60 * BH60))))^2 +
(BC60 * (-R60 * 60 * E60 * BH60 * EXP(-E60 * 60 * BB60 * BH60) / (1 - EXP(-E60 * 60 * BB60 * BH60))^2))^2
)</f>
        <v>1.2336484151398133E-3</v>
      </c>
      <c r="BL60" s="34">
        <f>R60/(1-EXP(-E60*60*BB60*BH60)*EXP(-(M60-1560)*$CW$126*$BH$122))</f>
        <v>9.539847835491326E-3</v>
      </c>
      <c r="BM60" s="34">
        <f>2*SQRT(
((S60/2) * (1 / (1 - EXP(-E60 * 60 * BB60 * BH60) * EXP(-(M60 - 1560) * $CW$126 * $BH$48))))^2 +
(BC60 * (-R60 * 60 * E60 * BH60 * EXP(-E60 * 60 * BB60 * BH60) / ((1 - EXP(-E60 * 60 * BB60 * BH60) * EXP(-(M60 - 1560) * $CW$126 * $BH$48))^2)))^2 +
($CX$126 * (-R60 * (M60 - 1560) * $BH$48 * EXP(-(M60 - 1560) * $CW$126 * $BH$48) / ((1 - EXP(-E60 * 60 * BB60 * BH60) * EXP(-(M60 - 1560) * $CW$126 * $BH$48))^2)))^2
)</f>
        <v>1.2336484151491342E-3</v>
      </c>
      <c r="BN60" s="117" cm="1">
        <f t="array" ref="BN60:BO60">BJ60:BK60</f>
        <v>9.5398478354523676E-3</v>
      </c>
      <c r="BO60" s="118">
        <v>1.2336484151398133E-3</v>
      </c>
      <c r="BP60" s="24"/>
      <c r="BQ60" s="24"/>
      <c r="BR60" s="73"/>
      <c r="BS60" s="73"/>
      <c r="BT60" s="123">
        <f>BN60*(Y59/R59)*1.10204926384627</f>
        <v>4.9308641590482165E-3</v>
      </c>
      <c r="BU60" s="123">
        <f>2*(((BO60/2)*1.10204926384627*(AB59/(1000)))^2+((AC59/2000)*1.10204926384627*BN60)^2+((0.187040260207234/2)*BN60*(AB59/(1000)))^2)^0.5</f>
        <v>1.0835013112484152E-3</v>
      </c>
      <c r="BV60" s="124">
        <f>BT60</f>
        <v>4.9308641590482165E-3</v>
      </c>
      <c r="BW60" s="125">
        <f>BU60</f>
        <v>1.0835013112484152E-3</v>
      </c>
      <c r="BX60" s="24"/>
      <c r="BY60" s="24"/>
      <c r="BZ60" s="73"/>
      <c r="CA60" s="141">
        <f>CA59*(EXP(-BH60*BG60*E60))*(EXP(-$BG$140*$F$144*D199*(24+273)*M60))</f>
        <v>1.3555113974810891E-2</v>
      </c>
      <c r="CB60" s="34"/>
      <c r="CC60" s="34"/>
      <c r="CD60" s="34">
        <f>CD59*(EXP(-BH60*BF60*E60))*(EXP(-$BF$140*$F$144*D199*(24+273)*M60))</f>
        <v>7.5936592811667808E-3</v>
      </c>
      <c r="CE60" s="34"/>
      <c r="CF60" s="34"/>
      <c r="CG60" s="34"/>
      <c r="CH60" s="34"/>
      <c r="CI60" s="34"/>
      <c r="CJ60" s="34"/>
      <c r="CK60" s="34"/>
      <c r="CL60" s="34"/>
      <c r="CM60" s="34"/>
      <c r="CN60" s="34"/>
      <c r="CO60" s="34"/>
      <c r="CP60" s="34"/>
      <c r="CQ60" s="34"/>
      <c r="CR60" s="34"/>
      <c r="CS60" s="34"/>
    </row>
    <row r="61" spans="1:100" s="29" customFormat="1" x14ac:dyDescent="0.3">
      <c r="A61" s="29" t="s">
        <v>113</v>
      </c>
      <c r="B61" s="29" t="s">
        <v>114</v>
      </c>
      <c r="C61" s="30">
        <v>45336.111111111109</v>
      </c>
      <c r="D61" s="29">
        <v>209.99</v>
      </c>
      <c r="E61" s="29">
        <f t="shared" si="31"/>
        <v>520</v>
      </c>
      <c r="F61" s="29" t="s">
        <v>289</v>
      </c>
      <c r="G61" s="31">
        <v>13.6</v>
      </c>
      <c r="H61" s="31">
        <v>0</v>
      </c>
      <c r="I61" s="31">
        <v>8.2799999999999994</v>
      </c>
      <c r="J61" s="29">
        <v>31200</v>
      </c>
      <c r="K61" s="29">
        <v>31325.996999999999</v>
      </c>
      <c r="L61" s="29">
        <f t="shared" si="2"/>
        <v>34740.000000083819</v>
      </c>
      <c r="M61" s="29">
        <f t="shared" si="3"/>
        <v>3540.000000083819</v>
      </c>
      <c r="N61" s="65"/>
      <c r="O61" s="29">
        <v>5.9711077087186296E-3</v>
      </c>
      <c r="P61" s="29">
        <v>2.6157750419433499E-2</v>
      </c>
      <c r="R61" s="29">
        <v>8.1207064838573401E-2</v>
      </c>
      <c r="S61" s="29">
        <v>3.4788918867417499E-3</v>
      </c>
      <c r="T61" s="29">
        <v>0.21658617347290901</v>
      </c>
      <c r="U61" s="29">
        <v>1.33570882566184E-3</v>
      </c>
      <c r="W61" s="31">
        <f>(1000*T61/R61)/$AG$140</f>
        <v>2.6731802080057223</v>
      </c>
      <c r="X61" s="31"/>
      <c r="Y61" s="31">
        <f>T61-AVERAGE(T62:T64)</f>
        <v>5.4421774136666573E-2</v>
      </c>
      <c r="Z61" s="31">
        <f>U61+AVERAGE(T62:T64)</f>
        <v>0.16350010816190427</v>
      </c>
      <c r="AA61" s="31"/>
      <c r="AB61" s="31">
        <f>(Y61*1000)/R61</f>
        <v>670.16058571810606</v>
      </c>
      <c r="AC61" s="31">
        <f>2*((1000*Z61/(2*R61))^2+((S61/2)*1000*Y61/(R61^2))^2)^0.5</f>
        <v>2013.5776358888061</v>
      </c>
      <c r="AD61" s="31">
        <f>AB61/$AG$140</f>
        <v>0.6716920437439261</v>
      </c>
      <c r="AE61" s="31">
        <f>2*(($AH$140*AB61/(2*$AG$140^2))^2+(AC61/($AG$140*2))^2)^0.5</f>
        <v>2.0181918509490804</v>
      </c>
      <c r="AF61" s="69"/>
      <c r="AG61" s="31" cm="1">
        <f t="array" ref="AG61:AH61">BP61:BQ61</f>
        <v>8.8202729246804099E-2</v>
      </c>
      <c r="AH61" s="29">
        <v>3.8527112390901405E-3</v>
      </c>
      <c r="AI61" s="31" cm="1">
        <f t="array" ref="AI61:AJ61">BX61:BY61</f>
        <v>6.1164996876131687E-2</v>
      </c>
      <c r="AJ61" s="29">
        <v>0.16664174183316091</v>
      </c>
      <c r="AL61" s="31">
        <f>1000*AI61/AG61</f>
        <v>693.45923191314307</v>
      </c>
      <c r="AM61" s="31">
        <f>2*((AH61*1000*AI61/(2*AG61^2))^2+(1000*AJ61/(AG61*2))^2)^0.5</f>
        <v>1889.5464913229057</v>
      </c>
      <c r="AN61" s="31">
        <f>AL61/$AG$140</f>
        <v>0.69504393225053229</v>
      </c>
      <c r="AO61" s="31">
        <f>2*(($AH$140*AL61/(2*$AG$140^2))^2+(AM61/($AG$140*2))^2)^0.5</f>
        <v>1.8938790694473644</v>
      </c>
      <c r="AP61" s="31"/>
      <c r="AQ61" s="31">
        <f>SUM(BP$5:$BP61)</f>
        <v>6.2266253714409086</v>
      </c>
      <c r="AR61" s="31" cm="1">
        <f t="array" ref="AR61">2*SQRT(SUM((BQ$5:$BQ61/2)^2))</f>
        <v>4.5103738546521097E-2</v>
      </c>
      <c r="AS61" s="31">
        <f>SUM($BX$5:BX61)</f>
        <v>1.4942907242842145</v>
      </c>
      <c r="AT61" s="31" cm="1">
        <f t="array" ref="AT61">2*SQRT(SUM(($BY$5:BY61/2)^2))</f>
        <v>0.1695868778159311</v>
      </c>
      <c r="AU61" s="31">
        <f t="shared" si="8"/>
        <v>6.1913588302030496</v>
      </c>
      <c r="AV61" s="31"/>
      <c r="AW61" s="31">
        <f t="shared" si="9"/>
        <v>1.8713997936537554</v>
      </c>
      <c r="AX61" s="31"/>
      <c r="AY61" s="69"/>
      <c r="AZ61" s="31"/>
      <c r="BB61" s="31"/>
      <c r="BC61" s="31"/>
      <c r="BD61" s="31"/>
      <c r="BE61" s="31"/>
      <c r="BF61" s="31">
        <f t="shared" si="6"/>
        <v>366711824605.61426</v>
      </c>
      <c r="BG61" s="31">
        <f t="shared" si="7"/>
        <v>404311887467.46643</v>
      </c>
      <c r="BH61" s="31">
        <f t="shared" si="26"/>
        <v>4.6025400954901582E-16</v>
      </c>
      <c r="BI61" s="31"/>
      <c r="BJ61" s="31"/>
      <c r="BK61" s="31"/>
      <c r="BL61" s="31"/>
      <c r="BM61" s="31"/>
      <c r="BN61" s="114">
        <f>BN60*EXP(-BD60*E60*60)</f>
        <v>7.4821397764345777E-3</v>
      </c>
      <c r="BO61" s="116">
        <f>2*((((BO60/2)*EXP(-BD60*E60*60))^2+(BN60*EXP(-BD60*E60*60)*E60*60*BC60*BD60/BB60)^2)^0.5)</f>
        <v>9.9817571355020267E-4</v>
      </c>
      <c r="BP61" s="23">
        <f>R61+BN62-BN61</f>
        <v>8.8202729246804099E-2</v>
      </c>
      <c r="BQ61" s="23">
        <f>2*(((BO61/2)^2+(BO62/2)^2+(S61/2)^2)^(0.5))</f>
        <v>3.8527112390901405E-3</v>
      </c>
      <c r="BR61" s="72">
        <f>100*(BP61-R61)/R61</f>
        <v>8.6146007396486439</v>
      </c>
      <c r="BS61" s="72"/>
      <c r="BT61" s="31"/>
      <c r="BU61" s="31"/>
      <c r="BV61" s="114">
        <f>BV60*EXP(-BB60*BH60*E60*60*0.91357457380209)*EXP(-(M60-1560)*$CW$126*$BH$48*0.91357457380209)</f>
        <v>3.949359253726672E-3</v>
      </c>
      <c r="BW61" s="116">
        <f>2*SQRT(
((BW60/2) * EXP(-BB60 * BH60 * E60 * 60 * 0.91357457380209) * EXP(-(M60 - 1560) * $CW$126 * $BH$48 * 0.91357457380209))^2 +
(BC60 * (-BV60 * BH60 * E60 * 60 * 0.91357457380209 * EXP(-BB60 * BH60 * E60 * 60 * 0.91357457380209) * EXP(-(M60 - 1560) * $CW$126 * $BH$48 * 0.91357457380209)))^2 +
((0.146030972937065 / 2) * BV60 * (-BB60 * BH60 * E60 * 60 - (M60 - 1560) * $CW$126 * $BH$48) * EXP(-BB60 * BH60 * E60 * 60 * 0.91357457380209) * EXP(-(M60 - 1560) * $CW$126 * $BH$48 * 0.91357457380209))^2 +
-(M60-1560)*$BH$48*0.91357457380209*BV60*EXP(-BB60*BH60*E60*60*0.91357457380209)*EXP(-(M60-1560)*$CW$126*$BH$48*0.91357457380209))</f>
        <v>8.8699153070489003E-4</v>
      </c>
      <c r="BX61" s="23">
        <f>Y61+BV62-BV61</f>
        <v>6.1164996876131687E-2</v>
      </c>
      <c r="BY61" s="23">
        <f>2*(((BW61/2)^2+(BW62/2)^2+(Z61/2)^2)^(0.5))</f>
        <v>0.16664174183316091</v>
      </c>
      <c r="BZ61" s="72">
        <f>100*(BX61-Y61)/Y61</f>
        <v>12.390670547658386</v>
      </c>
      <c r="CA61" s="140">
        <f>R61*CC61</f>
        <v>1.689740953964939E-2</v>
      </c>
      <c r="CB61" s="31">
        <f>BH61*BG61*J61</f>
        <v>5.8058884202352354</v>
      </c>
      <c r="CC61" s="31">
        <f>1/(CB61-1)</f>
        <v>0.20807807268048323</v>
      </c>
      <c r="CD61" s="31">
        <f>CF61*T61</f>
        <v>5.077086075528895E-2</v>
      </c>
      <c r="CE61" s="31">
        <f>BH61*BF61*J61</f>
        <v>5.2659543338616057</v>
      </c>
      <c r="CF61" s="31">
        <f>1/(CE61-1)</f>
        <v>0.23441413614354964</v>
      </c>
      <c r="CG61" s="31">
        <f>R61-CA59</f>
        <v>6.7600295145090153E-2</v>
      </c>
      <c r="CH61" s="31">
        <f>R61+CA61</f>
        <v>9.8104474378222783E-2</v>
      </c>
      <c r="CI61" s="31">
        <f>T61-CD59</f>
        <v>0.20896575086991656</v>
      </c>
      <c r="CJ61" s="31">
        <f>T61+CD61</f>
        <v>0.26735703422819795</v>
      </c>
      <c r="CK61" s="31">
        <f>CE61*1.29</f>
        <v>6.7930810906814711</v>
      </c>
      <c r="CL61" s="31">
        <f>R61 / (CK61-1)</f>
        <v>1.4017940292463709E-2</v>
      </c>
      <c r="CM61" s="31">
        <f>1000*T61/R61</f>
        <v>2667.0853564704935</v>
      </c>
      <c r="CN61" s="31">
        <f>1000*(T61+CD61)/(R61+CL61)</f>
        <v>2807.6347579114708</v>
      </c>
      <c r="CO61" s="31">
        <f>1000*(T61-CD59)/(R61-CL59)</f>
        <v>2970.4974911256327</v>
      </c>
      <c r="CP61" s="31">
        <f>1000*(T61+CD61-CD59)/(R61+CL61-CL59)</f>
        <v>3078.7248932190901</v>
      </c>
      <c r="CQ61" s="31">
        <f>MAX(CM61:CP61)</f>
        <v>3078.7248932190901</v>
      </c>
      <c r="CR61" s="31">
        <f>MIN(CM61:CP61)</f>
        <v>2667.0853564704935</v>
      </c>
      <c r="CS61" s="31"/>
    </row>
    <row r="62" spans="1:100" x14ac:dyDescent="0.3">
      <c r="A62" t="s">
        <v>115</v>
      </c>
      <c r="B62" t="s">
        <v>116</v>
      </c>
      <c r="C62" s="1">
        <v>45336.277777777781</v>
      </c>
      <c r="D62">
        <v>105.009999999999</v>
      </c>
      <c r="E62">
        <f t="shared" si="31"/>
        <v>150</v>
      </c>
      <c r="G62" s="2">
        <v>0.85699999999999998</v>
      </c>
      <c r="H62" s="2">
        <v>0</v>
      </c>
      <c r="I62" s="2">
        <v>7.93</v>
      </c>
      <c r="J62">
        <v>9000</v>
      </c>
      <c r="K62">
        <v>9125.9390000000003</v>
      </c>
      <c r="L62">
        <f t="shared" si="2"/>
        <v>14400.000000419095</v>
      </c>
      <c r="M62">
        <f t="shared" si="3"/>
        <v>5400.0000004190952</v>
      </c>
      <c r="N62" s="65"/>
      <c r="O62">
        <v>5.9765598932272103E-3</v>
      </c>
      <c r="P62">
        <v>2.6187101051772702E-2</v>
      </c>
      <c r="R62">
        <v>5.1219118284957198E-3</v>
      </c>
      <c r="S62">
        <v>2.2883429279003701E-4</v>
      </c>
      <c r="T62">
        <v>0.207663711340557</v>
      </c>
      <c r="U62">
        <v>1.4429936075542301E-3</v>
      </c>
      <c r="AQ62" s="2">
        <f>SUM(BP$5:$BP62)</f>
        <v>6.2266253714409086</v>
      </c>
      <c r="AR62" s="2" cm="1">
        <f t="array" ref="AR62">2*SQRT(SUM((BQ$5:$BQ62/2)^2))</f>
        <v>4.5103738546521097E-2</v>
      </c>
      <c r="AS62" s="2">
        <f>SUM($BX$5:BX62)</f>
        <v>1.4942907242842145</v>
      </c>
      <c r="AT62" s="2" cm="1">
        <f t="array" ref="AT62">2*SQRT(SUM(($BY$5:BY62/2)^2))</f>
        <v>0.1695868778159311</v>
      </c>
      <c r="AU62" s="2">
        <f t="shared" si="8"/>
        <v>6.1964807420315449</v>
      </c>
      <c r="AV62" s="2"/>
      <c r="AW62" s="2">
        <f t="shared" si="9"/>
        <v>2.0790635049943123</v>
      </c>
      <c r="AX62" s="2"/>
      <c r="AZ62" s="2">
        <f>'Naive Apparent Lambdas'!$U$2*(10000/(D62+273))+'Naive Apparent Lambdas'!$V$2</f>
        <v>25.642029320844443</v>
      </c>
      <c r="BA62">
        <f>'Naive Apparent Lambdas'!$V$4</f>
        <v>6.7480704157997479E-2</v>
      </c>
      <c r="BB62" s="2">
        <f t="shared" si="1"/>
        <v>136833311942.68068</v>
      </c>
      <c r="BC62" s="2">
        <f t="shared" si="5"/>
        <v>9233608242.1630173</v>
      </c>
      <c r="BD62" s="2">
        <f>BB62*(D62+273)*$D$145*$F$144</f>
        <v>4.9289517785560306E-5</v>
      </c>
      <c r="BE62" s="2"/>
      <c r="BF62" s="31">
        <f t="shared" si="6"/>
        <v>88820578750.459457</v>
      </c>
      <c r="BG62" s="31">
        <f t="shared" si="7"/>
        <v>96325589572.011078</v>
      </c>
      <c r="BH62" s="2">
        <f t="shared" si="26"/>
        <v>3.6021577703394062E-16</v>
      </c>
      <c r="BI62" s="2"/>
      <c r="BJ62" s="2">
        <f>R62/(1-EXP(-E62*60*BD62))</f>
        <v>1.4295772381728787E-2</v>
      </c>
      <c r="BK62" s="2">
        <f>2*SQRT(
((S62/2) * (1 / (1 - EXP(-E62 * 60 * BB62 * BH62))))^2 +
(BC62 * (-R62 * 60 * E62 * BH62 * EXP(-E62 * 60 * BB62 * BH62) / (1 - EXP(-E62 * 60 * BB62 * BH62))^2))^2
)</f>
        <v>1.660705151274317E-3</v>
      </c>
      <c r="BL62" s="2">
        <f>R62/(1-EXP(-E62*60*BB62*BH62)*EXP(-(M62-1560)*$CW$126*$BH$122))</f>
        <v>1.3620670388259993E-2</v>
      </c>
      <c r="BM62" s="2">
        <f>2*SQRT(
((S62/2) * (1 / (1 - EXP(-E62 * 60 * BB62 * BH62) * EXP(-(M62 - 1560) * $CW$126 * $BH$48))))^2 +
(BC62 * (-R62 * 60 * E62 * BH62 * EXP(-E62 * 60 * BB62 * BH62) / ((1 - EXP(-E62 * 60 * BB62 * BH62) * EXP(-(M62 - 1560) * $CW$126 * $BH$48))^2)))^2 +
($CX$126 * (-R62 * (M62 - 1560) * $BH$48 * EXP(-(M62 - 1560) * $CW$126 * $BH$48) / ((1 - EXP(-E62 * 60 * BB62 * BH62) * EXP(-(M62 - 1560) * $CW$126 * $BH$48))^2)))^2
)</f>
        <v>1.5470184883236507E-3</v>
      </c>
      <c r="BN62" s="113">
        <f>BN63+R62</f>
        <v>1.4477804184665285E-2</v>
      </c>
      <c r="BO62" s="115">
        <f>BO63+S62</f>
        <v>1.3207347867957657E-3</v>
      </c>
      <c r="BP62" s="22"/>
      <c r="BQ62" s="22"/>
      <c r="BT62" s="123">
        <f>BN62*(Y61/R61)*1.10204926384627</f>
        <v>1.0692581993191792E-2</v>
      </c>
      <c r="BU62" s="123">
        <f>2*(((BO62/2)*1.10204926384627*(AB61/(1000)))^2+((AC61/2000)*1.10204926384627*BN62)^2+((0.187040260207234/2)*BN62*(AB61/(1000)))^2)^0.5</f>
        <v>3.2193135887327133E-2</v>
      </c>
      <c r="BV62" s="124">
        <f>BT62</f>
        <v>1.0692581993191792E-2</v>
      </c>
      <c r="BW62" s="125">
        <f>BU62</f>
        <v>3.2193135887327133E-2</v>
      </c>
      <c r="BX62" s="22"/>
      <c r="BY62" s="22"/>
      <c r="CA62" s="141">
        <f t="shared" ref="CA62:CA64" si="36">CA61*(EXP(-BH62*BG62*E62))*(EXP(-$BG$140*$F$144*D201*(24+273)*M62))</f>
        <v>1.6809692069133388E-2</v>
      </c>
      <c r="CB62" s="34"/>
      <c r="CC62" s="34"/>
      <c r="CD62" s="34">
        <f t="shared" ref="CD62:CD64" si="37">CD61*(EXP(-BH62*BF62*E62))*(EXP(-$BF$140*$F$144*D201*(24+273)*M62))</f>
        <v>5.0527785695423412E-2</v>
      </c>
      <c r="CE62" s="2"/>
      <c r="CF62" s="2"/>
      <c r="CS62" s="2"/>
    </row>
    <row r="63" spans="1:100" s="44" customFormat="1" x14ac:dyDescent="0.3">
      <c r="A63" s="44" t="s">
        <v>117</v>
      </c>
      <c r="B63" s="44" t="s">
        <v>118</v>
      </c>
      <c r="C63" s="45">
        <v>45336.415972222225</v>
      </c>
      <c r="D63" s="44">
        <v>105</v>
      </c>
      <c r="E63" s="44">
        <f t="shared" si="31"/>
        <v>150</v>
      </c>
      <c r="F63" s="44" t="s">
        <v>286</v>
      </c>
      <c r="G63" s="46">
        <v>0.56899999999999995</v>
      </c>
      <c r="H63" s="46">
        <v>0</v>
      </c>
      <c r="I63" s="46">
        <v>7.08</v>
      </c>
      <c r="J63" s="44">
        <v>9000</v>
      </c>
      <c r="K63" s="44">
        <v>9127.2690000000002</v>
      </c>
      <c r="L63" s="44">
        <f t="shared" si="2"/>
        <v>11939.999999944121</v>
      </c>
      <c r="M63" s="44">
        <f t="shared" si="3"/>
        <v>2939.9999999441206</v>
      </c>
      <c r="N63" s="65"/>
      <c r="O63" s="44">
        <v>5.9952065353919603E-3</v>
      </c>
      <c r="P63" s="44">
        <v>2.6205505298976899E-2</v>
      </c>
      <c r="R63" s="44">
        <v>3.41127251863802E-3</v>
      </c>
      <c r="S63" s="44">
        <v>1.69057687732339E-4</v>
      </c>
      <c r="T63" s="44">
        <v>0.18553497751675599</v>
      </c>
      <c r="U63" s="44">
        <v>1.47010707107108E-3</v>
      </c>
      <c r="AF63" s="69"/>
      <c r="AQ63" s="46">
        <f>SUM(BP$5:$BP63)</f>
        <v>6.2266253714409086</v>
      </c>
      <c r="AR63" s="46" cm="1">
        <f t="array" ref="AR63">2*SQRT(SUM((BQ$5:$BQ63/2)^2))</f>
        <v>4.5103738546521097E-2</v>
      </c>
      <c r="AS63" s="46">
        <f>SUM($BX$5:BX63)</f>
        <v>1.4942907242842145</v>
      </c>
      <c r="AT63" s="46" cm="1">
        <f t="array" ref="AT63">2*SQRT(SUM(($BY$5:BY63/2)^2))</f>
        <v>0.1695868778159311</v>
      </c>
      <c r="AU63" s="46">
        <f t="shared" si="8"/>
        <v>6.1998920145501826</v>
      </c>
      <c r="AV63" s="46"/>
      <c r="AW63" s="46">
        <f t="shared" si="9"/>
        <v>2.2645984825110683</v>
      </c>
      <c r="AX63" s="46"/>
      <c r="AY63" s="69"/>
      <c r="AZ63" s="46">
        <f>'Naive Apparent Lambdas'!$U$2*(10000/(D63+273))+'Naive Apparent Lambdas'!$V$2</f>
        <v>25.64167033113603</v>
      </c>
      <c r="BA63" s="44">
        <f>'Naive Apparent Lambdas'!$V$4</f>
        <v>6.7480704157997479E-2</v>
      </c>
      <c r="BB63" s="46">
        <f t="shared" si="1"/>
        <v>136784199007.97165</v>
      </c>
      <c r="BC63" s="46">
        <f t="shared" si="5"/>
        <v>9230294066.7455864</v>
      </c>
      <c r="BD63" s="46">
        <f>BB63*(D63+273)*$D$145*$F$144</f>
        <v>4.9270523078630311E-5</v>
      </c>
      <c r="BE63" s="46"/>
      <c r="BF63" s="31">
        <f t="shared" si="6"/>
        <v>88805250970.861771</v>
      </c>
      <c r="BG63" s="31">
        <f t="shared" si="7"/>
        <v>96308773299.869202</v>
      </c>
      <c r="BH63" s="46">
        <f t="shared" si="26"/>
        <v>3.6020624776812763E-16</v>
      </c>
      <c r="BI63" s="46"/>
      <c r="BJ63" s="46">
        <f>R63/(1-EXP(-E63*60*BD63))</f>
        <v>9.5241220434723762E-3</v>
      </c>
      <c r="BK63" s="46">
        <f>2*SQRT(
((S63/2) * (1 / (1 - EXP(-E63 * 60 * BB63 * BH63))))^2 +
(BC63 * (-R63 * 60 * E63 * BH63 * EXP(-E63 * 60 * BB63 * BH63) / (1 - EXP(-E63 * 60 * BB63 * BH63))^2))^2
)</f>
        <v>1.1251767268333098E-3</v>
      </c>
      <c r="BL63" s="46">
        <f>R63/(1-EXP(-E63*60*BB63*BH63)*EXP(-(M63-1560)*$CW$126*$BH$122))</f>
        <v>9.3558923561695654E-3</v>
      </c>
      <c r="BM63" s="46">
        <f>2*SQRT(
((S63/2) * (1 / (1 - EXP(-E63 * 60 * BB63 * BH63) * EXP(-(M63 - 1560) * $CW$126 * $BH$48))))^2 +
(BC63 * (-R63 * 60 * E63 * BH63 * EXP(-E63 * 60 * BB63 * BH63) / ((1 - EXP(-E63 * 60 * BB63 * BH63) * EXP(-(M63 - 1560) * $CW$126 * $BH$48))^2)))^2 +
($CX$126 * (-R63 * (M63 - 1560) * $BH$48 * EXP(-(M63 - 1560) * $CW$126 * $BH$48) / ((1 - EXP(-E63 * 60 * BB63 * BH63) * EXP(-(M63 - 1560) * $CW$126 * $BH$48))^2)))^2
)</f>
        <v>1.0919004940057287E-3</v>
      </c>
      <c r="BN63" s="56" cm="1">
        <f t="array" ref="BN63:BO63">BL63:BM63</f>
        <v>9.3558923561695654E-3</v>
      </c>
      <c r="BO63" s="104">
        <v>1.0919004940057287E-3</v>
      </c>
      <c r="BP63" s="26"/>
      <c r="BQ63" s="26"/>
      <c r="BR63" s="75"/>
      <c r="BS63" s="75"/>
      <c r="BT63" s="46"/>
      <c r="BU63" s="46"/>
      <c r="BV63" s="54">
        <f>BV62*EXP(-BB62*BH62*E62*60*0.91357457380209)*EXP(-(M62-1560)*$CW$126*$BH$48*0.91357457380209)</f>
        <v>6.9493348794732778E-3</v>
      </c>
      <c r="BW63" s="99">
        <f>2*SQRT(
((BW62/2) * EXP(-BB62 * BH62 * E62 * 60 * 0.91357457380209) * EXP(-(M62 - 1560) * $CW$126 * $BH$48 * 0.91357457380209))^2 +
(BC62 * (-BV62 * BH62 * E62 * 60 * 0.91357457380209 * EXP(-BB62 * BH62 * E62 * 60 * 0.91357457380209) * EXP(-(M62 - 1560) * $CW$126 * $BH$48 * 0.91357457380209)))^2 +
((0.146030972937065 / 2) * BV62 * (-BB62 * BH62 * E62 * 60 - (M62 - 1560) * $CW$126 * $BH$48) * EXP(-BB62 * BH62 * E62 * 60 * 0.91357457380209) * EXP(-(M62 - 1560) * $CW$126 * $BH$48 * 0.91357457380209))^2 +
-(M62-1560)*$BH$48*0.91357457380209*BV62*EXP(-BB62*BH62*E62*60*0.91357457380209)*EXP(-(M62-1560)*$CW$126*$BH$48*0.91357457380209))</f>
        <v>2.0931924725048852E-2</v>
      </c>
      <c r="BX63" s="26"/>
      <c r="BY63" s="26"/>
      <c r="BZ63" s="75"/>
      <c r="CA63" s="141">
        <f t="shared" si="36"/>
        <v>1.6722447452121293E-2</v>
      </c>
      <c r="CB63" s="34"/>
      <c r="CC63" s="34"/>
      <c r="CD63" s="34">
        <f t="shared" si="37"/>
        <v>5.0285922432944198E-2</v>
      </c>
      <c r="CE63" s="46"/>
      <c r="CF63" s="46"/>
      <c r="CG63" s="46"/>
      <c r="CH63" s="46"/>
      <c r="CI63" s="46"/>
      <c r="CJ63" s="46"/>
      <c r="CK63" s="46"/>
      <c r="CL63" s="46"/>
      <c r="CM63" s="46"/>
      <c r="CN63" s="46"/>
      <c r="CO63" s="46"/>
      <c r="CP63" s="46"/>
      <c r="CQ63" s="46"/>
      <c r="CR63" s="46"/>
      <c r="CS63" s="46"/>
      <c r="CU63" s="46"/>
    </row>
    <row r="64" spans="1:100" x14ac:dyDescent="0.3">
      <c r="A64" t="s">
        <v>119</v>
      </c>
      <c r="B64" t="s">
        <v>120</v>
      </c>
      <c r="C64" s="1">
        <v>45336.607638888891</v>
      </c>
      <c r="D64">
        <v>105.009999999999</v>
      </c>
      <c r="E64">
        <f t="shared" si="31"/>
        <v>150</v>
      </c>
      <c r="G64" s="2">
        <v>0.52</v>
      </c>
      <c r="H64" s="2">
        <v>0</v>
      </c>
      <c r="I64" s="2">
        <v>3.56</v>
      </c>
      <c r="J64">
        <v>9000</v>
      </c>
      <c r="K64">
        <v>9126.2630000000008</v>
      </c>
      <c r="L64">
        <f t="shared" si="2"/>
        <v>16559.999999916181</v>
      </c>
      <c r="M64">
        <f t="shared" si="3"/>
        <v>7559.999999916181</v>
      </c>
      <c r="N64" s="65"/>
      <c r="O64">
        <v>6.0301070526997602E-3</v>
      </c>
      <c r="P64">
        <v>2.6206322795341099E-2</v>
      </c>
      <c r="R64">
        <v>3.1356556674038698E-3</v>
      </c>
      <c r="S64">
        <v>1.79976543963466E-4</v>
      </c>
      <c r="T64">
        <v>9.3294509151414295E-2</v>
      </c>
      <c r="U64">
        <v>7.2349375331919605E-4</v>
      </c>
      <c r="AQ64" s="2">
        <f>SUM(BP$5:$BP64)</f>
        <v>6.2266253714409086</v>
      </c>
      <c r="AR64" s="2" cm="1">
        <f t="array" ref="AR64">2*SQRT(SUM((BQ$5:$BQ64/2)^2))</f>
        <v>4.5103738546521097E-2</v>
      </c>
      <c r="AS64" s="2">
        <f>SUM($BX$5:BX64)</f>
        <v>1.4942907242842145</v>
      </c>
      <c r="AT64" s="2" cm="1">
        <f t="array" ref="AT64">2*SQRT(SUM(($BY$5:BY64/2)^2))</f>
        <v>0.1695868778159311</v>
      </c>
      <c r="AU64" s="2">
        <f t="shared" si="8"/>
        <v>6.2030276702175868</v>
      </c>
      <c r="AV64" s="2"/>
      <c r="AW64" s="2">
        <f t="shared" si="9"/>
        <v>2.3578929916624825</v>
      </c>
      <c r="AX64" s="2"/>
      <c r="AZ64" s="2">
        <f>'Naive Apparent Lambdas'!$U$2*(10000/(D64+273))+'Naive Apparent Lambdas'!$V$2</f>
        <v>25.642029320844443</v>
      </c>
      <c r="BA64">
        <f>'Naive Apparent Lambdas'!$V$4</f>
        <v>6.7480704157997479E-2</v>
      </c>
      <c r="BB64" s="2">
        <f t="shared" si="1"/>
        <v>136833311942.68068</v>
      </c>
      <c r="BC64" s="2">
        <f t="shared" si="5"/>
        <v>9233608242.1630173</v>
      </c>
      <c r="BD64" s="2">
        <f>BB64*(D64+273)*$D$145*$F$144</f>
        <v>4.9289517785560306E-5</v>
      </c>
      <c r="BE64" s="2"/>
      <c r="BF64" s="31">
        <f t="shared" si="6"/>
        <v>88820578750.459457</v>
      </c>
      <c r="BG64" s="31">
        <f t="shared" si="7"/>
        <v>96325589572.011078</v>
      </c>
      <c r="BH64" s="2">
        <f t="shared" si="26"/>
        <v>3.6021577703394062E-16</v>
      </c>
      <c r="BI64" s="2"/>
      <c r="BJ64" s="2">
        <f>R64/(1-EXP(-E64*60*BD64))</f>
        <v>8.7519311518193289E-3</v>
      </c>
      <c r="BK64" s="2">
        <f>2*SQRT(
((S64/2) * (1 / (1 - EXP(-E64 * 60 * BB64 * BH64))))^2 +
(BC64 * (-R64 * 60 * E64 * BH64 * EXP(-E64 * 60 * BB64 * BH64) / (1 - EXP(-E64 * 60 * BB64 * BH64))^2))^2
)</f>
        <v>1.0644742817809303E-3</v>
      </c>
      <c r="BL64" s="2">
        <f>R64/(1-EXP(-E64*60*BB64*BH64)*EXP(-(M64-1560)*$CW$126*$BH$122))</f>
        <v>8.1274250156165156E-3</v>
      </c>
      <c r="BM64" s="2">
        <f>2*SQRT(
((S64/2) * (1 / (1 - EXP(-E64 * 60 * BB64 * BH64) * EXP(-(M64 - 1560) * $CW$126 * $BH$48))))^2 +
(BC64 * (-R64 * 60 * E64 * BH64 * EXP(-E64 * 60 * BB64 * BH64) / ((1 - EXP(-E64 * 60 * BB64 * BH64) * EXP(-(M64 - 1560) * $CW$126 * $BH$48))^2)))^2 +
($CX$126 * (-R64 * (M64 - 1560) * $BH$48 * EXP(-(M64 - 1560) * $CW$126 * $BH$48) / ((1 - EXP(-E64 * 60 * BB64 * BH64) * EXP(-(M64 - 1560) * $CW$126 * $BH$48))^2)))^2
)</f>
        <v>9.7043915697652219E-4</v>
      </c>
      <c r="BN64" s="107">
        <f>BN63-R63</f>
        <v>5.9446198375315458E-3</v>
      </c>
      <c r="BO64" s="101">
        <f>BO63+S63</f>
        <v>1.2609581817380677E-3</v>
      </c>
      <c r="BP64" s="22"/>
      <c r="BQ64" s="22"/>
      <c r="BT64" s="2"/>
      <c r="BU64" s="2"/>
      <c r="BV64" s="54">
        <f>BV63*EXP(-BB63*BH63*E63*60*0.91357457380209)*EXP(-(M63-1560)*$CW$126*$BH$48*0.91357457380209)</f>
        <v>4.5920283422282515E-3</v>
      </c>
      <c r="BW64" s="99">
        <f>2*SQRT(
((BW63/2) * EXP(-BB63 * BH63 * E63 * 60 * 0.91357457380209) * EXP(-(M63 - 1560) * $CW$126 * $BH$48 * 0.91357457380209))^2 +
(BC63 * (-BV63 * BH63 * E63 * 60 * 0.91357457380209 * EXP(-BB63 * BH63 * E63 * 60 * 0.91357457380209) * EXP(-(M63 - 1560) * $CW$126 * $BH$48 * 0.91357457380209)))^2 +
((0.146030972937065 / 2) * BV63 * (-BB63 * BH63 * E63 * 60 - (M63 - 1560) * $CW$126 * $BH$48) * EXP(-BB63 * BH63 * E63 * 60 * 0.91357457380209) * EXP(-(M63 - 1560) * $CW$126 * $BH$48 * 0.91357457380209))^2 +
-(M63-1560)*$BH$48*0.91357457380209*BV63*EXP(-BB63*BH63*E63*60*0.91357457380209)*EXP(-(M63-1560)*$CW$126*$BH$48*0.91357457380209))</f>
        <v>1.3837159222900944E-2</v>
      </c>
      <c r="BX64" s="22"/>
      <c r="BY64" s="22"/>
      <c r="CA64" s="141">
        <f t="shared" si="36"/>
        <v>1.6635638241046961E-2</v>
      </c>
      <c r="CB64" s="34"/>
      <c r="CC64" s="34"/>
      <c r="CD64" s="34">
        <f t="shared" si="37"/>
        <v>5.0045169106647511E-2</v>
      </c>
      <c r="CE64" s="2"/>
      <c r="CF64" s="2"/>
      <c r="CS64" s="2"/>
    </row>
    <row r="65" spans="1:99" s="29" customFormat="1" x14ac:dyDescent="0.3">
      <c r="A65" s="29" t="s">
        <v>121</v>
      </c>
      <c r="B65" s="29" t="s">
        <v>122</v>
      </c>
      <c r="C65" s="30">
        <v>45337.436805555553</v>
      </c>
      <c r="D65" s="29">
        <v>219.98</v>
      </c>
      <c r="E65" s="29">
        <f t="shared" si="31"/>
        <v>1167</v>
      </c>
      <c r="F65" s="29" t="s">
        <v>289</v>
      </c>
      <c r="G65" s="31">
        <v>91</v>
      </c>
      <c r="H65" s="31">
        <v>0</v>
      </c>
      <c r="I65" s="31">
        <v>12.1</v>
      </c>
      <c r="J65" s="29">
        <v>70020</v>
      </c>
      <c r="K65" s="29">
        <v>70177.054000000004</v>
      </c>
      <c r="L65" s="29">
        <f t="shared" si="2"/>
        <v>71639.999999664724</v>
      </c>
      <c r="M65" s="29">
        <f t="shared" si="3"/>
        <v>1619.9999996647239</v>
      </c>
      <c r="N65" s="65"/>
      <c r="O65" s="29">
        <v>6.3364847868137E-3</v>
      </c>
      <c r="P65" s="29">
        <v>2.6337792642140399E-2</v>
      </c>
      <c r="R65" s="29">
        <v>0.576620115600047</v>
      </c>
      <c r="S65" s="29">
        <v>2.4225092474158001E-2</v>
      </c>
      <c r="T65" s="29">
        <v>0.31868729096989901</v>
      </c>
      <c r="U65" s="29">
        <v>2.1313081983414901E-3</v>
      </c>
      <c r="W65" s="31">
        <f>(1000*T65/R65)/$AG$140</f>
        <v>0.55394452930230575</v>
      </c>
      <c r="X65" s="31"/>
      <c r="Y65" s="31">
        <f>T65-AVERAGE(T66:T68)</f>
        <v>0.22743994095061365</v>
      </c>
      <c r="Z65" s="31">
        <f>U65+AVERAGE(T66:T68)</f>
        <v>9.3378658217626864E-2</v>
      </c>
      <c r="AA65" s="31"/>
      <c r="AB65" s="31">
        <f>(Y65*1000)/R65</f>
        <v>394.43636251561099</v>
      </c>
      <c r="AC65" s="31">
        <f>2*((1000*Z65/(2*R65))^2+((S65/2)*1000*Y65/(R65^2))^2)^0.5</f>
        <v>162.78702051195611</v>
      </c>
      <c r="AD65" s="31">
        <f>AB65/$AG$140</f>
        <v>0.39533773264379085</v>
      </c>
      <c r="AE65" s="31">
        <f>2*(($AH$140*AB65/(2*$AG$140^2))^2+(AC65/($AG$140*2))^2)^0.5</f>
        <v>0.16321371673643181</v>
      </c>
      <c r="AF65" s="69"/>
      <c r="AG65" s="31" cm="1">
        <f t="array" ref="AG65:AH65">BP65:BQ65</f>
        <v>0.60142106796482531</v>
      </c>
      <c r="AH65" s="29">
        <v>2.4482586064055643E-2</v>
      </c>
      <c r="AI65" s="31" cm="1">
        <f t="array" ref="AI65:AJ65">BX65:BY65</f>
        <v>0.23649992265076658</v>
      </c>
      <c r="AJ65" s="29">
        <v>9.3962121285052394E-2</v>
      </c>
      <c r="AL65" s="31">
        <f>1000*AI65/AG65</f>
        <v>393.23518122015395</v>
      </c>
      <c r="AM65" s="31">
        <f>2*((AH65*1000*AI65/(2*AG65^2))^2+(1000*AJ65/(AG65*2))^2)^0.5</f>
        <v>157.05144674646832</v>
      </c>
      <c r="AN65" s="31">
        <f>AL65/$AG$140</f>
        <v>0.39413380639619161</v>
      </c>
      <c r="AO65" s="31">
        <f>2*(($AH$140*AL65/(2*$AG$140^2))^2+(AM65/($AG$140*2))^2)^0.5</f>
        <v>0.15746668800881733</v>
      </c>
      <c r="AP65" s="31"/>
      <c r="AQ65" s="31">
        <f>SUM(BP$5:$BP65)</f>
        <v>6.8280464394057336</v>
      </c>
      <c r="AR65" s="31" cm="1">
        <f t="array" ref="AR65">2*SQRT(SUM((BQ$5:$BQ65/2)^2))</f>
        <v>5.132001803640393E-2</v>
      </c>
      <c r="AS65" s="31">
        <f>SUM($BX$5:BX65)</f>
        <v>1.730790646934981</v>
      </c>
      <c r="AT65" s="31" cm="1">
        <f t="array" ref="AT65">2*SQRT(SUM(($BY$5:BY65/2)^2))</f>
        <v>0.19387776913236454</v>
      </c>
      <c r="AU65" s="31">
        <f t="shared" si="8"/>
        <v>6.7796477858176338</v>
      </c>
      <c r="AV65" s="31"/>
      <c r="AW65" s="31">
        <f t="shared" si="9"/>
        <v>2.6765802826323815</v>
      </c>
      <c r="AX65" s="31"/>
      <c r="AY65" s="69"/>
      <c r="AZ65" s="31"/>
      <c r="BB65" s="31"/>
      <c r="BC65" s="31"/>
      <c r="BD65" s="31"/>
      <c r="BE65" s="31"/>
      <c r="BF65" s="31">
        <f t="shared" si="6"/>
        <v>406686243437.86761</v>
      </c>
      <c r="BG65" s="31">
        <f t="shared" si="7"/>
        <v>448924995527.01031</v>
      </c>
      <c r="BH65" s="31">
        <f t="shared" si="26"/>
        <v>4.6977374609717344E-16</v>
      </c>
      <c r="BI65" s="31"/>
      <c r="BJ65" s="31"/>
      <c r="BK65" s="31"/>
      <c r="BL65" s="31"/>
      <c r="BM65" s="31"/>
      <c r="BN65" s="111">
        <f>BN64-R64</f>
        <v>2.808964170127676E-3</v>
      </c>
      <c r="BO65" s="112">
        <f>BO64+S64</f>
        <v>1.4409347257015336E-3</v>
      </c>
      <c r="BP65" s="23">
        <f>R65+BN66-BN65</f>
        <v>0.60142106796482531</v>
      </c>
      <c r="BQ65" s="23">
        <f>2*(((BO65/2)^2+(BO66/2)^2+(S65/2)^2)^(0.5))</f>
        <v>2.4482586064055643E-2</v>
      </c>
      <c r="BR65" s="72">
        <f>100*(BP65-R65)/R65</f>
        <v>4.3010903875543329</v>
      </c>
      <c r="BS65" s="72"/>
      <c r="BT65" s="31"/>
      <c r="BU65" s="31"/>
      <c r="BV65" s="114">
        <f>BV64*EXP(-BB64*BH64*E64*60*0.91357457380209)*EXP(-(M64-1560)*$CW$126*$BH$48*0.91357457380209)</f>
        <v>2.9417260628454554E-3</v>
      </c>
      <c r="BW65" s="116">
        <f>2*SQRT(
((BW64/2) * EXP(-BB64 * BH64 * E64 * 60 * 0.91357457380209) * EXP(-(M64 - 1560) * $CW$126 * $BH$48 * 0.91357457380209))^2 +
(BC64 * (-BV64 * BH64 * E64 * 60 * 0.91357457380209 * EXP(-BB64 * BH64 * E64 * 60 * 0.91357457380209) * EXP(-(M64 - 1560) * $CW$126 * $BH$48 * 0.91357457380209)))^2 +
((0.146030972937065 / 2) * BV64 * (-BB64 * BH64 * E64 * 60 - (M64 - 1560) * $CW$126 * $BH$48) * EXP(-BB64 * BH64 * E64 * 60 * 0.91357457380209) * EXP(-(M64 - 1560) * $CW$126 * $BH$48 * 0.91357457380209))^2 +
-(M64-1560)*$BH$48*0.91357457380209*BV64*EXP(-BB64*BH64*E64*60*0.91357457380209)*EXP(-(M64-1560)*$CW$126*$BH$48*0.91357457380209))</f>
        <v>8.868236031453345E-3</v>
      </c>
      <c r="BX65" s="23">
        <f>Y65+BV66-BV65</f>
        <v>0.23649992265076658</v>
      </c>
      <c r="BY65" s="23">
        <f>2*(((BW65/2)^2+(BW66/2)^2+(Z65/2)^2)^(0.5))</f>
        <v>9.3962121285052394E-2</v>
      </c>
      <c r="BZ65" s="72">
        <f>100*(BX65-Y65)/Y65</f>
        <v>3.9834611556288682</v>
      </c>
      <c r="CA65" s="140">
        <f>R65*CC65</f>
        <v>4.1885014562295146E-2</v>
      </c>
      <c r="CB65" s="31">
        <f>BH65*BG65*J65</f>
        <v>14.76674024411394</v>
      </c>
      <c r="CC65" s="31">
        <f>1/(CB65-1)</f>
        <v>7.2638836955433703E-2</v>
      </c>
      <c r="CD65" s="31">
        <f>CF65*T65</f>
        <v>2.5747603489509538E-2</v>
      </c>
      <c r="CE65" s="31">
        <f>BH65*BF65*J65</f>
        <v>13.377357415020905</v>
      </c>
      <c r="CF65" s="31">
        <f>1/(CE65-1)</f>
        <v>8.0792689947405141E-2</v>
      </c>
      <c r="CG65" s="31">
        <f>R65-CA61</f>
        <v>0.55972270606039765</v>
      </c>
      <c r="CH65" s="31">
        <f>R65+CA65</f>
        <v>0.6185051301623421</v>
      </c>
      <c r="CI65" s="31">
        <f>T65-CD61</f>
        <v>0.26791643021461004</v>
      </c>
      <c r="CJ65" s="31">
        <f>T65+CD65</f>
        <v>0.34443489445940856</v>
      </c>
      <c r="CK65" s="31">
        <f>CE65*1.29</f>
        <v>17.256791065376966</v>
      </c>
      <c r="CL65" s="31">
        <f>R65 / (CK65-1)</f>
        <v>3.5469491690036443E-2</v>
      </c>
      <c r="CM65" s="31">
        <f>1000*T65/R65</f>
        <v>552.68153563852707</v>
      </c>
      <c r="CN65" s="31">
        <f>1000*(T65+CD65)/(R65+CL65)</f>
        <v>562.71972331687198</v>
      </c>
      <c r="CO65" s="31">
        <f>1000*(T65-CD61)/(R65-CL61)</f>
        <v>476.20937488934521</v>
      </c>
      <c r="CP65" s="31">
        <f>1000*(T65+CD65-CD61)/(R65+CL65-CL61)</f>
        <v>491.01813362659817</v>
      </c>
      <c r="CQ65" s="31">
        <f>MAX(CM65:CP65)</f>
        <v>562.71972331687198</v>
      </c>
      <c r="CR65" s="31">
        <f>MIN(CM65:CP65)</f>
        <v>476.20937488934521</v>
      </c>
      <c r="CS65" s="31"/>
    </row>
    <row r="66" spans="1:99" s="44" customFormat="1" x14ac:dyDescent="0.3">
      <c r="A66" s="44" t="s">
        <v>123</v>
      </c>
      <c r="B66" s="44" t="s">
        <v>124</v>
      </c>
      <c r="C66" s="45">
        <v>45337.56527777778</v>
      </c>
      <c r="D66" s="44">
        <v>99.99</v>
      </c>
      <c r="E66" s="44">
        <f t="shared" si="31"/>
        <v>150</v>
      </c>
      <c r="F66" s="44" t="s">
        <v>286</v>
      </c>
      <c r="G66" s="46">
        <v>1.34</v>
      </c>
      <c r="H66" s="46">
        <v>0</v>
      </c>
      <c r="I66" s="46">
        <v>3.47</v>
      </c>
      <c r="J66" s="44">
        <v>9000</v>
      </c>
      <c r="K66" s="44">
        <v>9122.6949999999997</v>
      </c>
      <c r="L66" s="44">
        <f t="shared" si="2"/>
        <v>11100.000000349246</v>
      </c>
      <c r="M66" s="44">
        <f t="shared" si="3"/>
        <v>2100.000000349246</v>
      </c>
      <c r="N66" s="65"/>
      <c r="O66" s="44">
        <v>6.3522237114105899E-3</v>
      </c>
      <c r="P66" s="44">
        <v>2.6337792642140399E-2</v>
      </c>
      <c r="R66" s="44">
        <v>8.5119797732902003E-3</v>
      </c>
      <c r="S66" s="44">
        <v>3.21405832704153E-4</v>
      </c>
      <c r="T66" s="44">
        <v>9.1392140468227398E-2</v>
      </c>
      <c r="U66" s="44">
        <v>5.6900305928076096E-4</v>
      </c>
      <c r="AF66" s="69"/>
      <c r="AQ66" s="46">
        <f>SUM(BP$5:$BP66)</f>
        <v>6.8280464394057336</v>
      </c>
      <c r="AR66" s="46" cm="1">
        <f t="array" ref="AR66">2*SQRT(SUM((BQ$5:$BQ66/2)^2))</f>
        <v>5.132001803640393E-2</v>
      </c>
      <c r="AS66" s="46">
        <f>SUM($BX$5:BX66)</f>
        <v>1.730790646934981</v>
      </c>
      <c r="AT66" s="46" cm="1">
        <f t="array" ref="AT66">2*SQRT(SUM(($BY$5:BY66/2)^2))</f>
        <v>0.19387776913236454</v>
      </c>
      <c r="AU66" s="46">
        <f t="shared" si="8"/>
        <v>6.7881597655909243</v>
      </c>
      <c r="AV66" s="46"/>
      <c r="AW66" s="46">
        <f t="shared" si="9"/>
        <v>2.7679724231006086</v>
      </c>
      <c r="AX66" s="46"/>
      <c r="AY66" s="69"/>
      <c r="AZ66" s="46">
        <f>'Naive Apparent Lambdas'!$U$2*(10000/(D66+273))+'Naive Apparent Lambdas'!$V$2</f>
        <v>25.45939586923167</v>
      </c>
      <c r="BA66" s="44">
        <f>'Naive Apparent Lambdas'!$V$4</f>
        <v>6.7480704157997479E-2</v>
      </c>
      <c r="BB66" s="46">
        <f t="shared" si="1"/>
        <v>113992200830.34454</v>
      </c>
      <c r="BC66" s="46">
        <f t="shared" si="5"/>
        <v>7692273980.5515146</v>
      </c>
      <c r="BD66" s="46">
        <f>BB66*(D66+273)*$D$145*$F$144</f>
        <v>4.0516485682730825E-5</v>
      </c>
      <c r="BE66" s="46"/>
      <c r="BF66" s="31">
        <f t="shared" si="6"/>
        <v>81354566284.197021</v>
      </c>
      <c r="BG66" s="31">
        <f t="shared" si="7"/>
        <v>88138659054.577789</v>
      </c>
      <c r="BH66" s="46">
        <f t="shared" si="26"/>
        <v>3.5543208559532784E-16</v>
      </c>
      <c r="BI66" s="46"/>
      <c r="BJ66" s="46">
        <f>R66/(1-EXP(-E66*60*BB66*BH66))</f>
        <v>2.7857055486079713E-2</v>
      </c>
      <c r="BK66" s="46">
        <f>2*SQRT(
((S66/2) * (1 / (1 - EXP(-E66 * 60 * BB66 * BH66))))^2 +
(BC66 * (-R66 * 60 * E66 * BH66 * EXP(-E66 * 60 * BB66 * BH66) / (1 - EXP(-E66 * 60 * BB66 * BH66))^2))^2
)</f>
        <v>3.2884868785646492E-3</v>
      </c>
      <c r="BL66" s="46">
        <f>R66/(1-EXP(-E66*60*BB66*BH66)*EXP(-(M66-1560)*$CW$126*$BH$122))</f>
        <v>2.7609916534905965E-2</v>
      </c>
      <c r="BM66" s="46">
        <f>2*SQRT(
((S66/2) * (1 / (1 - EXP(-E66 * 60 * BB66 * BH66) * EXP(-(M66 - 1560) * $CW$126 * $BH$48))))^2 +
(BC66 * (-R66 * 60 * E66 * BH66 * EXP(-E66 * 60 * BB66 * BH66) / ((1 - EXP(-E66 * 60 * BB66 * BH66) * EXP(-(M66 - 1560) * $CW$126 * $BH$48))^2)))^2 +
($CX$126 * (-R66 * (M66 - 1560) * $BH$48 * EXP(-(M66 - 1560) * $CW$126 * $BH$48) / ((1 - EXP(-E66 * 60 * BB66 * BH66) * EXP(-(M66 - 1560) * $CW$126 * $BH$48))^2)))^2
)</f>
        <v>3.2350613778802358E-3</v>
      </c>
      <c r="BN66" s="119" cm="1">
        <f t="array" ref="BN66:BO66">BL66:BM66</f>
        <v>2.7609916534905965E-2</v>
      </c>
      <c r="BO66" s="120">
        <v>3.2350613778802358E-3</v>
      </c>
      <c r="BP66" s="26"/>
      <c r="BQ66" s="26"/>
      <c r="BR66" s="75"/>
      <c r="BS66" s="75"/>
      <c r="BT66" s="123">
        <f>BN66*(Y65/R65)*1.10204926384627</f>
        <v>1.200170776299838E-2</v>
      </c>
      <c r="BU66" s="123">
        <f>2*(((BO66/2)*1.10204926384627*(AB65/(1000)))^2+((AC65/2000)*1.10204926384627*BN66)^2+((0.187040260207234/2)*BN66*(AB65/(1000)))^2)^0.5</f>
        <v>5.5372209232571338E-3</v>
      </c>
      <c r="BV66" s="124">
        <f>BT66</f>
        <v>1.200170776299838E-2</v>
      </c>
      <c r="BW66" s="125">
        <f>BU66</f>
        <v>5.5372209232571338E-3</v>
      </c>
      <c r="BX66" s="26"/>
      <c r="BY66" s="26"/>
      <c r="BZ66" s="75"/>
      <c r="CA66" s="141">
        <f t="shared" ref="CA66:CA68" si="38">CA65*(EXP(-BH66*BG66*E66))*(EXP(-$BG$140*$F$144*D205*(24+273)*M66))</f>
        <v>4.1688654571800217E-2</v>
      </c>
      <c r="CB66" s="34"/>
      <c r="CC66" s="34"/>
      <c r="CD66" s="34">
        <f t="shared" ref="CD66:CD68" si="39">CD65*(EXP(-BH66*BF66*E66))*(EXP(-$BF$140*$F$144*D205*(24+273)*M66))</f>
        <v>2.5636167590591383E-2</v>
      </c>
      <c r="CE66" s="46"/>
      <c r="CF66" s="46"/>
      <c r="CG66" s="46"/>
      <c r="CH66" s="46"/>
      <c r="CI66" s="46"/>
      <c r="CJ66" s="46"/>
      <c r="CK66" s="46"/>
      <c r="CL66" s="46"/>
      <c r="CM66" s="46"/>
      <c r="CN66" s="46"/>
      <c r="CO66" s="46"/>
      <c r="CP66" s="46"/>
      <c r="CQ66" s="46"/>
      <c r="CR66" s="46"/>
      <c r="CS66" s="46"/>
      <c r="CU66" s="46"/>
    </row>
    <row r="67" spans="1:99" x14ac:dyDescent="0.3">
      <c r="A67" t="s">
        <v>125</v>
      </c>
      <c r="B67" t="s">
        <v>126</v>
      </c>
      <c r="C67" s="1">
        <v>45337.70416666667</v>
      </c>
      <c r="D67">
        <v>99.99</v>
      </c>
      <c r="E67">
        <f t="shared" si="31"/>
        <v>150</v>
      </c>
      <c r="G67" s="2">
        <v>0.98099999999999998</v>
      </c>
      <c r="H67" s="2">
        <v>0</v>
      </c>
      <c r="I67" s="2">
        <v>1.95</v>
      </c>
      <c r="J67">
        <v>9000</v>
      </c>
      <c r="K67">
        <v>9127.0589999999993</v>
      </c>
      <c r="L67">
        <f t="shared" si="2"/>
        <v>12000.000000139698</v>
      </c>
      <c r="M67">
        <f t="shared" si="3"/>
        <v>3000.0000001396984</v>
      </c>
      <c r="N67" s="65"/>
      <c r="O67">
        <v>6.2844483616795403E-3</v>
      </c>
      <c r="P67">
        <v>2.6300508081318799E-2</v>
      </c>
      <c r="R67">
        <v>6.1650438428076304E-3</v>
      </c>
      <c r="S67">
        <v>2.33742722995067E-4</v>
      </c>
      <c r="T67">
        <v>5.1285990758571702E-2</v>
      </c>
      <c r="U67">
        <v>3.2286204435096202E-4</v>
      </c>
      <c r="AQ67" s="2">
        <f>SUM(BP$5:$BP67)</f>
        <v>6.8280464394057336</v>
      </c>
      <c r="AR67" s="2" cm="1">
        <f t="array" ref="AR67">2*SQRT(SUM((BQ$5:$BQ67/2)^2))</f>
        <v>5.132001803640393E-2</v>
      </c>
      <c r="AS67" s="2">
        <f>SUM($BX$5:BX67)</f>
        <v>1.730790646934981</v>
      </c>
      <c r="AT67" s="2" cm="1">
        <f t="array" ref="AT67">2*SQRT(SUM(($BY$5:BY67/2)^2))</f>
        <v>0.19387776913236454</v>
      </c>
      <c r="AU67" s="2">
        <f t="shared" si="8"/>
        <v>6.7943248094337321</v>
      </c>
      <c r="AV67" s="2"/>
      <c r="AW67" s="2">
        <f t="shared" si="9"/>
        <v>2.8192584138591803</v>
      </c>
      <c r="AX67" s="2"/>
      <c r="AZ67" s="2">
        <f>'Naive Apparent Lambdas'!$U$2*(10000/(D67+273))+'Naive Apparent Lambdas'!$V$2</f>
        <v>25.45939586923167</v>
      </c>
      <c r="BA67">
        <f>'Naive Apparent Lambdas'!$V$4</f>
        <v>6.7480704157997479E-2</v>
      </c>
      <c r="BB67" s="2">
        <f t="shared" si="1"/>
        <v>113992200830.34454</v>
      </c>
      <c r="BC67" s="2">
        <f t="shared" si="5"/>
        <v>7692273980.5515146</v>
      </c>
      <c r="BD67" s="2">
        <f>BB67*(D67+273)*$D$145*$F$144</f>
        <v>4.0516485682730825E-5</v>
      </c>
      <c r="BE67" s="2"/>
      <c r="BF67" s="31">
        <f t="shared" si="6"/>
        <v>81354566284.197021</v>
      </c>
      <c r="BG67" s="31">
        <f t="shared" si="7"/>
        <v>88138659054.577789</v>
      </c>
      <c r="BH67" s="2">
        <f t="shared" si="26"/>
        <v>3.5543208559532784E-16</v>
      </c>
      <c r="BI67" s="2"/>
      <c r="BJ67" s="2">
        <f>R67/(1-EXP(-E67*60*BD67))</f>
        <v>2.0176266036499555E-2</v>
      </c>
      <c r="BK67" s="2">
        <f>2*SQRT(
((S67/2) * (1 / (1 - EXP(-E67 * 60 * BB67 * BH67))))^2 +
(BC67 * (-R67 * 60 * E67 * BH67 * EXP(-E67 * 60 * BB67 * BH67) / (1 - EXP(-E67 * 60 * BB67 * BH67))^2))^2
)</f>
        <v>2.3827822588491933E-3</v>
      </c>
      <c r="BL67" s="2">
        <f>R67/(1-EXP(-E67*60*BB67*BH67)*EXP(-(M67-1560)*$CW$126*$BH$122))</f>
        <v>1.970740116656329E-2</v>
      </c>
      <c r="BM67" s="2">
        <f>2*SQRT(
((S67/2) * (1 / (1 - EXP(-E67 * 60 * BB67 * BH67) * EXP(-(M67 - 1560) * $CW$126 * $BH$48))))^2 +
(BC67 * (-R67 * 60 * E67 * BH67 * EXP(-E67 * 60 * BB67 * BH67) / ((1 - EXP(-E67 * 60 * BB67 * BH67) * EXP(-(M67 - 1560) * $CW$126 * $BH$48))^2)))^2 +
($CX$126 * (-R67 * (M67 - 1560) * $BH$48 * EXP(-(M67 - 1560) * $CW$126 * $BH$48) / ((1 - EXP(-E67 * 60 * BB67 * BH67) * EXP(-(M67 - 1560) * $CW$126 * $BH$48))^2)))^2
)</f>
        <v>2.287292975766441E-3</v>
      </c>
      <c r="BN67" s="107">
        <f>BN66-R66</f>
        <v>1.9097936761615766E-2</v>
      </c>
      <c r="BO67" s="101">
        <f>BO66+S66</f>
        <v>3.5564672105843887E-3</v>
      </c>
      <c r="BP67" s="22"/>
      <c r="BQ67" s="22"/>
      <c r="BT67" s="2"/>
      <c r="BU67" s="2"/>
      <c r="BV67" s="54">
        <f>BV66*EXP(-BB66*BH66*E66*60*0.91357457380209)*EXP(-(M66-1560)*$CW$126*$BH$48*0.91357457380209)</f>
        <v>8.5703640417947816E-3</v>
      </c>
      <c r="BW67" s="99">
        <f>2*SQRT(
((BW66/2) * EXP(-BB66 * BH66 * E66 * 60 * 0.91357457380209) * EXP(-(M66 - 1560) * $CW$126 * $BH$48 * 0.91357457380209))^2 +
(BC66 * (-BV66 * BH66 * E66 * 60 * 0.91357457380209 * EXP(-BB66 * BH66 * E66 * 60 * 0.91357457380209) * EXP(-(M66 - 1560) * $CW$126 * $BH$48 * 0.91357457380209)))^2 +
((0.146030972937065 / 2) * BV66 * (-BB66 * BH66 * E66 * 60 - (M66 - 1560) * $CW$126 * $BH$48) * EXP(-BB66 * BH66 * E66 * 60 * 0.91357457380209) * EXP(-(M66 - 1560) * $CW$126 * $BH$48 * 0.91357457380209))^2 +
-(M66-1560)*$BH$48*0.91357457380209*BV66*EXP(-BB66*BH66*E66*60*0.91357457380209)*EXP(-(M66-1560)*$CW$126*$BH$48*0.91357457380209))</f>
        <v>3.9995274842996274E-3</v>
      </c>
      <c r="BX67" s="22"/>
      <c r="BY67" s="22"/>
      <c r="CA67" s="141">
        <f t="shared" si="38"/>
        <v>4.149321513120291E-2</v>
      </c>
      <c r="CB67" s="34"/>
      <c r="CC67" s="34"/>
      <c r="CD67" s="34">
        <f t="shared" si="39"/>
        <v>2.5525213987416705E-2</v>
      </c>
      <c r="CE67" s="2"/>
      <c r="CF67" s="2"/>
      <c r="CS67" s="2"/>
    </row>
    <row r="68" spans="1:99" x14ac:dyDescent="0.3">
      <c r="A68" t="s">
        <v>127</v>
      </c>
      <c r="B68" t="s">
        <v>128</v>
      </c>
      <c r="C68" s="1">
        <v>45337.847222222219</v>
      </c>
      <c r="D68">
        <v>100</v>
      </c>
      <c r="E68">
        <f t="shared" si="31"/>
        <v>150</v>
      </c>
      <c r="G68" s="2">
        <v>0.69599999999999995</v>
      </c>
      <c r="H68" s="2">
        <v>0</v>
      </c>
      <c r="I68" s="2">
        <v>5</v>
      </c>
      <c r="J68">
        <v>9000</v>
      </c>
      <c r="K68">
        <v>9124.6270000000004</v>
      </c>
      <c r="L68">
        <f t="shared" si="2"/>
        <v>12359.999999427237</v>
      </c>
      <c r="M68">
        <f t="shared" si="3"/>
        <v>3359.9999994272366</v>
      </c>
      <c r="N68" s="65"/>
      <c r="O68">
        <v>6.1247738621486702E-3</v>
      </c>
      <c r="P68">
        <v>2.62127837662114E-2</v>
      </c>
      <c r="R68">
        <v>4.2628426080554699E-3</v>
      </c>
      <c r="S68">
        <v>1.6510361530595299E-4</v>
      </c>
      <c r="T68">
        <v>0.131063918831057</v>
      </c>
      <c r="U68">
        <v>8.4744101268702601E-4</v>
      </c>
      <c r="AQ68" s="2">
        <f>SUM(BP$5:$BP68)</f>
        <v>6.8280464394057336</v>
      </c>
      <c r="AR68" s="2" cm="1">
        <f t="array" ref="AR68">2*SQRT(SUM((BQ$5:$BQ68/2)^2))</f>
        <v>5.132001803640393E-2</v>
      </c>
      <c r="AS68" s="2">
        <f>SUM($BX$5:BX68)</f>
        <v>1.730790646934981</v>
      </c>
      <c r="AT68" s="2" cm="1">
        <f t="array" ref="AT68">2*SQRT(SUM(($BY$5:BY68/2)^2))</f>
        <v>0.19387776913236454</v>
      </c>
      <c r="AU68" s="2">
        <f t="shared" si="8"/>
        <v>6.7985876520417872</v>
      </c>
      <c r="AV68" s="2"/>
      <c r="AW68" s="2">
        <f t="shared" si="9"/>
        <v>2.9503223326902375</v>
      </c>
      <c r="AX68" s="2"/>
      <c r="AZ68" s="2">
        <f>'Naive Apparent Lambdas'!$U$2*(10000/(D68+273))+'Naive Apparent Lambdas'!$V$2</f>
        <v>25.45976456747379</v>
      </c>
      <c r="BA68">
        <f>'Naive Apparent Lambdas'!$V$4</f>
        <v>6.7480704157997479E-2</v>
      </c>
      <c r="BB68" s="2">
        <f t="shared" ref="BB68:BB131" si="40">EXP(AZ68)</f>
        <v>114034237303.31673</v>
      </c>
      <c r="BC68" s="2">
        <f t="shared" ref="BC68:BC131" si="41">BA68*BB68</f>
        <v>7695110631.3479958</v>
      </c>
      <c r="BD68" s="2">
        <f>BB68*(D68+273)*$D$145*$F$144</f>
        <v>4.053251345654956E-5</v>
      </c>
      <c r="BE68" s="2"/>
      <c r="BF68" s="31">
        <f t="shared" si="6"/>
        <v>81368987856.687653</v>
      </c>
      <c r="BG68" s="31">
        <f t="shared" si="7"/>
        <v>88154464997.476822</v>
      </c>
      <c r="BH68" s="2">
        <f t="shared" ref="BH68:BH99" si="42">(D68+273)*$D$145*$F$144</f>
        <v>3.5544161486114176E-16</v>
      </c>
      <c r="BI68" s="2"/>
      <c r="BJ68" s="2">
        <f>R68/(1-EXP(-E68*60*BD68))</f>
        <v>1.3946382778054055E-2</v>
      </c>
      <c r="BK68" s="2">
        <f>2*SQRT(
((S68/2) * (1 / (1 - EXP(-E68 * 60 * BB68 * BH68))))^2 +
(BC68 * (-R68 * 60 * E68 * BH68 * EXP(-E68 * 60 * BB68 * BH68) / (1 - EXP(-E68 * 60 * BB68 * BH68))^2))^2
)</f>
        <v>1.6506227760253187E-3</v>
      </c>
      <c r="BL68" s="2">
        <f>R68/(1-EXP(-E68*60*BB68*BH68)*EXP(-(M68-1560)*$CW$126*$BH$122))</f>
        <v>1.3544305133868733E-2</v>
      </c>
      <c r="BM68" s="2">
        <f>2*SQRT(
((S68/2) * (1 / (1 - EXP(-E68 * 60 * BB68 * BH68) * EXP(-(M68 - 1560) * $CW$126 * $BH$48))))^2 +
(BC68 * (-R68 * 60 * E68 * BH68 * EXP(-E68 * 60 * BB68 * BH68) / ((1 - EXP(-E68 * 60 * BB68 * BH68) * EXP(-(M68 - 1560) * $CW$126 * $BH$48))^2)))^2 +
($CX$126 * (-R68 * (M68 - 1560) * $BH$48 * EXP(-(M68 - 1560) * $CW$126 * $BH$48) / ((1 - EXP(-E68 * 60 * BB68 * BH68) * EXP(-(M68 - 1560) * $CW$126 * $BH$48))^2)))^2
)</f>
        <v>1.5706454985591376E-3</v>
      </c>
      <c r="BN68" s="107">
        <f>BN67-R67</f>
        <v>1.2932892918808135E-2</v>
      </c>
      <c r="BO68" s="101">
        <f>BO67+S67</f>
        <v>3.7902099335794556E-3</v>
      </c>
      <c r="BP68" s="22"/>
      <c r="BQ68" s="22"/>
      <c r="BT68" s="2"/>
      <c r="BU68" s="2"/>
      <c r="BV68" s="54">
        <f>BV67*EXP(-BB67*BH67*E67*60*0.91357457380209)*EXP(-(M67-1560)*$CW$126*$BH$48*0.91357457380209)</f>
        <v>6.0833935888053138E-3</v>
      </c>
      <c r="BW68" s="99">
        <f>2*SQRT(
((BW67/2) * EXP(-BB67 * BH67 * E67 * 60 * 0.91357457380209) * EXP(-(M67 - 1560) * $CW$126 * $BH$48 * 0.91357457380209))^2 +
(BC67 * (-BV67 * BH67 * E67 * 60 * 0.91357457380209 * EXP(-BB67 * BH67 * E67 * 60 * 0.91357457380209) * EXP(-(M67 - 1560) * $CW$126 * $BH$48 * 0.91357457380209)))^2 +
((0.146030972937065 / 2) * BV67 * (-BB67 * BH67 * E67 * 60 - (M67 - 1560) * $CW$126 * $BH$48) * EXP(-BB67 * BH67 * E67 * 60 * 0.91357457380209) * EXP(-(M67 - 1560) * $CW$126 * $BH$48 * 0.91357457380209))^2 +
-(M67-1560)*$BH$48*0.91357457380209*BV67*EXP(-BB67*BH67*E67*60*0.91357457380209)*EXP(-(M67-1560)*$CW$126*$BH$48*0.91357457380209))</f>
        <v>2.8714869245515672E-3</v>
      </c>
      <c r="BX68" s="22"/>
      <c r="BY68" s="22"/>
      <c r="CA68" s="141">
        <f t="shared" si="38"/>
        <v>4.1298651918958089E-2</v>
      </c>
      <c r="CB68" s="34"/>
      <c r="CC68" s="34"/>
      <c r="CD68" s="34">
        <f t="shared" si="39"/>
        <v>2.5414718095703448E-2</v>
      </c>
      <c r="CE68" s="2"/>
      <c r="CF68" s="2"/>
      <c r="CS68" s="2"/>
    </row>
    <row r="69" spans="1:99" s="29" customFormat="1" x14ac:dyDescent="0.3">
      <c r="A69" s="29" t="s">
        <v>129</v>
      </c>
      <c r="B69" s="29" t="s">
        <v>130</v>
      </c>
      <c r="C69" s="30">
        <v>45338.12222222222</v>
      </c>
      <c r="D69" s="29">
        <v>229.99</v>
      </c>
      <c r="E69" s="29">
        <f t="shared" si="31"/>
        <v>370</v>
      </c>
      <c r="F69" s="29" t="s">
        <v>289</v>
      </c>
      <c r="G69" s="31">
        <v>56.9</v>
      </c>
      <c r="H69" s="31">
        <v>0</v>
      </c>
      <c r="I69" s="31">
        <v>8.0399999999999991</v>
      </c>
      <c r="J69" s="29">
        <v>22200</v>
      </c>
      <c r="K69" s="29">
        <v>22325.184000000001</v>
      </c>
      <c r="L69" s="29">
        <f t="shared" ref="L69:L132" si="43">(C69-C68)*24*3600</f>
        <v>23760.000000125729</v>
      </c>
      <c r="M69" s="29">
        <f t="shared" ref="M69:M132" si="44">L69-J69</f>
        <v>1560.0000001257285</v>
      </c>
      <c r="N69" s="65"/>
      <c r="O69" s="29">
        <v>6.2862292134231897E-3</v>
      </c>
      <c r="P69" s="29">
        <v>2.6284337155500902E-2</v>
      </c>
      <c r="R69" s="29">
        <v>0.35768644224377999</v>
      </c>
      <c r="S69" s="29">
        <v>1.3341105289554799E-2</v>
      </c>
      <c r="T69" s="29">
        <v>0.21132607073022699</v>
      </c>
      <c r="U69" s="29">
        <v>1.31899743016831E-3</v>
      </c>
      <c r="W69" s="31">
        <f>(1000*T69/R69)/$AG$140</f>
        <v>0.59216389070600295</v>
      </c>
      <c r="X69" s="31"/>
      <c r="Y69" s="31">
        <f>T69-AVERAGE(T70:T72)</f>
        <v>0.19373775906023877</v>
      </c>
      <c r="Z69" s="31">
        <f>U69+AVERAGE(T70:T72)</f>
        <v>1.8907309100156547E-2</v>
      </c>
      <c r="AA69" s="31"/>
      <c r="AB69" s="31">
        <f>(Y69*1000)/R69</f>
        <v>541.64132653425384</v>
      </c>
      <c r="AC69" s="31">
        <f>2*((1000*Z69/(2*R69))^2+((S69/2)*1000*Y69/(R69^2))^2)^0.5</f>
        <v>56.588993804340561</v>
      </c>
      <c r="AD69" s="31">
        <f>AB69/$AG$140</f>
        <v>0.54287909099595799</v>
      </c>
      <c r="AE69" s="31">
        <f>2*(($AH$140*AB69/(2*$AG$140^2))^2+(AC69/($AG$140*2))^2)^0.5</f>
        <v>5.7014273099564028E-2</v>
      </c>
      <c r="AF69" s="69"/>
      <c r="AG69" s="31" cm="1">
        <f t="array" ref="AG69:AH69">BP69:BQ69</f>
        <v>0.39124801292181549</v>
      </c>
      <c r="AH69" s="29">
        <v>1.4831403285235569E-2</v>
      </c>
      <c r="AI69" s="31" cm="1">
        <f t="array" ref="AI69:AJ69">BX69:BY69</f>
        <v>0.21463930016323987</v>
      </c>
      <c r="AJ69" s="29">
        <v>1.9908308230063655E-2</v>
      </c>
      <c r="AL69" s="31">
        <f>1000*AI69/AG69</f>
        <v>548.60163649222682</v>
      </c>
      <c r="AM69" s="31">
        <f>2*((AH69*1000*AI69/(2*AG69^2))^2+(1000*AJ69/(AG69*2))^2)^0.5</f>
        <v>54.969821923453765</v>
      </c>
      <c r="AN69" s="31">
        <f>AL69/$AG$140</f>
        <v>0.54985530672752392</v>
      </c>
      <c r="AO69" s="31">
        <f>2*(($AH$140*AL69/(2*$AG$140^2))^2+(AM69/($AG$140*2))^2)^0.5</f>
        <v>5.5407928923739011E-2</v>
      </c>
      <c r="AP69" s="31"/>
      <c r="AQ69" s="31">
        <f>SUM(BP$5:$BP69)</f>
        <v>7.2192944523275493</v>
      </c>
      <c r="AR69" s="31" cm="1">
        <f t="array" ref="AR69">2*SQRT(SUM((BQ$5:$BQ69/2)^2))</f>
        <v>5.342017198274563E-2</v>
      </c>
      <c r="AS69" s="31">
        <f>SUM($BX$5:BX69)</f>
        <v>1.9454299470982208</v>
      </c>
      <c r="AT69" s="31" cm="1">
        <f t="array" ref="AT69">2*SQRT(SUM(($BY$5:BY69/2)^2))</f>
        <v>0.19489722958607097</v>
      </c>
      <c r="AU69" s="31">
        <f t="shared" si="8"/>
        <v>7.1562740942855676</v>
      </c>
      <c r="AV69" s="31"/>
      <c r="AW69" s="31">
        <f t="shared" si="9"/>
        <v>3.1616484034204646</v>
      </c>
      <c r="AX69" s="31"/>
      <c r="AY69" s="69"/>
      <c r="AZ69" s="31"/>
      <c r="BB69" s="31"/>
      <c r="BC69" s="31"/>
      <c r="BD69" s="31"/>
      <c r="BE69" s="31"/>
      <c r="BF69" s="31">
        <f t="shared" si="6"/>
        <v>449255843058.26703</v>
      </c>
      <c r="BG69" s="31">
        <f t="shared" si="7"/>
        <v>496490528732.93243</v>
      </c>
      <c r="BH69" s="31">
        <f t="shared" si="42"/>
        <v>4.79312541176959E-16</v>
      </c>
      <c r="BI69" s="31"/>
      <c r="BJ69" s="31"/>
      <c r="BK69" s="31"/>
      <c r="BL69" s="31"/>
      <c r="BM69" s="31"/>
      <c r="BN69" s="111">
        <f>BN68-R68</f>
        <v>8.6700503107526652E-3</v>
      </c>
      <c r="BO69" s="112">
        <f>BO68+S68</f>
        <v>3.9553135488854087E-3</v>
      </c>
      <c r="BP69" s="23">
        <f>R69+BN70-BN69</f>
        <v>0.39124801292181549</v>
      </c>
      <c r="BQ69" s="23">
        <f>2*(((BO69/2)^2+(BO70/2)^2+(S69/2)^2)^(0.5))</f>
        <v>1.4831403285235569E-2</v>
      </c>
      <c r="BR69" s="72">
        <f>100*(BP69-R69)/R69</f>
        <v>9.3829585677059928</v>
      </c>
      <c r="BS69" s="72"/>
      <c r="BT69" s="31"/>
      <c r="BU69" s="31"/>
      <c r="BV69" s="114">
        <f>BV68*EXP(-BB68*BH68*E68*60*0.91357457380209)*EXP(-(M68-1560)*$CW$126*$BH$48*0.91357457380209)</f>
        <v>4.3071648953842655E-3</v>
      </c>
      <c r="BW69" s="116">
        <f>2*SQRT(
((BW68/2) * EXP(-BB68 * BH68 * E68 * 60 * 0.91357457380209) * EXP(-(M68 - 1560) * $CW$126 * $BH$48 * 0.91357457380209))^2 +
(BC68 * (-BV68 * BH68 * E68 * 60 * 0.91357457380209 * EXP(-BB68 * BH68 * E68 * 60 * 0.91357457380209) * EXP(-(M68 - 1560) * $CW$126 * $BH$48 * 0.91357457380209)))^2 +
((0.146030972937065 / 2) * BV68 * (-BB68 * BH68 * E68 * 60 - (M68 - 1560) * $CW$126 * $BH$48) * EXP(-BB68 * BH68 * E68 * 60 * 0.91357457380209) * EXP(-(M68 - 1560) * $CW$126 * $BH$48 * 0.91357457380209))^2 +
-(M68-1560)*$BH$48*0.91357457380209*BV68*EXP(-BB68*BH68*E68*60*0.91357457380209)*EXP(-(M68-1560)*$CW$126*$BH$48*0.91357457380209))</f>
        <v>2.0560683280103041E-3</v>
      </c>
      <c r="BX69" s="23">
        <f>Y69+BV70-BV69</f>
        <v>0.21463930016323987</v>
      </c>
      <c r="BY69" s="23">
        <f>2*(((BW69/2)^2+(BW70/2)^2+(Z69/2)^2)^(0.5))</f>
        <v>1.9908308230063655E-2</v>
      </c>
      <c r="BZ69" s="72">
        <f>100*(BX69-Y69)/Y69</f>
        <v>10.788573793971779</v>
      </c>
      <c r="CA69" s="140">
        <f>R69*CC69</f>
        <v>8.3512557592208367E-2</v>
      </c>
      <c r="CB69" s="31">
        <f>BH69*BG69*J69</f>
        <v>5.2830258413394793</v>
      </c>
      <c r="CC69" s="31">
        <f>1/(CB69-1)</f>
        <v>0.23347979607035446</v>
      </c>
      <c r="CD69" s="31">
        <f>CF69*T69</f>
        <v>5.5900246885354443E-2</v>
      </c>
      <c r="CE69" s="31">
        <f>BH69*BF69*J69</f>
        <v>4.7804139070017824</v>
      </c>
      <c r="CF69" s="31">
        <f>1/(CE69-1)</f>
        <v>0.26452129967776267</v>
      </c>
      <c r="CG69" s="31">
        <f>R69-CA65</f>
        <v>0.31580142768148484</v>
      </c>
      <c r="CH69" s="31">
        <f>R69+CA69</f>
        <v>0.44119899983598837</v>
      </c>
      <c r="CI69" s="31">
        <f>T69-CD65</f>
        <v>0.18557846724071747</v>
      </c>
      <c r="CJ69" s="31">
        <f>T69+CD69</f>
        <v>0.26722631761558147</v>
      </c>
      <c r="CK69" s="31">
        <f>CE69*1.29</f>
        <v>6.1667339400322998</v>
      </c>
      <c r="CL69" s="31">
        <f>R69 / (CK69-1)</f>
        <v>6.922873257947243E-2</v>
      </c>
      <c r="CM69" s="31">
        <f>1000*T69/R69</f>
        <v>590.81375688877358</v>
      </c>
      <c r="CN69" s="31">
        <f>1000*(T69+CD69)/(R69+CL69)</f>
        <v>625.94710465894332</v>
      </c>
      <c r="CO69" s="31">
        <f>1000*(T69-CD65)/(R69-CL65)</f>
        <v>575.94259681805363</v>
      </c>
      <c r="CP69" s="31">
        <f>1000*(T69+CD69-CD65)/(R69+CL69-CL65)</f>
        <v>616.88945498957605</v>
      </c>
      <c r="CQ69" s="31">
        <f>MAX(CM69:CP69)</f>
        <v>625.94710465894332</v>
      </c>
      <c r="CR69" s="31">
        <f>MIN(CM69:CP69)</f>
        <v>575.94259681805363</v>
      </c>
      <c r="CS69" s="31"/>
    </row>
    <row r="70" spans="1:99" s="32" customFormat="1" x14ac:dyDescent="0.3">
      <c r="A70" s="32" t="s">
        <v>131</v>
      </c>
      <c r="B70" s="32" t="s">
        <v>132</v>
      </c>
      <c r="C70" s="33">
        <v>45338.244444444441</v>
      </c>
      <c r="D70" s="32">
        <v>95</v>
      </c>
      <c r="E70" s="32">
        <f t="shared" si="31"/>
        <v>150</v>
      </c>
      <c r="F70" s="32" t="s">
        <v>375</v>
      </c>
      <c r="G70" s="34">
        <v>1.73</v>
      </c>
      <c r="H70" s="34">
        <v>0</v>
      </c>
      <c r="I70" s="34">
        <v>0.42099999999999999</v>
      </c>
      <c r="J70" s="32">
        <v>9000</v>
      </c>
      <c r="K70" s="32">
        <v>9127.6110000000008</v>
      </c>
      <c r="L70" s="32">
        <f t="shared" si="43"/>
        <v>10559.999999846332</v>
      </c>
      <c r="M70" s="32">
        <f t="shared" si="44"/>
        <v>1559.9999998463318</v>
      </c>
      <c r="N70" s="65"/>
      <c r="O70" s="32">
        <v>6.3009891986499696E-3</v>
      </c>
      <c r="P70" s="32">
        <v>2.6308942542484101E-2</v>
      </c>
      <c r="R70" s="32">
        <v>1.09007113136644E-2</v>
      </c>
      <c r="S70" s="32">
        <v>4.0140724395722898E-4</v>
      </c>
      <c r="T70" s="32">
        <v>1.10760648103858E-2</v>
      </c>
      <c r="U70" s="34">
        <v>6.8963795376697498E-5</v>
      </c>
      <c r="V70" s="34"/>
      <c r="Y70" s="34"/>
      <c r="Z70" s="34"/>
      <c r="AA70" s="34"/>
      <c r="AB70" s="34"/>
      <c r="AF70" s="69"/>
      <c r="AQ70" s="34">
        <f>SUM(BP$5:$BP70)</f>
        <v>7.2192944523275493</v>
      </c>
      <c r="AR70" s="34" cm="1">
        <f t="array" ref="AR70">2*SQRT(SUM((BQ$5:$BQ70/2)^2))</f>
        <v>5.342017198274563E-2</v>
      </c>
      <c r="AS70" s="34">
        <f>SUM($BX$5:BX70)</f>
        <v>1.9454299470982208</v>
      </c>
      <c r="AT70" s="34" cm="1">
        <f t="array" ref="AT70">2*SQRT(SUM(($BY$5:BY70/2)^2))</f>
        <v>0.19489722958607097</v>
      </c>
      <c r="AU70" s="34">
        <f t="shared" si="8"/>
        <v>7.1671748055992319</v>
      </c>
      <c r="AV70" s="34"/>
      <c r="AW70" s="34">
        <f t="shared" si="9"/>
        <v>3.1727244682308502</v>
      </c>
      <c r="AX70" s="34"/>
      <c r="AY70" s="69"/>
      <c r="AZ70" s="34">
        <f>'Naive Apparent Lambdas'!$U$2*(10000/(D70+273))+'Naive Apparent Lambdas'!$V$2</f>
        <v>25.272915712407681</v>
      </c>
      <c r="BA70" s="32">
        <f>'Naive Apparent Lambdas'!$V$4</f>
        <v>6.7480704157997479E-2</v>
      </c>
      <c r="BB70" s="34">
        <f t="shared" si="40"/>
        <v>94599280986.297607</v>
      </c>
      <c r="BC70" s="34">
        <f t="shared" si="41"/>
        <v>6383626093.7956247</v>
      </c>
      <c r="BD70" s="34">
        <f>BB70*(D70+273)*$D$145*$F$144</f>
        <v>3.3173790351308016E-5</v>
      </c>
      <c r="BE70" s="34"/>
      <c r="BF70" s="31">
        <f t="shared" ref="BF70:BF133" si="45">IF((273+D70)&gt;=600, 0.00074*EXP(-6613/(1.987*(273+D70)))*128000000000000000*EXP(1174/(1.987*(273+D70))), 0.000304*EXP(-5580/(1.987*(273+D70)))*199000000000000000*EXP(680/(1.987*(273+D70))))</f>
        <v>74378450025.067627</v>
      </c>
      <c r="BG70" s="31">
        <f t="shared" ref="BG70:BG133" si="46">BF70 * 1.17*EXP(-57/(1.987*(273+D70)))</f>
        <v>80496818032.103622</v>
      </c>
      <c r="BH70" s="34">
        <f t="shared" si="42"/>
        <v>3.5067698195415599E-16</v>
      </c>
      <c r="BI70" s="34"/>
      <c r="BJ70" s="34">
        <f>R70/(1-EXP(-E70*60*BD70))</f>
        <v>4.223162098878816E-2</v>
      </c>
      <c r="BK70" s="34">
        <f>2*SQRT(
((S70/2) * (1 / (1 - EXP(-E70 * 60 * BB70 * BH70))))^2 +
(BC70 * (-R70 * 60 * E70 * BH70 * EXP(-E70 * 60 * BB70 * BH70) / (1 - EXP(-E70 * 60 * BB70 * BH70))^2))^2
)</f>
        <v>5.1323413557861587E-3</v>
      </c>
      <c r="BL70" s="34">
        <f>R70/(1-EXP(-E70*60*BB70*BH70)*EXP(-(M70-1560)*$CW$126*$BH$122))</f>
        <v>4.2231620988924488E-2</v>
      </c>
      <c r="BM70" s="34">
        <f>2*SQRT(
((S70/2) * (1 / (1 - EXP(-E70 * 60 * BB70 * BH70) * EXP(-(M70 - 1560) * $CW$126 * $BH$48))))^2 +
(BC70 * (-R70 * 60 * E70 * BH70 * EXP(-E70 * 60 * BB70 * BH70) / ((1 - EXP(-E70 * 60 * BB70 * BH70) * EXP(-(M70 - 1560) * $CW$126 * $BH$48))^2)))^2 +
($CX$126 * (-R70 * (M70 - 1560) * $BH$48 * EXP(-(M70 - 1560) * $CW$126 * $BH$48) / ((1 - EXP(-E70 * 60 * BB70 * BH70) * EXP(-(M70 - 1560) * $CW$126 * $BH$48))^2)))^2
)</f>
        <v>5.1323413558177731E-3</v>
      </c>
      <c r="BN70" s="117" cm="1">
        <f t="array" ref="BN70:BO70">BJ70:BK70</f>
        <v>4.223162098878816E-2</v>
      </c>
      <c r="BO70" s="118">
        <v>5.1323413557861587E-3</v>
      </c>
      <c r="BP70" s="24"/>
      <c r="BQ70" s="24"/>
      <c r="BR70" s="73"/>
      <c r="BS70" s="73"/>
      <c r="BT70" s="123">
        <f>BN70*(Y69/R69)*1.10204926384627</f>
        <v>2.5208705998385372E-2</v>
      </c>
      <c r="BU70" s="123">
        <f>2*(((BO70/2)*1.10204926384627*(AB69/(1000)))^2+((AC69/2000)*1.10204926384627*BN70)^2+((0.187040260207234/2)*BN70*(AB69/(1000)))^2)^0.5</f>
        <v>5.8844695771930536E-3</v>
      </c>
      <c r="BV70" s="124">
        <f>BT70</f>
        <v>2.5208705998385372E-2</v>
      </c>
      <c r="BW70" s="125">
        <f>BU70</f>
        <v>5.8844695771930536E-3</v>
      </c>
      <c r="BX70" s="24"/>
      <c r="BY70" s="24"/>
      <c r="BZ70" s="73"/>
      <c r="CA70" s="141">
        <f t="shared" ref="CA70:CA72" si="47">CA69*(EXP(-BH70*BG70*E70))*(EXP(-$BG$140*$F$144*D209*(24+273)*M70))</f>
        <v>8.3159691535574398E-2</v>
      </c>
      <c r="CB70" s="34"/>
      <c r="CC70" s="34"/>
      <c r="CD70" s="34">
        <f t="shared" ref="CD70:CD72" si="48">CD69*(EXP(-BH70*BF70*E70))*(EXP(-$BF$140*$F$144*D209*(24+273)*M70))</f>
        <v>5.568196883073754E-2</v>
      </c>
      <c r="CE70" s="34"/>
      <c r="CF70" s="34"/>
      <c r="CG70" s="34"/>
      <c r="CH70" s="34"/>
      <c r="CI70" s="34"/>
      <c r="CJ70" s="34"/>
      <c r="CK70" s="34"/>
      <c r="CL70" s="34"/>
      <c r="CM70" s="34"/>
      <c r="CN70" s="34"/>
      <c r="CO70" s="34"/>
      <c r="CP70" s="34"/>
      <c r="CQ70" s="34"/>
      <c r="CR70" s="34"/>
      <c r="CS70" s="34"/>
    </row>
    <row r="71" spans="1:99" s="8" customFormat="1" x14ac:dyDescent="0.3">
      <c r="A71" s="8" t="s">
        <v>133</v>
      </c>
      <c r="B71" s="8" t="s">
        <v>134</v>
      </c>
      <c r="C71" s="35">
        <v>45338.366666666669</v>
      </c>
      <c r="D71" s="8">
        <v>95</v>
      </c>
      <c r="E71" s="8">
        <f t="shared" si="31"/>
        <v>150</v>
      </c>
      <c r="F71" s="8" t="s">
        <v>287</v>
      </c>
      <c r="G71" s="36">
        <v>1.28</v>
      </c>
      <c r="H71" s="36">
        <v>0</v>
      </c>
      <c r="I71" s="36">
        <v>0.123</v>
      </c>
      <c r="J71" s="8">
        <v>9000</v>
      </c>
      <c r="K71" s="8">
        <v>9124.4429999999993</v>
      </c>
      <c r="L71" s="8">
        <f t="shared" si="43"/>
        <v>10560.000000474975</v>
      </c>
      <c r="M71" s="8">
        <f t="shared" si="44"/>
        <v>1560.0000004749745</v>
      </c>
      <c r="N71" s="65"/>
      <c r="O71" s="8">
        <v>6.3057618476632703E-3</v>
      </c>
      <c r="P71" s="8">
        <v>2.6329110087416299E-2</v>
      </c>
      <c r="R71" s="8">
        <v>8.0713751650089895E-3</v>
      </c>
      <c r="S71" s="8">
        <v>2.9027337404482898E-4</v>
      </c>
      <c r="T71" s="8">
        <v>3.2384805407522101E-3</v>
      </c>
      <c r="U71" s="36">
        <v>2.0155953700263699E-5</v>
      </c>
      <c r="V71" s="36"/>
      <c r="Y71" s="36"/>
      <c r="Z71" s="36"/>
      <c r="AA71" s="36"/>
      <c r="AB71" s="36"/>
      <c r="AF71" s="69"/>
      <c r="AQ71" s="36">
        <f>SUM(BP$5:$BP71)</f>
        <v>7.2192944523275493</v>
      </c>
      <c r="AR71" s="36" cm="1">
        <f t="array" ref="AR71">2*SQRT(SUM((BQ$5:$BQ71/2)^2))</f>
        <v>5.342017198274563E-2</v>
      </c>
      <c r="AS71" s="36">
        <f>SUM($BX$5:BX71)</f>
        <v>1.9454299470982208</v>
      </c>
      <c r="AT71" s="36" cm="1">
        <f t="array" ref="AT71">2*SQRT(SUM(($BY$5:BY71/2)^2))</f>
        <v>0.19489722958607097</v>
      </c>
      <c r="AU71" s="36">
        <f t="shared" ref="AU71:AU134" si="49">AU70+R71</f>
        <v>7.1752461807642405</v>
      </c>
      <c r="AV71" s="36"/>
      <c r="AW71" s="36">
        <f t="shared" ref="AW71:AW134" si="50">AW70+T71</f>
        <v>3.1759629487716023</v>
      </c>
      <c r="AX71" s="36"/>
      <c r="AY71" s="69"/>
      <c r="AZ71" s="36">
        <f>'Naive Apparent Lambdas'!$U$2*(10000/(D71+273))+'Naive Apparent Lambdas'!$V$2</f>
        <v>25.272915712407681</v>
      </c>
      <c r="BA71" s="8">
        <f>'Naive Apparent Lambdas'!$V$4</f>
        <v>6.7480704157997479E-2</v>
      </c>
      <c r="BB71" s="36">
        <f t="shared" si="40"/>
        <v>94599280986.297607</v>
      </c>
      <c r="BC71" s="36">
        <f t="shared" si="41"/>
        <v>6383626093.7956247</v>
      </c>
      <c r="BD71" s="36">
        <f>BB71*(D71+273)*$D$145*$F$144</f>
        <v>3.3173790351308016E-5</v>
      </c>
      <c r="BE71" s="36"/>
      <c r="BF71" s="31">
        <f t="shared" si="45"/>
        <v>74378450025.067627</v>
      </c>
      <c r="BG71" s="31">
        <f t="shared" si="46"/>
        <v>80496818032.103622</v>
      </c>
      <c r="BH71" s="36">
        <f t="shared" si="42"/>
        <v>3.5067698195415599E-16</v>
      </c>
      <c r="BI71" s="36"/>
      <c r="BJ71" s="36">
        <f>R71/(1-EXP(-E71*60*BD71))</f>
        <v>3.1270184763052003E-2</v>
      </c>
      <c r="BK71" s="36">
        <f>2*SQRT(
((S71/2) * (1 / (1 - EXP(-E71 * 60 * BB71 * BH71))))^2 +
(BC71 * (-R71 * 60 * E71 * BH71 * EXP(-E71 * 60 * BB71 * BH71) / (1 - EXP(-E71 * 60 * BB71 * BH71))^2))^2
)</f>
        <v>3.7921476483427775E-3</v>
      </c>
      <c r="BL71" s="36">
        <f>R71/(1-EXP(-E71*60*BB71*BH71)*EXP(-(M71-1560)*$CW$126*$BH$122))</f>
        <v>3.127018476274003E-2</v>
      </c>
      <c r="BM71" s="36">
        <f>2*SQRT(
((S71/2) * (1 / (1 - EXP(-E71 * 60 * BB71 * BH71) * EXP(-(M71 - 1560) * $CW$126 * $BH$48))))^2 +
(BC71 * (-R71 * 60 * E71 * BH71 * EXP(-E71 * 60 * BB71 * BH71) / ((1 - EXP(-E71 * 60 * BB71 * BH71) * EXP(-(M71 - 1560) * $CW$126 * $BH$48))^2)))^2 +
($CX$126 * (-R71 * (M71 - 1560) * $BH$48 * EXP(-(M71 - 1560) * $CW$126 * $BH$48) / ((1 - EXP(-E71 * 60 * BB71 * BH71) * EXP(-(M71 - 1560) * $CW$126 * $BH$48))^2)))^2
)</f>
        <v>3.7921476482704387E-3</v>
      </c>
      <c r="BN71" s="54">
        <f>BN70*EXP(-BD70*E70*60)</f>
        <v>3.1330909675123766E-2</v>
      </c>
      <c r="BO71" s="99">
        <f>2*((((BO70/2)*EXP(-BD70*E70*60))^2+(BN70*EXP(-BD70*E70*60)*E70*60*BC70*BD70/BB70)^2)^0.5)</f>
        <v>4.0114344719981111E-3</v>
      </c>
      <c r="BP71" s="25"/>
      <c r="BQ71" s="25"/>
      <c r="BR71" s="74"/>
      <c r="BS71" s="74"/>
      <c r="BT71" s="36"/>
      <c r="BU71" s="36"/>
      <c r="BV71" s="54">
        <f>BV70*EXP(-BB70*BH70*E70*60*0.91357457380209)*EXP(-(M70-1560)*$CW$126*$BH$48*0.91357457380209)</f>
        <v>1.9190758375531362E-2</v>
      </c>
      <c r="BW71" s="99">
        <f>2*SQRT(
((BW70/2) * EXP(-BB70 * BH70 * E70 * 60 * 0.91357457380209) * EXP(-(M70 - 1560) * $CW$126 * $BH$48 * 0.91357457380209))^2 +
(BC70 * (-BV70 * BH70 * E70 * 60 * 0.91357457380209 * EXP(-BB70 * BH70 * E70 * 60 * 0.91357457380209) * EXP(-(M70 - 1560) * $CW$126 * $BH$48 * 0.91357457380209)))^2 +
((0.146030972937065 / 2) * BV70 * (-BB70 * BH70 * E70 * 60 - (M70 - 1560) * $CW$126 * $BH$48) * EXP(-BB70 * BH70 * E70 * 60 * 0.91357457380209) * EXP(-(M70 - 1560) * $CW$126 * $BH$48 * 0.91357457380209))^2 +
-(M70-1560)*$BH$48*0.91357457380209*BV70*EXP(-BB70*BH70*E70*60*0.91357457380209)*EXP(-(M70-1560)*$CW$126*$BH$48*0.91357457380209))</f>
        <v>4.6116015298623128E-3</v>
      </c>
      <c r="BX71" s="25"/>
      <c r="BY71" s="25"/>
      <c r="BZ71" s="74"/>
      <c r="CA71" s="141">
        <f t="shared" si="47"/>
        <v>8.2808316445778393E-2</v>
      </c>
      <c r="CB71" s="34"/>
      <c r="CC71" s="34"/>
      <c r="CD71" s="34">
        <f t="shared" si="48"/>
        <v>5.5464543103467684E-2</v>
      </c>
      <c r="CE71" s="36"/>
      <c r="CF71" s="36"/>
      <c r="CG71" s="36"/>
      <c r="CH71" s="36"/>
      <c r="CI71" s="36"/>
      <c r="CJ71" s="36"/>
      <c r="CK71" s="36"/>
      <c r="CL71" s="36"/>
      <c r="CM71" s="36"/>
      <c r="CN71" s="36"/>
      <c r="CO71" s="36"/>
      <c r="CP71" s="36"/>
      <c r="CQ71" s="36"/>
      <c r="CR71" s="36"/>
      <c r="CS71" s="36"/>
    </row>
    <row r="72" spans="1:99" s="8" customFormat="1" x14ac:dyDescent="0.3">
      <c r="A72" s="8" t="s">
        <v>135</v>
      </c>
      <c r="B72" s="8" t="s">
        <v>136</v>
      </c>
      <c r="C72" s="35">
        <v>45338.488888888889</v>
      </c>
      <c r="D72" s="8">
        <v>95</v>
      </c>
      <c r="E72" s="8">
        <f t="shared" si="31"/>
        <v>150</v>
      </c>
      <c r="F72" s="8" t="s">
        <v>287</v>
      </c>
      <c r="G72" s="36">
        <v>0.98699999999999999</v>
      </c>
      <c r="H72" s="36">
        <v>0</v>
      </c>
      <c r="I72" s="36">
        <v>1.46</v>
      </c>
      <c r="J72" s="8">
        <v>9000</v>
      </c>
      <c r="K72" s="8">
        <v>9127.0869999999995</v>
      </c>
      <c r="L72" s="8">
        <f t="shared" si="43"/>
        <v>10559.999999846332</v>
      </c>
      <c r="M72" s="8">
        <f t="shared" si="44"/>
        <v>1559.9999998463318</v>
      </c>
      <c r="N72" s="65"/>
      <c r="O72" s="8">
        <v>6.3054984576007599E-3</v>
      </c>
      <c r="P72" s="8">
        <v>2.6335883327963501E-2</v>
      </c>
      <c r="R72" s="8">
        <v>6.2235269776519499E-3</v>
      </c>
      <c r="S72" s="8">
        <v>2.0798207905691699E-4</v>
      </c>
      <c r="T72" s="8">
        <v>3.8450389658826703E-2</v>
      </c>
      <c r="U72" s="8">
        <v>2.3738532019868899E-4</v>
      </c>
      <c r="AF72" s="69"/>
      <c r="AQ72" s="36">
        <f>SUM(BP$5:$BP72)</f>
        <v>7.2192944523275493</v>
      </c>
      <c r="AR72" s="36" cm="1">
        <f t="array" ref="AR72">2*SQRT(SUM((BQ$5:$BQ72/2)^2))</f>
        <v>5.342017198274563E-2</v>
      </c>
      <c r="AS72" s="36">
        <f>SUM($BX$5:BX72)</f>
        <v>1.9454299470982208</v>
      </c>
      <c r="AT72" s="36" cm="1">
        <f t="array" ref="AT72">2*SQRT(SUM(($BY$5:BY72/2)^2))</f>
        <v>0.19489722958607097</v>
      </c>
      <c r="AU72" s="36">
        <f t="shared" si="49"/>
        <v>7.1814697077418925</v>
      </c>
      <c r="AV72" s="36"/>
      <c r="AW72" s="36">
        <f t="shared" si="50"/>
        <v>3.214413338430429</v>
      </c>
      <c r="AX72" s="36"/>
      <c r="AY72" s="69"/>
      <c r="AZ72" s="36">
        <f>'Naive Apparent Lambdas'!$U$2*(10000/(D72+273))+'Naive Apparent Lambdas'!$V$2</f>
        <v>25.272915712407681</v>
      </c>
      <c r="BA72" s="8">
        <f>'Naive Apparent Lambdas'!$V$4</f>
        <v>6.7480704157997479E-2</v>
      </c>
      <c r="BB72" s="36">
        <f t="shared" si="40"/>
        <v>94599280986.297607</v>
      </c>
      <c r="BC72" s="36">
        <f t="shared" si="41"/>
        <v>6383626093.7956247</v>
      </c>
      <c r="BD72" s="36">
        <f>BB72*(D72+273)*$D$145*$F$144</f>
        <v>3.3173790351308016E-5</v>
      </c>
      <c r="BE72" s="36"/>
      <c r="BF72" s="31">
        <f t="shared" si="45"/>
        <v>74378450025.067627</v>
      </c>
      <c r="BG72" s="31">
        <f t="shared" si="46"/>
        <v>80496818032.103622</v>
      </c>
      <c r="BH72" s="36">
        <f t="shared" si="42"/>
        <v>3.5067698195415599E-16</v>
      </c>
      <c r="BI72" s="36"/>
      <c r="BJ72" s="36">
        <f>R72/(1-EXP(-E72*60*BD72))</f>
        <v>2.4111236869857274E-2</v>
      </c>
      <c r="BK72" s="36">
        <f>2*SQRT(
((S72/2) * (1 / (1 - EXP(-E72 * 60 * BB72 * BH72))))^2 +
(BC72 * (-R72 * 60 * E72 * BH72 * EXP(-E72 * 60 * BB72 * BH72) / (1 - EXP(-E72 * 60 * BB72 * BH72))^2))^2
)</f>
        <v>2.9063750648212574E-3</v>
      </c>
      <c r="BL72" s="36">
        <f>R72/(1-EXP(-E72*60*BB72*BH72)*EXP(-(M72-1560)*$CW$126*$BH$122))</f>
        <v>2.4111236869935108E-2</v>
      </c>
      <c r="BM72" s="36">
        <f>2*SQRT(
((S72/2) * (1 / (1 - EXP(-E72 * 60 * BB72 * BH72) * EXP(-(M72 - 1560) * $CW$126 * $BH$48))))^2 +
(BC72 * (-R72 * 60 * E72 * BH72 * EXP(-E72 * 60 * BB72 * BH72) / ((1 - EXP(-E72 * 60 * BB72 * BH72) * EXP(-(M72 - 1560) * $CW$126 * $BH$48))^2)))^2 +
($CX$126 * (-R72 * (M72 - 1560) * $BH$48 * EXP(-(M72 - 1560) * $CW$126 * $BH$48) / ((1 - EXP(-E72 * 60 * BB72 * BH72) * EXP(-(M72 - 1560) * $CW$126 * $BH$48))^2)))^2
)</f>
        <v>2.9063750648393003E-3</v>
      </c>
      <c r="BN72" s="54">
        <f>BN71*EXP(-BD71*E71*60)</f>
        <v>2.3243860360732314E-2</v>
      </c>
      <c r="BO72" s="99">
        <f>2*((((BO71/2)*EXP(-BD71*E71*60))^2+(BN71*EXP(-BD71*E71*60)*E71*60*BC71*BD71/BB71)^2)^0.5)</f>
        <v>3.1199172412917611E-3</v>
      </c>
      <c r="BP72" s="25"/>
      <c r="BQ72" s="25"/>
      <c r="BR72" s="74"/>
      <c r="BS72" s="74"/>
      <c r="BT72" s="36"/>
      <c r="BU72" s="36"/>
      <c r="BV72" s="54">
        <f>BV71*EXP(-BB71*BH71*E71*60*0.91357457380209)*EXP(-(M71-1560)*$CW$126*$BH$48*0.91357457380209)</f>
        <v>1.4609445127809029E-2</v>
      </c>
      <c r="BW72" s="99">
        <f>2*SQRT(
((BW71/2) * EXP(-BB71 * BH71 * E71 * 60 * 0.91357457380209) * EXP(-(M71 - 1560) * $CW$126 * $BH$48 * 0.91357457380209))^2 +
(BC71 * (-BV71 * BH71 * E71 * 60 * 0.91357457380209 * EXP(-BB71 * BH71 * E71 * 60 * 0.91357457380209) * EXP(-(M71 - 1560) * $CW$126 * $BH$48 * 0.91357457380209)))^2 +
((0.146030972937065 / 2) * BV71 * (-BB71 * BH71 * E71 * 60 - (M71 - 1560) * $CW$126 * $BH$48) * EXP(-BB71 * BH71 * E71 * 60 * 0.91357457380209) * EXP(-(M71 - 1560) * $CW$126 * $BH$48 * 0.91357457380209))^2 +
-(M71-1560)*$BH$48*0.91357457380209*BV71*EXP(-BB71*BH71*E71*60*0.91357457380209)*EXP(-(M71-1560)*$CW$126*$BH$48*0.91357457380209))</f>
        <v>3.6083173586911091E-3</v>
      </c>
      <c r="BX72" s="25"/>
      <c r="BY72" s="25"/>
      <c r="BZ72" s="74"/>
      <c r="CA72" s="141">
        <f t="shared" si="47"/>
        <v>8.2458426023030204E-2</v>
      </c>
      <c r="CB72" s="34"/>
      <c r="CC72" s="34"/>
      <c r="CD72" s="34">
        <f t="shared" si="48"/>
        <v>5.52479663753958E-2</v>
      </c>
      <c r="CE72" s="36"/>
      <c r="CF72" s="36"/>
      <c r="CG72" s="36"/>
      <c r="CH72" s="36"/>
      <c r="CI72" s="36"/>
      <c r="CJ72" s="36"/>
      <c r="CK72" s="36"/>
      <c r="CL72" s="36"/>
      <c r="CM72" s="36"/>
      <c r="CN72" s="36"/>
      <c r="CO72" s="36"/>
      <c r="CP72" s="36"/>
      <c r="CQ72" s="36"/>
      <c r="CR72" s="36"/>
      <c r="CS72" s="36"/>
    </row>
    <row r="73" spans="1:99" s="29" customFormat="1" x14ac:dyDescent="0.3">
      <c r="A73" s="29" t="s">
        <v>137</v>
      </c>
      <c r="B73" s="29" t="s">
        <v>138</v>
      </c>
      <c r="C73" s="30">
        <v>45338.73333333333</v>
      </c>
      <c r="D73" s="29">
        <v>240</v>
      </c>
      <c r="E73" s="29">
        <f t="shared" si="31"/>
        <v>320</v>
      </c>
      <c r="F73" s="29" t="s">
        <v>289</v>
      </c>
      <c r="G73" s="31">
        <v>108</v>
      </c>
      <c r="H73" s="31">
        <v>0</v>
      </c>
      <c r="I73" s="31">
        <v>16.3</v>
      </c>
      <c r="J73" s="29">
        <v>19200</v>
      </c>
      <c r="K73" s="29">
        <v>19329.815999999999</v>
      </c>
      <c r="L73" s="29">
        <f t="shared" si="43"/>
        <v>21119.999999692664</v>
      </c>
      <c r="M73" s="29">
        <f t="shared" si="44"/>
        <v>1919.9999996926636</v>
      </c>
      <c r="N73" s="65"/>
      <c r="O73" s="29">
        <v>6.2655764999725297E-3</v>
      </c>
      <c r="P73" s="29">
        <v>2.62962256336789E-2</v>
      </c>
      <c r="R73" s="29">
        <v>0.67668226199703296</v>
      </c>
      <c r="S73" s="29">
        <v>1.18661124030789E-2</v>
      </c>
      <c r="T73" s="29">
        <v>0.42862847782896701</v>
      </c>
      <c r="U73" s="29">
        <v>2.2059327159195102E-3</v>
      </c>
      <c r="W73" s="31">
        <f>(1000*T73/R73)/$AG$140</f>
        <v>0.6348740143877355</v>
      </c>
      <c r="X73" s="31"/>
      <c r="Y73" s="31">
        <f>T73-AVERAGE(T74:T76)</f>
        <v>0.36395677437007973</v>
      </c>
      <c r="Z73" s="31">
        <f>U73+AVERAGE(T74:T76)</f>
        <v>6.6877636174806784E-2</v>
      </c>
      <c r="AA73" s="31"/>
      <c r="AB73" s="31">
        <f>(Y73*1000)/R73</f>
        <v>537.85475814892209</v>
      </c>
      <c r="AC73" s="31">
        <f>2*((1000*Z73/(2*R73))^2+((S73/2)*1000*Y73/(R73^2))^2)^0.5</f>
        <v>99.280687403738298</v>
      </c>
      <c r="AD73" s="31">
        <f>AB73/$AG$140</f>
        <v>0.53908386950468778</v>
      </c>
      <c r="AE73" s="31">
        <f>2*(($AH$140*AB73/(2*$AG$140^2))^2+(AC73/($AG$140*2))^2)^0.5</f>
        <v>9.9674203822755561E-2</v>
      </c>
      <c r="AF73" s="69"/>
      <c r="AG73" s="31" cm="1">
        <f t="array" ref="AG73:AH73">BP73:BQ73</f>
        <v>0.7420418710030634</v>
      </c>
      <c r="AH73" s="29">
        <v>1.5668893362883681E-2</v>
      </c>
      <c r="AI73" s="31" cm="1">
        <f t="array" ref="AI73:AJ73">BX73:BY73</f>
        <v>0.40179776275997514</v>
      </c>
      <c r="AJ73" s="29">
        <v>6.8308437086863835E-2</v>
      </c>
      <c r="AL73" s="31">
        <f>1000*AI73/AG73</f>
        <v>541.47586337256212</v>
      </c>
      <c r="AM73" s="31">
        <f>2*((AH73*1000*AI73/(2*AG73^2))^2+(1000*AJ73/(AG73*2))^2)^0.5</f>
        <v>92.762047470352613</v>
      </c>
      <c r="AN73" s="31">
        <f>AL73/$AG$140</f>
        <v>0.54271324971610724</v>
      </c>
      <c r="AO73" s="31">
        <f>2*(($AH$140*AL73/(2*$AG$140^2))^2+(AM73/($AG$140*2))^2)^0.5</f>
        <v>9.3154762850258976E-2</v>
      </c>
      <c r="AP73" s="31"/>
      <c r="AQ73" s="31">
        <f>SUM(BP$5:$BP73)</f>
        <v>7.9613363233306131</v>
      </c>
      <c r="AR73" s="31" cm="1">
        <f t="array" ref="AR73">2*SQRT(SUM((BQ$5:$BQ73/2)^2))</f>
        <v>5.5670719358416249E-2</v>
      </c>
      <c r="AS73" s="31">
        <f>SUM($BX$5:BX73)</f>
        <v>2.347227709858196</v>
      </c>
      <c r="AT73" s="31" cm="1">
        <f t="array" ref="AT73">2*SQRT(SUM(($BY$5:BY73/2)^2))</f>
        <v>0.2065211192047334</v>
      </c>
      <c r="AU73" s="31">
        <f t="shared" si="49"/>
        <v>7.858151969738925</v>
      </c>
      <c r="AV73" s="31"/>
      <c r="AW73" s="31">
        <f t="shared" si="50"/>
        <v>3.6430418162593958</v>
      </c>
      <c r="AX73" s="31"/>
      <c r="AY73" s="69"/>
      <c r="AZ73" s="31"/>
      <c r="BB73" s="31"/>
      <c r="BC73" s="31"/>
      <c r="BD73" s="31"/>
      <c r="BE73" s="31"/>
      <c r="BF73" s="31">
        <f t="shared" si="45"/>
        <v>494357076108.85529</v>
      </c>
      <c r="BG73" s="31">
        <f t="shared" si="46"/>
        <v>546942020716.46802</v>
      </c>
      <c r="BH73" s="31">
        <f t="shared" si="42"/>
        <v>4.8885133625674457E-16</v>
      </c>
      <c r="BI73" s="31"/>
      <c r="BJ73" s="31"/>
      <c r="BK73" s="31"/>
      <c r="BL73" s="31"/>
      <c r="BM73" s="31"/>
      <c r="BN73" s="54">
        <f>BN72*EXP(-BD72*E72*60)</f>
        <v>1.7244218251926281E-2</v>
      </c>
      <c r="BO73" s="99">
        <f>2*((((BO72/2)*EXP(-BD72*E72*60))^2+(BN72*EXP(-BD72*E72*60)*E72*60*BC72*BD72/BB72)^2)^0.5)</f>
        <v>2.4166604225733406E-3</v>
      </c>
      <c r="BP73" s="23">
        <f>R73+BN74-BN73</f>
        <v>0.7420418710030634</v>
      </c>
      <c r="BQ73" s="23">
        <f>2*(((BO73/2)^2+(BO74/2)^2+(S73/2)^2)^(0.5))</f>
        <v>1.5668893362883681E-2</v>
      </c>
      <c r="BR73" s="72">
        <f>100*(BP73-R73)/R73</f>
        <v>9.6588329082456461</v>
      </c>
      <c r="BS73" s="72"/>
      <c r="BT73" s="31"/>
      <c r="BU73" s="31"/>
      <c r="BV73" s="114">
        <f>BV72*EXP(-BB72*BH72*E72*60*0.91357457380209)*EXP(-(M72-1560)*$CW$126*$BH$48*0.91357457380209)</f>
        <v>1.1121805754977053E-2</v>
      </c>
      <c r="BW73" s="116">
        <f>2*SQRT(
((BW72/2) * EXP(-BB72 * BH72 * E72 * 60 * 0.91357457380209) * EXP(-(M72 - 1560) * $CW$126 * $BH$48 * 0.91357457380209))^2 +
(BC72 * (-BV72 * BH72 * E72 * 60 * 0.91357457380209 * EXP(-BB72 * BH72 * E72 * 60 * 0.91357457380209) * EXP(-(M72 - 1560) * $CW$126 * $BH$48 * 0.91357457380209)))^2 +
((0.146030972937065 / 2) * BV72 * (-BB72 * BH72 * E72 * 60 - (M72 - 1560) * $CW$126 * $BH$48) * EXP(-BB72 * BH72 * E72 * 60 * 0.91357457380209) * EXP(-(M72 - 1560) * $CW$126 * $BH$48 * 0.91357457380209))^2 +
-(M72-1560)*$BH$48*0.91357457380209*BV72*EXP(-BB72*BH72*E72*60*0.91357457380209)*EXP(-(M72-1560)*$CW$126*$BH$48*0.91357457380209))</f>
        <v>2.8192794982439076E-3</v>
      </c>
      <c r="BX73" s="23">
        <f>Y73+BV74-BV73</f>
        <v>0.40179776275997514</v>
      </c>
      <c r="BY73" s="23">
        <f>2*(((BW73/2)^2+(BW74/2)^2+(Z73/2)^2)^(0.5))</f>
        <v>6.8308437086863835E-2</v>
      </c>
      <c r="BZ73" s="72">
        <f>100*(BX73-Y73)/Y73</f>
        <v>10.397110606167152</v>
      </c>
      <c r="CA73" s="140">
        <f>R73*CC73</f>
        <v>0.16370415300486033</v>
      </c>
      <c r="CB73" s="31">
        <f>BH73*BG73*J73</f>
        <v>5.1335680834984219</v>
      </c>
      <c r="CC73" s="31">
        <f>1/(CB73-1)</f>
        <v>0.24192174407192918</v>
      </c>
      <c r="CD73" s="31">
        <f>CF73*T73</f>
        <v>0.11775479646228286</v>
      </c>
      <c r="CE73" s="31">
        <f>BH73*BF73*J73</f>
        <v>4.6400086510807883</v>
      </c>
      <c r="CF73" s="31">
        <f>1/(CE73-1)</f>
        <v>0.27472462179535778</v>
      </c>
      <c r="CG73" s="31">
        <f>R73-CA69</f>
        <v>0.59316970440482464</v>
      </c>
      <c r="CH73" s="31">
        <f>R73+CA73</f>
        <v>0.84038641500189326</v>
      </c>
      <c r="CI73" s="31">
        <f>T73-CD69</f>
        <v>0.37272823094361257</v>
      </c>
      <c r="CJ73" s="31">
        <f>T73+CD73</f>
        <v>0.54638327429124989</v>
      </c>
      <c r="CK73" s="31">
        <f>CE73*1.29</f>
        <v>5.9856111598942174</v>
      </c>
      <c r="CL73" s="31">
        <f>R73 / (CK73-1)</f>
        <v>0.1357270433443491</v>
      </c>
      <c r="CM73" s="31">
        <f>1000*T73/R73</f>
        <v>633.42650147795121</v>
      </c>
      <c r="CN73" s="31">
        <f>1000*(T73+CD73)/(R73+CL73)</f>
        <v>672.54679469932273</v>
      </c>
      <c r="CO73" s="31">
        <f>1000*(T73-CD69)/(R73-CL69)</f>
        <v>613.59134961482971</v>
      </c>
      <c r="CP73" s="31">
        <f>1000*(T73+CD73-CD69)/(R73+CL73-CL69)</f>
        <v>659.97826824656499</v>
      </c>
      <c r="CQ73" s="31">
        <f>MAX(CM73:CP73)</f>
        <v>672.54679469932273</v>
      </c>
      <c r="CR73" s="31">
        <f>MIN(CM73:CP73)</f>
        <v>613.59134961482971</v>
      </c>
      <c r="CS73" s="31"/>
    </row>
    <row r="74" spans="1:99" s="32" customFormat="1" x14ac:dyDescent="0.3">
      <c r="A74" s="32" t="s">
        <v>139</v>
      </c>
      <c r="B74" s="32" t="s">
        <v>140</v>
      </c>
      <c r="C74" s="33">
        <v>45338.855555555558</v>
      </c>
      <c r="D74" s="32">
        <v>90</v>
      </c>
      <c r="E74" s="32">
        <f t="shared" si="31"/>
        <v>150</v>
      </c>
      <c r="F74" s="32" t="s">
        <v>286</v>
      </c>
      <c r="G74" s="34">
        <v>2.84</v>
      </c>
      <c r="H74" s="34">
        <v>0</v>
      </c>
      <c r="I74" s="34">
        <v>3.55</v>
      </c>
      <c r="J74" s="32">
        <v>9000</v>
      </c>
      <c r="K74" s="32">
        <v>9130.1849999999995</v>
      </c>
      <c r="L74" s="32">
        <f t="shared" si="43"/>
        <v>10560.000000474975</v>
      </c>
      <c r="M74" s="32">
        <f t="shared" si="44"/>
        <v>1560.0000004749745</v>
      </c>
      <c r="N74" s="65"/>
      <c r="O74" s="32">
        <v>6.2760163480809596E-3</v>
      </c>
      <c r="P74" s="32">
        <v>2.6302996015699898E-2</v>
      </c>
      <c r="R74" s="32">
        <v>1.7823886428549901E-2</v>
      </c>
      <c r="S74" s="34">
        <v>2.9587724908788498E-4</v>
      </c>
      <c r="T74" s="32">
        <v>9.3375635855734704E-2</v>
      </c>
      <c r="U74" s="32">
        <v>4.7463833743213702E-4</v>
      </c>
      <c r="AF74" s="69"/>
      <c r="AQ74" s="34">
        <f>SUM(BP$5:$BP74)</f>
        <v>7.9613363233306131</v>
      </c>
      <c r="AR74" s="34" cm="1">
        <f t="array" ref="AR74">2*SQRT(SUM((BQ$5:$BQ74/2)^2))</f>
        <v>5.5670719358416249E-2</v>
      </c>
      <c r="AS74" s="34">
        <f>SUM($BX$5:BX74)</f>
        <v>2.347227709858196</v>
      </c>
      <c r="AT74" s="34" cm="1">
        <f t="array" ref="AT74">2*SQRT(SUM(($BY$5:BY74/2)^2))</f>
        <v>0.2065211192047334</v>
      </c>
      <c r="AU74" s="34">
        <f t="shared" si="49"/>
        <v>7.8759758561674751</v>
      </c>
      <c r="AV74" s="34"/>
      <c r="AW74" s="34">
        <f t="shared" si="50"/>
        <v>3.7364174521151305</v>
      </c>
      <c r="AX74" s="34"/>
      <c r="AY74" s="69"/>
      <c r="AZ74" s="34">
        <f>'Naive Apparent Lambdas'!$U$2*(10000/(D74+273))+'Naive Apparent Lambdas'!$V$2</f>
        <v>25.080919505962346</v>
      </c>
      <c r="BA74" s="32">
        <f>'Naive Apparent Lambdas'!$V$4</f>
        <v>6.7480704157997479E-2</v>
      </c>
      <c r="BB74" s="34">
        <f t="shared" si="40"/>
        <v>78073732528.776489</v>
      </c>
      <c r="BC74" s="34">
        <f t="shared" si="41"/>
        <v>5268470447.2849903</v>
      </c>
      <c r="BD74" s="34">
        <f>BB74*(D74+273)*$D$145*$F$144</f>
        <v>2.7006668217909542E-5</v>
      </c>
      <c r="BE74" s="34"/>
      <c r="BF74" s="31">
        <f t="shared" si="45"/>
        <v>67820444032.070572</v>
      </c>
      <c r="BG74" s="31">
        <f t="shared" si="46"/>
        <v>73320582427.391632</v>
      </c>
      <c r="BH74" s="34">
        <f t="shared" si="42"/>
        <v>3.4591234904717017E-16</v>
      </c>
      <c r="BI74" s="34"/>
      <c r="BJ74" s="34">
        <f>R74/(1-EXP(-E74*60*BD74))</f>
        <v>8.2603827257956702E-2</v>
      </c>
      <c r="BK74" s="34">
        <f>2*SQRT(
((S74/2) * (1 / (1 - EXP(-E74 * 60 * BB74 * BH74))))^2 +
(BC74 * (-R74 * 60 * E74 * BH74 * EXP(-E74 * 60 * BB74 * BH74) / (1 - EXP(-E74 * 60 * BB74 * BH74))^2))^2
)</f>
        <v>9.943306696310085E-3</v>
      </c>
      <c r="BL74" s="34">
        <f>R74/(1-EXP(-E74*60*BB74*BH74)*EXP(-(M74-1560)*$CW$126*$BH$122))</f>
        <v>8.2603827256914605E-2</v>
      </c>
      <c r="BM74" s="34">
        <f>2*SQRT(
((S74/2) * (1 / (1 - EXP(-E74 * 60 * BB74 * BH74) * EXP(-(M74 - 1560) * $CW$126 * $BH$48))))^2 +
(BC74 * (-R74 * 60 * E74 * BH74 * EXP(-E74 * 60 * BB74 * BH74) / ((1 - EXP(-E74 * 60 * BB74 * BH74) * EXP(-(M74 - 1560) * $CW$126 * $BH$48))^2)))^2 +
($CX$126 * (-R74 * (M74 - 1560) * $BH$48 * EXP(-(M74 - 1560) * $CW$126 * $BH$48) / ((1 - EXP(-E74 * 60 * BB74 * BH74) * EXP(-(M74 - 1560) * $CW$126 * $BH$48))^2)))^2
)</f>
        <v>9.9433066960615876E-3</v>
      </c>
      <c r="BN74" s="55" cm="1">
        <f t="array" ref="BN74:BO74">BJ74:BK74</f>
        <v>8.2603827257956702E-2</v>
      </c>
      <c r="BO74" s="100">
        <v>9.943306696310085E-3</v>
      </c>
      <c r="BP74" s="24"/>
      <c r="BQ74" s="24"/>
      <c r="BR74" s="73"/>
      <c r="BS74" s="73"/>
      <c r="BT74" s="123">
        <f>BN74*(Y73/R73)*1.10204926384627</f>
        <v>4.8962794144872479E-2</v>
      </c>
      <c r="BU74" s="123">
        <f>2*(((BO74/2)*1.10204926384627*(AB73/(1000)))^2+((AC73/2000)*1.10204926384627*BN74)^2+((0.187040260207234/2)*BN74*(AB73/(1000)))^2)^0.5</f>
        <v>1.3618958111066814E-2</v>
      </c>
      <c r="BV74" s="124">
        <f>BT74</f>
        <v>4.8962794144872479E-2</v>
      </c>
      <c r="BW74" s="125">
        <f>BU74</f>
        <v>1.3618958111066814E-2</v>
      </c>
      <c r="BX74" s="24"/>
      <c r="BY74" s="24"/>
      <c r="BZ74" s="73"/>
      <c r="CA74" s="141">
        <f t="shared" ref="CA74:CA76" si="51">CA73*(EXP(-BH74*BG74*E74))*(EXP(-$BG$140*$F$144*D213*(24+273)*M74))</f>
        <v>0.16308254430876165</v>
      </c>
      <c r="CB74" s="34"/>
      <c r="CC74" s="34"/>
      <c r="CD74" s="34">
        <f t="shared" ref="CD74:CD76" si="52">CD73*(EXP(-BH74*BF74*E74))*(EXP(-$BF$140*$F$144*D213*(24+273)*M74))</f>
        <v>0.1173411468268991</v>
      </c>
      <c r="CE74" s="34"/>
      <c r="CF74" s="34"/>
      <c r="CG74" s="34"/>
      <c r="CH74" s="34"/>
      <c r="CI74" s="34"/>
      <c r="CJ74" s="34"/>
      <c r="CK74" s="34"/>
      <c r="CL74" s="34"/>
      <c r="CM74" s="34"/>
      <c r="CN74" s="34"/>
      <c r="CO74" s="34"/>
      <c r="CP74" s="34"/>
      <c r="CQ74" s="34"/>
      <c r="CR74" s="34"/>
      <c r="CS74" s="34"/>
    </row>
    <row r="75" spans="1:99" x14ac:dyDescent="0.3">
      <c r="A75" t="s">
        <v>141</v>
      </c>
      <c r="B75" t="s">
        <v>142</v>
      </c>
      <c r="C75" s="1">
        <v>45338.999305555553</v>
      </c>
      <c r="D75">
        <v>89.99</v>
      </c>
      <c r="E75">
        <f t="shared" si="31"/>
        <v>150</v>
      </c>
      <c r="G75" s="2">
        <v>2.0499999999999998</v>
      </c>
      <c r="H75" s="2">
        <v>0</v>
      </c>
      <c r="I75" s="2">
        <v>3.19</v>
      </c>
      <c r="J75">
        <v>9000</v>
      </c>
      <c r="K75">
        <v>9124.8469999999998</v>
      </c>
      <c r="L75">
        <f t="shared" si="43"/>
        <v>12419.999999622814</v>
      </c>
      <c r="M75">
        <f t="shared" si="44"/>
        <v>3419.9999996228144</v>
      </c>
      <c r="N75" s="65"/>
      <c r="O75">
        <v>6.3050176425426098E-3</v>
      </c>
      <c r="P75">
        <v>2.63308159087422E-2</v>
      </c>
      <c r="R75">
        <v>1.2925286167212301E-2</v>
      </c>
      <c r="S75" s="2">
        <v>2.1419590358417599E-4</v>
      </c>
      <c r="T75">
        <v>8.3995302748887599E-2</v>
      </c>
      <c r="U75">
        <v>4.26788594471711E-4</v>
      </c>
      <c r="AQ75" s="2">
        <f>SUM(BP$5:$BP75)</f>
        <v>7.9613363233306131</v>
      </c>
      <c r="AR75" s="2" cm="1">
        <f t="array" ref="AR75">2*SQRT(SUM((BQ$5:$BQ75/2)^2))</f>
        <v>5.5670719358416249E-2</v>
      </c>
      <c r="AS75" s="2">
        <f>SUM($BX$5:BX75)</f>
        <v>2.347227709858196</v>
      </c>
      <c r="AT75" s="2" cm="1">
        <f t="array" ref="AT75">2*SQRT(SUM(($BY$5:BY75/2)^2))</f>
        <v>0.2065211192047334</v>
      </c>
      <c r="AU75" s="2">
        <f t="shared" si="49"/>
        <v>7.8889011423346878</v>
      </c>
      <c r="AV75" s="2"/>
      <c r="AW75" s="2">
        <f t="shared" si="50"/>
        <v>3.8204127548640181</v>
      </c>
      <c r="AX75" s="2"/>
      <c r="AZ75" s="2">
        <f>'Naive Apparent Lambdas'!$U$2*(10000/(D75+273))+'Naive Apparent Lambdas'!$V$2</f>
        <v>25.080530213673455</v>
      </c>
      <c r="BA75">
        <f>'Naive Apparent Lambdas'!$V$4</f>
        <v>6.7480704157997479E-2</v>
      </c>
      <c r="BB75" s="2">
        <f t="shared" si="40"/>
        <v>78043344941.948532</v>
      </c>
      <c r="BC75" s="2">
        <f t="shared" si="41"/>
        <v>5266419871.5281782</v>
      </c>
      <c r="BD75" s="2">
        <f>BB75*(D75+273)*$D$145*$F$144</f>
        <v>2.699541308058904E-5</v>
      </c>
      <c r="BE75" s="2"/>
      <c r="BF75" s="31">
        <f t="shared" si="45"/>
        <v>67807752416.268387</v>
      </c>
      <c r="BG75" s="31">
        <f t="shared" si="46"/>
        <v>73306701944.978058</v>
      </c>
      <c r="BH75" s="2">
        <f t="shared" si="42"/>
        <v>3.459028197813562E-16</v>
      </c>
      <c r="BI75" s="2"/>
      <c r="BJ75" s="2">
        <f>R75/(1-EXP(-E75*60*BD75))</f>
        <v>5.9923594469343845E-2</v>
      </c>
      <c r="BK75" s="2">
        <f>2*SQRT(
((S75/2) * (1 / (1 - EXP(-E75 * 60 * BB75 * BH75))))^2 +
(BC75 * (-R75 * 60 * E75 * BH75 * EXP(-E75 * 60 * BB75 * BH75) / (1 - EXP(-E75 * 60 * BB75 * BH75))^2))^2
)</f>
        <v>7.2133492362938681E-3</v>
      </c>
      <c r="BL75" s="2">
        <f>R75/(1-EXP(-E75*60*BB75*BH75)*EXP(-(M75-1560)*$CW$126*$BH$122))</f>
        <v>5.7119514841793562E-2</v>
      </c>
      <c r="BM75" s="2">
        <f>2*SQRT(
((S75/2) * (1 / (1 - EXP(-E75 * 60 * BB75 * BH75) * EXP(-(M75 - 1560) * $CW$126 * $BH$48))))^2 +
(BC75 * (-R75 * 60 * E75 * BH75 * EXP(-E75 * 60 * BB75 * BH75) / ((1 - EXP(-E75 * 60 * BB75 * BH75) * EXP(-(M75 - 1560) * $CW$126 * $BH$48))^2)))^2 +
($CX$126 * (-R75 * (M75 - 1560) * $BH$48 * EXP(-(M75 - 1560) * $CW$126 * $BH$48) / ((1 - EXP(-E75 * 60 * BB75 * BH75) * EXP(-(M75 - 1560) * $CW$126 * $BH$48))^2)))^2
)</f>
        <v>6.6370738666120845E-3</v>
      </c>
      <c r="BN75" s="54">
        <f>BN74*EXP(-BD74*E74*60)</f>
        <v>6.4779940829406801E-2</v>
      </c>
      <c r="BO75" s="99">
        <f>2*((((BO74/2)*EXP(-BD74*E74*60))^2+(BN74*EXP(-BD74*E74*60)*E74*60*BC74*BD74/BB74)^2)^0.5)</f>
        <v>8.0821508225202079E-3</v>
      </c>
      <c r="BP75" s="22"/>
      <c r="BQ75" s="22"/>
      <c r="BT75" s="2"/>
      <c r="BU75" s="2"/>
      <c r="BV75" s="54">
        <f>BV74*EXP(-BB74*BH74*E74*60*0.91357457380209)*EXP(-(M74-1560)*$CW$126*$BH$48*0.91357457380209)</f>
        <v>3.9212958175063491E-2</v>
      </c>
      <c r="BW75" s="99">
        <f>2*SQRT(
((BW74/2) * EXP(-BB74 * BH74 * E74 * 60 * 0.91357457380209) * EXP(-(M74 - 1560) * $CW$126 * $BH$48 * 0.91357457380209))^2 +
(BC74 * (-BV74 * BH74 * E74 * 60 * 0.91357457380209 * EXP(-BB74 * BH74 * E74 * 60 * 0.91357457380209) * EXP(-(M74 - 1560) * $CW$126 * $BH$48 * 0.91357457380209)))^2 +
((0.146030972937065 / 2) * BV74 * (-BB74 * BH74 * E74 * 60 - (M74 - 1560) * $CW$126 * $BH$48) * EXP(-BB74 * BH74 * E74 * 60 * 0.91357457380209) * EXP(-(M74 - 1560) * $CW$126 * $BH$48 * 0.91357457380209))^2 +
-(M74-1560)*$BH$48*0.91357457380209*BV74*EXP(-BB74*BH74*E74*60*0.91357457380209)*EXP(-(M74-1560)*$CW$126*$BH$48*0.91357457380209))</f>
        <v>1.1058116600598005E-2</v>
      </c>
      <c r="BX75" s="22"/>
      <c r="BY75" s="22"/>
      <c r="CA75" s="141">
        <f t="shared" si="51"/>
        <v>0.16246342998413099</v>
      </c>
      <c r="CB75" s="34"/>
      <c r="CC75" s="34"/>
      <c r="CD75" s="34">
        <f t="shared" si="52"/>
        <v>0.1169290385962231</v>
      </c>
      <c r="CE75" s="2"/>
      <c r="CF75" s="2"/>
      <c r="CS75" s="2"/>
    </row>
    <row r="76" spans="1:99" x14ac:dyDescent="0.3">
      <c r="A76" t="s">
        <v>143</v>
      </c>
      <c r="B76" t="s">
        <v>144</v>
      </c>
      <c r="C76" s="1">
        <v>45340.128472222219</v>
      </c>
      <c r="D76">
        <v>90</v>
      </c>
      <c r="E76">
        <f t="shared" si="31"/>
        <v>150</v>
      </c>
      <c r="G76" s="2">
        <v>4.8</v>
      </c>
      <c r="H76" s="2">
        <v>0</v>
      </c>
      <c r="I76" s="2">
        <v>0.63</v>
      </c>
      <c r="J76">
        <v>9000</v>
      </c>
      <c r="K76">
        <v>9127.5470000000005</v>
      </c>
      <c r="L76">
        <f t="shared" si="43"/>
        <v>97559.999999916181</v>
      </c>
      <c r="M76">
        <f t="shared" si="44"/>
        <v>88559.999999916181</v>
      </c>
      <c r="N76" s="65"/>
      <c r="O76">
        <v>6.3580464969015798E-3</v>
      </c>
      <c r="P76">
        <v>2.64193202730785E-2</v>
      </c>
      <c r="R76">
        <v>3.0518623185127498E-2</v>
      </c>
      <c r="S76">
        <v>5.7239426045173098E-4</v>
      </c>
      <c r="T76">
        <v>1.6644171772039501E-2</v>
      </c>
      <c r="U76" s="2">
        <v>6.9452076174114202E-5</v>
      </c>
      <c r="V76" s="2"/>
      <c r="Y76" s="2"/>
      <c r="Z76" s="2"/>
      <c r="AA76" s="2"/>
      <c r="AB76" s="2"/>
      <c r="AQ76" s="2">
        <f>SUM(BP$5:$BP76)</f>
        <v>7.9613363233306131</v>
      </c>
      <c r="AR76" s="2" cm="1">
        <f t="array" ref="AR76">2*SQRT(SUM((BQ$5:$BQ76/2)^2))</f>
        <v>5.5670719358416249E-2</v>
      </c>
      <c r="AS76" s="2">
        <f>SUM($BX$5:BX76)</f>
        <v>2.347227709858196</v>
      </c>
      <c r="AT76" s="2" cm="1">
        <f t="array" ref="AT76">2*SQRT(SUM(($BY$5:BY76/2)^2))</f>
        <v>0.2065211192047334</v>
      </c>
      <c r="AU76" s="2">
        <f t="shared" si="49"/>
        <v>7.9194197655198151</v>
      </c>
      <c r="AV76" s="2"/>
      <c r="AW76" s="2">
        <f t="shared" si="50"/>
        <v>3.8370569266360577</v>
      </c>
      <c r="AX76" s="2"/>
      <c r="AZ76" s="2">
        <f>'Naive Apparent Lambdas'!$U$2*(10000/(D76+273))+'Naive Apparent Lambdas'!$V$2</f>
        <v>25.080919505962346</v>
      </c>
      <c r="BA76">
        <f>'Naive Apparent Lambdas'!$V$4</f>
        <v>6.7480704157997479E-2</v>
      </c>
      <c r="BB76" s="2">
        <f t="shared" si="40"/>
        <v>78073732528.776489</v>
      </c>
      <c r="BC76" s="2">
        <f t="shared" si="41"/>
        <v>5268470447.2849903</v>
      </c>
      <c r="BD76" s="2">
        <f>BB76*(D76+273)*$D$145*$F$144</f>
        <v>2.7006668217909542E-5</v>
      </c>
      <c r="BE76" s="2"/>
      <c r="BF76" s="31">
        <f t="shared" si="45"/>
        <v>67820444032.070572</v>
      </c>
      <c r="BG76" s="31">
        <f t="shared" si="46"/>
        <v>73320582427.391632</v>
      </c>
      <c r="BH76" s="2">
        <f t="shared" si="42"/>
        <v>3.4591234904717017E-16</v>
      </c>
      <c r="BI76" s="2"/>
      <c r="BJ76" s="2">
        <f>R76/(1-EXP(-E76*60*BD76))</f>
        <v>0.14143689076120544</v>
      </c>
      <c r="BK76" s="2">
        <f>2*SQRT(
((S76/2) * (1 / (1 - EXP(-E76 * 60 * BB76 * BH76))))^2 +
(BC76 * (-R76 * 60 * E76 * BH76 * EXP(-E76 * 60 * BB76 * BH76) / (1 - EXP(-E76 * 60 * BB76 * BH76))^2))^2
)</f>
        <v>1.7069958972288298E-2</v>
      </c>
      <c r="BL76" s="2">
        <f>R76/(1-EXP(-E76*60*BB76*BH76)*EXP(-(M76-1560)*$CW$126*$BH$122))</f>
        <v>5.2191543747112844E-2</v>
      </c>
      <c r="BM76" s="2">
        <f>2*SQRT(
((S76/2) * (1 / (1 - EXP(-E76 * 60 * BB76 * BH76) * EXP(-(M76 - 1560) * $CW$126 * $BH$48))))^2 +
(BC76 * (-R76 * 60 * E76 * BH76 * EXP(-E76 * 60 * BB76 * BH76) / ((1 - EXP(-E76 * 60 * BB76 * BH76) * EXP(-(M76 - 1560) * $CW$126 * $BH$48))^2)))^2 +
($CX$126 * (-R76 * (M76 - 1560) * $BH$48 * EXP(-(M76 - 1560) * $CW$126 * $BH$48) / ((1 - EXP(-E76 * 60 * BB76 * BH76) * EXP(-(M76 - 1560) * $CW$126 * $BH$48))^2)))^2
)</f>
        <v>9.277943501099185E-3</v>
      </c>
      <c r="BN76" s="107">
        <f>BN75-R75</f>
        <v>5.1854654662194501E-2</v>
      </c>
      <c r="BO76" s="101">
        <f>BO75+S75</f>
        <v>8.2963467261043845E-3</v>
      </c>
      <c r="BP76" s="22"/>
      <c r="BQ76" s="22"/>
      <c r="BT76" s="2"/>
      <c r="BU76" s="2"/>
      <c r="BV76" s="54">
        <f>BV75*EXP(-BB75*BH75*E75*60*0.91357457380209)*EXP(-(M75-1560)*$CW$126*$BH$48*0.91357457380209)</f>
        <v>3.101987797340125E-2</v>
      </c>
      <c r="BW76" s="99">
        <f>2*SQRT(
((BW75/2) * EXP(-BB75 * BH75 * E75 * 60 * 0.91357457380209) * EXP(-(M75 - 1560) * $CW$126 * $BH$48 * 0.91357457380209))^2 +
(BC75 * (-BV75 * BH75 * E75 * 60 * 0.91357457380209 * EXP(-BB75 * BH75 * E75 * 60 * 0.91357457380209) * EXP(-(M75 - 1560) * $CW$126 * $BH$48 * 0.91357457380209)))^2 +
((0.146030972937065 / 2) * BV75 * (-BB75 * BH75 * E75 * 60 - (M75 - 1560) * $CW$126 * $BH$48) * EXP(-BB75 * BH75 * E75 * 60 * 0.91357457380209) * EXP(-(M75 - 1560) * $CW$126 * $BH$48 * 0.91357457380209))^2 +
-(M75-1560)*$BH$48*0.91357457380209*BV75*EXP(-BB75*BH75*E75*60*0.91357457380209)*EXP(-(M75-1560)*$CW$126*$BH$48*0.91357457380209))</f>
        <v>8.8733040664178957E-3</v>
      </c>
      <c r="BX76" s="22"/>
      <c r="BY76" s="22"/>
      <c r="CA76" s="141">
        <f t="shared" si="51"/>
        <v>0.16184653249544509</v>
      </c>
      <c r="CB76" s="34"/>
      <c r="CC76" s="34"/>
      <c r="CD76" s="34">
        <f t="shared" si="52"/>
        <v>0.11651828968718317</v>
      </c>
      <c r="CE76" s="2"/>
      <c r="CF76" s="2"/>
      <c r="CS76" s="2"/>
    </row>
    <row r="77" spans="1:99" s="29" customFormat="1" x14ac:dyDescent="0.3">
      <c r="A77" s="29" t="s">
        <v>145</v>
      </c>
      <c r="B77" s="29" t="s">
        <v>146</v>
      </c>
      <c r="C77" s="30">
        <v>45340.324305555558</v>
      </c>
      <c r="D77" s="29">
        <v>245</v>
      </c>
      <c r="E77" s="29">
        <f t="shared" si="31"/>
        <v>250</v>
      </c>
      <c r="F77" s="29" t="s">
        <v>289</v>
      </c>
      <c r="G77" s="31">
        <v>87.3</v>
      </c>
      <c r="H77" s="31">
        <v>0</v>
      </c>
      <c r="I77" s="31">
        <v>15.1</v>
      </c>
      <c r="J77" s="29">
        <v>15000</v>
      </c>
      <c r="K77" s="29">
        <v>15125.411</v>
      </c>
      <c r="L77" s="29">
        <f t="shared" si="43"/>
        <v>16920.000000461005</v>
      </c>
      <c r="M77" s="29">
        <f t="shared" si="44"/>
        <v>1920.0000004610047</v>
      </c>
      <c r="N77" s="65"/>
      <c r="O77" s="29">
        <v>6.3563533819574096E-3</v>
      </c>
      <c r="P77" s="29">
        <v>2.6411913751157898E-2</v>
      </c>
      <c r="R77" s="29">
        <v>0.55490965024488204</v>
      </c>
      <c r="S77" s="29">
        <v>1.0071717301521199E-2</v>
      </c>
      <c r="T77" s="29">
        <v>0.39881989764248399</v>
      </c>
      <c r="U77" s="29">
        <v>1.6832684367786199E-3</v>
      </c>
      <c r="W77" s="31">
        <f>(1000*T77/R77)/$AG$140</f>
        <v>0.72035381776994356</v>
      </c>
      <c r="X77" s="31"/>
      <c r="Y77" s="31">
        <f>T77-AVERAGE(T78:T80)</f>
        <v>0.38332028695256531</v>
      </c>
      <c r="Z77" s="31">
        <f>U77+AVERAGE(T78:T80)</f>
        <v>1.7182879126697286E-2</v>
      </c>
      <c r="AA77" s="31"/>
      <c r="AB77" s="31">
        <f>(Y77*1000)/R77</f>
        <v>690.77963733989088</v>
      </c>
      <c r="AC77" s="31">
        <f>2*((1000*Z77/(2*R77))^2+((S77/2)*1000*Y77/(R77^2))^2)^0.5</f>
        <v>33.407164048316631</v>
      </c>
      <c r="AD77" s="31">
        <f>AB77/$AG$140</f>
        <v>0.69235821423955091</v>
      </c>
      <c r="AE77" s="31">
        <f>2*(($AH$140*AB77/(2*$AG$140^2))^2+(AC77/($AG$140*2))^2)^0.5</f>
        <v>3.4291312821788274E-2</v>
      </c>
      <c r="AF77" s="69"/>
      <c r="AG77" s="31" cm="1">
        <f t="array" ref="AG77:AH77">BP77:BQ77</f>
        <v>0.58519944470038965</v>
      </c>
      <c r="AH77" s="29">
        <v>1.455981910345742E-2</v>
      </c>
      <c r="AI77" s="31" cm="1">
        <f t="array" ref="AI77:AJ77">BX77:BY77</f>
        <v>0.40872389493630351</v>
      </c>
      <c r="AJ77" s="29">
        <v>1.9519201928402698E-2</v>
      </c>
      <c r="AL77" s="31">
        <f>1000*AI77/AG77</f>
        <v>698.43520638602433</v>
      </c>
      <c r="AM77" s="31">
        <f>2*((AH77*1000*AI77/(2*AG77^2))^2+(1000*AJ77/(AG77*2))^2)^0.5</f>
        <v>37.60992640192044</v>
      </c>
      <c r="AN77" s="31">
        <f>AL77/$AG$140</f>
        <v>0.70003127787266517</v>
      </c>
      <c r="AO77" s="31">
        <f>2*(($AH$140*AL77/(2*$AG$140^2))^2+(AM77/($AG$140*2))^2)^0.5</f>
        <v>3.8431081264190488E-2</v>
      </c>
      <c r="AP77" s="31"/>
      <c r="AQ77" s="31">
        <f>SUM(BP$5:$BP77)</f>
        <v>8.5465357680310028</v>
      </c>
      <c r="AR77" s="31" cm="1">
        <f t="array" ref="AR77">2*SQRT(SUM((BQ$5:$BQ77/2)^2))</f>
        <v>5.7543177929350972E-2</v>
      </c>
      <c r="AS77" s="31">
        <f>SUM($BX$5:BX77)</f>
        <v>2.7559516047944994</v>
      </c>
      <c r="AT77" s="31" cm="1">
        <f t="array" ref="AT77">2*SQRT(SUM(($BY$5:BY77/2)^2))</f>
        <v>0.20744149035691356</v>
      </c>
      <c r="AU77" s="31">
        <f t="shared" si="49"/>
        <v>8.4743294157646964</v>
      </c>
      <c r="AV77" s="31"/>
      <c r="AW77" s="31">
        <f t="shared" si="50"/>
        <v>4.2358768242785416</v>
      </c>
      <c r="AX77" s="31"/>
      <c r="AY77" s="69"/>
      <c r="AZ77" s="31"/>
      <c r="BB77" s="31"/>
      <c r="BC77" s="31"/>
      <c r="BD77" s="31"/>
      <c r="BE77" s="31"/>
      <c r="BF77" s="31">
        <f t="shared" si="45"/>
        <v>517835909307.63312</v>
      </c>
      <c r="BG77" s="31">
        <f t="shared" si="46"/>
        <v>573227627332.96106</v>
      </c>
      <c r="BH77" s="31">
        <f t="shared" si="42"/>
        <v>4.9361596916373049E-16</v>
      </c>
      <c r="BI77" s="31"/>
      <c r="BJ77" s="31"/>
      <c r="BK77" s="31"/>
      <c r="BL77" s="31"/>
      <c r="BM77" s="31"/>
      <c r="BN77" s="107">
        <f>BN76-R76</f>
        <v>2.1336031477067002E-2</v>
      </c>
      <c r="BO77" s="101">
        <f>BO76+S76</f>
        <v>8.8687409865561163E-3</v>
      </c>
      <c r="BP77" s="23">
        <f>R77+BN78-BN77</f>
        <v>0.58519944470038965</v>
      </c>
      <c r="BQ77" s="23">
        <f>2*(((BO77/2)^2+(BO78/2)^2+(S77/2)^2)^(0.5))</f>
        <v>1.455981910345742E-2</v>
      </c>
      <c r="BR77" s="72">
        <f>100*(BP77-R77)/R77</f>
        <v>5.458509226166945</v>
      </c>
      <c r="BS77" s="72"/>
      <c r="BT77" s="31"/>
      <c r="BU77" s="31"/>
      <c r="BV77" s="114">
        <f>BV76*EXP(-BB76*BH76*E76*60*0.91357457380209)*EXP(-(M76-1560)*$CW$126*$BH$48*0.91357457380209)</f>
        <v>1.3897749252176112E-2</v>
      </c>
      <c r="BW77" s="116">
        <f>2*SQRT(
((BW76/2) * EXP(-BB76 * BH76 * E76 * 60 * 0.91357457380209) * EXP(-(M76 - 1560) * $CW$126 * $BH$48 * 0.91357457380209))^2 +
(BC76 * (-BV76 * BH76 * E76 * 60 * 0.91357457380209 * EXP(-BB76 * BH76 * E76 * 60 * 0.91357457380209) * EXP(-(M76 - 1560) * $CW$126 * $BH$48 * 0.91357457380209)))^2 +
((0.146030972937065 / 2) * BV76 * (-BB76 * BH76 * E76 * 60 - (M76 - 1560) * $CW$126 * $BH$48) * EXP(-BB76 * BH76 * E76 * 60 * 0.91357457380209) * EXP(-(M76 - 1560) * $CW$126 * $BH$48 * 0.91357457380209))^2 +
-(M76-1560)*$BH$48*0.91357457380209*BV76*EXP(-BB76*BH76*E76*60*0.91357457380209)*EXP(-(M76-1560)*$CW$126*$BH$48*0.91357457380209))</f>
        <v>4.377133785213874E-3</v>
      </c>
      <c r="BX77" s="23">
        <f>Y77+BV78-BV77</f>
        <v>0.40872389493630351</v>
      </c>
      <c r="BY77" s="23">
        <f>2*(((BW77/2)^2+(BW78/2)^2+(Z77/2)^2)^(0.5))</f>
        <v>1.9519201928402698E-2</v>
      </c>
      <c r="BZ77" s="72">
        <f>100*(BX77-Y77)/Y77</f>
        <v>6.6272537218677954</v>
      </c>
      <c r="CA77" s="142">
        <f>(R77*CC77)+((CA73-(CC77*R77))*EXP(-CB77))</f>
        <v>0.17093539216439185</v>
      </c>
      <c r="CB77" s="143">
        <f>BH77*BG77*J77</f>
        <v>4.2443146622607797</v>
      </c>
      <c r="CC77" s="143">
        <f>1/(CB77-1)</f>
        <v>0.30823150776107411</v>
      </c>
      <c r="CD77" s="143">
        <f>(CF77*T77) + ((CD73-(CF77*T77))*EXP(-CE77))</f>
        <v>0.1402214195171109</v>
      </c>
      <c r="CE77" s="143">
        <f>BH77*BF77*J77</f>
        <v>3.8341811136100343</v>
      </c>
      <c r="CF77" s="143">
        <f>1/(CE77-1)</f>
        <v>0.35283560221253868</v>
      </c>
      <c r="CG77" s="143">
        <f>R77-CA73</f>
        <v>0.39120549724002174</v>
      </c>
      <c r="CH77" s="143">
        <f>R77+CA77</f>
        <v>0.72584504240927394</v>
      </c>
      <c r="CI77" s="143">
        <f>T77-CD73</f>
        <v>0.28106510118020112</v>
      </c>
      <c r="CJ77" s="143">
        <f>T77+CD77</f>
        <v>0.53904131715959491</v>
      </c>
      <c r="CK77" s="31">
        <f>CE77*1.29</f>
        <v>4.9460936365569443</v>
      </c>
      <c r="CL77" s="31">
        <f>(R77 / (CK77-1)) + ((CL73-(R77 / (CK77-1)))*EXP(-CK77))</f>
        <v>0.14058771237195836</v>
      </c>
      <c r="CM77" s="31">
        <f>1000*T77/R77</f>
        <v>718.7114108873119</v>
      </c>
      <c r="CN77" s="31">
        <f>1000*(T77+CD77)/(R77+CL77)</f>
        <v>775.04437275136092</v>
      </c>
      <c r="CO77" s="31">
        <f>1000*(T77-CD73)/(R77-CL73)</f>
        <v>670.50754624199976</v>
      </c>
      <c r="CP77" s="31">
        <f>1000*(T77+CD77-CD73)/(R77+CL77-CL73)</f>
        <v>752.6060353554285</v>
      </c>
      <c r="CQ77" s="31">
        <f>MAX(CM77:CP77)</f>
        <v>775.04437275136092</v>
      </c>
      <c r="CR77" s="31">
        <f>MIN(CM77:CP77)</f>
        <v>670.50754624199976</v>
      </c>
      <c r="CS77" s="31"/>
    </row>
    <row r="78" spans="1:99" s="32" customFormat="1" x14ac:dyDescent="0.3">
      <c r="A78" s="32" t="s">
        <v>147</v>
      </c>
      <c r="B78" s="32" t="s">
        <v>148</v>
      </c>
      <c r="C78" s="33">
        <v>45340.425694444442</v>
      </c>
      <c r="D78" s="32">
        <v>110.009999999999</v>
      </c>
      <c r="E78" s="32">
        <f t="shared" si="31"/>
        <v>120</v>
      </c>
      <c r="F78" s="32" t="s">
        <v>286</v>
      </c>
      <c r="G78" s="34">
        <v>2.84</v>
      </c>
      <c r="H78" s="34">
        <v>0</v>
      </c>
      <c r="I78" s="34">
        <v>0.47399999999999998</v>
      </c>
      <c r="J78" s="32">
        <v>7200</v>
      </c>
      <c r="K78" s="32">
        <v>7328.183</v>
      </c>
      <c r="L78" s="32">
        <f t="shared" si="43"/>
        <v>8759.9999996367842</v>
      </c>
      <c r="M78" s="32">
        <f t="shared" si="44"/>
        <v>1559.9999996367842</v>
      </c>
      <c r="N78" s="65"/>
      <c r="O78" s="32">
        <v>6.3444162789935603E-3</v>
      </c>
      <c r="P78" s="32">
        <v>2.6388539809726198E-2</v>
      </c>
      <c r="R78" s="32">
        <v>1.8018142232341699E-2</v>
      </c>
      <c r="S78" s="32">
        <v>3.0673176505810999E-4</v>
      </c>
      <c r="T78" s="32">
        <v>1.25081678698102E-2</v>
      </c>
      <c r="U78" s="34">
        <v>5.2815822135204101E-5</v>
      </c>
      <c r="V78" s="34"/>
      <c r="Y78" s="34"/>
      <c r="Z78" s="34"/>
      <c r="AA78" s="34"/>
      <c r="AB78" s="34"/>
      <c r="AF78" s="69"/>
      <c r="AQ78" s="34">
        <f>SUM(BP$5:$BP78)</f>
        <v>8.5465357680310028</v>
      </c>
      <c r="AR78" s="34" cm="1">
        <f t="array" ref="AR78">2*SQRT(SUM((BQ$5:$BQ78/2)^2))</f>
        <v>5.7543177929350972E-2</v>
      </c>
      <c r="AS78" s="34">
        <f>SUM($BX$5:BX78)</f>
        <v>2.7559516047944994</v>
      </c>
      <c r="AT78" s="34" cm="1">
        <f t="array" ref="AT78">2*SQRT(SUM(($BY$5:BY78/2)^2))</f>
        <v>0.20744149035691356</v>
      </c>
      <c r="AU78" s="34">
        <f t="shared" si="49"/>
        <v>8.4923475579970376</v>
      </c>
      <c r="AV78" s="34"/>
      <c r="AW78" s="34">
        <f t="shared" si="50"/>
        <v>4.2483849921483516</v>
      </c>
      <c r="AX78" s="34"/>
      <c r="AY78" s="69"/>
      <c r="AZ78" s="34">
        <f>'Naive Apparent Lambdas'!$U$2*(10000/(D78+273))+'Naive Apparent Lambdas'!$V$2</f>
        <v>25.819176274964374</v>
      </c>
      <c r="BA78" s="32">
        <f>'Naive Apparent Lambdas'!$V$4</f>
        <v>6.7480704157997479E-2</v>
      </c>
      <c r="BB78" s="34">
        <f t="shared" si="40"/>
        <v>163352499269.3631</v>
      </c>
      <c r="BC78" s="34">
        <f t="shared" si="41"/>
        <v>11023141676.66539</v>
      </c>
      <c r="BD78" s="34">
        <f>BB78*(D78+273)*$D$145*$F$144</f>
        <v>5.9620462148207034E-5</v>
      </c>
      <c r="BE78" s="34"/>
      <c r="BF78" s="31">
        <f t="shared" si="45"/>
        <v>96716316695.61203</v>
      </c>
      <c r="BG78" s="31">
        <f t="shared" si="46"/>
        <v>104992450671.01057</v>
      </c>
      <c r="BH78" s="34">
        <f t="shared" si="42"/>
        <v>3.6498040994092644E-16</v>
      </c>
      <c r="BI78" s="34"/>
      <c r="BJ78" s="34">
        <f>R78/(1-EXP(-E78*60*BD78))</f>
        <v>5.1625825932574532E-2</v>
      </c>
      <c r="BK78" s="34">
        <f>2*SQRT(
((S78/2) * (1 / (1 - EXP(-E78 * 60 * BB78 * BH78))))^2 +
(BC78 * (-R78 * 60 * E78 * BH78 * EXP(-E78 * 60 * BB78 * BH78) / (1 - EXP(-E78 * 60 * BB78 * BH78))^2))^2
)</f>
        <v>5.6475017695456989E-3</v>
      </c>
      <c r="BL78" s="34">
        <f>R78/(1-EXP(-E78*60*BB78*BH78)*EXP(-(M78-1560)*$CW$126*$BH$122))</f>
        <v>5.1625825932830126E-2</v>
      </c>
      <c r="BM78" s="34">
        <f>2*SQRT(
((S78/2) * (1 / (1 - EXP(-E78 * 60 * BB78 * BH78) * EXP(-(M78 - 1560) * $CW$126 * $BH$48))))^2 +
(BC78 * (-R78 * 60 * E78 * BH78 * EXP(-E78 * 60 * BB78 * BH78) / ((1 - EXP(-E78 * 60 * BB78 * BH78) * EXP(-(M78 - 1560) * $CW$126 * $BH$48))^2)))^2 +
($CX$126 * (-R78 * (M78 - 1560) * $BH$48 * EXP(-(M78 - 1560) * $CW$126 * $BH$48) / ((1 - EXP(-E78 * 60 * BB78 * BH78) * EXP(-(M78 - 1560) * $CW$126 * $BH$48))^2)))^2
)</f>
        <v>5.647501769600943E-3</v>
      </c>
      <c r="BN78" s="55" cm="1">
        <f t="array" ref="BN78:BO78">BJ78:BK78</f>
        <v>5.1625825932574532E-2</v>
      </c>
      <c r="BO78" s="100">
        <v>5.6475017695456989E-3</v>
      </c>
      <c r="BP78" s="24"/>
      <c r="BQ78" s="24"/>
      <c r="BR78" s="73"/>
      <c r="BS78" s="73"/>
      <c r="BT78" s="123">
        <f>BN78*(Y77/R77)*1.10204926384627</f>
        <v>3.9301357235914346E-2</v>
      </c>
      <c r="BU78" s="123">
        <f>2*(((BO78/2)*1.10204926384627*(AB77/(1000)))^2+((AC77/2000)*1.10204926384627*BN78)^2+((0.187040260207234/2)*BN78*(AB77/(1000)))^2)^0.5</f>
        <v>8.1601843524156704E-3</v>
      </c>
      <c r="BV78" s="124">
        <f>BT78</f>
        <v>3.9301357235914346E-2</v>
      </c>
      <c r="BW78" s="125">
        <f>BU78</f>
        <v>8.1601843524156704E-3</v>
      </c>
      <c r="BX78" s="24"/>
      <c r="BY78" s="24"/>
      <c r="BZ78" s="73"/>
      <c r="CA78" s="141">
        <f t="shared" ref="CA78:CA80" si="53">CA77*(EXP(-BH78*BG78*E78))*(EXP(-$BG$140*$F$144*D217*(24+273)*M78))</f>
        <v>0.17015116349648143</v>
      </c>
      <c r="CB78" s="34"/>
      <c r="CC78" s="34"/>
      <c r="CD78" s="34">
        <f t="shared" ref="CD78:CD80" si="54">CD77*(EXP(-BH78*BF78*E78))*(EXP(-$BF$140*$F$144*D217*(24+273)*M78))</f>
        <v>0.13962870521187348</v>
      </c>
      <c r="CE78" s="34"/>
      <c r="CF78" s="34"/>
      <c r="CG78" s="34"/>
      <c r="CH78" s="34"/>
      <c r="CI78" s="34"/>
      <c r="CJ78" s="34"/>
      <c r="CK78" s="34"/>
      <c r="CL78" s="34"/>
      <c r="CM78" s="34"/>
      <c r="CN78" s="34"/>
      <c r="CO78" s="34"/>
      <c r="CP78" s="34"/>
      <c r="CQ78" s="34"/>
      <c r="CR78" s="34"/>
      <c r="CS78" s="34"/>
    </row>
    <row r="79" spans="1:99" x14ac:dyDescent="0.3">
      <c r="A79" t="s">
        <v>149</v>
      </c>
      <c r="B79" t="s">
        <v>150</v>
      </c>
      <c r="C79" s="1">
        <v>45340.537499999999</v>
      </c>
      <c r="D79">
        <v>110</v>
      </c>
      <c r="E79">
        <f t="shared" si="31"/>
        <v>120</v>
      </c>
      <c r="G79" s="2">
        <v>1.9</v>
      </c>
      <c r="H79" s="2">
        <v>0</v>
      </c>
      <c r="I79" s="2">
        <v>1.0900000000000001</v>
      </c>
      <c r="J79">
        <v>7200</v>
      </c>
      <c r="K79">
        <v>7329.7139999999999</v>
      </c>
      <c r="L79">
        <f t="shared" si="43"/>
        <v>9660.0000000558794</v>
      </c>
      <c r="M79">
        <f t="shared" si="44"/>
        <v>2460.0000000558794</v>
      </c>
      <c r="N79" s="65"/>
      <c r="O79">
        <v>6.3413997821908999E-3</v>
      </c>
      <c r="P79">
        <v>2.6384034794214601E-2</v>
      </c>
      <c r="R79">
        <v>1.20486595861627E-2</v>
      </c>
      <c r="S79" s="2">
        <v>1.9587156191238801E-4</v>
      </c>
      <c r="T79">
        <v>2.87585979256939E-2</v>
      </c>
      <c r="U79" s="2">
        <v>1.20966297521023E-4</v>
      </c>
      <c r="V79" s="2"/>
      <c r="Y79" s="2"/>
      <c r="Z79" s="2"/>
      <c r="AA79" s="2"/>
      <c r="AB79" s="2"/>
      <c r="AQ79" s="2">
        <f>SUM(BP$5:$BP79)</f>
        <v>8.5465357680310028</v>
      </c>
      <c r="AR79" s="2" cm="1">
        <f t="array" ref="AR79">2*SQRT(SUM((BQ$5:$BQ79/2)^2))</f>
        <v>5.7543177929350972E-2</v>
      </c>
      <c r="AS79" s="2">
        <f>SUM($BX$5:BX79)</f>
        <v>2.7559516047944994</v>
      </c>
      <c r="AT79" s="2" cm="1">
        <f t="array" ref="AT79">2*SQRT(SUM(($BY$5:BY79/2)^2))</f>
        <v>0.20744149035691356</v>
      </c>
      <c r="AU79" s="2">
        <f t="shared" si="49"/>
        <v>8.5043962175832011</v>
      </c>
      <c r="AV79" s="2"/>
      <c r="AW79" s="2">
        <f t="shared" si="50"/>
        <v>4.2771435900740453</v>
      </c>
      <c r="AX79" s="2"/>
      <c r="AZ79" s="2">
        <f>'Naive Apparent Lambdas'!$U$2*(10000/(D79+273))+'Naive Apparent Lambdas'!$V$2</f>
        <v>25.818826597052521</v>
      </c>
      <c r="BA79">
        <f>'Naive Apparent Lambdas'!$V$4</f>
        <v>6.7480704157997479E-2</v>
      </c>
      <c r="BB79" s="2">
        <f t="shared" si="40"/>
        <v>163295388494.29288</v>
      </c>
      <c r="BC79" s="2">
        <f t="shared" si="41"/>
        <v>11019287801.348642</v>
      </c>
      <c r="BD79" s="2">
        <f>BB79*(D79+273)*$D$145*$F$144</f>
        <v>5.9598061748946858E-5</v>
      </c>
      <c r="BE79" s="2"/>
      <c r="BF79" s="31">
        <f t="shared" si="45"/>
        <v>96700059240.232132</v>
      </c>
      <c r="BG79" s="31">
        <f t="shared" si="46"/>
        <v>104974596762.32733</v>
      </c>
      <c r="BH79" s="2">
        <f t="shared" si="42"/>
        <v>3.6497088067511346E-16</v>
      </c>
      <c r="BI79" s="2"/>
      <c r="BJ79" s="2">
        <f>R79/(1-EXP(-E79*60*BD79))</f>
        <v>3.4532372256751813E-2</v>
      </c>
      <c r="BK79" s="2">
        <f>2*SQRT(
((S79/2) * (1 / (1 - EXP(-E79 * 60 * BB79 * BH79))))^2 +
(BC79 * (-R79 * 60 * E79 * BH79 * EXP(-E79 * 60 * BB79 * BH79) / (1 - EXP(-E79 * 60 * BB79 * BH79))^2))^2
)</f>
        <v>3.7738871855053364E-3</v>
      </c>
      <c r="BL79" s="2">
        <f>R79/(1-EXP(-E79*60*BB79*BH79)*EXP(-(M79-1560)*$CW$126*$BH$122))</f>
        <v>3.4115032937713806E-2</v>
      </c>
      <c r="BM79" s="2">
        <f>2*SQRT(
((S79/2) * (1 / (1 - EXP(-E79 * 60 * BB79 * BH79) * EXP(-(M79 - 1560) * $CW$126 * $BH$48))))^2 +
(BC79 * (-R79 * 60 * E79 * BH79 * EXP(-E79 * 60 * BB79 * BH79) / ((1 - EXP(-E79 * 60 * BB79 * BH79) * EXP(-(M79 - 1560) * $CW$126 * $BH$48))^2)))^2 +
($CX$126 * (-R79 * (M79 - 1560) * $BH$48 * EXP(-(M79 - 1560) * $CW$126 * $BH$48) / ((1 - EXP(-E79 * 60 * BB79 * BH79) * EXP(-(M79 - 1560) * $CW$126 * $BH$48))^2)))^2
)</f>
        <v>3.6890009616860745E-3</v>
      </c>
      <c r="BN79" s="54">
        <f>BN78*EXP(-BD78*E78*60)</f>
        <v>3.3607683700232829E-2</v>
      </c>
      <c r="BO79" s="99">
        <f>2*((((BO78/2)*EXP(-BD78*E78*60))^2+(BN78*EXP(-BD78*E78*60)*E78*60*BC78*BD78/BB78)^2)^0.5)</f>
        <v>4.1601952503927163E-3</v>
      </c>
      <c r="BP79" s="22"/>
      <c r="BQ79" s="22"/>
      <c r="BT79" s="2"/>
      <c r="BU79" s="2"/>
      <c r="BV79" s="54">
        <f>BV78*EXP(-BB78*BH78*E78*60*0.91357457380209)*EXP(-(M78-1560)*$CW$126*$BH$48*0.91357457380209)</f>
        <v>2.655163526805563E-2</v>
      </c>
      <c r="BW79" s="99">
        <f>2*SQRT(
((BW78/2) * EXP(-BB78 * BH78 * E78 * 60 * 0.91357457380209) * EXP(-(M78 - 1560) * $CW$126 * $BH$48 * 0.91357457380209))^2 +
(BC78 * (-BV78 * BH78 * E78 * 60 * 0.91357457380209 * EXP(-BB78 * BH78 * E78 * 60 * 0.91357457380209) * EXP(-(M78 - 1560) * $CW$126 * $BH$48 * 0.91357457380209)))^2 +
((0.146030972937065 / 2) * BV78 * (-BB78 * BH78 * E78 * 60 - (M78 - 1560) * $CW$126 * $BH$48) * EXP(-BB78 * BH78 * E78 * 60 * 0.91357457380209) * EXP(-(M78 - 1560) * $CW$126 * $BH$48 * 0.91357457380209))^2 +
-(M78-1560)*$BH$48*0.91357457380209*BV78*EXP(-BB78*BH78*E78*60*0.91357457380209)*EXP(-(M78-1560)*$CW$126*$BH$48*0.91357457380209))</f>
        <v>5.9277126917436458E-3</v>
      </c>
      <c r="BX79" s="22"/>
      <c r="BY79" s="22"/>
      <c r="CA79" s="141">
        <f t="shared" si="53"/>
        <v>0.16937068553669338</v>
      </c>
      <c r="CB79" s="34"/>
      <c r="CC79" s="34"/>
      <c r="CD79" s="34">
        <f t="shared" si="54"/>
        <v>0.13903861067843104</v>
      </c>
      <c r="CE79" s="2"/>
      <c r="CF79" s="2"/>
      <c r="CS79" s="2"/>
    </row>
    <row r="80" spans="1:99" x14ac:dyDescent="0.3">
      <c r="A80" t="s">
        <v>151</v>
      </c>
      <c r="B80" t="s">
        <v>152</v>
      </c>
      <c r="C80" s="1">
        <v>45340.754166666666</v>
      </c>
      <c r="D80">
        <v>109.98</v>
      </c>
      <c r="E80">
        <f t="shared" si="31"/>
        <v>120</v>
      </c>
      <c r="G80" s="2">
        <v>1.69</v>
      </c>
      <c r="H80" s="2">
        <v>0</v>
      </c>
      <c r="I80" s="2">
        <v>0.19800000000000001</v>
      </c>
      <c r="J80">
        <v>7200</v>
      </c>
      <c r="K80">
        <v>7329.0330000000004</v>
      </c>
      <c r="L80">
        <f t="shared" si="43"/>
        <v>18720.00000004191</v>
      </c>
      <c r="M80">
        <f t="shared" si="44"/>
        <v>11520.00000004191</v>
      </c>
      <c r="N80" s="65"/>
      <c r="O80">
        <v>6.3508938369987097E-3</v>
      </c>
      <c r="P80">
        <v>2.6424577142686301E-2</v>
      </c>
      <c r="R80">
        <v>1.0733010584527801E-2</v>
      </c>
      <c r="S80" s="2">
        <v>1.6442488232960501E-4</v>
      </c>
      <c r="T80">
        <v>5.2320662742519003E-3</v>
      </c>
      <c r="U80" s="2">
        <v>2.0555023542318999E-5</v>
      </c>
      <c r="V80" s="2"/>
      <c r="Y80" s="2"/>
      <c r="Z80" s="2"/>
      <c r="AA80" s="2"/>
      <c r="AB80" s="2"/>
      <c r="AQ80" s="2">
        <f>SUM(BP$5:$BP80)</f>
        <v>8.5465357680310028</v>
      </c>
      <c r="AR80" s="2" cm="1">
        <f t="array" ref="AR80">2*SQRT(SUM((BQ$5:$BQ80/2)^2))</f>
        <v>5.7543177929350972E-2</v>
      </c>
      <c r="AS80" s="2">
        <f>SUM($BX$5:BX80)</f>
        <v>2.7559516047944994</v>
      </c>
      <c r="AT80" s="2" cm="1">
        <f t="array" ref="AT80">2*SQRT(SUM(($BY$5:BY80/2)^2))</f>
        <v>0.20744149035691356</v>
      </c>
      <c r="AU80" s="2">
        <f t="shared" si="49"/>
        <v>8.5151292281677282</v>
      </c>
      <c r="AV80" s="2"/>
      <c r="AW80" s="2">
        <f t="shared" si="50"/>
        <v>4.2823756563482975</v>
      </c>
      <c r="AX80" s="2"/>
      <c r="AZ80" s="2">
        <f>'Naive Apparent Lambdas'!$U$2*(10000/(D80+273))+'Naive Apparent Lambdas'!$V$2</f>
        <v>25.818127186446052</v>
      </c>
      <c r="BA80">
        <f>'Naive Apparent Lambdas'!$V$4</f>
        <v>6.7480704157997479E-2</v>
      </c>
      <c r="BB80" s="2">
        <f t="shared" si="40"/>
        <v>163181217898.30954</v>
      </c>
      <c r="BC80" s="2">
        <f t="shared" si="41"/>
        <v>11011583489.137548</v>
      </c>
      <c r="BD80" s="2">
        <f>BB80*(D80+273)*$D$145*$F$144</f>
        <v>5.9553282811581219E-5</v>
      </c>
      <c r="BE80" s="2"/>
      <c r="BF80" s="31">
        <f t="shared" si="45"/>
        <v>96667549981.440369</v>
      </c>
      <c r="BG80" s="31">
        <f t="shared" si="46"/>
        <v>104938895256.66869</v>
      </c>
      <c r="BH80" s="2">
        <f t="shared" si="42"/>
        <v>3.6495182214348547E-16</v>
      </c>
      <c r="BI80" s="2"/>
      <c r="BJ80" s="2">
        <f>R80/(1-EXP(-E80*60*BD80))</f>
        <v>3.0780143930133202E-2</v>
      </c>
      <c r="BK80" s="2">
        <f>2*SQRT(
((S80/2) * (1 / (1 - EXP(-E80 * 60 * BB80 * BH80))))^2 +
(BC80 * (-R80 * 60 * E80 * BH80 * EXP(-E80 * 60 * BB80 * BH80) / (1 - EXP(-E80 * 60 * BB80 * BH80))^2))^2
)</f>
        <v>3.3602220233202138E-3</v>
      </c>
      <c r="BL80" s="2">
        <f>R80/(1-EXP(-E80*60*BB80*BH80)*EXP(-(M80-1560)*$CW$126*$BH$122))</f>
        <v>2.7212018118244287E-2</v>
      </c>
      <c r="BM80" s="2">
        <f>2*SQRT(
((S80/2) * (1 / (1 - EXP(-E80 * 60 * BB80 * BH80) * EXP(-(M80 - 1560) * $CW$126 * $BH$48))))^2 +
(BC80 * (-R80 * 60 * E80 * BH80 * EXP(-E80 * 60 * BB80 * BH80) / ((1 - EXP(-E80 * 60 * BB80 * BH80) * EXP(-(M80 - 1560) * $CW$126 * $BH$48))^2)))^2 +
($CX$126 * (-R80 * (M80 - 1560) * $BH$48 * EXP(-(M80 - 1560) * $CW$126 * $BH$48) / ((1 - EXP(-E80 * 60 * BB80 * BH80) * EXP(-(M80 - 1560) * $CW$126 * $BH$48))^2)))^2
)</f>
        <v>2.9771677010474169E-3</v>
      </c>
      <c r="BN80" s="107">
        <f>BN79-R79</f>
        <v>2.1559024114070131E-2</v>
      </c>
      <c r="BO80" s="101">
        <f>BO79+S79</f>
        <v>4.3560668123051047E-3</v>
      </c>
      <c r="BP80" s="22"/>
      <c r="BQ80" s="22"/>
      <c r="BT80" s="2"/>
      <c r="BU80" s="2"/>
      <c r="BV80" s="54">
        <f>BV79*EXP(-BB79*BH79*E79*60*0.91357457380209)*EXP(-(M79-1560)*$CW$126*$BH$48*0.91357457380209)</f>
        <v>1.7833205462984936E-2</v>
      </c>
      <c r="BW80" s="99">
        <f>2*SQRT(
((BW79/2) * EXP(-BB79 * BH79 * E79 * 60 * 0.91357457380209) * EXP(-(M79 - 1560) * $CW$126 * $BH$48 * 0.91357457380209))^2 +
(BC79 * (-BV79 * BH79 * E79 * 60 * 0.91357457380209 * EXP(-BB79 * BH79 * E79 * 60 * 0.91357457380209) * EXP(-(M79 - 1560) * $CW$126 * $BH$48 * 0.91357457380209)))^2 +
((0.146030972937065 / 2) * BV79 * (-BB79 * BH79 * E79 * 60 - (M79 - 1560) * $CW$126 * $BH$48) * EXP(-BB79 * BH79 * E79 * 60 * 0.91357457380209) * EXP(-(M79 - 1560) * $CW$126 * $BH$48 * 0.91357457380209))^2 +
-(M79-1560)*$BH$48*0.91357457380209*BV79*EXP(-BB79*BH79*E79*60*0.91357457380209)*EXP(-(M79-1560)*$CW$126*$BH$48*0.91357457380209))</f>
        <v>4.2459775310144292E-3</v>
      </c>
      <c r="BX80" s="22"/>
      <c r="BY80" s="22"/>
      <c r="CA80" s="141">
        <f t="shared" si="53"/>
        <v>0.16859409168026443</v>
      </c>
      <c r="CB80" s="34"/>
      <c r="CC80" s="34"/>
      <c r="CD80" s="34">
        <f t="shared" si="54"/>
        <v>0.13845123771883608</v>
      </c>
      <c r="CE80" s="2"/>
      <c r="CF80" s="2"/>
      <c r="CS80" s="2"/>
    </row>
    <row r="81" spans="1:97" s="29" customFormat="1" x14ac:dyDescent="0.3">
      <c r="A81" s="29" t="s">
        <v>153</v>
      </c>
      <c r="B81" s="29" t="s">
        <v>154</v>
      </c>
      <c r="C81" s="30">
        <v>45341.134722222225</v>
      </c>
      <c r="D81" s="29">
        <v>249.99</v>
      </c>
      <c r="E81" s="29">
        <f t="shared" ref="E81:E112" si="55">J81/60</f>
        <v>210</v>
      </c>
      <c r="F81" s="29" t="s">
        <v>289</v>
      </c>
      <c r="G81" s="31">
        <v>109</v>
      </c>
      <c r="H81" s="31">
        <v>0</v>
      </c>
      <c r="I81" s="31">
        <v>16.8</v>
      </c>
      <c r="J81" s="29">
        <v>12600</v>
      </c>
      <c r="K81" s="29">
        <v>12726.728999999999</v>
      </c>
      <c r="L81" s="29">
        <f t="shared" si="43"/>
        <v>32880.000000307336</v>
      </c>
      <c r="M81" s="29">
        <f t="shared" si="44"/>
        <v>20280.000000307336</v>
      </c>
      <c r="N81" s="65"/>
      <c r="O81" s="29">
        <v>6.3618579252875604E-3</v>
      </c>
      <c r="P81" s="29">
        <v>2.6426174496644202E-2</v>
      </c>
      <c r="R81" s="29">
        <v>0.69344251385634403</v>
      </c>
      <c r="S81" s="29">
        <v>1.0598399969994499E-2</v>
      </c>
      <c r="T81" s="29">
        <v>0.443959731543624</v>
      </c>
      <c r="U81" s="29">
        <v>2.0685209813274602E-3</v>
      </c>
      <c r="W81" s="31">
        <f>(1000*T81/R81)/$AG$140</f>
        <v>0.64168876886637316</v>
      </c>
      <c r="X81" s="31"/>
      <c r="Y81" s="31">
        <f>T81-AVERAGE(T82:T84)</f>
        <v>0.42865866807565578</v>
      </c>
      <c r="Z81" s="31">
        <f>U81+AVERAGE(T82:T84)</f>
        <v>1.736958444929566E-2</v>
      </c>
      <c r="AA81" s="31"/>
      <c r="AB81" s="31">
        <f>(Y81*1000)/R81</f>
        <v>618.16035144977889</v>
      </c>
      <c r="AC81" s="31">
        <f>2*((1000*Z81/(2*R81))^2+((S81/2)*1000*Y81/(R81^2))^2)^0.5</f>
        <v>26.770887659753939</v>
      </c>
      <c r="AD81" s="31">
        <f>AB81/$AG$140</f>
        <v>0.61957297799279931</v>
      </c>
      <c r="AE81" s="31">
        <f>2*(($AH$140*AB81/(2*$AG$140^2))^2+(AC81/($AG$140*2))^2)^0.5</f>
        <v>2.7636978134138516E-2</v>
      </c>
      <c r="AF81" s="69"/>
      <c r="AG81" s="31" cm="1">
        <f t="array" ref="AG81:AH81">BP81:BQ81</f>
        <v>0.7544642316023219</v>
      </c>
      <c r="AH81" s="29">
        <v>1.4115074525016393E-2</v>
      </c>
      <c r="AI81" s="31" cm="1">
        <f t="array" ref="AI81:AJ81">BX81:BY81</f>
        <v>0.46632660852643026</v>
      </c>
      <c r="AJ81" s="29">
        <v>2.0354405470029157E-2</v>
      </c>
      <c r="AL81" s="31">
        <f>1000*AI81/AG81</f>
        <v>618.08975030671968</v>
      </c>
      <c r="AM81" s="31">
        <f>2*((AH81*1000*AI81/(2*AG81^2))^2+(1000*AJ81/(AG81*2))^2)^0.5</f>
        <v>29.352423228159637</v>
      </c>
      <c r="AN81" s="31">
        <f>AL81/$AG$140</f>
        <v>0.61950221551126472</v>
      </c>
      <c r="AO81" s="31">
        <f>2*(($AH$140*AL81/(2*$AG$140^2))^2+(AM81/($AG$140*2))^2)^0.5</f>
        <v>3.0155261704590826E-2</v>
      </c>
      <c r="AP81" s="31"/>
      <c r="AQ81" s="31">
        <f>SUM(BP$5:$BP81)</f>
        <v>9.3009999996333246</v>
      </c>
      <c r="AR81" s="31" cm="1">
        <f t="array" ref="AR81">2*SQRT(SUM((BQ$5:$BQ81/2)^2))</f>
        <v>5.9249073031193589E-2</v>
      </c>
      <c r="AS81" s="31">
        <f>SUM($BX$5:BX81)</f>
        <v>3.2222782133209296</v>
      </c>
      <c r="AT81" s="31" cm="1">
        <f t="array" ref="AT81">2*SQRT(SUM(($BY$5:BY81/2)^2))</f>
        <v>0.20843769751063701</v>
      </c>
      <c r="AU81" s="31">
        <f t="shared" si="49"/>
        <v>9.2085717420240716</v>
      </c>
      <c r="AV81" s="31"/>
      <c r="AW81" s="31">
        <f t="shared" si="50"/>
        <v>4.7263353878919219</v>
      </c>
      <c r="AX81" s="31"/>
      <c r="AY81" s="69"/>
      <c r="AZ81" s="31"/>
      <c r="BB81" s="31"/>
      <c r="BC81" s="31"/>
      <c r="BD81" s="31"/>
      <c r="BE81" s="31"/>
      <c r="BF81" s="31">
        <f t="shared" si="45"/>
        <v>541899951857.50446</v>
      </c>
      <c r="BG81" s="31">
        <f t="shared" si="46"/>
        <v>600182791921.81287</v>
      </c>
      <c r="BH81" s="31">
        <f t="shared" si="42"/>
        <v>4.9837107280490229E-16</v>
      </c>
      <c r="BI81" s="31"/>
      <c r="BJ81" s="31"/>
      <c r="BK81" s="31"/>
      <c r="BL81" s="31"/>
      <c r="BM81" s="31"/>
      <c r="BN81" s="107">
        <f>BN80-R80</f>
        <v>1.0826013529542331E-2</v>
      </c>
      <c r="BO81" s="101">
        <f>BO80+S80</f>
        <v>4.5204916946347097E-3</v>
      </c>
      <c r="BP81" s="23">
        <f>R81+BN82-BN81</f>
        <v>0.7544642316023219</v>
      </c>
      <c r="BQ81" s="23">
        <f>2*(((BO81/2)^2+(BO82/2)^2+(S81/2)^2)^(0.5))</f>
        <v>1.4115074525016393E-2</v>
      </c>
      <c r="BR81" s="72">
        <f>100*(BP81-R81)/R81</f>
        <v>8.7998235652767232</v>
      </c>
      <c r="BS81" s="72"/>
      <c r="BT81" s="31"/>
      <c r="BU81" s="31"/>
      <c r="BV81" s="114">
        <f>BV80*EXP(-BB80*BH80*E80*60*0.91357457380209)*EXP(-(M80-1560)*$CW$126*$BH$48*0.91357457380209)</f>
        <v>1.1277835060453968E-2</v>
      </c>
      <c r="BW81" s="116">
        <f>2*SQRT(
((BW80/2) * EXP(-BB80 * BH80 * E80 * 60 * 0.91357457380209) * EXP(-(M80 - 1560) * $CW$126 * $BH$48 * 0.91357457380209))^2 +
(BC80 * (-BV80 * BH80 * E80 * 60 * 0.91357457380209 * EXP(-BB80 * BH80 * E80 * 60 * 0.91357457380209) * EXP(-(M80 - 1560) * $CW$126 * $BH$48 * 0.91357457380209)))^2 +
((0.146030972937065 / 2) * BV80 * (-BB80 * BH80 * E80 * 60 - (M80 - 1560) * $CW$126 * $BH$48) * EXP(-BB80 * BH80 * E80 * 60 * 0.91357457380209) * EXP(-(M80 - 1560) * $CW$126 * $BH$48 * 0.91357457380209))^2 +
-(M80-1560)*$BH$48*0.91357457380209*BV80*EXP(-BB80*BH80*E80*60*0.91357457380209)*EXP(-(M80-1560)*$CW$126*$BH$48*0.91357457380209))</f>
        <v>2.8719432222194053E-3</v>
      </c>
      <c r="BX81" s="23">
        <f>Y81+BV82-BV81</f>
        <v>0.46632660852643026</v>
      </c>
      <c r="BY81" s="23">
        <f>2*(((BW81/2)^2+(BW82/2)^2+(Z81/2)^2)^(0.5))</f>
        <v>2.0354405470029157E-2</v>
      </c>
      <c r="BZ81" s="72">
        <f>100*(BX81-Y81)/Y81</f>
        <v>8.7873973527408786</v>
      </c>
      <c r="CA81" s="142">
        <f>(R81*CC81)+((CA77-(CC81*R81))*EXP(-CB81))</f>
        <v>0.24861073914416129</v>
      </c>
      <c r="CB81" s="143">
        <f>BH81*BG81*J81</f>
        <v>3.7688331478028534</v>
      </c>
      <c r="CC81" s="143">
        <f>1/(CB81-1)</f>
        <v>0.36116296888222682</v>
      </c>
      <c r="CD81" s="143">
        <f>(CF81*T81) + ((CD77-(CF81*T81))*EXP(-CE81))</f>
        <v>0.18328170319118076</v>
      </c>
      <c r="CE81" s="143">
        <f>BH81*BF81*J81</f>
        <v>3.4028474805378823</v>
      </c>
      <c r="CF81" s="143">
        <f>1/(CE81-1)</f>
        <v>0.41617289823828019</v>
      </c>
      <c r="CG81" s="143">
        <f>R81-CA77</f>
        <v>0.52250712169195213</v>
      </c>
      <c r="CH81" s="143">
        <f>R81+CA81</f>
        <v>0.94205325300050535</v>
      </c>
      <c r="CI81" s="143">
        <f>T81-CD77</f>
        <v>0.30373831202651314</v>
      </c>
      <c r="CJ81" s="143">
        <f>T81+CD81</f>
        <v>0.62724143473480476</v>
      </c>
      <c r="CK81" s="31">
        <f>CE81*1.29</f>
        <v>4.3896732498938684</v>
      </c>
      <c r="CL81" s="31">
        <f>(R81 / (CK81-1)) + ((CL77-(R81 / (CK81-1)))*EXP(-CK81))</f>
        <v>0.2037812833450571</v>
      </c>
      <c r="CM81" s="31">
        <f>1000*T81/R81</f>
        <v>640.22571831469259</v>
      </c>
      <c r="CN81" s="31">
        <f>1000*(T81+CD81)/(R81+CL81)</f>
        <v>699.09139357569563</v>
      </c>
      <c r="CO81" s="31">
        <f>1000*(T81-CD77)/(R81-CL77)</f>
        <v>549.39979034457497</v>
      </c>
      <c r="CP81" s="31">
        <f>1000*(T81+CD81-CD77)/(R81+CL81-CL77)</f>
        <v>643.66480132582569</v>
      </c>
      <c r="CQ81" s="31">
        <f>MAX(CM81:CP81)</f>
        <v>699.09139357569563</v>
      </c>
      <c r="CR81" s="31">
        <f>MIN(CM81:CP81)</f>
        <v>549.39979034457497</v>
      </c>
      <c r="CS81" s="31"/>
    </row>
    <row r="82" spans="1:97" s="32" customFormat="1" x14ac:dyDescent="0.3">
      <c r="A82" s="32" t="s">
        <v>155</v>
      </c>
      <c r="B82" s="32" t="s">
        <v>156</v>
      </c>
      <c r="C82" s="33">
        <v>45341.236111111109</v>
      </c>
      <c r="D82" s="32">
        <v>104.99</v>
      </c>
      <c r="E82" s="32">
        <f t="shared" si="55"/>
        <v>120</v>
      </c>
      <c r="F82" s="32" t="s">
        <v>375</v>
      </c>
      <c r="G82" s="34">
        <v>3.38</v>
      </c>
      <c r="H82" s="34">
        <v>0</v>
      </c>
      <c r="I82" s="34">
        <v>0.80900000000000005</v>
      </c>
      <c r="J82" s="32">
        <v>7200</v>
      </c>
      <c r="K82" s="32">
        <v>7329.5259999999998</v>
      </c>
      <c r="L82" s="32">
        <f t="shared" si="43"/>
        <v>8759.9999996367842</v>
      </c>
      <c r="M82" s="32">
        <f t="shared" si="44"/>
        <v>1559.9999996367842</v>
      </c>
      <c r="N82" s="65"/>
      <c r="O82" s="32">
        <v>6.3462757172787401E-3</v>
      </c>
      <c r="P82" s="32">
        <v>2.6426174496644202E-2</v>
      </c>
      <c r="R82" s="32">
        <v>2.1450411924402099E-2</v>
      </c>
      <c r="S82" s="34">
        <v>3.2806046656481399E-4</v>
      </c>
      <c r="T82" s="32">
        <v>2.1378775167785202E-2</v>
      </c>
      <c r="U82" s="34">
        <v>9.1954324611729201E-5</v>
      </c>
      <c r="V82" s="34"/>
      <c r="W82" s="34"/>
      <c r="X82" s="34"/>
      <c r="Y82" s="34"/>
      <c r="Z82" s="34"/>
      <c r="AA82" s="34"/>
      <c r="AB82" s="34"/>
      <c r="AC82" s="34"/>
      <c r="AD82" s="34"/>
      <c r="AE82" s="34"/>
      <c r="AF82" s="69"/>
      <c r="AQ82" s="34">
        <f>SUM(BP$5:$BP82)</f>
        <v>9.3009999996333246</v>
      </c>
      <c r="AR82" s="34" cm="1">
        <f t="array" ref="AR82">2*SQRT(SUM((BQ$5:$BQ82/2)^2))</f>
        <v>5.9249073031193589E-2</v>
      </c>
      <c r="AS82" s="34">
        <f>SUM($BX$5:BX82)</f>
        <v>3.2222782133209296</v>
      </c>
      <c r="AT82" s="34" cm="1">
        <f t="array" ref="AT82">2*SQRT(SUM(($BY$5:BY82/2)^2))</f>
        <v>0.20843769751063701</v>
      </c>
      <c r="AU82" s="34">
        <f t="shared" si="49"/>
        <v>9.2300221539484735</v>
      </c>
      <c r="AV82" s="34"/>
      <c r="AW82" s="34">
        <f t="shared" si="50"/>
        <v>4.7477141630597073</v>
      </c>
      <c r="AX82" s="34"/>
      <c r="AY82" s="69"/>
      <c r="AZ82" s="34">
        <f>'Naive Apparent Lambdas'!$U$2*(10000/(D82+273))+'Naive Apparent Lambdas'!$V$2</f>
        <v>25.641311322432912</v>
      </c>
      <c r="BA82" s="32">
        <f>'Naive Apparent Lambdas'!$V$4</f>
        <v>6.7480704157997479E-2</v>
      </c>
      <c r="BB82" s="34">
        <f t="shared" si="40"/>
        <v>136735101103.89357</v>
      </c>
      <c r="BC82" s="34">
        <f t="shared" si="41"/>
        <v>9226980905.6057167</v>
      </c>
      <c r="BD82" s="34">
        <f>BB82*(D82+273)*$D$145*$F$144</f>
        <v>4.925153472170455E-5</v>
      </c>
      <c r="BE82" s="34"/>
      <c r="BF82" s="31">
        <f t="shared" si="45"/>
        <v>88789925025.574295</v>
      </c>
      <c r="BG82" s="31">
        <f t="shared" si="46"/>
        <v>96291959073.926346</v>
      </c>
      <c r="BH82" s="34">
        <f t="shared" si="42"/>
        <v>3.6019671850231366E-16</v>
      </c>
      <c r="BI82" s="34"/>
      <c r="BJ82" s="34">
        <f>R82/(1-EXP(-E82*60*BD82))</f>
        <v>7.1847731275520202E-2</v>
      </c>
      <c r="BK82" s="34">
        <f>2*SQRT(
((S82/2) * (1 / (1 - EXP(-E82 * 60 * BB82 * BH82))))^2 +
(BC82 * (-R82 * 60 * E82 * BH82 * EXP(-E82 * 60 * BB82 * BH82) / (1 - EXP(-E82 * 60 * BB82 * BH82))^2))^2
)</f>
        <v>8.1531835353759775E-3</v>
      </c>
      <c r="BL82" s="34">
        <f>R82/(1-EXP(-E82*60*BB82*BH82)*EXP(-(M82-1560)*$CW$126*$BH$122))</f>
        <v>7.1847731275968232E-2</v>
      </c>
      <c r="BM82" s="34">
        <f>2*SQRT(
((S82/2) * (1 / (1 - EXP(-E82 * 60 * BB82 * BH82) * EXP(-(M82 - 1560) * $CW$126 * $BH$48))))^2 +
(BC82 * (-R82 * 60 * E82 * BH82 * EXP(-E82 * 60 * BB82 * BH82) / ((1 - EXP(-E82 * 60 * BB82 * BH82) * EXP(-(M82 - 1560) * $CW$126 * $BH$48))^2)))^2 +
($CX$126 * (-R82 * (M82 - 1560) * $BH$48 * EXP(-(M82 - 1560) * $CW$126 * $BH$48) / ((1 - EXP(-E82 * 60 * BB82 * BH82) * EXP(-(M82 - 1560) * $CW$126 * $BH$48))^2)))^2
)</f>
        <v>8.1531835354767442E-3</v>
      </c>
      <c r="BN82" s="55" cm="1">
        <f t="array" ref="BN82:BO82">BJ82:BK82</f>
        <v>7.1847731275520202E-2</v>
      </c>
      <c r="BO82" s="100">
        <v>8.1531835353759775E-3</v>
      </c>
      <c r="BP82" s="24"/>
      <c r="BQ82" s="24"/>
      <c r="BR82" s="73"/>
      <c r="BS82" s="73"/>
      <c r="BT82" s="123">
        <f>BN82*(Y81/R81)*1.10204926384627</f>
        <v>4.8945775511228494E-2</v>
      </c>
      <c r="BU82" s="123">
        <f>2*(((BO82/2)*1.10204926384627*(AB81/(1000)))^2+((AC81/2000)*1.10204926384627*BN82)^2+((0.187040260207234/2)*BN82*(AB81/(1000)))^2)^0.5</f>
        <v>1.0215248417218605E-2</v>
      </c>
      <c r="BV82" s="124">
        <f>BT82</f>
        <v>4.8945775511228494E-2</v>
      </c>
      <c r="BW82" s="125">
        <f>BU82</f>
        <v>1.0215248417218605E-2</v>
      </c>
      <c r="BX82" s="24"/>
      <c r="BY82" s="24"/>
      <c r="BZ82" s="73"/>
      <c r="CA82" s="141">
        <f t="shared" ref="CA82:CA84" si="56">CA81*(EXP(-BH82*BG82*E82))*(EXP(-$BG$140*$F$144*D221*(24+273)*M82))</f>
        <v>0.24757815028892388</v>
      </c>
      <c r="CB82" s="34"/>
      <c r="CC82" s="34"/>
      <c r="CD82" s="34">
        <f t="shared" ref="CD82:CD84" si="57">CD81*(EXP(-BH82*BF82*E82))*(EXP(-$BF$140*$F$144*D221*(24+273)*M82))</f>
        <v>0.18257964890750175</v>
      </c>
      <c r="CE82" s="34"/>
      <c r="CF82" s="34"/>
      <c r="CG82" s="34"/>
      <c r="CH82" s="34"/>
      <c r="CI82" s="34"/>
      <c r="CJ82" s="34"/>
      <c r="CK82" s="34"/>
      <c r="CL82" s="34"/>
      <c r="CM82" s="34"/>
      <c r="CN82" s="34"/>
      <c r="CO82" s="34"/>
      <c r="CP82" s="34"/>
      <c r="CQ82" s="34"/>
      <c r="CR82" s="34"/>
      <c r="CS82" s="34"/>
    </row>
    <row r="83" spans="1:97" s="8" customFormat="1" x14ac:dyDescent="0.3">
      <c r="A83" s="8" t="s">
        <v>157</v>
      </c>
      <c r="B83" s="8" t="s">
        <v>158</v>
      </c>
      <c r="C83" s="35">
        <v>45341.337500000001</v>
      </c>
      <c r="D83" s="8">
        <v>104.99</v>
      </c>
      <c r="E83" s="8">
        <f t="shared" si="55"/>
        <v>120</v>
      </c>
      <c r="F83" s="8" t="s">
        <v>287</v>
      </c>
      <c r="G83" s="36">
        <v>2.27</v>
      </c>
      <c r="H83" s="36">
        <v>0</v>
      </c>
      <c r="I83" s="36">
        <v>0.47499999999999998</v>
      </c>
      <c r="J83" s="8">
        <v>7200</v>
      </c>
      <c r="K83" s="8">
        <v>7328.2079999999996</v>
      </c>
      <c r="L83" s="8">
        <f t="shared" si="43"/>
        <v>8760.0000002654269</v>
      </c>
      <c r="M83" s="8">
        <f t="shared" si="44"/>
        <v>1560.0000002654269</v>
      </c>
      <c r="N83" s="65"/>
      <c r="O83" s="8">
        <v>6.3311702791372798E-3</v>
      </c>
      <c r="P83" s="8">
        <v>2.6426174496644202E-2</v>
      </c>
      <c r="R83" s="8">
        <v>1.4371756533641601E-2</v>
      </c>
      <c r="S83" s="36">
        <v>2.19942359505094E-4</v>
      </c>
      <c r="T83" s="8">
        <v>1.2552432885906E-2</v>
      </c>
      <c r="U83" s="36">
        <v>4.96335242277447E-5</v>
      </c>
      <c r="V83" s="36"/>
      <c r="Y83" s="36"/>
      <c r="Z83" s="36"/>
      <c r="AA83" s="36"/>
      <c r="AB83" s="36"/>
      <c r="AF83" s="69"/>
      <c r="AQ83" s="36">
        <f>SUM(BP$5:$BP83)</f>
        <v>9.3009999996333246</v>
      </c>
      <c r="AR83" s="36" cm="1">
        <f t="array" ref="AR83">2*SQRT(SUM((BQ$5:$BQ83/2)^2))</f>
        <v>5.9249073031193589E-2</v>
      </c>
      <c r="AS83" s="36">
        <f>SUM($BX$5:BX83)</f>
        <v>3.2222782133209296</v>
      </c>
      <c r="AT83" s="36" cm="1">
        <f t="array" ref="AT83">2*SQRT(SUM(($BY$5:BY83/2)^2))</f>
        <v>0.20843769751063701</v>
      </c>
      <c r="AU83" s="36">
        <f t="shared" si="49"/>
        <v>9.2443939104821151</v>
      </c>
      <c r="AV83" s="36"/>
      <c r="AW83" s="36">
        <f t="shared" si="50"/>
        <v>4.7602665959456134</v>
      </c>
      <c r="AX83" s="36"/>
      <c r="AY83" s="69"/>
      <c r="AZ83" s="36">
        <f>'Naive Apparent Lambdas'!$U$2*(10000/(D83+273))+'Naive Apparent Lambdas'!$V$2</f>
        <v>25.641311322432912</v>
      </c>
      <c r="BA83" s="8">
        <f>'Naive Apparent Lambdas'!$V$4</f>
        <v>6.7480704157997479E-2</v>
      </c>
      <c r="BB83" s="36">
        <f t="shared" si="40"/>
        <v>136735101103.89357</v>
      </c>
      <c r="BC83" s="36">
        <f t="shared" si="41"/>
        <v>9226980905.6057167</v>
      </c>
      <c r="BD83" s="36">
        <f>BB83*(D83+273)*$D$145*$F$144</f>
        <v>4.925153472170455E-5</v>
      </c>
      <c r="BE83" s="36"/>
      <c r="BF83" s="31">
        <f t="shared" si="45"/>
        <v>88789925025.574295</v>
      </c>
      <c r="BG83" s="31">
        <f t="shared" si="46"/>
        <v>96291959073.926346</v>
      </c>
      <c r="BH83" s="36">
        <f t="shared" si="42"/>
        <v>3.6019671850231366E-16</v>
      </c>
      <c r="BI83" s="36"/>
      <c r="BJ83" s="36">
        <f>R83/(1-EXP(-E83*60*BD83))</f>
        <v>4.8137914788089327E-2</v>
      </c>
      <c r="BK83" s="36">
        <f>2*SQRT(
((S83/2) * (1 / (1 - EXP(-E83 * 60 * BB83 * BH83))))^2 +
(BC83 * (-R83 * 60 * E83 * BH83 * EXP(-E83 * 60 * BB83 * BH83) / (1 - EXP(-E83 * 60 * BB83 * BH83))^2))^2
)</f>
        <v>5.4626897610254811E-3</v>
      </c>
      <c r="BL83" s="36">
        <f>R83/(1-EXP(-E83*60*BB83*BH83)*EXP(-(M83-1560)*$CW$126*$BH$122))</f>
        <v>4.8137914787869912E-2</v>
      </c>
      <c r="BM83" s="36">
        <f>2*SQRT(
((S83/2) * (1 / (1 - EXP(-E83 * 60 * BB83 * BH83) * EXP(-(M83 - 1560) * $CW$126 * $BH$48))))^2 +
(BC83 * (-R83 * 60 * E83 * BH83 * EXP(-E83 * 60 * BB83 * BH83) / ((1 - EXP(-E83 * 60 * BB83 * BH83) * EXP(-(M83 - 1560) * $CW$126 * $BH$48))^2)))^2 +
($CX$126 * (-R83 * (M83 - 1560) * $BH$48 * EXP(-(M83 - 1560) * $CW$126 * $BH$48) / ((1 - EXP(-E83 * 60 * BB83 * BH83) * EXP(-(M83 - 1560) * $CW$126 * $BH$48))^2)))^2
)</f>
        <v>5.4626897609761403E-3</v>
      </c>
      <c r="BN83" s="54">
        <f>BN82*EXP(-BD82*E82*60)</f>
        <v>5.0397319351118103E-2</v>
      </c>
      <c r="BO83" s="99">
        <f>2*((((BO82/2)*EXP(-BD82*E82*60))^2+(BN82*EXP(-BD82*E82*60)*E82*60*BC82*BD82/BB82)^2)^0.5)</f>
        <v>6.2068282225131981E-3</v>
      </c>
      <c r="BP83" s="25"/>
      <c r="BQ83" s="25"/>
      <c r="BR83" s="74"/>
      <c r="BS83" s="74"/>
      <c r="BT83" s="36"/>
      <c r="BU83" s="36"/>
      <c r="BV83" s="54">
        <f>BV82*EXP(-BB82*BH82*E82*60*0.91357457380209)*EXP(-(M82-1560)*$CW$126*$BH$48*0.91357457380209)</f>
        <v>3.5401331211201904E-2</v>
      </c>
      <c r="BW83" s="99">
        <f>2*SQRT(
((BW82/2) * EXP(-BB82 * BH82 * E82 * 60 * 0.91357457380209) * EXP(-(M82 - 1560) * $CW$126 * $BH$48 * 0.91357457380209))^2 +
(BC82 * (-BV82 * BH82 * E82 * 60 * 0.91357457380209 * EXP(-BB82 * BH82 * E82 * 60 * 0.91357457380209) * EXP(-(M82 - 1560) * $CW$126 * $BH$48 * 0.91357457380209)))^2 +
((0.146030972937065 / 2) * BV82 * (-BB82 * BH82 * E82 * 60 - (M82 - 1560) * $CW$126 * $BH$48) * EXP(-BB82 * BH82 * E82 * 60 * 0.91357457380209) * EXP(-(M82 - 1560) * $CW$126 * $BH$48 * 0.91357457380209))^2 +
-(M82-1560)*$BH$48*0.91357457380209*BV82*EXP(-BB82*BH82*E82*60*0.91357457380209)*EXP(-(M82-1560)*$CW$126*$BH$48*0.91357457380209))</f>
        <v>7.7682507059337481E-3</v>
      </c>
      <c r="BX83" s="25"/>
      <c r="BY83" s="25"/>
      <c r="BZ83" s="74"/>
      <c r="CA83" s="141">
        <f t="shared" si="56"/>
        <v>0.24654985022566556</v>
      </c>
      <c r="CB83" s="34"/>
      <c r="CC83" s="34"/>
      <c r="CD83" s="34">
        <f t="shared" si="57"/>
        <v>0.18188028381869953</v>
      </c>
      <c r="CE83" s="36"/>
      <c r="CF83" s="36"/>
      <c r="CG83" s="36"/>
      <c r="CH83" s="36"/>
      <c r="CI83" s="36"/>
      <c r="CJ83" s="36"/>
      <c r="CK83" s="36"/>
      <c r="CL83" s="36"/>
      <c r="CM83" s="36"/>
      <c r="CN83" s="36"/>
      <c r="CO83" s="36"/>
      <c r="CP83" s="36"/>
      <c r="CQ83" s="36"/>
      <c r="CR83" s="36"/>
      <c r="CS83" s="36"/>
    </row>
    <row r="84" spans="1:97" s="8" customFormat="1" x14ac:dyDescent="0.3">
      <c r="A84" s="8" t="s">
        <v>159</v>
      </c>
      <c r="B84" s="8" t="s">
        <v>160</v>
      </c>
      <c r="C84" s="35">
        <v>45341.438888888886</v>
      </c>
      <c r="D84" s="8">
        <v>104.99</v>
      </c>
      <c r="E84" s="8">
        <f t="shared" si="55"/>
        <v>120</v>
      </c>
      <c r="F84" s="8" t="s">
        <v>287</v>
      </c>
      <c r="G84" s="36">
        <v>1.64</v>
      </c>
      <c r="H84" s="36">
        <v>0</v>
      </c>
      <c r="I84" s="36">
        <v>0.45300000000000001</v>
      </c>
      <c r="J84" s="8">
        <v>7200</v>
      </c>
      <c r="K84" s="8">
        <v>7329.22</v>
      </c>
      <c r="L84" s="8">
        <f t="shared" si="43"/>
        <v>8759.9999996367842</v>
      </c>
      <c r="M84" s="8">
        <f t="shared" si="44"/>
        <v>1559.9999996367842</v>
      </c>
      <c r="N84" s="65"/>
      <c r="O84" s="8">
        <v>6.32978723404255E-3</v>
      </c>
      <c r="P84" s="8">
        <v>2.64282171086389E-2</v>
      </c>
      <c r="R84" s="8">
        <v>1.03808510638297E-2</v>
      </c>
      <c r="S84" s="36">
        <v>1.59197084573893E-4</v>
      </c>
      <c r="T84" s="8">
        <v>1.1971982350213401E-2</v>
      </c>
      <c r="U84" s="36">
        <v>4.7123014670003299E-5</v>
      </c>
      <c r="V84" s="36"/>
      <c r="Y84" s="36"/>
      <c r="Z84" s="36"/>
      <c r="AA84" s="36"/>
      <c r="AB84" s="36"/>
      <c r="AF84" s="69"/>
      <c r="AQ84" s="36">
        <f>SUM(BP$5:$BP84)</f>
        <v>9.3009999996333246</v>
      </c>
      <c r="AR84" s="36" cm="1">
        <f t="array" ref="AR84">2*SQRT(SUM((BQ$5:$BQ84/2)^2))</f>
        <v>5.9249073031193589E-2</v>
      </c>
      <c r="AS84" s="36">
        <f>SUM($BX$5:BX84)</f>
        <v>3.2222782133209296</v>
      </c>
      <c r="AT84" s="36" cm="1">
        <f t="array" ref="AT84">2*SQRT(SUM(($BY$5:BY84/2)^2))</f>
        <v>0.20843769751063701</v>
      </c>
      <c r="AU84" s="36">
        <f t="shared" si="49"/>
        <v>9.2547747615459457</v>
      </c>
      <c r="AV84" s="36"/>
      <c r="AW84" s="36">
        <f t="shared" si="50"/>
        <v>4.772238578295827</v>
      </c>
      <c r="AX84" s="36"/>
      <c r="AY84" s="69"/>
      <c r="AZ84" s="36">
        <f>'Naive Apparent Lambdas'!$U$2*(10000/(D84+273))+'Naive Apparent Lambdas'!$V$2</f>
        <v>25.641311322432912</v>
      </c>
      <c r="BA84" s="8">
        <f>'Naive Apparent Lambdas'!$V$4</f>
        <v>6.7480704157997479E-2</v>
      </c>
      <c r="BB84" s="36">
        <f t="shared" si="40"/>
        <v>136735101103.89357</v>
      </c>
      <c r="BC84" s="36">
        <f t="shared" si="41"/>
        <v>9226980905.6057167</v>
      </c>
      <c r="BD84" s="36">
        <f>BB84*(D84+273)*$D$145*$F$144</f>
        <v>4.925153472170455E-5</v>
      </c>
      <c r="BE84" s="36"/>
      <c r="BF84" s="31">
        <f t="shared" si="45"/>
        <v>88789925025.574295</v>
      </c>
      <c r="BG84" s="31">
        <f t="shared" si="46"/>
        <v>96291959073.926346</v>
      </c>
      <c r="BH84" s="36">
        <f t="shared" si="42"/>
        <v>3.6019671850231366E-16</v>
      </c>
      <c r="BI84" s="36"/>
      <c r="BJ84" s="36">
        <f>R84/(1-EXP(-E84*60*BD84))</f>
        <v>3.4770455703778916E-2</v>
      </c>
      <c r="BK84" s="36">
        <f>2*SQRT(
((S84/2) * (1 / (1 - EXP(-E84 * 60 * BB84 * BH84))))^2 +
(BC84 * (-R84 * 60 * E84 * BH84 * EXP(-E84 * 60 * BB84 * BH84) / (1 - EXP(-E84 * 60 * BB84 * BH84))^2))^2
)</f>
        <v>3.9459002649988124E-3</v>
      </c>
      <c r="BL84" s="36">
        <f>R84/(1-EXP(-E84*60*BB84*BH84)*EXP(-(M84-1560)*$CW$126*$BH$122))</f>
        <v>3.4770455703995742E-2</v>
      </c>
      <c r="BM84" s="36">
        <f>2*SQRT(
((S84/2) * (1 / (1 - EXP(-E84 * 60 * BB84 * BH84) * EXP(-(M84 - 1560) * $CW$126 * $BH$48))))^2 +
(BC84 * (-R84 * 60 * E84 * BH84 * EXP(-E84 * 60 * BB84 * BH84) / ((1 - EXP(-E84 * 60 * BB84 * BH84) * EXP(-(M84 - 1560) * $CW$126 * $BH$48))^2)))^2 +
($CX$126 * (-R84 * (M84 - 1560) * $BH$48 * EXP(-(M84 - 1560) * $CW$126 * $BH$48) / ((1 - EXP(-E84 * 60 * BB84 * BH84) * EXP(-(M84 - 1560) * $CW$126 * $BH$48))^2)))^2
)</f>
        <v>3.9459002650475781E-3</v>
      </c>
      <c r="BN84" s="54">
        <f>BN83*EXP(-BD83*E83*60)</f>
        <v>3.5351009039362231E-2</v>
      </c>
      <c r="BO84" s="99">
        <f>2*((((BO83/2)*EXP(-BD83*E83*60))^2+(BN83*EXP(-BD83*E83*60)*E83*60*BC83*BD83/BB83)^2)^0.5)</f>
        <v>4.6709285323651394E-3</v>
      </c>
      <c r="BP84" s="25"/>
      <c r="BQ84" s="25"/>
      <c r="BR84" s="74"/>
      <c r="BS84" s="74"/>
      <c r="BT84" s="36"/>
      <c r="BU84" s="36"/>
      <c r="BV84" s="54">
        <f>BV83*EXP(-BB83*BH83*E83*60*0.91357457380209)*EXP(-(M83-1560)*$CW$126*$BH$48*0.91357457380209)</f>
        <v>2.5604952387207613E-2</v>
      </c>
      <c r="BW84" s="99">
        <f>2*SQRT(
((BW83/2) * EXP(-BB83 * BH83 * E83 * 60 * 0.91357457380209) * EXP(-(M83 - 1560) * $CW$126 * $BH$48 * 0.91357457380209))^2 +
(BC83 * (-BV83 * BH83 * E83 * 60 * 0.91357457380209 * EXP(-BB83 * BH83 * E83 * 60 * 0.91357457380209) * EXP(-(M83 - 1560) * $CW$126 * $BH$48 * 0.91357457380209)))^2 +
((0.146030972937065 / 2) * BV83 * (-BB83 * BH83 * E83 * 60 - (M83 - 1560) * $CW$126 * $BH$48) * EXP(-BB83 * BH83 * E83 * 60 * 0.91357457380209) * EXP(-(M83 - 1560) * $CW$126 * $BH$48 * 0.91357457380209))^2 +
-(M83-1560)*$BH$48*0.91357457380209*BV83*EXP(-BB83*BH83*E83*60*0.91357457380209)*EXP(-(M83-1560)*$CW$126*$BH$48*0.91357457380209))</f>
        <v>5.880476316320259E-3</v>
      </c>
      <c r="BX84" s="25"/>
      <c r="BY84" s="25"/>
      <c r="BZ84" s="74"/>
      <c r="CA84" s="141">
        <f t="shared" si="56"/>
        <v>0.24552582114116228</v>
      </c>
      <c r="CB84" s="34"/>
      <c r="CC84" s="34"/>
      <c r="CD84" s="34">
        <f t="shared" si="57"/>
        <v>0.18118359762390529</v>
      </c>
      <c r="CE84" s="36"/>
      <c r="CF84" s="36"/>
      <c r="CG84" s="36"/>
      <c r="CH84" s="36"/>
      <c r="CI84" s="36"/>
      <c r="CJ84" s="36"/>
      <c r="CK84" s="36"/>
      <c r="CL84" s="36"/>
      <c r="CM84" s="36"/>
      <c r="CN84" s="36"/>
      <c r="CO84" s="36"/>
      <c r="CP84" s="36"/>
      <c r="CQ84" s="36"/>
      <c r="CR84" s="36"/>
      <c r="CS84" s="36"/>
    </row>
    <row r="85" spans="1:97" s="29" customFormat="1" x14ac:dyDescent="0.3">
      <c r="A85" s="29" t="s">
        <v>161</v>
      </c>
      <c r="B85" s="29" t="s">
        <v>162</v>
      </c>
      <c r="C85" s="30">
        <v>45341.644444444442</v>
      </c>
      <c r="D85" s="29">
        <v>244.909999999999</v>
      </c>
      <c r="E85" s="29">
        <f t="shared" si="55"/>
        <v>270</v>
      </c>
      <c r="F85" s="29" t="s">
        <v>289</v>
      </c>
      <c r="G85" s="31">
        <v>73.599999999999994</v>
      </c>
      <c r="H85" s="31">
        <v>0</v>
      </c>
      <c r="I85" s="31">
        <v>11.8</v>
      </c>
      <c r="J85" s="29">
        <v>16200</v>
      </c>
      <c r="K85" s="29">
        <v>16326.304</v>
      </c>
      <c r="L85" s="29">
        <f t="shared" si="43"/>
        <v>17760.000000055879</v>
      </c>
      <c r="M85" s="29">
        <f t="shared" si="44"/>
        <v>1560.0000000558794</v>
      </c>
      <c r="N85" s="65"/>
      <c r="O85" s="29">
        <v>6.32978723404255E-3</v>
      </c>
      <c r="P85" s="29">
        <v>2.64692857165451E-2</v>
      </c>
      <c r="R85" s="29">
        <v>0.465872340425531</v>
      </c>
      <c r="S85" s="29">
        <v>7.4343533932404197E-3</v>
      </c>
      <c r="T85" s="29">
        <v>0.312337571455232</v>
      </c>
      <c r="U85" s="29">
        <v>1.3158669451178099E-3</v>
      </c>
      <c r="W85" s="31">
        <f>(1000*T85/R85)/$AG$140</f>
        <v>0.67196805089526301</v>
      </c>
      <c r="X85" s="31"/>
      <c r="Y85" s="31">
        <f>T85-AVERAGE(T86:T88)</f>
        <v>0.30371417997653144</v>
      </c>
      <c r="Z85" s="31">
        <f>U85+AVERAGE(T86:T88)</f>
        <v>9.9392584238183861E-3</v>
      </c>
      <c r="AA85" s="31"/>
      <c r="AB85" s="31">
        <f>(Y85*1000)/R85</f>
        <v>651.92576081919105</v>
      </c>
      <c r="AC85" s="31">
        <f>2*((1000*Z85/(2*R85))^2+((S85/2)*1000*Y85/(R85^2))^2)^0.5</f>
        <v>23.73606535050537</v>
      </c>
      <c r="AD85" s="31">
        <f>AB85/$AG$140</f>
        <v>0.65341554843117899</v>
      </c>
      <c r="AE85" s="31">
        <f>2*(($AH$140*AB85/(2*$AG$140^2))^2+(AC85/($AG$140*2))^2)^0.5</f>
        <v>2.4793991110510623E-2</v>
      </c>
      <c r="AF85" s="69"/>
      <c r="AG85" s="31" cm="1">
        <f t="array" ref="AG85:AH85">BP85:BQ85</f>
        <v>0.49085790223314241</v>
      </c>
      <c r="AH85" s="29">
        <v>1.0074319930729707E-2</v>
      </c>
      <c r="AI85" s="31" cm="1">
        <f t="array" ref="AI85:AJ85">BX85:BY85</f>
        <v>0.32096109341314327</v>
      </c>
      <c r="AJ85" s="29">
        <v>1.3213212622658673E-2</v>
      </c>
      <c r="AL85" s="31">
        <f>1000*AI85/AG85</f>
        <v>653.87781668165258</v>
      </c>
      <c r="AM85" s="31">
        <f>2*((AH85*1000*AI85/(2*AG85^2))^2+(1000*AJ85/(AG85*2))^2)^0.5</f>
        <v>30.078419759830627</v>
      </c>
      <c r="AN85" s="31">
        <f>AL85/$AG$140</f>
        <v>0.65537206515224833</v>
      </c>
      <c r="AO85" s="31">
        <f>2*(($AH$140*AL85/(2*$AG$140^2))^2+(AM85/($AG$140*2))^2)^0.5</f>
        <v>3.0950067972547658E-2</v>
      </c>
      <c r="AP85" s="31"/>
      <c r="AQ85" s="31">
        <f>SUM(BP$5:$BP85)</f>
        <v>9.7918579018664662</v>
      </c>
      <c r="AR85" s="31" cm="1">
        <f t="array" ref="AR85">2*SQRT(SUM((BQ$5:$BQ85/2)^2))</f>
        <v>6.0099455714027972E-2</v>
      </c>
      <c r="AS85" s="31">
        <f>SUM($BX$5:BX85)</f>
        <v>3.5432393067340726</v>
      </c>
      <c r="AT85" s="31" cm="1">
        <f t="array" ref="AT85">2*SQRT(SUM(($BY$5:BY85/2)^2))</f>
        <v>0.20885608138464007</v>
      </c>
      <c r="AU85" s="31">
        <f t="shared" si="49"/>
        <v>9.7206471019714762</v>
      </c>
      <c r="AV85" s="31"/>
      <c r="AW85" s="31">
        <f t="shared" si="50"/>
        <v>5.0845761497510589</v>
      </c>
      <c r="AX85" s="31"/>
      <c r="AY85" s="69"/>
      <c r="AZ85" s="31"/>
      <c r="BB85" s="31"/>
      <c r="BC85" s="31"/>
      <c r="BD85" s="31"/>
      <c r="BE85" s="31"/>
      <c r="BF85" s="31">
        <f t="shared" si="45"/>
        <v>517407687087.88031</v>
      </c>
      <c r="BG85" s="31">
        <f t="shared" si="46"/>
        <v>572748087267.67456</v>
      </c>
      <c r="BH85" s="31">
        <f t="shared" si="42"/>
        <v>4.9353020577140363E-16</v>
      </c>
      <c r="BI85" s="31"/>
      <c r="BJ85" s="31"/>
      <c r="BK85" s="31"/>
      <c r="BL85" s="31"/>
      <c r="BM85" s="31"/>
      <c r="BN85" s="114">
        <f>BN84*EXP(-BD84*E84*60)</f>
        <v>2.4796831581347684E-2</v>
      </c>
      <c r="BO85" s="116">
        <f>2*((((BO84/2)*EXP(-BD84*E84*60))^2+(BN84*EXP(-BD84*E84*60)*E84*60*BC84*BD84/BB84)^2)^0.5)</f>
        <v>3.4847092584036313E-3</v>
      </c>
      <c r="BP85" s="23">
        <f>R85+BN86-BN85</f>
        <v>0.49085790223314241</v>
      </c>
      <c r="BQ85" s="23">
        <f>2*(((BO85/2)^2+(BO86/2)^2+(S85/2)^2)^(0.5))</f>
        <v>1.0074319930729707E-2</v>
      </c>
      <c r="BR85" s="72">
        <f>100*(BP85-R85)/R85</f>
        <v>5.3631777720028246</v>
      </c>
      <c r="BS85" s="72"/>
      <c r="BT85" s="31"/>
      <c r="BU85" s="31"/>
      <c r="BV85" s="114">
        <f>BV84*EXP(-BB84*BH84*E84*60*0.91357457380209)*EXP(-(M84-1560)*$CW$126*$BH$48*0.91357457380209)</f>
        <v>1.8519461396594807E-2</v>
      </c>
      <c r="BW85" s="116">
        <f>2*SQRT(
((BW84/2) * EXP(-BB84 * BH84 * E84 * 60 * 0.91357457380209) * EXP(-(M84 - 1560) * $CW$126 * $BH$48 * 0.91357457380209))^2 +
(BC84 * (-BV84 * BH84 * E84 * 60 * 0.91357457380209 * EXP(-BB84 * BH84 * E84 * 60 * 0.91357457380209) * EXP(-(M84 - 1560) * $CW$126 * $BH$48 * 0.91357457380209)))^2 +
((0.146030972937065 / 2) * BV84 * (-BB84 * BH84 * E84 * 60 - (M84 - 1560) * $CW$126 * $BH$48) * EXP(-BB84 * BH84 * E84 * 60 * 0.91357457380209) * EXP(-(M84 - 1560) * $CW$126 * $BH$48 * 0.91357457380209))^2 +
-(M84-1560)*$BH$48*0.91357457380209*BV84*EXP(-BB84*BH84*E84*60*0.91357457380209)*EXP(-(M84-1560)*$CW$126*$BH$48*0.91357457380209))</f>
        <v>4.4345411577557843E-3</v>
      </c>
      <c r="BX85" s="23">
        <f>Y85+BV86-BV85</f>
        <v>0.32096109341314327</v>
      </c>
      <c r="BY85" s="23">
        <f>2*(((BW85/2)^2+(BW86/2)^2+(Z85/2)^2)^(0.5))</f>
        <v>1.3213212622658673E-2</v>
      </c>
      <c r="BZ85" s="72">
        <f>100*(BX85-Y85)/Y85</f>
        <v>5.678665855491019</v>
      </c>
      <c r="CA85" s="140">
        <f>R85*CC85</f>
        <v>0.13015995584759732</v>
      </c>
      <c r="CB85" s="31">
        <f>BH85*BG85*J85</f>
        <v>4.5792293981031706</v>
      </c>
      <c r="CC85" s="31">
        <f>1/(CB85-1)</f>
        <v>0.2793897481200715</v>
      </c>
      <c r="CD85" s="31">
        <f>CF85*T85</f>
        <v>9.9572914304118187E-2</v>
      </c>
      <c r="CE85" s="31">
        <f>BH85*BF85*J85</f>
        <v>4.1367724208742391</v>
      </c>
      <c r="CF85" s="31">
        <f>1/(CE85-1)</f>
        <v>0.31879902837238455</v>
      </c>
      <c r="CG85" s="31">
        <f>R85-CA81</f>
        <v>0.2172616012813697</v>
      </c>
      <c r="CH85" s="31">
        <f>R85+CA85</f>
        <v>0.59603229627312837</v>
      </c>
      <c r="CI85" s="31">
        <f>T85-CD81</f>
        <v>0.12905586826405124</v>
      </c>
      <c r="CJ85" s="31">
        <f>T85+CD85</f>
        <v>0.41191048575935019</v>
      </c>
      <c r="CK85" s="31">
        <f>CE85*1.29</f>
        <v>5.3364364229277683</v>
      </c>
      <c r="CL85" s="31">
        <f>R85 / (CK85-1)</f>
        <v>0.1074320697894597</v>
      </c>
      <c r="CM85" s="31">
        <f>1000*T85/R85</f>
        <v>670.43596357306967</v>
      </c>
      <c r="CN85" s="31">
        <f>1000*(T85+CD85)/(R85+CL85)</f>
        <v>718.48476728948003</v>
      </c>
      <c r="CO85" s="31">
        <f>1000*(T85-CD81)/(R85-CL81)</f>
        <v>492.40851519945306</v>
      </c>
      <c r="CP85" s="31">
        <f>1000*(T85+CD85-CD81)/(R85+CL85-CL81)</f>
        <v>618.71305459223186</v>
      </c>
      <c r="CQ85" s="31">
        <f>MAX(CM85:CP85)</f>
        <v>718.48476728948003</v>
      </c>
      <c r="CR85" s="31">
        <f>MIN(CM85:CP85)</f>
        <v>492.40851519945306</v>
      </c>
      <c r="CS85" s="31"/>
    </row>
    <row r="86" spans="1:97" s="32" customFormat="1" x14ac:dyDescent="0.3">
      <c r="A86" s="32" t="s">
        <v>163</v>
      </c>
      <c r="B86" s="32" t="s">
        <v>164</v>
      </c>
      <c r="C86" s="33">
        <v>45341.745833333334</v>
      </c>
      <c r="D86" s="32">
        <v>100</v>
      </c>
      <c r="E86" s="32">
        <f t="shared" si="55"/>
        <v>120</v>
      </c>
      <c r="F86" s="32" t="s">
        <v>375</v>
      </c>
      <c r="G86" s="34">
        <v>1.99</v>
      </c>
      <c r="H86" s="34">
        <v>0</v>
      </c>
      <c r="I86" s="34">
        <v>0.54400000000000004</v>
      </c>
      <c r="J86" s="32">
        <v>7200</v>
      </c>
      <c r="K86" s="32">
        <v>7328.5330000000004</v>
      </c>
      <c r="L86" s="32">
        <f t="shared" si="43"/>
        <v>8760.0000002654269</v>
      </c>
      <c r="M86" s="32">
        <f t="shared" si="44"/>
        <v>1560.0000002654269</v>
      </c>
      <c r="N86" s="65"/>
      <c r="O86" s="32">
        <v>6.3318091695029801E-3</v>
      </c>
      <c r="P86" s="32">
        <v>2.6462600863426802E-2</v>
      </c>
      <c r="R86" s="32">
        <v>1.2600300247310899E-2</v>
      </c>
      <c r="S86" s="34">
        <v>1.9637404342599999E-4</v>
      </c>
      <c r="T86" s="32">
        <v>1.43956548697042E-2</v>
      </c>
      <c r="U86" s="34">
        <v>6.0788320765361397E-5</v>
      </c>
      <c r="V86" s="34"/>
      <c r="Y86" s="34"/>
      <c r="Z86" s="34"/>
      <c r="AA86" s="34"/>
      <c r="AB86" s="34"/>
      <c r="AF86" s="69"/>
      <c r="AQ86" s="34">
        <f>SUM(BP$5:$BP86)</f>
        <v>9.7918579018664662</v>
      </c>
      <c r="AR86" s="34" cm="1">
        <f t="array" ref="AR86">2*SQRT(SUM((BQ$5:$BQ86/2)^2))</f>
        <v>6.0099455714027972E-2</v>
      </c>
      <c r="AS86" s="34">
        <f>SUM($BX$5:BX86)</f>
        <v>3.5432393067340726</v>
      </c>
      <c r="AT86" s="34" cm="1">
        <f t="array" ref="AT86">2*SQRT(SUM(($BY$5:BY86/2)^2))</f>
        <v>0.20885608138464007</v>
      </c>
      <c r="AU86" s="34">
        <f t="shared" si="49"/>
        <v>9.7332474022187867</v>
      </c>
      <c r="AV86" s="34"/>
      <c r="AW86" s="34">
        <f t="shared" si="50"/>
        <v>5.0989718046207635</v>
      </c>
      <c r="AX86" s="34"/>
      <c r="AY86" s="69"/>
      <c r="AZ86" s="34">
        <f>'Naive Apparent Lambdas'!$U$2*(10000/(D86+273))+'Naive Apparent Lambdas'!$V$2</f>
        <v>25.45976456747379</v>
      </c>
      <c r="BA86" s="32">
        <f>'Naive Apparent Lambdas'!$V$4</f>
        <v>6.7480704157997479E-2</v>
      </c>
      <c r="BB86" s="34">
        <f t="shared" si="40"/>
        <v>114034237303.31673</v>
      </c>
      <c r="BC86" s="34">
        <f t="shared" si="41"/>
        <v>7695110631.3479958</v>
      </c>
      <c r="BD86" s="34">
        <f>BB86*(D86+273)*$D$145*$F$144</f>
        <v>4.053251345654956E-5</v>
      </c>
      <c r="BE86" s="34"/>
      <c r="BF86" s="31">
        <f t="shared" si="45"/>
        <v>81368987856.687653</v>
      </c>
      <c r="BG86" s="31">
        <f t="shared" si="46"/>
        <v>88154464997.476822</v>
      </c>
      <c r="BH86" s="34">
        <f t="shared" si="42"/>
        <v>3.5544161486114176E-16</v>
      </c>
      <c r="BI86" s="34"/>
      <c r="BJ86" s="34">
        <f>R86/(1-EXP(-E86*60*BD86))</f>
        <v>4.9782393388959088E-2</v>
      </c>
      <c r="BK86" s="34">
        <f>2*SQRT(
((S86/2) * (1 / (1 - EXP(-E86 * 60 * BB86 * BH86))))^2 +
(BC86 * (-R86 * 60 * E86 * BH86 * EXP(-E86 * 60 * BB86 * BH86) / (1 - EXP(-E86 * 60 * BB86 * BH86))^2))^2
)</f>
        <v>5.8377318434053192E-3</v>
      </c>
      <c r="BL86" s="34">
        <f>R86/(1-EXP(-E86*60*BB86*BH86)*EXP(-(M86-1560)*$CW$126*$BH$122))</f>
        <v>4.9782393388674122E-2</v>
      </c>
      <c r="BM86" s="34">
        <f>2*SQRT(
((S86/2) * (1 / (1 - EXP(-E86 * 60 * BB86 * BH86) * EXP(-(M86 - 1560) * $CW$126 * $BH$48))))^2 +
(BC86 * (-R86 * 60 * E86 * BH86 * EXP(-E86 * 60 * BB86 * BH86) / ((1 - EXP(-E86 * 60 * BB86 * BH86) * EXP(-(M86 - 1560) * $CW$126 * $BH$48))^2)))^2 +
($CX$126 * (-R86 * (M86 - 1560) * $BH$48 * EXP(-(M86 - 1560) * $CW$126 * $BH$48) / ((1 - EXP(-E86 * 60 * BB86 * BH86) * EXP(-(M86 - 1560) * $CW$126 * $BH$48))^2)))^2
)</f>
        <v>5.837731843339077E-3</v>
      </c>
      <c r="BN86" s="117" cm="1">
        <f t="array" ref="BN86:BO86">BJ86:BK86</f>
        <v>4.9782393388959088E-2</v>
      </c>
      <c r="BO86" s="118">
        <v>5.8377318434053192E-3</v>
      </c>
      <c r="BP86" s="24"/>
      <c r="BQ86" s="24"/>
      <c r="BR86" s="73"/>
      <c r="BS86" s="73"/>
      <c r="BT86" s="123">
        <f>BN86*(Y85/R85)*1.10204926384627</f>
        <v>3.5766374833206639E-2</v>
      </c>
      <c r="BU86" s="123">
        <f>2*(((BO86/2)*1.10204926384627*(AB85/(1000)))^2+((AC85/2000)*1.10204926384627*BN86)^2+((0.187040260207234/2)*BN86*(AB85/(1000)))^2)^0.5</f>
        <v>7.4923277101520153E-3</v>
      </c>
      <c r="BV86" s="124">
        <f>BT86</f>
        <v>3.5766374833206639E-2</v>
      </c>
      <c r="BW86" s="125">
        <f>BU86</f>
        <v>7.4923277101520153E-3</v>
      </c>
      <c r="BX86" s="24"/>
      <c r="BY86" s="24"/>
      <c r="BZ86" s="73"/>
      <c r="CA86" s="141">
        <f t="shared" ref="CA86:CA88" si="58">CA85*(EXP(-BH86*BG86*E86))*(EXP(-$BG$140*$F$144*D225*(24+273)*M86))</f>
        <v>0.12967146661308618</v>
      </c>
      <c r="CB86" s="34"/>
      <c r="CC86" s="34"/>
      <c r="CD86" s="34">
        <f t="shared" ref="CD86:CD88" si="59">CD85*(EXP(-BH86*BF86*E86))*(EXP(-$BF$140*$F$144*D225*(24+273)*M86))</f>
        <v>9.9227932466227131E-2</v>
      </c>
      <c r="CE86" s="34"/>
      <c r="CF86" s="34"/>
      <c r="CG86" s="34"/>
      <c r="CH86" s="34"/>
      <c r="CI86" s="34"/>
      <c r="CJ86" s="34"/>
      <c r="CK86" s="34"/>
      <c r="CL86" s="34"/>
      <c r="CM86" s="34"/>
      <c r="CN86" s="34"/>
      <c r="CO86" s="34"/>
      <c r="CP86" s="34"/>
      <c r="CQ86" s="34"/>
      <c r="CR86" s="34"/>
      <c r="CS86" s="34"/>
    </row>
    <row r="87" spans="1:97" s="8" customFormat="1" x14ac:dyDescent="0.3">
      <c r="A87" s="8" t="s">
        <v>165</v>
      </c>
      <c r="B87" s="8" t="s">
        <v>166</v>
      </c>
      <c r="C87" s="35">
        <v>45341.847222222219</v>
      </c>
      <c r="D87" s="8">
        <v>100</v>
      </c>
      <c r="E87" s="8">
        <f t="shared" si="55"/>
        <v>120</v>
      </c>
      <c r="F87" s="8" t="s">
        <v>287</v>
      </c>
      <c r="G87" s="36">
        <v>1.48</v>
      </c>
      <c r="H87" s="36">
        <v>0</v>
      </c>
      <c r="I87" s="36">
        <v>0.249</v>
      </c>
      <c r="J87" s="8">
        <v>7200</v>
      </c>
      <c r="K87" s="8">
        <v>7328.0680000000002</v>
      </c>
      <c r="L87" s="8">
        <f t="shared" si="43"/>
        <v>8759.9999996367842</v>
      </c>
      <c r="M87" s="8">
        <f t="shared" si="44"/>
        <v>1559.9999996367842</v>
      </c>
      <c r="N87" s="65"/>
      <c r="O87" s="8">
        <v>6.3356834113348203E-3</v>
      </c>
      <c r="P87" s="8">
        <v>2.6447296215568301E-2</v>
      </c>
      <c r="R87" s="8">
        <v>9.3768114487755398E-3</v>
      </c>
      <c r="S87" s="36">
        <v>1.3908579909883899E-4</v>
      </c>
      <c r="T87" s="8">
        <v>6.5853767576765096E-3</v>
      </c>
      <c r="U87" s="36">
        <v>2.78185222367121E-5</v>
      </c>
      <c r="V87" s="36"/>
      <c r="Y87" s="36"/>
      <c r="Z87" s="36"/>
      <c r="AA87" s="36"/>
      <c r="AB87" s="36"/>
      <c r="AF87" s="69"/>
      <c r="AQ87" s="36">
        <f>SUM(BP$5:$BP87)</f>
        <v>9.7918579018664662</v>
      </c>
      <c r="AR87" s="36" cm="1">
        <f t="array" ref="AR87">2*SQRT(SUM((BQ$5:$BQ87/2)^2))</f>
        <v>6.0099455714027972E-2</v>
      </c>
      <c r="AS87" s="36">
        <f>SUM($BX$5:BX87)</f>
        <v>3.5432393067340726</v>
      </c>
      <c r="AT87" s="36" cm="1">
        <f t="array" ref="AT87">2*SQRT(SUM(($BY$5:BY87/2)^2))</f>
        <v>0.20885608138464007</v>
      </c>
      <c r="AU87" s="36">
        <f t="shared" si="49"/>
        <v>9.7426242136675629</v>
      </c>
      <c r="AV87" s="36"/>
      <c r="AW87" s="36">
        <f t="shared" si="50"/>
        <v>5.1055571813784404</v>
      </c>
      <c r="AX87" s="36"/>
      <c r="AY87" s="69"/>
      <c r="AZ87" s="36">
        <f>'Naive Apparent Lambdas'!$U$2*(10000/(D87+273))+'Naive Apparent Lambdas'!$V$2</f>
        <v>25.45976456747379</v>
      </c>
      <c r="BA87" s="8">
        <f>'Naive Apparent Lambdas'!$V$4</f>
        <v>6.7480704157997479E-2</v>
      </c>
      <c r="BB87" s="36">
        <f t="shared" si="40"/>
        <v>114034237303.31673</v>
      </c>
      <c r="BC87" s="36">
        <f t="shared" si="41"/>
        <v>7695110631.3479958</v>
      </c>
      <c r="BD87" s="36">
        <f>BB87*(D87+273)*$D$145*$F$144</f>
        <v>4.053251345654956E-5</v>
      </c>
      <c r="BE87" s="36"/>
      <c r="BF87" s="31">
        <f t="shared" si="45"/>
        <v>81368987856.687653</v>
      </c>
      <c r="BG87" s="31">
        <f t="shared" si="46"/>
        <v>88154464997.476822</v>
      </c>
      <c r="BH87" s="36">
        <f t="shared" si="42"/>
        <v>3.5544161486114176E-16</v>
      </c>
      <c r="BI87" s="36"/>
      <c r="BJ87" s="36">
        <f>R87/(1-EXP(-E87*60*BD87))</f>
        <v>3.704674548343892E-2</v>
      </c>
      <c r="BK87" s="36">
        <f>2*SQRT(
((S87/2) * (1 / (1 - EXP(-E87 * 60 * BB87 * BH87))))^2 +
(BC87 * (-R87 * 60 * E87 * BH87 * EXP(-E87 * 60 * BB87 * BH87) / (1 - EXP(-E87 * 60 * BB87 * BH87))^2))^2
)</f>
        <v>4.3406718692326433E-3</v>
      </c>
      <c r="BL87" s="36">
        <f>R87/(1-EXP(-E87*60*BB87*BH87)*EXP(-(M87-1560)*$CW$126*$BH$122))</f>
        <v>3.7046745483729097E-2</v>
      </c>
      <c r="BM87" s="36">
        <f>2*SQRT(
((S87/2) * (1 / (1 - EXP(-E87 * 60 * BB87 * BH87) * EXP(-(M87 - 1560) * $CW$126 * $BH$48))))^2 +
(BC87 * (-R87 * 60 * E87 * BH87 * EXP(-E87 * 60 * BB87 * BH87) / ((1 - EXP(-E87 * 60 * BB87 * BH87) * EXP(-(M87 - 1560) * $CW$126 * $BH$48))^2)))^2 +
($CX$126 * (-R87 * (M87 - 1560) * $BH$48 * EXP(-(M87 - 1560) * $CW$126 * $BH$48) / ((1 - EXP(-E87 * 60 * BB87 * BH87) * EXP(-(M87 - 1560) * $CW$126 * $BH$48))^2)))^2
)</f>
        <v>4.3406718693000963E-3</v>
      </c>
      <c r="BN87" s="54">
        <f>BN86*EXP(-BD86*E86*60)</f>
        <v>3.7182093141648193E-2</v>
      </c>
      <c r="BO87" s="99">
        <f>2*((((BO86/2)*EXP(-BD86*E86*60))^2+(BN86*EXP(-BD86*E86*60)*E86*60*BC86*BD86/BB86)^2)^0.5)</f>
        <v>4.5995258595678285E-3</v>
      </c>
      <c r="BP87" s="25"/>
      <c r="BQ87" s="25"/>
      <c r="BR87" s="74"/>
      <c r="BS87" s="74"/>
      <c r="BT87" s="36"/>
      <c r="BU87" s="36"/>
      <c r="BV87" s="54">
        <f>BV86*EXP(-BB86*BH86*E86*60*0.91357457380209)*EXP(-(M86-1560)*$CW$126*$BH$48*0.91357457380209)</f>
        <v>2.7395971879209894E-2</v>
      </c>
      <c r="BW87" s="99">
        <f>2*SQRT(
((BW86/2) * EXP(-BB86 * BH86 * E86 * 60 * 0.91357457380209) * EXP(-(M86 - 1560) * $CW$126 * $BH$48 * 0.91357457380209))^2 +
(BC86 * (-BV86 * BH86 * E86 * 60 * 0.91357457380209 * EXP(-BB86 * BH86 * E86 * 60 * 0.91357457380209) * EXP(-(M86 - 1560) * $CW$126 * $BH$48 * 0.91357457380209)))^2 +
((0.146030972937065 / 2) * BV86 * (-BB86 * BH86 * E86 * 60 - (M86 - 1560) * $CW$126 * $BH$48) * EXP(-BB86 * BH86 * E86 * 60 * 0.91357457380209) * EXP(-(M86 - 1560) * $CW$126 * $BH$48 * 0.91357457380209))^2 +
-(M86-1560)*$BH$48*0.91357457380209*BV86*EXP(-BB86*BH86*E86*60*0.91357457380209)*EXP(-(M86-1560)*$CW$126*$BH$48*0.91357457380209))</f>
        <v>5.938840586273861E-3</v>
      </c>
      <c r="BX87" s="25"/>
      <c r="BY87" s="25"/>
      <c r="BZ87" s="74"/>
      <c r="CA87" s="141">
        <f t="shared" si="58"/>
        <v>0.12918481067461973</v>
      </c>
      <c r="CB87" s="34"/>
      <c r="CC87" s="34"/>
      <c r="CD87" s="34">
        <f t="shared" si="59"/>
        <v>9.8884145857674355E-2</v>
      </c>
      <c r="CE87" s="36"/>
      <c r="CF87" s="36"/>
      <c r="CG87" s="36"/>
      <c r="CH87" s="36"/>
      <c r="CI87" s="36"/>
      <c r="CJ87" s="36"/>
      <c r="CK87" s="36"/>
      <c r="CL87" s="36"/>
      <c r="CM87" s="36"/>
      <c r="CN87" s="36"/>
      <c r="CO87" s="36"/>
      <c r="CP87" s="36"/>
      <c r="CQ87" s="36"/>
      <c r="CR87" s="36"/>
      <c r="CS87" s="36"/>
    </row>
    <row r="88" spans="1:97" s="8" customFormat="1" x14ac:dyDescent="0.3">
      <c r="A88" s="8" t="s">
        <v>167</v>
      </c>
      <c r="B88" s="8" t="s">
        <v>168</v>
      </c>
      <c r="C88" s="35">
        <v>45341.948611111111</v>
      </c>
      <c r="D88" s="8">
        <v>100</v>
      </c>
      <c r="E88" s="8">
        <f t="shared" si="55"/>
        <v>120</v>
      </c>
      <c r="F88" s="8" t="s">
        <v>287</v>
      </c>
      <c r="G88" s="36">
        <v>1.1599999999999999</v>
      </c>
      <c r="H88" s="36">
        <v>0</v>
      </c>
      <c r="I88" s="36">
        <v>0.185</v>
      </c>
      <c r="J88" s="8">
        <v>7200</v>
      </c>
      <c r="K88" s="8">
        <v>7326.6490000000003</v>
      </c>
      <c r="L88" s="8">
        <f t="shared" si="43"/>
        <v>8760.0000002654269</v>
      </c>
      <c r="M88" s="8">
        <f t="shared" si="44"/>
        <v>1560.0000002654269</v>
      </c>
      <c r="N88" s="65"/>
      <c r="O88" s="8">
        <v>6.3406189747238504E-3</v>
      </c>
      <c r="P88" s="8">
        <v>2.6427798966059499E-2</v>
      </c>
      <c r="R88" s="8">
        <v>7.3551180106796697E-3</v>
      </c>
      <c r="S88" s="36">
        <v>1.02062436164476E-4</v>
      </c>
      <c r="T88" s="8">
        <v>4.8891428087210198E-3</v>
      </c>
      <c r="U88" s="36">
        <v>2.0657444548262401E-5</v>
      </c>
      <c r="V88" s="36"/>
      <c r="Y88" s="36"/>
      <c r="Z88" s="36"/>
      <c r="AA88" s="36"/>
      <c r="AB88" s="36"/>
      <c r="AF88" s="69"/>
      <c r="AQ88" s="36">
        <f>SUM(BP$5:$BP88)</f>
        <v>9.7918579018664662</v>
      </c>
      <c r="AR88" s="36" cm="1">
        <f t="array" ref="AR88">2*SQRT(SUM((BQ$5:$BQ88/2)^2))</f>
        <v>6.0099455714027972E-2</v>
      </c>
      <c r="AS88" s="36">
        <f>SUM($BX$5:BX88)</f>
        <v>3.5432393067340726</v>
      </c>
      <c r="AT88" s="36" cm="1">
        <f t="array" ref="AT88">2*SQRT(SUM(($BY$5:BY88/2)^2))</f>
        <v>0.20885608138464007</v>
      </c>
      <c r="AU88" s="36">
        <f t="shared" si="49"/>
        <v>9.7499793316782419</v>
      </c>
      <c r="AV88" s="36"/>
      <c r="AW88" s="36">
        <f t="shared" si="50"/>
        <v>5.1104463241871612</v>
      </c>
      <c r="AX88" s="36"/>
      <c r="AY88" s="69"/>
      <c r="AZ88" s="36">
        <f>'Naive Apparent Lambdas'!$U$2*(10000/(D88+273))+'Naive Apparent Lambdas'!$V$2</f>
        <v>25.45976456747379</v>
      </c>
      <c r="BA88" s="8">
        <f>'Naive Apparent Lambdas'!$V$4</f>
        <v>6.7480704157997479E-2</v>
      </c>
      <c r="BB88" s="36">
        <f t="shared" si="40"/>
        <v>114034237303.31673</v>
      </c>
      <c r="BC88" s="36">
        <f t="shared" si="41"/>
        <v>7695110631.3479958</v>
      </c>
      <c r="BD88" s="36">
        <f>BB88*(D88+273)*$D$145*$F$144</f>
        <v>4.053251345654956E-5</v>
      </c>
      <c r="BE88" s="36"/>
      <c r="BF88" s="31">
        <f t="shared" si="45"/>
        <v>81368987856.687653</v>
      </c>
      <c r="BG88" s="31">
        <f t="shared" si="46"/>
        <v>88154464997.476822</v>
      </c>
      <c r="BH88" s="36">
        <f t="shared" si="42"/>
        <v>3.5544161486114176E-16</v>
      </c>
      <c r="BI88" s="36"/>
      <c r="BJ88" s="36">
        <f>R88/(1-EXP(-E88*60*BD88))</f>
        <v>2.9059258195693931E-2</v>
      </c>
      <c r="BK88" s="36">
        <f>2*SQRT(
((S88/2) * (1 / (1 - EXP(-E88 * 60 * BB88 * BH88))))^2 +
(BC88 * (-R88 * 60 * E88 * BH88 * EXP(-E88 * 60 * BB88 * BH88) / (1 - EXP(-E88 * 60 * BB88 * BH88))^2))^2
)</f>
        <v>3.4013912762155974E-3</v>
      </c>
      <c r="BL88" s="36">
        <f>R88/(1-EXP(-E88*60*BB88*BH88)*EXP(-(M88-1560)*$CW$126*$BH$122))</f>
        <v>2.9059258195527592E-2</v>
      </c>
      <c r="BM88" s="36">
        <f>2*SQRT(
((S88/2) * (1 / (1 - EXP(-E88 * 60 * BB88 * BH88) * EXP(-(M88 - 1560) * $CW$126 * $BH$48))))^2 +
(BC88 * (-R88 * 60 * E88 * BH88 * EXP(-E88 * 60 * BB88 * BH88) / ((1 - EXP(-E88 * 60 * BB88 * BH88) * EXP(-(M88 - 1560) * $CW$126 * $BH$48))^2)))^2 +
($CX$126 * (-R88 * (M88 - 1560) * $BH$48 * EXP(-(M88 - 1560) * $CW$126 * $BH$48) / ((1 - EXP(-E88 * 60 * BB88 * BH88) * EXP(-(M88 - 1560) * $CW$126 * $BH$48))^2)))^2
)</f>
        <v>3.4013912761769304E-3</v>
      </c>
      <c r="BN88" s="54">
        <f>BN87*EXP(-BD87*E87*60)</f>
        <v>2.7771024177009915E-2</v>
      </c>
      <c r="BO88" s="99">
        <f>2*((((BO87/2)*EXP(-BD87*E87*60))^2+(BN87*EXP(-BD87*E87*60)*E87*60*BC87*BD87/BB87)^2)^0.5)</f>
        <v>3.6052785388362E-3</v>
      </c>
      <c r="BP88" s="25"/>
      <c r="BQ88" s="25"/>
      <c r="BR88" s="74"/>
      <c r="BS88" s="74"/>
      <c r="BT88" s="36"/>
      <c r="BU88" s="36"/>
      <c r="BV88" s="54">
        <f>BV87*EXP(-BB87*BH87*E87*60*0.91357457380209)*EXP(-(M87-1560)*$CW$126*$BH$48*0.91357457380209)</f>
        <v>2.0984493919489564E-2</v>
      </c>
      <c r="BW88" s="99">
        <f>2*SQRT(
((BW87/2) * EXP(-BB87 * BH87 * E87 * 60 * 0.91357457380209) * EXP(-(M87 - 1560) * $CW$126 * $BH$48 * 0.91357457380209))^2 +
(BC87 * (-BV87 * BH87 * E87 * 60 * 0.91357457380209 * EXP(-BB87 * BH87 * E87 * 60 * 0.91357457380209) * EXP(-(M87 - 1560) * $CW$126 * $BH$48 * 0.91357457380209)))^2 +
((0.146030972937065 / 2) * BV87 * (-BB87 * BH87 * E87 * 60 - (M87 - 1560) * $CW$126 * $BH$48) * EXP(-BB87 * BH87 * E87 * 60 * 0.91357457380209) * EXP(-(M87 - 1560) * $CW$126 * $BH$48 * 0.91357457380209))^2 +
-(M87-1560)*$BH$48*0.91357457380209*BV87*EXP(-BB87*BH87*E87*60*0.91357457380209)*EXP(-(M87-1560)*$CW$126*$BH$48*0.91357457380209))</f>
        <v>4.6971327951205169E-3</v>
      </c>
      <c r="BX88" s="25"/>
      <c r="BY88" s="25"/>
      <c r="BZ88" s="74"/>
      <c r="CA88" s="141">
        <f t="shared" si="58"/>
        <v>0.12869998115185313</v>
      </c>
      <c r="CB88" s="34"/>
      <c r="CC88" s="34"/>
      <c r="CD88" s="34">
        <f t="shared" si="59"/>
        <v>9.8541550337450073E-2</v>
      </c>
      <c r="CE88" s="36"/>
      <c r="CF88" s="36"/>
      <c r="CG88" s="36"/>
      <c r="CH88" s="36"/>
      <c r="CI88" s="36"/>
      <c r="CJ88" s="36"/>
      <c r="CK88" s="36"/>
      <c r="CL88" s="36"/>
      <c r="CM88" s="36"/>
      <c r="CN88" s="36"/>
      <c r="CO88" s="36"/>
      <c r="CP88" s="36"/>
      <c r="CQ88" s="36"/>
      <c r="CR88" s="36"/>
      <c r="CS88" s="36"/>
    </row>
    <row r="89" spans="1:97" s="29" customFormat="1" x14ac:dyDescent="0.3">
      <c r="A89" s="29" t="s">
        <v>169</v>
      </c>
      <c r="B89" s="29" t="s">
        <v>170</v>
      </c>
      <c r="C89" s="30">
        <v>45342.188888888886</v>
      </c>
      <c r="D89" s="29">
        <v>239.99</v>
      </c>
      <c r="E89" s="29">
        <f t="shared" si="55"/>
        <v>320</v>
      </c>
      <c r="F89" s="29" t="s">
        <v>289</v>
      </c>
      <c r="G89" s="31">
        <v>45.2</v>
      </c>
      <c r="H89" s="31">
        <v>0</v>
      </c>
      <c r="I89" s="31">
        <v>7.28</v>
      </c>
      <c r="J89" s="29">
        <v>19200</v>
      </c>
      <c r="K89" s="29">
        <v>19325.778999999999</v>
      </c>
      <c r="L89" s="29">
        <f t="shared" si="43"/>
        <v>20759.999999776483</v>
      </c>
      <c r="M89" s="29">
        <f t="shared" si="44"/>
        <v>1559.9999997764826</v>
      </c>
      <c r="N89" s="65"/>
      <c r="O89" s="29">
        <v>6.3214050484029704E-3</v>
      </c>
      <c r="P89" s="29">
        <v>2.6465006418189E-2</v>
      </c>
      <c r="R89" s="29">
        <v>0.28572750818781401</v>
      </c>
      <c r="S89" s="29">
        <v>4.3168095110748903E-3</v>
      </c>
      <c r="T89" s="29">
        <v>0.19266524672441601</v>
      </c>
      <c r="U89" s="29">
        <v>7.62559242113278E-4</v>
      </c>
      <c r="W89" s="31">
        <f>(1000*T89/R89)/$AG$140</f>
        <v>0.67583806893260645</v>
      </c>
      <c r="X89" s="31"/>
      <c r="Y89" s="31">
        <f>T89-AVERAGE(T90:T92)</f>
        <v>0.18712142319500424</v>
      </c>
      <c r="Z89" s="31">
        <f>U89+AVERAGE(T90:T92)</f>
        <v>6.3063827715250384E-3</v>
      </c>
      <c r="AA89" s="31"/>
      <c r="AB89" s="31">
        <f>(Y89*1000)/R89</f>
        <v>654.89467353631858</v>
      </c>
      <c r="AC89" s="31">
        <f>2*((1000*Z89/(2*R89))^2+((S89/2)*1000*Y89/(R89^2))^2)^0.5</f>
        <v>24.187579603959666</v>
      </c>
      <c r="AD89" s="31">
        <f>AB89/$AG$140</f>
        <v>0.65639124573890395</v>
      </c>
      <c r="AE89" s="31">
        <f>2*(($AH$140*AB89/(2*$AG$140^2))^2+(AC89/($AG$140*2))^2)^0.5</f>
        <v>2.5237360526253683E-2</v>
      </c>
      <c r="AF89" s="69"/>
      <c r="AG89" s="31" cm="1">
        <f t="array" ref="AG89:AH89">BP89:BQ89</f>
        <v>0.2988879886383885</v>
      </c>
      <c r="AH89" s="29">
        <v>6.5750502023248798E-3</v>
      </c>
      <c r="AI89" s="31" cm="1">
        <f t="array" ref="AI89:AJ89">BX89:BY89</f>
        <v>0.19551621436671829</v>
      </c>
      <c r="AJ89" s="29">
        <v>8.959263307990694E-3</v>
      </c>
      <c r="AL89" s="31">
        <f>1000*AI89/AG89</f>
        <v>654.14543842129706</v>
      </c>
      <c r="AM89" s="31">
        <f>2*((AH89*1000*AI89/(2*AG89^2))^2+(1000*AJ89/(AG89*2))^2)^0.5</f>
        <v>33.250502136253438</v>
      </c>
      <c r="AN89" s="31">
        <f>AL89/$AG$140</f>
        <v>0.6556402984639097</v>
      </c>
      <c r="AO89" s="31">
        <f>2*(($AH$140*AL89/(2*$AG$140^2))^2+(AM89/($AG$140*2))^2)^0.5</f>
        <v>3.4055111280257469E-2</v>
      </c>
      <c r="AP89" s="31"/>
      <c r="AQ89" s="31">
        <f>SUM(BP$5:$BP89)</f>
        <v>10.090745890504854</v>
      </c>
      <c r="AR89" s="31" cm="1">
        <f t="array" ref="AR89">2*SQRT(SUM((BQ$5:$BQ89/2)^2))</f>
        <v>6.0458050434044779E-2</v>
      </c>
      <c r="AS89" s="31">
        <f>SUM($BX$5:BX89)</f>
        <v>3.7387555211007908</v>
      </c>
      <c r="AT89" s="31" cm="1">
        <f t="array" ref="AT89">2*SQRT(SUM(($BY$5:BY89/2)^2))</f>
        <v>0.2090481550513405</v>
      </c>
      <c r="AU89" s="31">
        <f t="shared" si="49"/>
        <v>10.035706839866055</v>
      </c>
      <c r="AV89" s="31"/>
      <c r="AW89" s="31">
        <f t="shared" si="50"/>
        <v>5.303111570911577</v>
      </c>
      <c r="AX89" s="31"/>
      <c r="AY89" s="69"/>
      <c r="AZ89" s="31"/>
      <c r="BB89" s="31"/>
      <c r="BC89" s="31"/>
      <c r="BD89" s="31"/>
      <c r="BE89" s="31"/>
      <c r="BF89" s="31">
        <f t="shared" si="45"/>
        <v>494310753569.87689</v>
      </c>
      <c r="BG89" s="31">
        <f t="shared" si="46"/>
        <v>546890174688.05615</v>
      </c>
      <c r="BH89" s="31">
        <f t="shared" si="42"/>
        <v>4.8884180699093065E-16</v>
      </c>
      <c r="BI89" s="31"/>
      <c r="BJ89" s="31"/>
      <c r="BK89" s="31"/>
      <c r="BL89" s="31"/>
      <c r="BM89" s="31"/>
      <c r="BN89" s="114">
        <f>BN88*EXP(-BD88*E88*60)</f>
        <v>2.0741967938760385E-2</v>
      </c>
      <c r="BO89" s="116">
        <f>2*((((BO88/2)*EXP(-BD88*E88*60))^2+(BN88*EXP(-BD88*E88*60)*E88*60*BC88*BD88/BB88)^2)^0.5)</f>
        <v>2.81395426941496E-3</v>
      </c>
      <c r="BP89" s="23">
        <f>R89+BN90-BN89</f>
        <v>0.2988879886383885</v>
      </c>
      <c r="BQ89" s="23">
        <f>2*(((BO89/2)^2+(BO90/2)^2+(S89/2)^2)^(0.5))</f>
        <v>6.5750502023248798E-3</v>
      </c>
      <c r="BR89" s="72">
        <f>100*(BP89-R89)/R89</f>
        <v>4.6059550002878504</v>
      </c>
      <c r="BS89" s="72"/>
      <c r="BT89" s="31"/>
      <c r="BU89" s="31"/>
      <c r="BV89" s="114">
        <f>BV88*EXP(-BB88*BH88*E88*60*0.91357457380209)*EXP(-(M88-1560)*$CW$126*$BH$48*0.91357457380209)</f>
        <v>1.6073493833208961E-2</v>
      </c>
      <c r="BW89" s="116">
        <f>2*SQRT(
((BW88/2) * EXP(-BB88 * BH88 * E88 * 60 * 0.91357457380209) * EXP(-(M88 - 1560) * $CW$126 * $BH$48 * 0.91357457380209))^2 +
(BC88 * (-BV88 * BH88 * E88 * 60 * 0.91357457380209 * EXP(-BB88 * BH88 * E88 * 60 * 0.91357457380209) * EXP(-(M88 - 1560) * $CW$126 * $BH$48 * 0.91357457380209)))^2 +
((0.146030972937065 / 2) * BV88 * (-BB88 * BH88 * E88 * 60 - (M88 - 1560) * $CW$126 * $BH$48) * EXP(-BB88 * BH88 * E88 * 60 * 0.91357457380209) * EXP(-(M88 - 1560) * $CW$126 * $BH$48 * 0.91357457380209))^2 +
-(M88-1560)*$BH$48*0.91357457380209*BV88*EXP(-BB88*BH88*E88*60*0.91357457380209)*EXP(-(M88-1560)*$CW$126*$BH$48*0.91357457380209))</f>
        <v>3.7078764641983145E-3</v>
      </c>
      <c r="BX89" s="23">
        <f>Y89+BV90-BV89</f>
        <v>0.19551621436671829</v>
      </c>
      <c r="BY89" s="23">
        <f>2*(((BW89/2)^2+(BW90/2)^2+(Z89/2)^2)^(0.5))</f>
        <v>8.959263307990694E-3</v>
      </c>
      <c r="BZ89" s="72">
        <f>100*(BX89-Y89)/Y89</f>
        <v>4.486280100042638</v>
      </c>
      <c r="CA89" s="140">
        <f>R89*CC89</f>
        <v>6.9133509342071728E-2</v>
      </c>
      <c r="CB89" s="31">
        <f>BH89*BG89*J89</f>
        <v>5.1329813994258258</v>
      </c>
      <c r="CC89" s="31">
        <f>1/(CB89-1)</f>
        <v>0.2419560852944862</v>
      </c>
      <c r="CD89" s="31">
        <f>CF89*T89</f>
        <v>5.293752545351068E-2</v>
      </c>
      <c r="CE89" s="31">
        <f>BH89*BF89*J89</f>
        <v>4.6394834302108272</v>
      </c>
      <c r="CF89" s="31">
        <f>1/(CE89-1)</f>
        <v>0.27476426783513952</v>
      </c>
      <c r="CG89" s="31">
        <f>R89-CA85</f>
        <v>0.15556755234021669</v>
      </c>
      <c r="CH89" s="31">
        <f>R89+CA89</f>
        <v>0.35486101752988575</v>
      </c>
      <c r="CI89" s="31">
        <f>T89-CD85</f>
        <v>9.3092332420297824E-2</v>
      </c>
      <c r="CJ89" s="31">
        <f>T89+CD89</f>
        <v>0.2456027721779267</v>
      </c>
      <c r="CK89" s="31">
        <f>CE89*1.29</f>
        <v>5.9849336249719673</v>
      </c>
      <c r="CL89" s="31">
        <f>R89 / (CK89-1)</f>
        <v>5.7318217188783688E-2</v>
      </c>
      <c r="CM89" s="31">
        <f>1000*T89/R89</f>
        <v>674.29715796833102</v>
      </c>
      <c r="CN89" s="31">
        <f>1000*(T89+CD89)/(R89+CL89)</f>
        <v>715.94762449904442</v>
      </c>
      <c r="CO89" s="31">
        <f>1000*(T89-CD85)/(R89-CL85)</f>
        <v>522.12402771801408</v>
      </c>
      <c r="CP89" s="31">
        <f>1000*(T89+CD89-CD85)/(R89+CL89-CL85)</f>
        <v>619.78520519071378</v>
      </c>
      <c r="CQ89" s="31">
        <f>MAX(CM89:CP89)</f>
        <v>715.94762449904442</v>
      </c>
      <c r="CR89" s="31">
        <f>MIN(CM89:CP89)</f>
        <v>522.12402771801408</v>
      </c>
      <c r="CS89" s="31"/>
    </row>
    <row r="90" spans="1:97" s="32" customFormat="1" x14ac:dyDescent="0.3">
      <c r="A90" s="32" t="s">
        <v>171</v>
      </c>
      <c r="B90" s="32" t="s">
        <v>172</v>
      </c>
      <c r="C90" s="33">
        <v>45342.290277777778</v>
      </c>
      <c r="D90" s="32">
        <v>95</v>
      </c>
      <c r="E90" s="32">
        <f t="shared" si="55"/>
        <v>120</v>
      </c>
      <c r="F90" s="32" t="s">
        <v>375</v>
      </c>
      <c r="G90" s="34">
        <v>1.1399999999999999</v>
      </c>
      <c r="H90" s="34">
        <v>0</v>
      </c>
      <c r="I90" s="34">
        <v>0.36799999999999999</v>
      </c>
      <c r="J90" s="32">
        <v>7200</v>
      </c>
      <c r="K90" s="32">
        <v>7324.3819999999996</v>
      </c>
      <c r="L90" s="32">
        <f t="shared" si="43"/>
        <v>8760.0000002654269</v>
      </c>
      <c r="M90" s="32">
        <f t="shared" si="44"/>
        <v>1560.0000002654269</v>
      </c>
      <c r="N90" s="65"/>
      <c r="O90" s="32">
        <v>6.3185840707964602E-3</v>
      </c>
      <c r="P90" s="32">
        <v>2.64705882352941E-2</v>
      </c>
      <c r="R90" s="32">
        <v>7.2031858407079598E-3</v>
      </c>
      <c r="S90" s="34">
        <v>1.1018933706530701E-4</v>
      </c>
      <c r="T90" s="32">
        <v>9.7411764705882305E-3</v>
      </c>
      <c r="U90" s="34">
        <v>3.8185992893801697E-5</v>
      </c>
      <c r="V90" s="34"/>
      <c r="Y90" s="34"/>
      <c r="Z90" s="34"/>
      <c r="AA90" s="34"/>
      <c r="AB90" s="34"/>
      <c r="AF90" s="69"/>
      <c r="AQ90" s="34">
        <f>SUM(BP$5:$BP90)</f>
        <v>10.090745890504854</v>
      </c>
      <c r="AR90" s="34" cm="1">
        <f t="array" ref="AR90">2*SQRT(SUM((BQ$5:$BQ90/2)^2))</f>
        <v>6.0458050434044779E-2</v>
      </c>
      <c r="AS90" s="34">
        <f>SUM($BX$5:BX90)</f>
        <v>3.7387555211007908</v>
      </c>
      <c r="AT90" s="34" cm="1">
        <f t="array" ref="AT90">2*SQRT(SUM(($BY$5:BY90/2)^2))</f>
        <v>0.2090481550513405</v>
      </c>
      <c r="AU90" s="34">
        <f t="shared" si="49"/>
        <v>10.042910025706764</v>
      </c>
      <c r="AV90" s="34"/>
      <c r="AW90" s="34">
        <f t="shared" si="50"/>
        <v>5.3128527473821654</v>
      </c>
      <c r="AX90" s="34"/>
      <c r="AY90" s="69"/>
      <c r="AZ90" s="34">
        <f>'Naive Apparent Lambdas'!$U$2*(10000/(D90+273))+'Naive Apparent Lambdas'!$V$2</f>
        <v>25.272915712407681</v>
      </c>
      <c r="BA90" s="32">
        <f>'Naive Apparent Lambdas'!$V$4</f>
        <v>6.7480704157997479E-2</v>
      </c>
      <c r="BB90" s="34">
        <f t="shared" si="40"/>
        <v>94599280986.297607</v>
      </c>
      <c r="BC90" s="34">
        <f t="shared" si="41"/>
        <v>6383626093.7956247</v>
      </c>
      <c r="BD90" s="34">
        <f>BB90*(D90+273)*$D$145*$F$144</f>
        <v>3.3173790351308016E-5</v>
      </c>
      <c r="BE90" s="34"/>
      <c r="BF90" s="31">
        <f t="shared" si="45"/>
        <v>74378450025.067627</v>
      </c>
      <c r="BG90" s="31">
        <f t="shared" si="46"/>
        <v>80496818032.103622</v>
      </c>
      <c r="BH90" s="34">
        <f t="shared" si="42"/>
        <v>3.5067698195415599E-16</v>
      </c>
      <c r="BI90" s="34"/>
      <c r="BJ90" s="34">
        <f>R90/(1-EXP(-E90*60*BD90))</f>
        <v>3.3902448389334851E-2</v>
      </c>
      <c r="BK90" s="34">
        <f>2*SQRT(
((S90/2) * (1 / (1 - EXP(-E90 * 60 * BB90 * BH90))))^2 +
(BC90 * (-R90 * 60 * E90 * BH90 * EXP(-E90 * 60 * BB90 * BH90) / (1 - EXP(-E90 * 60 * BB90 * BH90))^2))^2
)</f>
        <v>4.0838832228440531E-3</v>
      </c>
      <c r="BL90" s="34">
        <f>R90/(1-EXP(-E90*60*BB90*BH90)*EXP(-(M90-1560)*$CW$126*$BH$122))</f>
        <v>3.3902448389091087E-2</v>
      </c>
      <c r="BM90" s="34">
        <f>2*SQRT(
((S90/2) * (1 / (1 - EXP(-E90 * 60 * BB90 * BH90) * EXP(-(M90 - 1560) * $CW$126 * $BH$48))))^2 +
(BC90 * (-R90 * 60 * E90 * BH90 * EXP(-E90 * 60 * BB90 * BH90) / ((1 - EXP(-E90 * 60 * BB90 * BH90) * EXP(-(M90 - 1560) * $CW$126 * $BH$48))^2)))^2 +
($CX$126 * (-R90 * (M90 - 1560) * $BH$48 * EXP(-(M90 - 1560) * $CW$126 * $BH$48) / ((1 - EXP(-E90 * 60 * BB90 * BH90) * EXP(-(M90 - 1560) * $CW$126 * $BH$48))^2)))^2
)</f>
        <v>4.0838832227857993E-3</v>
      </c>
      <c r="BN90" s="117" cm="1">
        <f t="array" ref="BN90:BO90">BJ90:BK90</f>
        <v>3.3902448389334851E-2</v>
      </c>
      <c r="BO90" s="118">
        <v>4.0838832228440531E-3</v>
      </c>
      <c r="BP90" s="24"/>
      <c r="BQ90" s="24"/>
      <c r="BR90" s="73"/>
      <c r="BS90" s="73"/>
      <c r="BT90" s="123">
        <f>BN90*(Y89/R89)*1.10204926384627</f>
        <v>2.4468285004923016E-2</v>
      </c>
      <c r="BU90" s="123">
        <f>2*(((BO90/2)*1.10204926384627*(AB89/(1000)))^2+((AC89/2000)*1.10204926384627*BN90)^2+((0.187040260207234/2)*BN90*(AB89/(1000)))^2)^0.5</f>
        <v>5.1720003371195497E-3</v>
      </c>
      <c r="BV90" s="124">
        <f>BT90</f>
        <v>2.4468285004923016E-2</v>
      </c>
      <c r="BW90" s="125">
        <f>BU90</f>
        <v>5.1720003371195497E-3</v>
      </c>
      <c r="BX90" s="24"/>
      <c r="BY90" s="24"/>
      <c r="BZ90" s="73"/>
      <c r="CA90" s="141">
        <f t="shared" ref="CA90:CA92" si="60">CA89*(EXP(-BH90*BG90*E90))*(EXP(-$BG$140*$F$144*D229*(24+273)*M90))</f>
        <v>6.8899722284746848E-2</v>
      </c>
      <c r="CB90" s="34"/>
      <c r="CC90" s="34"/>
      <c r="CD90" s="34">
        <f t="shared" ref="CD90:CD92" si="61">CD89*(EXP(-BH90*BF90*E90))*(EXP(-$BF$140*$F$144*D229*(24+273)*M90))</f>
        <v>5.2772093352024214E-2</v>
      </c>
      <c r="CE90" s="34"/>
      <c r="CF90" s="34"/>
      <c r="CG90" s="34"/>
      <c r="CH90" s="34"/>
      <c r="CI90" s="34"/>
      <c r="CJ90" s="34"/>
      <c r="CK90" s="34"/>
      <c r="CL90" s="34"/>
      <c r="CM90" s="34"/>
      <c r="CN90" s="34"/>
      <c r="CO90" s="34"/>
      <c r="CP90" s="34"/>
      <c r="CQ90" s="34"/>
      <c r="CR90" s="34"/>
      <c r="CS90" s="34"/>
    </row>
    <row r="91" spans="1:97" s="8" customFormat="1" x14ac:dyDescent="0.3">
      <c r="A91" s="8" t="s">
        <v>173</v>
      </c>
      <c r="B91" s="8" t="s">
        <v>174</v>
      </c>
      <c r="C91" s="35">
        <v>45342.39166666667</v>
      </c>
      <c r="D91" s="8">
        <v>95</v>
      </c>
      <c r="E91" s="8">
        <f t="shared" si="55"/>
        <v>120</v>
      </c>
      <c r="F91" s="8" t="s">
        <v>287</v>
      </c>
      <c r="G91" s="36">
        <v>0.99099999999999999</v>
      </c>
      <c r="H91" s="36">
        <v>0</v>
      </c>
      <c r="I91" s="36">
        <v>0.17599999999999999</v>
      </c>
      <c r="J91" s="8">
        <v>7200</v>
      </c>
      <c r="K91" s="8">
        <v>7324.5929999999998</v>
      </c>
      <c r="L91" s="8">
        <f t="shared" si="43"/>
        <v>8760.0000002654269</v>
      </c>
      <c r="M91" s="8">
        <f t="shared" si="44"/>
        <v>1560.0000002654269</v>
      </c>
      <c r="N91" s="65"/>
      <c r="O91" s="8">
        <v>6.3185840707964602E-3</v>
      </c>
      <c r="P91" s="8">
        <v>2.64705882352941E-2</v>
      </c>
      <c r="R91" s="8">
        <v>6.26171681415929E-3</v>
      </c>
      <c r="S91" s="36">
        <v>9.57873973962456E-5</v>
      </c>
      <c r="T91" s="8">
        <v>4.6588235294117604E-3</v>
      </c>
      <c r="U91" s="36">
        <v>1.8262866166600801E-5</v>
      </c>
      <c r="V91" s="36"/>
      <c r="Y91" s="36"/>
      <c r="Z91" s="36"/>
      <c r="AA91" s="36"/>
      <c r="AB91" s="36"/>
      <c r="AF91" s="69"/>
      <c r="AQ91" s="36">
        <f>SUM(BP$5:$BP91)</f>
        <v>10.090745890504854</v>
      </c>
      <c r="AR91" s="36" cm="1">
        <f t="array" ref="AR91">2*SQRT(SUM((BQ$5:$BQ91/2)^2))</f>
        <v>6.0458050434044779E-2</v>
      </c>
      <c r="AS91" s="36">
        <f>SUM($BX$5:BX91)</f>
        <v>3.7387555211007908</v>
      </c>
      <c r="AT91" s="36" cm="1">
        <f t="array" ref="AT91">2*SQRT(SUM(($BY$5:BY91/2)^2))</f>
        <v>0.2090481550513405</v>
      </c>
      <c r="AU91" s="36">
        <f t="shared" si="49"/>
        <v>10.049171742520922</v>
      </c>
      <c r="AV91" s="36"/>
      <c r="AW91" s="36">
        <f t="shared" si="50"/>
        <v>5.3175115709115772</v>
      </c>
      <c r="AX91" s="36"/>
      <c r="AY91" s="69"/>
      <c r="AZ91" s="36">
        <f>'Naive Apparent Lambdas'!$U$2*(10000/(D91+273))+'Naive Apparent Lambdas'!$V$2</f>
        <v>25.272915712407681</v>
      </c>
      <c r="BA91" s="8">
        <f>'Naive Apparent Lambdas'!$V$4</f>
        <v>6.7480704157997479E-2</v>
      </c>
      <c r="BB91" s="36">
        <f t="shared" si="40"/>
        <v>94599280986.297607</v>
      </c>
      <c r="BC91" s="36">
        <f t="shared" si="41"/>
        <v>6383626093.7956247</v>
      </c>
      <c r="BD91" s="36">
        <f>BB91*(D91+273)*$D$145*$F$144</f>
        <v>3.3173790351308016E-5</v>
      </c>
      <c r="BE91" s="36"/>
      <c r="BF91" s="31">
        <f t="shared" si="45"/>
        <v>74378450025.067627</v>
      </c>
      <c r="BG91" s="31">
        <f t="shared" si="46"/>
        <v>80496818032.103622</v>
      </c>
      <c r="BH91" s="36">
        <f t="shared" si="42"/>
        <v>3.5067698195415599E-16</v>
      </c>
      <c r="BI91" s="36"/>
      <c r="BJ91" s="36">
        <f>R91/(1-EXP(-E91*60*BD91))</f>
        <v>2.9471338906869166E-2</v>
      </c>
      <c r="BK91" s="36">
        <f>2*SQRT(
((S91/2) * (1 / (1 - EXP(-E91 * 60 * BB91 * BH91))))^2 +
(BC91 * (-R91 * 60 * E91 * BH91 * EXP(-E91 * 60 * BB91 * BH91) / (1 - EXP(-E91 * 60 * BB91 * BH91))^2))^2
)</f>
        <v>3.5501125209109288E-3</v>
      </c>
      <c r="BL91" s="36">
        <f>R91/(1-EXP(-E91*60*BB91*BH91)*EXP(-(M91-1560)*$CW$126*$BH$122))</f>
        <v>2.9471338906657263E-2</v>
      </c>
      <c r="BM91" s="36">
        <f>2*SQRT(
((S91/2) * (1 / (1 - EXP(-E91 * 60 * BB91 * BH91) * EXP(-(M91 - 1560) * $CW$126 * $BH$48))))^2 +
(BC91 * (-R91 * 60 * E91 * BH91 * EXP(-E91 * 60 * BB91 * BH91) / ((1 - EXP(-E91 * 60 * BB91 * BH91) * EXP(-(M91 - 1560) * $CW$126 * $BH$48))^2)))^2 +
($CX$126 * (-R91 * (M91 - 1560) * $BH$48 * EXP(-(M91 - 1560) * $CW$126 * $BH$48) / ((1 - EXP(-E91 * 60 * BB91 * BH91) * EXP(-(M91 - 1560) * $CW$126 * $BH$48))^2)))^2
)</f>
        <v>3.5501125208602892E-3</v>
      </c>
      <c r="BN91" s="54">
        <f>BN90*EXP(-BD90*E90*60)</f>
        <v>2.6699262548626892E-2</v>
      </c>
      <c r="BO91" s="99">
        <f>2*((((BO90/2)*EXP(-BD90*E90*60))^2+(BN90*EXP(-BD90*E90*60)*E90*60*BC90*BD90/BB90)^2)^0.5)</f>
        <v>3.3293575516349827E-3</v>
      </c>
      <c r="BP91" s="25"/>
      <c r="BQ91" s="25"/>
      <c r="BR91" s="74"/>
      <c r="BS91" s="74"/>
      <c r="BT91" s="36"/>
      <c r="BU91" s="36"/>
      <c r="BV91" s="54">
        <f>BV90*EXP(-BB90*BH90*E90*60*0.91357457380209)*EXP(-(M90-1560)*$CW$126*$BH$48*0.91357457380209)</f>
        <v>1.9671469227429492E-2</v>
      </c>
      <c r="BW91" s="99">
        <f>2*SQRT(
((BW90/2) * EXP(-BB90 * BH90 * E90 * 60 * 0.91357457380209) * EXP(-(M90 - 1560) * $CW$126 * $BH$48 * 0.91357457380209))^2 +
(BC90 * (-BV90 * BH90 * E90 * 60 * 0.91357457380209 * EXP(-BB90 * BH90 * E90 * 60 * 0.91357457380209) * EXP(-(M90 - 1560) * $CW$126 * $BH$48 * 0.91357457380209)))^2 +
((0.146030972937065 / 2) * BV90 * (-BB90 * BH90 * E90 * 60 - (M90 - 1560) * $CW$126 * $BH$48) * EXP(-BB90 * BH90 * E90 * 60 * 0.91357457380209) * EXP(-(M90 - 1560) * $CW$126 * $BH$48 * 0.91357457380209))^2 +
-(M90-1560)*$BH$48*0.91357457380209*BV90*EXP(-BB90*BH90*E90*60*0.91357457380209)*EXP(-(M90-1560)*$CW$126*$BH$48*0.91357457380209))</f>
        <v>4.2539321817343986E-3</v>
      </c>
      <c r="BX91" s="25"/>
      <c r="BY91" s="25"/>
      <c r="BZ91" s="74"/>
      <c r="CA91" s="141">
        <f t="shared" si="60"/>
        <v>6.8666725819259311E-2</v>
      </c>
      <c r="CB91" s="34"/>
      <c r="CC91" s="34"/>
      <c r="CD91" s="34">
        <f t="shared" si="61"/>
        <v>5.2607178233150136E-2</v>
      </c>
      <c r="CE91" s="36"/>
      <c r="CF91" s="36"/>
      <c r="CG91" s="36"/>
      <c r="CH91" s="36"/>
      <c r="CI91" s="36"/>
      <c r="CJ91" s="36"/>
      <c r="CK91" s="36"/>
      <c r="CL91" s="36"/>
      <c r="CM91" s="36"/>
      <c r="CN91" s="36"/>
      <c r="CO91" s="36"/>
      <c r="CP91" s="36"/>
      <c r="CQ91" s="36"/>
      <c r="CR91" s="36"/>
      <c r="CS91" s="36"/>
    </row>
    <row r="92" spans="1:97" s="8" customFormat="1" x14ac:dyDescent="0.3">
      <c r="A92" s="8" t="s">
        <v>175</v>
      </c>
      <c r="B92" s="8" t="s">
        <v>176</v>
      </c>
      <c r="C92" s="35">
        <v>45342.493055555555</v>
      </c>
      <c r="D92" s="8">
        <v>95</v>
      </c>
      <c r="E92" s="8">
        <f t="shared" si="55"/>
        <v>120</v>
      </c>
      <c r="F92" s="8" t="s">
        <v>287</v>
      </c>
      <c r="G92" s="36">
        <v>0.70599999999999996</v>
      </c>
      <c r="H92" s="36">
        <v>0</v>
      </c>
      <c r="I92" s="36">
        <v>8.43E-2</v>
      </c>
      <c r="J92" s="8">
        <v>7200</v>
      </c>
      <c r="K92" s="8">
        <v>7329.5959999999995</v>
      </c>
      <c r="L92" s="8">
        <f t="shared" si="43"/>
        <v>8759.9999996367842</v>
      </c>
      <c r="M92" s="8">
        <f t="shared" si="44"/>
        <v>1559.9999996367842</v>
      </c>
      <c r="N92" s="65"/>
      <c r="O92" s="8">
        <v>6.3185840707964602E-3</v>
      </c>
      <c r="P92" s="8">
        <v>2.64705882352941E-2</v>
      </c>
      <c r="R92" s="8">
        <v>4.4609203539823002E-3</v>
      </c>
      <c r="S92" s="36">
        <v>6.8240063129918594E-5</v>
      </c>
      <c r="T92" s="8">
        <v>2.2314705882352901E-3</v>
      </c>
      <c r="U92" s="36">
        <v>8.74749782866163E-6</v>
      </c>
      <c r="V92" s="36"/>
      <c r="Y92" s="36"/>
      <c r="Z92" s="36"/>
      <c r="AA92" s="36"/>
      <c r="AB92" s="36"/>
      <c r="AF92" s="69"/>
      <c r="AQ92" s="36">
        <f>SUM(BP$5:$BP92)</f>
        <v>10.090745890504854</v>
      </c>
      <c r="AR92" s="36" cm="1">
        <f t="array" ref="AR92">2*SQRT(SUM((BQ$5:$BQ92/2)^2))</f>
        <v>6.0458050434044779E-2</v>
      </c>
      <c r="AS92" s="36">
        <f>SUM($BX$5:BX92)</f>
        <v>3.7387555211007908</v>
      </c>
      <c r="AT92" s="36" cm="1">
        <f t="array" ref="AT92">2*SQRT(SUM(($BY$5:BY92/2)^2))</f>
        <v>0.2090481550513405</v>
      </c>
      <c r="AU92" s="36">
        <f t="shared" si="49"/>
        <v>10.053632662874906</v>
      </c>
      <c r="AV92" s="36"/>
      <c r="AW92" s="36">
        <f t="shared" si="50"/>
        <v>5.3197430414998124</v>
      </c>
      <c r="AX92" s="36"/>
      <c r="AY92" s="69"/>
      <c r="AZ92" s="36">
        <f>'Naive Apparent Lambdas'!$U$2*(10000/(D92+273))+'Naive Apparent Lambdas'!$V$2</f>
        <v>25.272915712407681</v>
      </c>
      <c r="BA92" s="8">
        <f>'Naive Apparent Lambdas'!$V$4</f>
        <v>6.7480704157997479E-2</v>
      </c>
      <c r="BB92" s="36">
        <f t="shared" si="40"/>
        <v>94599280986.297607</v>
      </c>
      <c r="BC92" s="36">
        <f t="shared" si="41"/>
        <v>6383626093.7956247</v>
      </c>
      <c r="BD92" s="36">
        <f>BB92*(D92+273)*$D$145*$F$144</f>
        <v>3.3173790351308016E-5</v>
      </c>
      <c r="BE92" s="36"/>
      <c r="BF92" s="31">
        <f t="shared" si="45"/>
        <v>74378450025.067627</v>
      </c>
      <c r="BG92" s="31">
        <f t="shared" si="46"/>
        <v>80496818032.103622</v>
      </c>
      <c r="BH92" s="36">
        <f t="shared" si="42"/>
        <v>3.5067698195415599E-16</v>
      </c>
      <c r="BI92" s="36"/>
      <c r="BJ92" s="36">
        <f>R92/(1-EXP(-E92*60*BD92))</f>
        <v>2.0995726809535455E-2</v>
      </c>
      <c r="BK92" s="36">
        <f>2*SQRT(
((S92/2) * (1 / (1 - EXP(-E92 * 60 * BB92 * BH92))))^2 +
(BC92 * (-R92 * 60 * E92 * BH92 * EXP(-E92 * 60 * BB92 * BH92) / (1 - EXP(-E92 * 60 * BB92 * BH92))^2))^2
)</f>
        <v>2.5291417151999162E-3</v>
      </c>
      <c r="BL92" s="36">
        <f>R92/(1-EXP(-E92*60*BB92*BH92)*EXP(-(M92-1560)*$CW$126*$BH$122))</f>
        <v>2.0995726809742016E-2</v>
      </c>
      <c r="BM92" s="36">
        <f>2*SQRT(
((S92/2) * (1 / (1 - EXP(-E92 * 60 * BB92 * BH92) * EXP(-(M92 - 1560) * $CW$126 * $BH$48))))^2 +
(BC92 * (-R92 * 60 * E92 * BH92 * EXP(-E92 * 60 * BB92 * BH92) / ((1 - EXP(-E92 * 60 * BB92 * BH92) * EXP(-(M92 - 1560) * $CW$126 * $BH$48))^2)))^2 +
($CX$126 * (-R92 * (M92 - 1560) * $BH$48 * EXP(-(M92 - 1560) * $CW$126 * $BH$48) / ((1 - EXP(-E92 * 60 * BB92 * BH92) * EXP(-(M92 - 1560) * $CW$126 * $BH$48))^2)))^2
)</f>
        <v>2.5291417152492799E-3</v>
      </c>
      <c r="BN92" s="54">
        <f>BN91*EXP(-BD91*E91*60)</f>
        <v>2.1026523289827102E-2</v>
      </c>
      <c r="BO92" s="99">
        <f>2*((((BO91/2)*EXP(-BD91*E91*60))^2+(BN91*EXP(-BD91*E91*60)*E91*60*BC91*BD91/BB91)^2)^0.5)</f>
        <v>2.7081682509592863E-3</v>
      </c>
      <c r="BP92" s="25"/>
      <c r="BQ92" s="25"/>
      <c r="BR92" s="74"/>
      <c r="BS92" s="74"/>
      <c r="BT92" s="36"/>
      <c r="BU92" s="36"/>
      <c r="BV92" s="54">
        <f>BV91*EXP(-BB91*BH91*E91*60*0.91357457380209)*EXP(-(M91-1560)*$CW$126*$BH$48*0.91357457380209)</f>
        <v>1.5815031641483981E-2</v>
      </c>
      <c r="BW92" s="99">
        <f>2*SQRT(
((BW91/2) * EXP(-BB91 * BH91 * E91 * 60 * 0.91357457380209) * EXP(-(M91 - 1560) * $CW$126 * $BH$48 * 0.91357457380209))^2 +
(BC91 * (-BV91 * BH91 * E91 * 60 * 0.91357457380209 * EXP(-BB91 * BH91 * E91 * 60 * 0.91357457380209) * EXP(-(M91 - 1560) * $CW$126 * $BH$48 * 0.91357457380209)))^2 +
((0.146030972937065 / 2) * BV91 * (-BB91 * BH91 * E91 * 60 - (M91 - 1560) * $CW$126 * $BH$48) * EXP(-BB91 * BH91 * E91 * 60 * 0.91357457380209) * EXP(-(M91 - 1560) * $CW$126 * $BH$48 * 0.91357457380209))^2 +
-(M91-1560)*$BH$48*0.91357457380209*BV91*EXP(-BB91*BH91*E91*60*0.91357457380209)*EXP(-(M91-1560)*$CW$126*$BH$48*0.91357457380209))</f>
        <v>3.4953522193661834E-3</v>
      </c>
      <c r="BX92" s="25"/>
      <c r="BY92" s="25"/>
      <c r="BZ92" s="74"/>
      <c r="CA92" s="141">
        <f t="shared" si="60"/>
        <v>6.8434517272084494E-2</v>
      </c>
      <c r="CB92" s="34"/>
      <c r="CC92" s="34"/>
      <c r="CD92" s="34">
        <f t="shared" si="61"/>
        <v>5.2442778481294985E-2</v>
      </c>
      <c r="CE92" s="36"/>
      <c r="CF92" s="36"/>
      <c r="CG92" s="36"/>
      <c r="CH92" s="36"/>
      <c r="CI92" s="36"/>
      <c r="CJ92" s="36"/>
      <c r="CK92" s="36"/>
      <c r="CL92" s="36"/>
      <c r="CM92" s="36"/>
      <c r="CN92" s="36"/>
      <c r="CO92" s="36"/>
      <c r="CP92" s="36"/>
      <c r="CQ92" s="36"/>
      <c r="CR92" s="36"/>
      <c r="CS92" s="36"/>
    </row>
    <row r="93" spans="1:97" s="29" customFormat="1" x14ac:dyDescent="0.3">
      <c r="A93" s="29" t="s">
        <v>177</v>
      </c>
      <c r="B93" s="29" t="s">
        <v>178</v>
      </c>
      <c r="C93" s="30">
        <v>45342.786111111112</v>
      </c>
      <c r="D93" s="29">
        <v>235</v>
      </c>
      <c r="E93" s="29">
        <f t="shared" si="55"/>
        <v>370</v>
      </c>
      <c r="F93" s="29" t="s">
        <v>289</v>
      </c>
      <c r="G93" s="31">
        <v>34.700000000000003</v>
      </c>
      <c r="H93" s="31">
        <v>0</v>
      </c>
      <c r="I93" s="31">
        <v>5.73</v>
      </c>
      <c r="J93" s="29">
        <v>22200</v>
      </c>
      <c r="K93" s="29">
        <v>22330.107</v>
      </c>
      <c r="L93" s="29">
        <f t="shared" si="43"/>
        <v>25320.000000181608</v>
      </c>
      <c r="M93" s="29">
        <f t="shared" si="44"/>
        <v>3120.0000001816079</v>
      </c>
      <c r="N93" s="65"/>
      <c r="O93" s="29">
        <v>6.3381940397645598E-3</v>
      </c>
      <c r="P93" s="29">
        <v>2.64705882352941E-2</v>
      </c>
      <c r="R93" s="29">
        <v>0.21993533317982999</v>
      </c>
      <c r="S93" s="29">
        <v>3.42269120603794E-3</v>
      </c>
      <c r="T93" s="29">
        <v>0.151676470588235</v>
      </c>
      <c r="U93" s="29">
        <v>5.94580813264901E-4</v>
      </c>
      <c r="W93" s="31">
        <f>(1000*T93/R93)/$AG$140</f>
        <v>0.69121719124296332</v>
      </c>
      <c r="X93" s="31"/>
      <c r="Y93" s="31">
        <f>T93-AVERAGE(T94:T96)</f>
        <v>0.1473529411764703</v>
      </c>
      <c r="Z93" s="31">
        <f>U93+AVERAGE(T94:T96)</f>
        <v>4.9181102250296033E-3</v>
      </c>
      <c r="AA93" s="31"/>
      <c r="AB93" s="31">
        <f>(Y93*1000)/R93</f>
        <v>669.98303113027885</v>
      </c>
      <c r="AC93" s="31">
        <f>2*((1000*Z93/(2*R93))^2+((S93/2)*1000*Y93/(R93^2))^2)^0.5</f>
        <v>24.67291855864752</v>
      </c>
      <c r="AD93" s="31">
        <f>AB93/$AG$140</f>
        <v>0.67151408340648555</v>
      </c>
      <c r="AE93" s="31">
        <f>2*(($AH$140*AB93/(2*$AG$140^2))^2+(AC93/($AG$140*2))^2)^0.5</f>
        <v>2.5749570058531523E-2</v>
      </c>
      <c r="AF93" s="69"/>
      <c r="AG93" s="31" cm="1">
        <f t="array" ref="AG93:AH93">BP93:BQ93</f>
        <v>0.23071286342677</v>
      </c>
      <c r="AH93" s="29">
        <v>5.2303781003493364E-3</v>
      </c>
      <c r="AI93" s="31" cm="1">
        <f t="array" ref="AI93:AJ93">BX93:BY93</f>
        <v>0.15482241159647978</v>
      </c>
      <c r="AJ93" s="29">
        <v>7.113467295825549E-3</v>
      </c>
      <c r="AL93" s="31">
        <f>1000*AI93/AG93</f>
        <v>671.06102926775725</v>
      </c>
      <c r="AM93" s="31">
        <f>2*((AH93*1000*AI93/(2*AG93^2))^2+(1000*AJ93/(AG93*2))^2)^0.5</f>
        <v>34.381548335819531</v>
      </c>
      <c r="AN93" s="31">
        <f>AL93/$AG$140</f>
        <v>0.67259454499665672</v>
      </c>
      <c r="AO93" s="31">
        <f>2*(($AH$140*AL93/(2*$AG$140^2))^2+(AM93/($AG$140*2))^2)^0.5</f>
        <v>3.5201812027417394E-2</v>
      </c>
      <c r="AP93" s="31"/>
      <c r="AQ93" s="31">
        <f>SUM(BP$5:$BP93)</f>
        <v>10.321458753931624</v>
      </c>
      <c r="AR93" s="31" cm="1">
        <f t="array" ref="AR93">2*SQRT(SUM((BQ$5:$BQ93/2)^2))</f>
        <v>6.0683875266483403E-2</v>
      </c>
      <c r="AS93" s="31">
        <f>SUM($BX$5:BX93)</f>
        <v>3.8935779326972706</v>
      </c>
      <c r="AT93" s="31" cm="1">
        <f t="array" ref="AT93">2*SQRT(SUM(($BY$5:BY93/2)^2))</f>
        <v>0.20916914817280793</v>
      </c>
      <c r="AU93" s="31">
        <f t="shared" si="49"/>
        <v>10.273567996054735</v>
      </c>
      <c r="AV93" s="31"/>
      <c r="AW93" s="31">
        <f t="shared" si="50"/>
        <v>5.4714195120880476</v>
      </c>
      <c r="AX93" s="31"/>
      <c r="AY93" s="69"/>
      <c r="AZ93" s="31"/>
      <c r="BB93" s="31"/>
      <c r="BC93" s="31"/>
      <c r="BD93" s="31"/>
      <c r="BE93" s="31"/>
      <c r="BF93" s="31">
        <f t="shared" si="45"/>
        <v>471511908020.04309</v>
      </c>
      <c r="BG93" s="31">
        <f t="shared" si="46"/>
        <v>521379765527.56158</v>
      </c>
      <c r="BH93" s="31">
        <f t="shared" si="42"/>
        <v>4.8408670334975874E-16</v>
      </c>
      <c r="BI93" s="31"/>
      <c r="BJ93" s="31"/>
      <c r="BK93" s="31"/>
      <c r="BL93" s="31"/>
      <c r="BM93" s="31"/>
      <c r="BN93" s="114">
        <f>BN92*EXP(-BD92*E92*60)</f>
        <v>1.6559059668873846E-2</v>
      </c>
      <c r="BO93" s="116">
        <f>2*((((BO92/2)*EXP(-BD92*E92*60))^2+(BN92*EXP(-BD92*E92*60)*E92*60*BC92*BD92/BB92)^2)^0.5)</f>
        <v>2.1985538636156185E-3</v>
      </c>
      <c r="BP93" s="23">
        <f>R93+BN94-BN93</f>
        <v>0.23071286342677</v>
      </c>
      <c r="BQ93" s="23">
        <f>2*(((BO93/2)^2+(BO94/2)^2+(S93/2)^2)^(0.5))</f>
        <v>5.2303781003493364E-3</v>
      </c>
      <c r="BR93" s="72">
        <f>100*(BP93-R93)/R93</f>
        <v>4.9003177848316728</v>
      </c>
      <c r="BS93" s="72"/>
      <c r="BT93" s="31"/>
      <c r="BU93" s="31"/>
      <c r="BV93" s="114">
        <f>BV92*EXP(-BB92*BH92*E92*60*0.91357457380209)*EXP(-(M92-1560)*$CW$126*$BH$48*0.91357457380209)</f>
        <v>1.2714618462429522E-2</v>
      </c>
      <c r="BW93" s="116">
        <f>2*SQRT(
((BW92/2) * EXP(-BB92 * BH92 * E92 * 60 * 0.91357457380209) * EXP(-(M92 - 1560) * $CW$126 * $BH$48 * 0.91357457380209))^2 +
(BC92 * (-BV92 * BH92 * E92 * 60 * 0.91357457380209 * EXP(-BB92 * BH92 * E92 * 60 * 0.91357457380209) * EXP(-(M92 - 1560) * $CW$126 * $BH$48 * 0.91357457380209)))^2 +
((0.146030972937065 / 2) * BV92 * (-BB92 * BH92 * E92 * 60 - (M92 - 1560) * $CW$126 * $BH$48) * EXP(-BB92 * BH92 * E92 * 60 * 0.91357457380209) * EXP(-(M92 - 1560) * $CW$126 * $BH$48 * 0.91357457380209))^2 +
-(M92-1560)*$BH$48*0.91357457380209*BV92*EXP(-BB92*BH92*E92*60*0.91357457380209)*EXP(-(M92-1560)*$CW$126*$BH$48*0.91357457380209))</f>
        <v>2.86943089294573E-3</v>
      </c>
      <c r="BX93" s="23">
        <f>Y93+BV94-BV93</f>
        <v>0.15482241159647978</v>
      </c>
      <c r="BY93" s="23">
        <f>2*(((BW93/2)^2+(BW94/2)^2+(Z93/2)^2)^(0.5))</f>
        <v>7.113467295825549E-3</v>
      </c>
      <c r="BZ93" s="72">
        <f>100*(BX93-Y93)/Y93</f>
        <v>5.0691016822419703</v>
      </c>
      <c r="CA93" s="140">
        <f>R93*CC93</f>
        <v>4.7779571417787325E-2</v>
      </c>
      <c r="CB93" s="31">
        <f>BH93*BG93*J93</f>
        <v>5.6031248639026661</v>
      </c>
      <c r="CC93" s="31">
        <f>1/(CB93-1)</f>
        <v>0.21724372672180139</v>
      </c>
      <c r="CD93" s="31">
        <f>CF93*T93</f>
        <v>3.7292521960038655E-2</v>
      </c>
      <c r="CE93" s="31">
        <f>BH93*BF93*J93</f>
        <v>5.0672087221874165</v>
      </c>
      <c r="CF93" s="31">
        <f>1/(CE93-1)</f>
        <v>0.24586886690737189</v>
      </c>
      <c r="CG93" s="31">
        <f>R93-CA89</f>
        <v>0.15080182383775825</v>
      </c>
      <c r="CH93" s="31">
        <f>R93+CA93</f>
        <v>0.26771490459761732</v>
      </c>
      <c r="CI93" s="31">
        <f>T93-CD89</f>
        <v>9.873894513472431E-2</v>
      </c>
      <c r="CJ93" s="31">
        <f>T93+CD93</f>
        <v>0.18896899254827365</v>
      </c>
      <c r="CK93" s="31">
        <f>CE93*1.29</f>
        <v>6.5366992516217675</v>
      </c>
      <c r="CL93" s="31">
        <f>R93 / (CK93-1)</f>
        <v>3.9723185816063288E-2</v>
      </c>
      <c r="CM93" s="31">
        <f>1000*T93/R93</f>
        <v>689.64121587601755</v>
      </c>
      <c r="CN93" s="31">
        <f>1000*(T93+CD93)/(R93+CL93)</f>
        <v>727.7596486301394</v>
      </c>
      <c r="CO93" s="31">
        <f>1000*(T93-CD89)/(R93-CL89)</f>
        <v>607.18666994537568</v>
      </c>
      <c r="CP93" s="31">
        <f>1000*(T93+CD93-CD89)/(R93+CL93-CL89)</f>
        <v>672.29052185778278</v>
      </c>
      <c r="CQ93" s="31">
        <f>MAX(CM93:CP93)</f>
        <v>727.7596486301394</v>
      </c>
      <c r="CR93" s="31">
        <f>MIN(CM93:CP93)</f>
        <v>607.18666994537568</v>
      </c>
      <c r="CS93" s="31"/>
    </row>
    <row r="94" spans="1:97" s="32" customFormat="1" x14ac:dyDescent="0.3">
      <c r="A94" s="32" t="s">
        <v>179</v>
      </c>
      <c r="B94" s="32" t="s">
        <v>180</v>
      </c>
      <c r="C94" s="33">
        <v>45342.908333333333</v>
      </c>
      <c r="D94" s="32">
        <v>90</v>
      </c>
      <c r="E94" s="32">
        <f t="shared" si="55"/>
        <v>150</v>
      </c>
      <c r="F94" s="32" t="s">
        <v>375</v>
      </c>
      <c r="G94" s="34">
        <v>0.92900000000000005</v>
      </c>
      <c r="H94" s="34">
        <v>0</v>
      </c>
      <c r="I94" s="34">
        <v>0.153</v>
      </c>
      <c r="J94" s="32">
        <v>9000</v>
      </c>
      <c r="K94" s="32">
        <v>9125.866</v>
      </c>
      <c r="L94" s="32">
        <f t="shared" si="43"/>
        <v>10559.999999846332</v>
      </c>
      <c r="M94" s="32">
        <f t="shared" si="44"/>
        <v>1559.9999998463318</v>
      </c>
      <c r="N94" s="65"/>
      <c r="O94" s="32">
        <v>6.34937328355411E-3</v>
      </c>
      <c r="P94" s="32">
        <v>2.64705882352941E-2</v>
      </c>
      <c r="R94" s="32">
        <v>5.8985677804217701E-3</v>
      </c>
      <c r="S94" s="34">
        <v>9.3129349135237304E-5</v>
      </c>
      <c r="T94" s="32">
        <v>4.0499999999999998E-3</v>
      </c>
      <c r="U94" s="34">
        <v>1.58762416107382E-5</v>
      </c>
      <c r="V94" s="34"/>
      <c r="Y94" s="34"/>
      <c r="Z94" s="34"/>
      <c r="AA94" s="34"/>
      <c r="AB94" s="34"/>
      <c r="AF94" s="69"/>
      <c r="AQ94" s="34">
        <f>SUM(BP$5:$BP94)</f>
        <v>10.321458753931624</v>
      </c>
      <c r="AR94" s="34" cm="1">
        <f t="array" ref="AR94">2*SQRT(SUM((BQ$5:$BQ94/2)^2))</f>
        <v>6.0683875266483403E-2</v>
      </c>
      <c r="AS94" s="34">
        <f>SUM($BX$5:BX94)</f>
        <v>3.8935779326972706</v>
      </c>
      <c r="AT94" s="34" cm="1">
        <f t="array" ref="AT94">2*SQRT(SUM(($BY$5:BY94/2)^2))</f>
        <v>0.20916914817280793</v>
      </c>
      <c r="AU94" s="34">
        <f t="shared" si="49"/>
        <v>10.279466563835157</v>
      </c>
      <c r="AV94" s="34"/>
      <c r="AW94" s="34">
        <f t="shared" si="50"/>
        <v>5.4754695120880479</v>
      </c>
      <c r="AX94" s="34"/>
      <c r="AY94" s="69"/>
      <c r="AZ94" s="34">
        <f>'Naive Apparent Lambdas'!$U$2*(10000/(D94+273))+'Naive Apparent Lambdas'!$V$2</f>
        <v>25.080919505962346</v>
      </c>
      <c r="BA94" s="32">
        <f>'Naive Apparent Lambdas'!$V$4</f>
        <v>6.7480704157997479E-2</v>
      </c>
      <c r="BB94" s="34">
        <f t="shared" si="40"/>
        <v>78073732528.776489</v>
      </c>
      <c r="BC94" s="34">
        <f t="shared" si="41"/>
        <v>5268470447.2849903</v>
      </c>
      <c r="BD94" s="34">
        <f>BB94*(D94+273)*$D$145*$F$144</f>
        <v>2.7006668217909542E-5</v>
      </c>
      <c r="BE94" s="34"/>
      <c r="BF94" s="31">
        <f t="shared" si="45"/>
        <v>67820444032.070572</v>
      </c>
      <c r="BG94" s="31">
        <f t="shared" si="46"/>
        <v>73320582427.391632</v>
      </c>
      <c r="BH94" s="34">
        <f t="shared" si="42"/>
        <v>3.4591234904717017E-16</v>
      </c>
      <c r="BI94" s="34"/>
      <c r="BJ94" s="34">
        <f>R94/(1-EXP(-E94*60*BD94))</f>
        <v>2.7336589915813874E-2</v>
      </c>
      <c r="BK94" s="34">
        <f>2*SQRT(
((S94/2) * (1 / (1 - EXP(-E94 * 60 * BB94 * BH94))))^2 +
(BC94 * (-R94 * 60 * E94 * BH94 * EXP(-E94 * 60 * BB94 * BH94) / (1 - EXP(-E94 * 60 * BB94 * BH94))^2))^2
)</f>
        <v>3.2876132512060052E-3</v>
      </c>
      <c r="BL94" s="34">
        <f>R94/(1-EXP(-E94*60*BB94*BH94)*EXP(-(M94-1560)*$CW$126*$BH$122))</f>
        <v>2.7336589915925455E-2</v>
      </c>
      <c r="BM94" s="34">
        <f>2*SQRT(
((S94/2) * (1 / (1 - EXP(-E94 * 60 * BB94 * BH94) * EXP(-(M94 - 1560) * $CW$126 * $BH$48))))^2 +
(BC94 * (-R94 * 60 * E94 * BH94 * EXP(-E94 * 60 * BB94 * BH94) / ((1 - EXP(-E94 * 60 * BB94 * BH94) * EXP(-(M94 - 1560) * $CW$126 * $BH$48))^2)))^2 +
($CX$126 * (-R94 * (M94 - 1560) * $BH$48 * EXP(-(M94 - 1560) * $CW$126 * $BH$48) / ((1 - EXP(-E94 * 60 * BB94 * BH94) * EXP(-(M94 - 1560) * $CW$126 * $BH$48))^2)))^2
)</f>
        <v>3.2876132512326128E-3</v>
      </c>
      <c r="BN94" s="117" cm="1">
        <f t="array" ref="BN94:BO94">BJ94:BK94</f>
        <v>2.7336589915813874E-2</v>
      </c>
      <c r="BO94" s="118">
        <v>3.2876132512060052E-3</v>
      </c>
      <c r="BP94" s="24"/>
      <c r="BQ94" s="24"/>
      <c r="BR94" s="73"/>
      <c r="BS94" s="73"/>
      <c r="BT94" s="123">
        <f>BN94*(Y93/R93)*1.10204926384627</f>
        <v>2.0184088882439007E-2</v>
      </c>
      <c r="BU94" s="123">
        <f>2*(((BO94/2)*1.10204926384627*(AB93/(1000)))^2+((AC93/2000)*1.10204926384627*BN94)^2+((0.187040260207234/2)*BN94*(AB93/(1000)))^2)^0.5</f>
        <v>4.2637982051039408E-3</v>
      </c>
      <c r="BV94" s="124">
        <f>BT94</f>
        <v>2.0184088882439007E-2</v>
      </c>
      <c r="BW94" s="125">
        <f>BU94</f>
        <v>4.2637982051039408E-3</v>
      </c>
      <c r="BX94" s="24"/>
      <c r="BY94" s="24"/>
      <c r="BZ94" s="73"/>
      <c r="CA94" s="141">
        <f t="shared" ref="CA94:CA96" si="62">CA93*(EXP(-BH94*BG94*E94))*(EXP(-$BG$140*$F$144*D233*(24+273)*M94))</f>
        <v>4.7598145372424371E-2</v>
      </c>
      <c r="CB94" s="34"/>
      <c r="CC94" s="34"/>
      <c r="CD94" s="34">
        <f t="shared" ref="CD94:CD96" si="63">CD93*(EXP(-BH94*BF94*E94))*(EXP(-$BF$140*$F$144*D233*(24+273)*M94))</f>
        <v>3.7161520603195816E-2</v>
      </c>
      <c r="CE94" s="34"/>
      <c r="CF94" s="34"/>
      <c r="CG94" s="34"/>
      <c r="CH94" s="34"/>
      <c r="CI94" s="34"/>
      <c r="CJ94" s="34"/>
      <c r="CK94" s="34"/>
      <c r="CL94" s="34"/>
      <c r="CM94" s="34"/>
      <c r="CN94" s="34"/>
      <c r="CO94" s="34"/>
      <c r="CP94" s="34"/>
      <c r="CQ94" s="34"/>
      <c r="CR94" s="34"/>
      <c r="CS94" s="34"/>
    </row>
    <row r="95" spans="1:97" s="8" customFormat="1" x14ac:dyDescent="0.3">
      <c r="A95" s="8" t="s">
        <v>181</v>
      </c>
      <c r="B95" s="8" t="s">
        <v>182</v>
      </c>
      <c r="C95" s="35">
        <v>45343.030555555553</v>
      </c>
      <c r="D95" s="8">
        <v>89.899999999999906</v>
      </c>
      <c r="E95" s="8">
        <f t="shared" si="55"/>
        <v>150</v>
      </c>
      <c r="F95" s="8" t="s">
        <v>287</v>
      </c>
      <c r="G95" s="36">
        <v>0.75800000000000001</v>
      </c>
      <c r="H95" s="36">
        <v>0</v>
      </c>
      <c r="I95" s="36">
        <v>0.17100000000000001</v>
      </c>
      <c r="J95" s="8">
        <v>9000</v>
      </c>
      <c r="K95" s="8">
        <v>9124.6630000000005</v>
      </c>
      <c r="L95" s="8">
        <f t="shared" si="43"/>
        <v>10559.999999846332</v>
      </c>
      <c r="M95" s="8">
        <f t="shared" si="44"/>
        <v>1559.9999998463318</v>
      </c>
      <c r="N95" s="65"/>
      <c r="O95" s="8">
        <v>6.34803141083304E-3</v>
      </c>
      <c r="P95" s="8">
        <v>2.64705882352941E-2</v>
      </c>
      <c r="R95" s="8">
        <v>4.8118078094114402E-3</v>
      </c>
      <c r="S95" s="36">
        <v>7.7375879940656293E-5</v>
      </c>
      <c r="T95" s="8">
        <v>4.5264705882352898E-3</v>
      </c>
      <c r="U95" s="36">
        <v>1.7744034741413198E-5</v>
      </c>
      <c r="V95" s="36"/>
      <c r="Y95" s="36"/>
      <c r="Z95" s="36"/>
      <c r="AA95" s="36"/>
      <c r="AB95" s="36"/>
      <c r="AF95" s="69"/>
      <c r="AQ95" s="36">
        <f>SUM(BP$5:$BP95)</f>
        <v>10.321458753931624</v>
      </c>
      <c r="AR95" s="36" cm="1">
        <f t="array" ref="AR95">2*SQRT(SUM((BQ$5:$BQ95/2)^2))</f>
        <v>6.0683875266483403E-2</v>
      </c>
      <c r="AS95" s="36">
        <f>SUM($BX$5:BX95)</f>
        <v>3.8935779326972706</v>
      </c>
      <c r="AT95" s="36" cm="1">
        <f t="array" ref="AT95">2*SQRT(SUM(($BY$5:BY95/2)^2))</f>
        <v>0.20916914817280793</v>
      </c>
      <c r="AU95" s="36">
        <f t="shared" si="49"/>
        <v>10.284278371644568</v>
      </c>
      <c r="AV95" s="36"/>
      <c r="AW95" s="36">
        <f t="shared" si="50"/>
        <v>5.4799959826762832</v>
      </c>
      <c r="AX95" s="36"/>
      <c r="AY95" s="69"/>
      <c r="AZ95" s="36">
        <f>'Naive Apparent Lambdas'!$U$2*(10000/(D95+273))+'Naive Apparent Lambdas'!$V$2</f>
        <v>25.077025617619995</v>
      </c>
      <c r="BA95" s="8">
        <f>'Naive Apparent Lambdas'!$V$4</f>
        <v>6.7480704157997479E-2</v>
      </c>
      <c r="BB95" s="36">
        <f t="shared" si="40"/>
        <v>77770313255.603638</v>
      </c>
      <c r="BC95" s="36">
        <f t="shared" si="41"/>
        <v>5247995501.0761786</v>
      </c>
      <c r="BD95" s="36">
        <f>BB95*(D95+273)*$D$145*$F$144</f>
        <v>2.689430080450564E-5</v>
      </c>
      <c r="BE95" s="36"/>
      <c r="BF95" s="31">
        <f t="shared" si="45"/>
        <v>67693603278.523453</v>
      </c>
      <c r="BG95" s="31">
        <f t="shared" si="46"/>
        <v>73181861430.069138</v>
      </c>
      <c r="BH95" s="36">
        <f t="shared" si="42"/>
        <v>3.4581705638903038E-16</v>
      </c>
      <c r="BI95" s="36"/>
      <c r="BJ95" s="36">
        <f>R95/(1-EXP(-E95*60*BD95))</f>
        <v>2.2382369124250762E-2</v>
      </c>
      <c r="BK95" s="36">
        <f>2*SQRT(
((S95/2) * (1 / (1 - EXP(-E95 * 60 * BB95 * BH95))))^2 +
(BC95 * (-R95 * 60 * E95 * BH95 * EXP(-E95 * 60 * BB95 * BH95) / (1 - EXP(-E95 * 60 * BB95 * BH95))^2))^2
)</f>
        <v>2.69405508762057E-3</v>
      </c>
      <c r="BL95" s="36">
        <f>R95/(1-EXP(-E95*60*BB95*BH95)*EXP(-(M95-1560)*$CW$126*$BH$122))</f>
        <v>2.2382369124342549E-2</v>
      </c>
      <c r="BM95" s="36">
        <f>2*SQRT(
((S95/2) * (1 / (1 - EXP(-E95 * 60 * BB95 * BH95) * EXP(-(M95 - 1560) * $CW$126 * $BH$48))))^2 +
(BC95 * (-R95 * 60 * E95 * BH95 * EXP(-E95 * 60 * BB95 * BH95) / ((1 - EXP(-E95 * 60 * BB95 * BH95) * EXP(-(M95 - 1560) * $CW$126 * $BH$48))^2)))^2 +
($CX$126 * (-R95 * (M95 - 1560) * $BH$48 * EXP(-(M95 - 1560) * $CW$126 * $BH$48) / ((1 - EXP(-E95 * 60 * BB95 * BH95) * EXP(-(M95 - 1560) * $CW$126 * $BH$48))^2)))^2
)</f>
        <v>2.6940550876424691E-3</v>
      </c>
      <c r="BN95" s="54">
        <f>BN94*EXP(-BD94*E94*60)</f>
        <v>2.1438022135392105E-2</v>
      </c>
      <c r="BO95" s="99">
        <f>2*((((BO94/2)*EXP(-BD94*E94*60))^2+(BN94*EXP(-BD94*E94*60)*E94*60*BC94*BD94/BB94)^2)^0.5)</f>
        <v>2.6724163356946413E-3</v>
      </c>
      <c r="BP95" s="25"/>
      <c r="BQ95" s="25"/>
      <c r="BR95" s="74"/>
      <c r="BS95" s="74"/>
      <c r="BT95" s="36"/>
      <c r="BU95" s="36"/>
      <c r="BV95" s="54">
        <f>BV94*EXP(-BB94*BH94*E94*60*0.91357457380209)*EXP(-(M94-1560)*$CW$126*$BH$48*0.91357457380209)</f>
        <v>1.6164882886591809E-2</v>
      </c>
      <c r="BW95" s="99">
        <f>2*SQRT(
((BW94/2) * EXP(-BB94 * BH94 * E94 * 60 * 0.91357457380209) * EXP(-(M94 - 1560) * $CW$126 * $BH$48 * 0.91357457380209))^2 +
(BC94 * (-BV94 * BH94 * E94 * 60 * 0.91357457380209 * EXP(-BB94 * BH94 * E94 * 60 * 0.91357457380209) * EXP(-(M94 - 1560) * $CW$126 * $BH$48 * 0.91357457380209)))^2 +
((0.146030972937065 / 2) * BV94 * (-BB94 * BH94 * E94 * 60 - (M94 - 1560) * $CW$126 * $BH$48) * EXP(-BB94 * BH94 * E94 * 60 * 0.91357457380209) * EXP(-(M94 - 1560) * $CW$126 * $BH$48 * 0.91357457380209))^2 +
-(M94-1560)*$BH$48*0.91357457380209*BV94*EXP(-BB94*BH94*E94*60*0.91357457380209)*EXP(-(M94-1560)*$CW$126*$BH$48*0.91357457380209))</f>
        <v>3.4963498632622526E-3</v>
      </c>
      <c r="BX95" s="25"/>
      <c r="BY95" s="25"/>
      <c r="BZ95" s="74"/>
      <c r="CA95" s="141">
        <f t="shared" si="62"/>
        <v>4.7417799131997028E-2</v>
      </c>
      <c r="CB95" s="34"/>
      <c r="CC95" s="34"/>
      <c r="CD95" s="34">
        <f t="shared" si="63"/>
        <v>3.7031258975489222E-2</v>
      </c>
      <c r="CE95" s="36"/>
      <c r="CF95" s="36"/>
      <c r="CG95" s="36"/>
      <c r="CH95" s="36"/>
      <c r="CI95" s="36"/>
      <c r="CJ95" s="36"/>
      <c r="CK95" s="36"/>
      <c r="CL95" s="36"/>
      <c r="CM95" s="36"/>
      <c r="CN95" s="36"/>
      <c r="CO95" s="36"/>
      <c r="CP95" s="36"/>
      <c r="CQ95" s="36"/>
      <c r="CR95" s="36"/>
      <c r="CS95" s="36"/>
    </row>
    <row r="96" spans="1:97" s="8" customFormat="1" x14ac:dyDescent="0.3">
      <c r="A96" s="8" t="s">
        <v>183</v>
      </c>
      <c r="B96" s="8" t="s">
        <v>184</v>
      </c>
      <c r="C96" s="35">
        <v>45343.152777777781</v>
      </c>
      <c r="D96" s="8">
        <v>90</v>
      </c>
      <c r="E96" s="8">
        <f t="shared" si="55"/>
        <v>150</v>
      </c>
      <c r="F96" s="8" t="s">
        <v>287</v>
      </c>
      <c r="G96" s="36">
        <v>0.57399999999999995</v>
      </c>
      <c r="H96" s="36">
        <v>0</v>
      </c>
      <c r="I96" s="36">
        <v>0.16600000000000001</v>
      </c>
      <c r="J96" s="8">
        <v>9000</v>
      </c>
      <c r="K96" s="8">
        <v>9128.6740000000009</v>
      </c>
      <c r="L96" s="8">
        <f t="shared" si="43"/>
        <v>10560.000000474975</v>
      </c>
      <c r="M96" s="8">
        <f t="shared" si="44"/>
        <v>1560.0000004749745</v>
      </c>
      <c r="N96" s="65"/>
      <c r="O96" s="8">
        <v>6.3333021470058102E-3</v>
      </c>
      <c r="P96" s="8">
        <v>2.64705882352941E-2</v>
      </c>
      <c r="R96" s="8">
        <v>3.63531543238133E-3</v>
      </c>
      <c r="S96" s="36">
        <v>5.9447830611487199E-5</v>
      </c>
      <c r="T96" s="8">
        <v>4.3941176470588201E-3</v>
      </c>
      <c r="U96" s="36">
        <v>1.7225203316225701E-5</v>
      </c>
      <c r="V96" s="36"/>
      <c r="Y96" s="36"/>
      <c r="Z96" s="36"/>
      <c r="AA96" s="36"/>
      <c r="AB96" s="36"/>
      <c r="AF96" s="69"/>
      <c r="AQ96" s="36">
        <f>SUM(BP$5:$BP96)</f>
        <v>10.321458753931624</v>
      </c>
      <c r="AR96" s="36" cm="1">
        <f t="array" ref="AR96">2*SQRT(SUM((BQ$5:$BQ96/2)^2))</f>
        <v>6.0683875266483403E-2</v>
      </c>
      <c r="AS96" s="36">
        <f>SUM($BX$5:BX96)</f>
        <v>3.8935779326972706</v>
      </c>
      <c r="AT96" s="36" cm="1">
        <f t="array" ref="AT96">2*SQRT(SUM(($BY$5:BY96/2)^2))</f>
        <v>0.20916914817280793</v>
      </c>
      <c r="AU96" s="36">
        <f t="shared" si="49"/>
        <v>10.28791368707695</v>
      </c>
      <c r="AV96" s="36"/>
      <c r="AW96" s="36">
        <f t="shared" si="50"/>
        <v>5.484390100323342</v>
      </c>
      <c r="AX96" s="36"/>
      <c r="AY96" s="69"/>
      <c r="AZ96" s="36">
        <f>'Naive Apparent Lambdas'!$U$2*(10000/(D96+273))+'Naive Apparent Lambdas'!$V$2</f>
        <v>25.080919505962346</v>
      </c>
      <c r="BA96" s="8">
        <f>'Naive Apparent Lambdas'!$V$4</f>
        <v>6.7480704157997479E-2</v>
      </c>
      <c r="BB96" s="36">
        <f t="shared" si="40"/>
        <v>78073732528.776489</v>
      </c>
      <c r="BC96" s="36">
        <f t="shared" si="41"/>
        <v>5268470447.2849903</v>
      </c>
      <c r="BD96" s="36">
        <f>BB96*(D96+273)*$D$145*$F$144</f>
        <v>2.7006668217909542E-5</v>
      </c>
      <c r="BE96" s="36"/>
      <c r="BF96" s="31">
        <f t="shared" si="45"/>
        <v>67820444032.070572</v>
      </c>
      <c r="BG96" s="31">
        <f t="shared" si="46"/>
        <v>73320582427.391632</v>
      </c>
      <c r="BH96" s="36">
        <f t="shared" si="42"/>
        <v>3.4591234904717017E-16</v>
      </c>
      <c r="BI96" s="36"/>
      <c r="BJ96" s="36">
        <f>R96/(1-EXP(-E96*60*BD96))</f>
        <v>1.6847670636164526E-2</v>
      </c>
      <c r="BK96" s="36">
        <f>2*SQRT(
((S96/2) * (1 / (1 - EXP(-E96 * 60 * BB96 * BH96))))^2 +
(BC96 * (-R96 * 60 * E96 * BH96 * EXP(-E96 * 60 * BB96 * BH96) / (1 - EXP(-E96 * 60 * BB96 * BH96))^2))^2
)</f>
        <v>2.0274419590805776E-3</v>
      </c>
      <c r="BL96" s="36">
        <f>R96/(1-EXP(-E96*60*BB96*BH96)*EXP(-(M96-1560)*$CW$126*$BH$122))</f>
        <v>1.6847670635951981E-2</v>
      </c>
      <c r="BM96" s="36">
        <f>2*SQRT(
((S96/2) * (1 / (1 - EXP(-E96 * 60 * BB96 * BH96) * EXP(-(M96 - 1560) * $CW$126 * $BH$48))))^2 +
(BC96 * (-R96 * 60 * E96 * BH96 * EXP(-E96 * 60 * BB96 * BH96) / ((1 - EXP(-E96 * 60 * BB96 * BH96) * EXP(-(M96 - 1560) * $CW$126 * $BH$48))^2)))^2 +
($CX$126 * (-R96 * (M96 - 1560) * $BH$48 * EXP(-(M96 - 1560) * $CW$126 * $BH$48) / ((1 - EXP(-E96 * 60 * BB96 * BH96) * EXP(-(M96 - 1560) * $CW$126 * $BH$48))^2)))^2
)</f>
        <v>2.027441959029895E-3</v>
      </c>
      <c r="BN96" s="54">
        <f>BN95*EXP(-BD95*E95*60)</f>
        <v>1.6829231986468667E-2</v>
      </c>
      <c r="BO96" s="99">
        <f>2*((((BO95/2)*EXP(-BD95*E95*60))^2+(BN95*EXP(-BD95*E95*60)*E95*60*BC95*BD95/BB95)^2)^0.5)</f>
        <v>2.1687331386499222E-3</v>
      </c>
      <c r="BP96" s="25"/>
      <c r="BQ96" s="25"/>
      <c r="BR96" s="74"/>
      <c r="BS96" s="74"/>
      <c r="BT96" s="36"/>
      <c r="BU96" s="36"/>
      <c r="BV96" s="54">
        <f>BV95*EXP(-BB95*BH95*E95*60*0.91357457380209)*EXP(-(M95-1560)*$CW$126*$BH$48*0.91357457380209)</f>
        <v>1.295797750094751E-2</v>
      </c>
      <c r="BW96" s="99">
        <f>2*SQRT(
((BW95/2) * EXP(-BB95 * BH95 * E95 * 60 * 0.91357457380209) * EXP(-(M95 - 1560) * $CW$126 * $BH$48 * 0.91357457380209))^2 +
(BC95 * (-BV95 * BH95 * E95 * 60 * 0.91357457380209 * EXP(-BB95 * BH95 * E95 * 60 * 0.91357457380209) * EXP(-(M95 - 1560) * $CW$126 * $BH$48 * 0.91357457380209)))^2 +
((0.146030972937065 / 2) * BV95 * (-BB95 * BH95 * E95 * 60 - (M95 - 1560) * $CW$126 * $BH$48) * EXP(-BB95 * BH95 * E95 * 60 * 0.91357457380209) * EXP(-(M95 - 1560) * $CW$126 * $BH$48 * 0.91357457380209))^2 +
-(M95-1560)*$BH$48*0.91357457380209*BV95*EXP(-BB95*BH95*E95*60*0.91357457380209)*EXP(-(M95-1560)*$CW$126*$BH$48*0.91357457380209))</f>
        <v>2.8661064798912988E-3</v>
      </c>
      <c r="BX96" s="25"/>
      <c r="BY96" s="25"/>
      <c r="BZ96" s="74"/>
      <c r="CA96" s="141">
        <f t="shared" si="62"/>
        <v>4.7237746789101157E-2</v>
      </c>
      <c r="CB96" s="34"/>
      <c r="CC96" s="34"/>
      <c r="CD96" s="34">
        <f t="shared" si="63"/>
        <v>3.6901175384559497E-2</v>
      </c>
      <c r="CE96" s="36"/>
      <c r="CF96" s="36"/>
      <c r="CG96" s="36"/>
      <c r="CH96" s="36"/>
      <c r="CI96" s="36"/>
      <c r="CJ96" s="36"/>
      <c r="CK96" s="36"/>
      <c r="CL96" s="36"/>
      <c r="CM96" s="36"/>
      <c r="CN96" s="36"/>
      <c r="CO96" s="36"/>
      <c r="CP96" s="36"/>
      <c r="CQ96" s="36"/>
      <c r="CR96" s="36"/>
      <c r="CS96" s="36"/>
    </row>
    <row r="97" spans="1:99" s="29" customFormat="1" x14ac:dyDescent="0.3">
      <c r="A97" s="29" t="s">
        <v>185</v>
      </c>
      <c r="B97" s="29" t="s">
        <v>186</v>
      </c>
      <c r="C97" s="30">
        <v>45343.462500000001</v>
      </c>
      <c r="D97" s="29">
        <v>230</v>
      </c>
      <c r="E97" s="29">
        <f t="shared" si="55"/>
        <v>420</v>
      </c>
      <c r="F97" s="29" t="s">
        <v>289</v>
      </c>
      <c r="G97" s="31">
        <v>22.2</v>
      </c>
      <c r="H97" s="31">
        <v>0</v>
      </c>
      <c r="I97" s="31">
        <v>3.75</v>
      </c>
      <c r="J97" s="29">
        <v>25200</v>
      </c>
      <c r="K97" s="29">
        <v>25328.05</v>
      </c>
      <c r="L97" s="29">
        <f t="shared" si="43"/>
        <v>26759.999999846332</v>
      </c>
      <c r="M97" s="29">
        <f t="shared" si="44"/>
        <v>1559.9999998463318</v>
      </c>
      <c r="N97" s="65"/>
      <c r="O97" s="29">
        <v>6.30742049469964E-3</v>
      </c>
      <c r="P97" s="29">
        <v>2.64345291524767E-2</v>
      </c>
      <c r="R97" s="29">
        <v>0.14002473498233201</v>
      </c>
      <c r="S97" s="29">
        <v>2.5534282416403301E-3</v>
      </c>
      <c r="T97" s="29">
        <v>9.9129484321787698E-2</v>
      </c>
      <c r="U97" s="29">
        <v>3.9693516936309902E-4</v>
      </c>
      <c r="W97" s="31">
        <f>(1000*T97/R97)/$AG$140</f>
        <v>0.7095604649815247</v>
      </c>
      <c r="X97" s="31"/>
      <c r="Y97" s="31">
        <f>T97-AVERAGE(T98:T100)</f>
        <v>9.4532396729469559E-2</v>
      </c>
      <c r="Z97" s="31">
        <f>U97+AVERAGE(T98:T100)</f>
        <v>4.9940227616812423E-3</v>
      </c>
      <c r="AA97" s="31"/>
      <c r="AB97" s="31">
        <f>(Y97*1000)/R97</f>
        <v>675.11212744946408</v>
      </c>
      <c r="AC97" s="31">
        <f>2*((1000*Z97/(2*R97))^2+((S97/2)*1000*Y97/(R97^2))^2)^0.5</f>
        <v>37.730288267390989</v>
      </c>
      <c r="AD97" s="31">
        <f>AB97/$AG$140</f>
        <v>0.67665490079057766</v>
      </c>
      <c r="AE97" s="31">
        <f>2*(($AH$140*AB97/(2*$AG$140^2))^2+(AC97/($AG$140*2))^2)^0.5</f>
        <v>3.8501714330536459E-2</v>
      </c>
      <c r="AF97" s="69"/>
      <c r="AG97" s="31" cm="1">
        <f t="array" ref="AG97:AH97">BP97:BQ97</f>
        <v>0.15232776871620657</v>
      </c>
      <c r="AH97" s="29">
        <v>4.0007780626060228E-3</v>
      </c>
      <c r="AI97" s="31" cm="1">
        <f t="array" ref="AI97:AJ97">BX97:BY97</f>
        <v>0.1031275732412479</v>
      </c>
      <c r="AJ97" s="29">
        <v>6.7439479853554892E-3</v>
      </c>
      <c r="AL97" s="31">
        <f>1000*AI97/AG97</f>
        <v>677.01098828132365</v>
      </c>
      <c r="AM97" s="31">
        <f>2*((AH97*1000*AI97/(2*AG97^2))^2+(1000*AJ97/(AG97*2))^2)^0.5</f>
        <v>47.709906365369804</v>
      </c>
      <c r="AN97" s="31">
        <f>AL97/$AG$140</f>
        <v>0.6785581009192011</v>
      </c>
      <c r="AO97" s="31">
        <f>2*(($AH$140*AL97/(2*$AG$140^2))^2+(AM97/($AG$140*2))^2)^0.5</f>
        <v>4.8365675547740523E-2</v>
      </c>
      <c r="AP97" s="31"/>
      <c r="AQ97" s="31">
        <f>SUM(BP$5:$BP97)</f>
        <v>10.473786522647831</v>
      </c>
      <c r="AR97" s="31" cm="1">
        <f t="array" ref="AR97">2*SQRT(SUM((BQ$5:$BQ97/2)^2))</f>
        <v>6.0815614298174656E-2</v>
      </c>
      <c r="AS97" s="31">
        <f>SUM($BX$5:BX97)</f>
        <v>3.9967055059385186</v>
      </c>
      <c r="AT97" s="31" cm="1">
        <f t="array" ref="AT97">2*SQRT(SUM(($BY$5:BY97/2)^2))</f>
        <v>0.2092778377701931</v>
      </c>
      <c r="AU97" s="31">
        <f t="shared" si="49"/>
        <v>10.427938422059281</v>
      </c>
      <c r="AV97" s="31"/>
      <c r="AW97" s="31">
        <f t="shared" si="50"/>
        <v>5.5835195846451295</v>
      </c>
      <c r="AX97" s="31"/>
      <c r="AY97" s="69"/>
      <c r="AZ97" s="31"/>
      <c r="BB97" s="31"/>
      <c r="BC97" s="31"/>
      <c r="BD97" s="31"/>
      <c r="BE97" s="31"/>
      <c r="BF97" s="31">
        <f t="shared" si="45"/>
        <v>449299634150.43091</v>
      </c>
      <c r="BG97" s="31">
        <f t="shared" si="46"/>
        <v>496539487006.60864</v>
      </c>
      <c r="BH97" s="31">
        <f t="shared" si="42"/>
        <v>4.7932207044277302E-16</v>
      </c>
      <c r="BI97" s="31"/>
      <c r="BJ97" s="31"/>
      <c r="BK97" s="31"/>
      <c r="BL97" s="31"/>
      <c r="BM97" s="31"/>
      <c r="BN97" s="114">
        <f>BN96*EXP(-BD96*E96*60)</f>
        <v>1.3197895163904634E-2</v>
      </c>
      <c r="BO97" s="116">
        <f>2*((((BO96/2)*EXP(-BD96*E96*60))^2+(BN96*EXP(-BD96*E96*60)*E96*60*BC96*BD96/BB96)^2)^0.5)</f>
        <v>1.7550121870796101E-3</v>
      </c>
      <c r="BP97" s="23">
        <f>R97+BN98-BN97</f>
        <v>0.15232776871620657</v>
      </c>
      <c r="BQ97" s="23">
        <f>2*(((BO97/2)^2+(BO98/2)^2+(S97/2)^2)^(0.5))</f>
        <v>4.0007780626060228E-3</v>
      </c>
      <c r="BR97" s="72">
        <f>100*(BP97-R97)/R97</f>
        <v>8.7863288835554165</v>
      </c>
      <c r="BS97" s="72"/>
      <c r="BT97" s="31"/>
      <c r="BU97" s="31"/>
      <c r="BV97" s="114">
        <f>BV96*EXP(-BB96*BH96*E96*60*0.91357457380209)*EXP(-(M96-1560)*$CW$126*$BH$48*0.91357457380209)</f>
        <v>1.0377688582776282E-2</v>
      </c>
      <c r="BW97" s="116">
        <f>2*SQRT(
((BW96/2) * EXP(-BB96 * BH96 * E96 * 60 * 0.91357457380209) * EXP(-(M96 - 1560) * $CW$126 * $BH$48 * 0.91357457380209))^2 +
(BC96 * (-BV96 * BH96 * E96 * 60 * 0.91357457380209 * EXP(-BB96 * BH96 * E96 * 60 * 0.91357457380209) * EXP(-(M96 - 1560) * $CW$126 * $BH$48 * 0.91357457380209)))^2 +
((0.146030972937065 / 2) * BV96 * (-BB96 * BH96 * E96 * 60 - (M96 - 1560) * $CW$126 * $BH$48) * EXP(-BB96 * BH96 * E96 * 60 * 0.91357457380209) * EXP(-(M96 - 1560) * $CW$126 * $BH$48 * 0.91357457380209))^2 +
-(M96-1560)*$BH$48*0.91357457380209*BV96*EXP(-BB96*BH96*E96*60*0.91357457380209)*EXP(-(M96-1560)*$CW$126*$BH$48*0.91357457380209))</f>
        <v>2.3454641445969388E-3</v>
      </c>
      <c r="BX97" s="23">
        <f>Y97+BV98-BV97</f>
        <v>0.1031275732412479</v>
      </c>
      <c r="BY97" s="23">
        <f>2*(((BW97/2)^2+(BW98/2)^2+(Z97/2)^2)^(0.5))</f>
        <v>6.7439479853554892E-3</v>
      </c>
      <c r="BZ97" s="72">
        <f>100*(BX97-Y97)/Y97</f>
        <v>9.0923078321771502</v>
      </c>
      <c r="CA97" s="140">
        <f>R97*CC97</f>
        <v>2.8018065944746637E-2</v>
      </c>
      <c r="CB97" s="31">
        <f>BH97*BG97*J97</f>
        <v>5.9976588412087208</v>
      </c>
      <c r="CC97" s="31">
        <f>1/(CB97-1)</f>
        <v>0.20009369022038778</v>
      </c>
      <c r="CD97" s="31">
        <f>CF97*T97</f>
        <v>2.2391756517430875E-2</v>
      </c>
      <c r="CE97" s="31">
        <f>BH97*BF97*J97</f>
        <v>5.4270526184321577</v>
      </c>
      <c r="CF97" s="31">
        <f>1/(CE97-1)</f>
        <v>0.22588392011345695</v>
      </c>
      <c r="CG97" s="31">
        <f>R97-CA93</f>
        <v>9.224516356454468E-2</v>
      </c>
      <c r="CH97" s="31">
        <f>R97+CA97</f>
        <v>0.16804280092707863</v>
      </c>
      <c r="CI97" s="31">
        <f>T97-CD93</f>
        <v>6.1836962361749043E-2</v>
      </c>
      <c r="CJ97" s="31">
        <f>T97+CD97</f>
        <v>0.12152124083921857</v>
      </c>
      <c r="CK97" s="31">
        <f>CE97*1.29</f>
        <v>7.0008978777774837</v>
      </c>
      <c r="CL97" s="31">
        <f>R97 / (CK97-1)</f>
        <v>2.3333963989100932E-2</v>
      </c>
      <c r="CM97" s="31">
        <f>1000*T97/R97</f>
        <v>707.94266694591943</v>
      </c>
      <c r="CN97" s="31">
        <f>1000*(T97+CD97)/(R97+CL97)</f>
        <v>743.89207066634015</v>
      </c>
      <c r="CO97" s="31">
        <f>1000*(T97-CD93)/(R97-CL93)</f>
        <v>616.5105412204814</v>
      </c>
      <c r="CP97" s="31">
        <f>1000*(T97+CD97-CD93)/(R97+CL97-CL93)</f>
        <v>681.26638317367451</v>
      </c>
      <c r="CQ97" s="31">
        <f>MAX(CM97:CP97)</f>
        <v>743.89207066634015</v>
      </c>
      <c r="CR97" s="31">
        <f>MIN(CM97:CP97)</f>
        <v>616.5105412204814</v>
      </c>
      <c r="CS97" s="31"/>
    </row>
    <row r="98" spans="1:99" x14ac:dyDescent="0.3">
      <c r="A98" t="s">
        <v>187</v>
      </c>
      <c r="B98" t="s">
        <v>188</v>
      </c>
      <c r="C98" s="1">
        <v>45343.631249999999</v>
      </c>
      <c r="D98">
        <v>85</v>
      </c>
      <c r="E98">
        <f t="shared" si="55"/>
        <v>180</v>
      </c>
      <c r="G98" s="2">
        <v>0.84599999999999997</v>
      </c>
      <c r="H98" s="2">
        <v>0</v>
      </c>
      <c r="I98" s="2">
        <v>0.154</v>
      </c>
      <c r="J98">
        <v>10800</v>
      </c>
      <c r="K98">
        <v>10926.12</v>
      </c>
      <c r="L98">
        <f t="shared" si="43"/>
        <v>14579.999999748543</v>
      </c>
      <c r="M98">
        <f t="shared" si="44"/>
        <v>3779.9999997485429</v>
      </c>
      <c r="N98" s="65"/>
      <c r="O98">
        <v>6.30742049469964E-3</v>
      </c>
      <c r="P98">
        <v>2.64656177191568E-2</v>
      </c>
      <c r="R98">
        <v>5.3360777385159002E-3</v>
      </c>
      <c r="S98" s="2">
        <v>9.3714691927223895E-5</v>
      </c>
      <c r="T98">
        <v>4.0757051287501501E-3</v>
      </c>
      <c r="U98" s="2">
        <v>1.8190983910024198E-5</v>
      </c>
      <c r="V98" s="2"/>
      <c r="Y98" s="2"/>
      <c r="Z98" s="2"/>
      <c r="AA98" s="2"/>
      <c r="AB98" s="2"/>
      <c r="AQ98" s="2">
        <f>SUM(BP$5:$BP98)</f>
        <v>10.473786522647831</v>
      </c>
      <c r="AR98" s="2" cm="1">
        <f t="array" ref="AR98">2*SQRT(SUM((BQ$5:$BQ98/2)^2))</f>
        <v>6.0815614298174656E-2</v>
      </c>
      <c r="AS98" s="2">
        <f>SUM($BX$5:BX98)</f>
        <v>3.9967055059385186</v>
      </c>
      <c r="AT98" s="2" cm="1">
        <f t="array" ref="AT98">2*SQRT(SUM(($BY$5:BY98/2)^2))</f>
        <v>0.2092778377701931</v>
      </c>
      <c r="AU98" s="2">
        <f t="shared" si="49"/>
        <v>10.433274499797797</v>
      </c>
      <c r="AV98" s="2"/>
      <c r="AW98" s="2">
        <f t="shared" si="50"/>
        <v>5.5875952897738799</v>
      </c>
      <c r="AX98" s="2"/>
      <c r="AZ98" s="2">
        <f>'Naive Apparent Lambdas'!$U$2*(10000/(D98+273))+'Naive Apparent Lambdas'!$V$2</f>
        <v>24.8835602769906</v>
      </c>
      <c r="BA98">
        <f>'Naive Apparent Lambdas'!$V$4</f>
        <v>6.7480704157997479E-2</v>
      </c>
      <c r="BB98" s="2">
        <f t="shared" si="40"/>
        <v>64090390599.493225</v>
      </c>
      <c r="BC98" s="2">
        <f t="shared" si="41"/>
        <v>4324864687.4149046</v>
      </c>
      <c r="BD98" s="2">
        <f>BB98*(D98+273)*$D$145*$F$144</f>
        <v>2.1864290379549456E-5</v>
      </c>
      <c r="BE98" s="2"/>
      <c r="BF98" s="31">
        <f t="shared" si="45"/>
        <v>61681425125.664085</v>
      </c>
      <c r="BG98" s="31">
        <f t="shared" si="46"/>
        <v>66610138841.468307</v>
      </c>
      <c r="BH98" s="2">
        <f t="shared" si="42"/>
        <v>3.4114771614018435E-16</v>
      </c>
      <c r="BI98" s="2"/>
      <c r="BJ98" s="2">
        <f>R98/(1-EXP(-E98*60*BD98))</f>
        <v>2.5370579863652484E-2</v>
      </c>
      <c r="BK98" s="2">
        <f>2*SQRT(
((S98/2) * (1 / (1 - EXP(-E98 * 60 * BB98 * BH98))))^2 +
(BC98 * (-R98 * 60 * E98 * BH98 * EXP(-E98 * 60 * BB98 * BH98) / (1 - EXP(-E98 * 60 * BB98 * BH98))^2))^2
)</f>
        <v>3.06820252659216E-3</v>
      </c>
      <c r="BL98" s="2">
        <f>R98/(1-EXP(-E98*60*BB98*BH98)*EXP(-(M98-1560)*$CW$126*$BH$122))</f>
        <v>2.3924999382032765E-2</v>
      </c>
      <c r="BM98" s="2">
        <f>2*SQRT(
((S98/2) * (1 / (1 - EXP(-E98 * 60 * BB98 * BH98) * EXP(-(M98 - 1560) * $CW$126 * $BH$48))))^2 +
(BC98 * (-R98 * 60 * E98 * BH98 * EXP(-E98 * 60 * BB98 * BH98) / ((1 - EXP(-E98 * 60 * BB98 * BH98) * EXP(-(M98 - 1560) * $CW$126 * $BH$48))^2)))^2 +
($CX$126 * (-R98 * (M98 - 1560) * $BH$48 * EXP(-(M98 - 1560) * $CW$126 * $BH$48) / ((1 - EXP(-E98 * 60 * BB98 * BH98) * EXP(-(M98 - 1560) * $CW$126 * $BH$48))^2)))^2
)</f>
        <v>2.7791469749541111E-3</v>
      </c>
      <c r="BN98" s="113">
        <f>BN99+R98</f>
        <v>2.5500928897779204E-2</v>
      </c>
      <c r="BO98" s="115">
        <f>BO99+S98</f>
        <v>2.5310396172769038E-3</v>
      </c>
      <c r="BP98" s="22"/>
      <c r="BQ98" s="22"/>
      <c r="BT98" s="123">
        <f>BN98*(Y97/R97)*1.10204926384627</f>
        <v>1.8972865094554626E-2</v>
      </c>
      <c r="BU98" s="123">
        <f>2*(((BO98/2)*1.10204926384627*(AB97/(1000)))^2+((AC97/2000)*1.10204926384627*BN98)^2+((0.187040260207234/2)*BN98*(AB97/(1000)))^2)^0.5</f>
        <v>3.8780625357773919E-3</v>
      </c>
      <c r="BV98" s="124">
        <f>BT98</f>
        <v>1.8972865094554626E-2</v>
      </c>
      <c r="BW98" s="125">
        <f>BU98</f>
        <v>3.8780625357773919E-3</v>
      </c>
      <c r="BX98" s="22"/>
      <c r="BY98" s="22"/>
      <c r="CA98" s="141">
        <f t="shared" ref="CA98:CA100" si="64">CA97*(EXP(-BH98*BG98*E98))*(EXP(-$BG$140*$F$144*D237*(24+273)*M98))</f>
        <v>2.7903697669842069E-2</v>
      </c>
      <c r="CB98" s="34"/>
      <c r="CC98" s="34"/>
      <c r="CD98" s="34">
        <f t="shared" ref="CD98:CD100" si="65">CD97*(EXP(-BH98*BF98*E98))*(EXP(-$BF$140*$F$144*D237*(24+273)*M98))</f>
        <v>2.230710488871121E-2</v>
      </c>
      <c r="CE98" s="2"/>
      <c r="CF98" s="2"/>
      <c r="CS98" s="2"/>
    </row>
    <row r="99" spans="1:99" s="32" customFormat="1" x14ac:dyDescent="0.3">
      <c r="A99" s="32" t="s">
        <v>189</v>
      </c>
      <c r="B99" s="32" t="s">
        <v>190</v>
      </c>
      <c r="C99" s="33">
        <v>45343.775694444441</v>
      </c>
      <c r="D99" s="32">
        <v>84.98</v>
      </c>
      <c r="E99" s="32">
        <f t="shared" si="55"/>
        <v>180</v>
      </c>
      <c r="F99" s="32" t="s">
        <v>286</v>
      </c>
      <c r="G99" s="34">
        <v>0.67300000000000004</v>
      </c>
      <c r="H99" s="34">
        <v>0</v>
      </c>
      <c r="I99" s="34">
        <v>0.191</v>
      </c>
      <c r="J99" s="32">
        <v>10800</v>
      </c>
      <c r="K99" s="32">
        <v>10926.254000000001</v>
      </c>
      <c r="L99" s="32">
        <f t="shared" si="43"/>
        <v>12479.999999818392</v>
      </c>
      <c r="M99" s="32">
        <f t="shared" si="44"/>
        <v>1679.9999998183921</v>
      </c>
      <c r="N99" s="65"/>
      <c r="O99" s="32">
        <v>6.2971198588157697E-3</v>
      </c>
      <c r="P99" s="32">
        <v>2.64705882352941E-2</v>
      </c>
      <c r="R99" s="32">
        <v>4.2379616649830098E-3</v>
      </c>
      <c r="S99" s="34">
        <v>7.2119871782902193E-5</v>
      </c>
      <c r="T99" s="32">
        <v>5.0558823529411696E-3</v>
      </c>
      <c r="U99" s="34">
        <v>2.73481761999822E-5</v>
      </c>
      <c r="V99" s="34"/>
      <c r="Y99" s="34"/>
      <c r="Z99" s="34"/>
      <c r="AA99" s="34"/>
      <c r="AB99" s="34"/>
      <c r="AF99" s="69"/>
      <c r="AQ99" s="34">
        <f>SUM(BP$5:$BP99)</f>
        <v>10.473786522647831</v>
      </c>
      <c r="AR99" s="34" cm="1">
        <f t="array" ref="AR99">2*SQRT(SUM((BQ$5:$BQ99/2)^2))</f>
        <v>6.0815614298174656E-2</v>
      </c>
      <c r="AS99" s="34">
        <f>SUM($BX$5:BX99)</f>
        <v>3.9967055059385186</v>
      </c>
      <c r="AT99" s="34" cm="1">
        <f t="array" ref="AT99">2*SQRT(SUM(($BY$5:BY99/2)^2))</f>
        <v>0.2092778377701931</v>
      </c>
      <c r="AU99" s="34">
        <f t="shared" si="49"/>
        <v>10.437512461462779</v>
      </c>
      <c r="AV99" s="34"/>
      <c r="AW99" s="34">
        <f t="shared" si="50"/>
        <v>5.5926511721268213</v>
      </c>
      <c r="AX99" s="34"/>
      <c r="AY99" s="69"/>
      <c r="AZ99" s="34">
        <f>'Naive Apparent Lambdas'!$U$2*(10000/(D99+273))+'Naive Apparent Lambdas'!$V$2</f>
        <v>24.882759769698389</v>
      </c>
      <c r="BA99" s="32">
        <f>'Naive Apparent Lambdas'!$V$4</f>
        <v>6.7480704157997479E-2</v>
      </c>
      <c r="BB99" s="34">
        <f t="shared" si="40"/>
        <v>64039106303.922554</v>
      </c>
      <c r="BC99" s="34">
        <f t="shared" si="41"/>
        <v>4321403987.037549</v>
      </c>
      <c r="BD99" s="34">
        <f>BB99*(D99+273)*$D$145*$F$144</f>
        <v>2.1845574367908742E-5</v>
      </c>
      <c r="BE99" s="34"/>
      <c r="BF99" s="31">
        <f t="shared" si="45"/>
        <v>61657691873.58004</v>
      </c>
      <c r="BG99" s="31">
        <f t="shared" si="46"/>
        <v>66584211077.857025</v>
      </c>
      <c r="BH99" s="34">
        <f t="shared" si="42"/>
        <v>3.4112865760855641E-16</v>
      </c>
      <c r="BI99" s="34"/>
      <c r="BJ99" s="34">
        <f>R99/(1-EXP(-E99*60*BD99))</f>
        <v>2.0164851159263305E-2</v>
      </c>
      <c r="BK99" s="34">
        <f>2*SQRT(
((S99/2) * (1 / (1 - EXP(-E99 * 60 * BB99 * BH99))))^2 +
(BC99 * (-R99 * 60 * E99 * BH99 * EXP(-E99 * 60 * BB99 * BH99) / (1 - EXP(-E99 * 60 * BB99 * BH99))^2))^2
)</f>
        <v>2.43732492534968E-3</v>
      </c>
      <c r="BL99" s="34">
        <f>R99/(1-EXP(-E99*60*BB99*BH99)*EXP(-(M99-1560)*$CW$126*$BH$122))</f>
        <v>2.0098640091417611E-2</v>
      </c>
      <c r="BM99" s="34">
        <f>2*SQRT(
((S99/2) * (1 / (1 - EXP(-E99 * 60 * BB99 * BH99) * EXP(-(M99 - 1560) * $CW$126 * $BH$48))))^2 +
(BC99 * (-R99 * 60 * E99 * BH99 * EXP(-E99 * 60 * BB99 * BH99) / ((1 - EXP(-E99 * 60 * BB99 * BH99) * EXP(-(M99 - 1560) * $CW$126 * $BH$48))^2)))^2 +
($CX$126 * (-R99 * (M99 - 1560) * $BH$48 * EXP(-(M99 - 1560) * $CW$126 * $BH$48) / ((1 - EXP(-E99 * 60 * BB99 * BH99) * EXP(-(M99 - 1560) * $CW$126 * $BH$48))^2)))^2
)</f>
        <v>2.4216310774526459E-3</v>
      </c>
      <c r="BN99" s="55" cm="1">
        <f t="array" ref="BN99:BO99">BJ99:BK99</f>
        <v>2.0164851159263305E-2</v>
      </c>
      <c r="BO99" s="100">
        <v>2.43732492534968E-3</v>
      </c>
      <c r="BP99" s="24"/>
      <c r="BQ99" s="24"/>
      <c r="BR99" s="73"/>
      <c r="BS99" s="73"/>
      <c r="BT99" s="34"/>
      <c r="BU99" s="34"/>
      <c r="BV99" s="54">
        <f>BV98*EXP(-BB98*BH98*E98*60*0.91357457380209)*EXP(-(M98-1560)*$CW$126*$BH$48*0.91357457380209)</f>
        <v>1.5066320837406505E-2</v>
      </c>
      <c r="BW99" s="99">
        <f>2*SQRT(
((BW98/2) * EXP(-BB98 * BH98 * E98 * 60 * 0.91357457380209) * EXP(-(M98 - 1560) * $CW$126 * $BH$48 * 0.91357457380209))^2 +
(BC98 * (-BV98 * BH98 * E98 * 60 * 0.91357457380209 * EXP(-BB98 * BH98 * E98 * 60 * 0.91357457380209) * EXP(-(M98 - 1560) * $CW$126 * $BH$48 * 0.91357457380209)))^2 +
((0.146030972937065 / 2) * BV98 * (-BB98 * BH98 * E98 * 60 - (M98 - 1560) * $CW$126 * $BH$48) * EXP(-BB98 * BH98 * E98 * 60 * 0.91357457380209) * EXP(-(M98 - 1560) * $CW$126 * $BH$48 * 0.91357457380209))^2 +
-(M98-1560)*$BH$48*0.91357457380209*BV98*EXP(-BB98*BH98*E98*60*0.91357457380209)*EXP(-(M98-1560)*$CW$126*$BH$48*0.91357457380209))</f>
        <v>3.1598100364310863E-3</v>
      </c>
      <c r="BX99" s="24"/>
      <c r="BY99" s="24"/>
      <c r="BZ99" s="73"/>
      <c r="CA99" s="141">
        <f t="shared" si="64"/>
        <v>2.7789846833133541E-2</v>
      </c>
      <c r="CB99" s="34"/>
      <c r="CC99" s="34"/>
      <c r="CD99" s="34">
        <f t="shared" si="65"/>
        <v>2.2222810371485918E-2</v>
      </c>
      <c r="CE99" s="34"/>
      <c r="CF99" s="34"/>
      <c r="CG99" s="34"/>
      <c r="CH99" s="34"/>
      <c r="CI99" s="34"/>
      <c r="CJ99" s="34"/>
      <c r="CK99" s="34"/>
      <c r="CL99" s="34"/>
      <c r="CM99" s="34"/>
      <c r="CN99" s="34"/>
      <c r="CO99" s="34"/>
      <c r="CP99" s="34"/>
      <c r="CQ99" s="34"/>
      <c r="CR99" s="34"/>
      <c r="CS99" s="34"/>
    </row>
    <row r="100" spans="1:99" x14ac:dyDescent="0.3">
      <c r="A100" t="s">
        <v>191</v>
      </c>
      <c r="B100" t="s">
        <v>192</v>
      </c>
      <c r="C100" s="1">
        <v>45343.918055555558</v>
      </c>
      <c r="D100">
        <v>85</v>
      </c>
      <c r="E100">
        <f t="shared" si="55"/>
        <v>180</v>
      </c>
      <c r="G100" s="2">
        <v>0.625</v>
      </c>
      <c r="H100" s="2">
        <v>0</v>
      </c>
      <c r="I100" s="2">
        <v>0.17599999999999999</v>
      </c>
      <c r="J100">
        <v>10800</v>
      </c>
      <c r="K100">
        <v>10920.386</v>
      </c>
      <c r="L100">
        <f t="shared" si="43"/>
        <v>12300.000000488944</v>
      </c>
      <c r="M100">
        <f t="shared" si="44"/>
        <v>1500.0000004889444</v>
      </c>
      <c r="N100" s="65"/>
      <c r="O100">
        <v>6.2936846715896102E-3</v>
      </c>
      <c r="P100">
        <v>2.6475427813994899E-2</v>
      </c>
      <c r="R100">
        <v>3.9335529197435104E-3</v>
      </c>
      <c r="S100" s="2">
        <v>6.6271277968300805E-5</v>
      </c>
      <c r="T100">
        <v>4.6596752952631102E-3</v>
      </c>
      <c r="U100" s="2">
        <v>2.7367390558366298E-5</v>
      </c>
      <c r="V100" s="2"/>
      <c r="Y100" s="2"/>
      <c r="Z100" s="2"/>
      <c r="AA100" s="2"/>
      <c r="AB100" s="2"/>
      <c r="AQ100" s="2">
        <f>SUM(BP$5:$BP100)</f>
        <v>10.473786522647831</v>
      </c>
      <c r="AR100" s="2" cm="1">
        <f t="array" ref="AR100">2*SQRT(SUM((BQ$5:$BQ100/2)^2))</f>
        <v>6.0815614298174656E-2</v>
      </c>
      <c r="AS100" s="2">
        <f>SUM($BX$5:BX100)</f>
        <v>3.9967055059385186</v>
      </c>
      <c r="AT100" s="2" cm="1">
        <f t="array" ref="AT100">2*SQRT(SUM(($BY$5:BY100/2)^2))</f>
        <v>0.2092778377701931</v>
      </c>
      <c r="AU100" s="2">
        <f t="shared" si="49"/>
        <v>10.441446014382523</v>
      </c>
      <c r="AV100" s="2"/>
      <c r="AW100" s="2">
        <f t="shared" si="50"/>
        <v>5.5973108474220847</v>
      </c>
      <c r="AX100" s="2"/>
      <c r="AZ100" s="2">
        <f>'Naive Apparent Lambdas'!$U$2*(10000/(D100+273))+'Naive Apparent Lambdas'!$V$2</f>
        <v>24.8835602769906</v>
      </c>
      <c r="BA100">
        <f>'Naive Apparent Lambdas'!$V$4</f>
        <v>6.7480704157997479E-2</v>
      </c>
      <c r="BB100" s="2">
        <f t="shared" si="40"/>
        <v>64090390599.493225</v>
      </c>
      <c r="BC100" s="2">
        <f t="shared" si="41"/>
        <v>4324864687.4149046</v>
      </c>
      <c r="BD100" s="2">
        <f>BB100*(D100+273)*$D$145*$F$144</f>
        <v>2.1864290379549456E-5</v>
      </c>
      <c r="BE100" s="2"/>
      <c r="BF100" s="31">
        <f t="shared" si="45"/>
        <v>61681425125.664085</v>
      </c>
      <c r="BG100" s="31">
        <f t="shared" si="46"/>
        <v>66610138841.468307</v>
      </c>
      <c r="BH100" s="2">
        <f t="shared" ref="BH100:BH131" si="66">(D100+273)*$D$145*$F$144</f>
        <v>3.4114771614018435E-16</v>
      </c>
      <c r="BI100" s="2"/>
      <c r="BJ100" s="2">
        <f>R100/(1-EXP(-E100*60*BD100))</f>
        <v>1.8702223503590132E-2</v>
      </c>
      <c r="BK100" s="2">
        <f>2*SQRT(
((S100/2) * (1 / (1 - EXP(-E100 * 60 * BB100 * BH100))))^2 +
(BC100 * (-R100 * 60 * E100 * BH100 * EXP(-E100 * 60 * BB100 * BH100) / (1 - EXP(-E100 * 60 * BB100 * BH100))^2))^2
)</f>
        <v>2.2598592286271839E-3</v>
      </c>
      <c r="BL100" s="2">
        <f>R100/(1-EXP(-E100*60*BB100*BH100)*EXP(-(M100-1560)*$CW$126*$BH$122))</f>
        <v>1.8733070365007896E-2</v>
      </c>
      <c r="BM100" s="2">
        <f>2*SQRT(
((S100/2) * (1 / (1 - EXP(-E100 * 60 * BB100 * BH100) * EXP(-(M100 - 1560) * $CW$126 * $BH$48))))^2 +
(BC100 * (-R100 * 60 * E100 * BH100 * EXP(-E100 * 60 * BB100 * BH100) / ((1 - EXP(-E100 * 60 * BB100 * BH100) * EXP(-(M100 - 1560) * $CW$126 * $BH$48))^2)))^2 +
($CX$126 * (-R100 * (M100 - 1560) * $BH$48 * EXP(-(M100 - 1560) * $CW$126 * $BH$48) / ((1 - EXP(-E100 * 60 * BB100 * BH100) * EXP(-(M100 - 1560) * $CW$126 * $BH$48))^2)))^2
)</f>
        <v>2.2672774061011126E-3</v>
      </c>
      <c r="BN100" s="54">
        <f>BN99*EXP(-BD99*E99*60)</f>
        <v>1.5926889494280297E-2</v>
      </c>
      <c r="BO100" s="99">
        <f>2*((((BO99/2)*EXP(-BD99*E99*60))^2+(BN99*EXP(-BD99*E99*60)*E99*60*BC99*BD99/BB99)^2)^0.5)</f>
        <v>1.9907621735902672E-3</v>
      </c>
      <c r="BP100" s="22"/>
      <c r="BQ100" s="22"/>
      <c r="BT100" s="2"/>
      <c r="BU100" s="2"/>
      <c r="BV100" s="54">
        <f>BV99*EXP(-BB99*BH99*E99*60*0.91357457380209)*EXP(-(M99-1560)*$CW$126*$BH$48*0.91357457380209)</f>
        <v>1.2135305490578993E-2</v>
      </c>
      <c r="BW100" s="99">
        <f>2*SQRT(
((BW99/2) * EXP(-BB99 * BH99 * E99 * 60 * 0.91357457380209) * EXP(-(M99 - 1560) * $CW$126 * $BH$48 * 0.91357457380209))^2 +
(BC99 * (-BV99 * BH99 * E99 * 60 * 0.91357457380209 * EXP(-BB99 * BH99 * E99 * 60 * 0.91357457380209) * EXP(-(M99 - 1560) * $CW$126 * $BH$48 * 0.91357457380209)))^2 +
((0.146030972937065 / 2) * BV99 * (-BB99 * BH99 * E99 * 60 - (M99 - 1560) * $CW$126 * $BH$48) * EXP(-BB99 * BH99 * E99 * 60 * 0.91357457380209) * EXP(-(M99 - 1560) * $CW$126 * $BH$48 * 0.91357457380209))^2 +
-(M99-1560)*$BH$48*0.91357457380209*BV99*EXP(-BB99*BH99*E99*60*0.91357457380209)*EXP(-(M99-1560)*$CW$126*$BH$48*0.91357457380209))</f>
        <v>2.6035078778921818E-3</v>
      </c>
      <c r="BX100" s="22"/>
      <c r="BY100" s="22"/>
      <c r="CA100" s="141">
        <f t="shared" si="64"/>
        <v>2.7676410136666503E-2</v>
      </c>
      <c r="CB100" s="34"/>
      <c r="CC100" s="34"/>
      <c r="CD100" s="34">
        <f t="shared" si="65"/>
        <v>2.2138797440601727E-2</v>
      </c>
      <c r="CE100" s="2"/>
      <c r="CF100" s="2"/>
      <c r="CS100" s="2"/>
    </row>
    <row r="101" spans="1:99" s="29" customFormat="1" x14ac:dyDescent="0.3">
      <c r="A101" s="29" t="s">
        <v>193</v>
      </c>
      <c r="B101" s="29" t="s">
        <v>194</v>
      </c>
      <c r="C101" s="30">
        <v>45344.388888888891</v>
      </c>
      <c r="D101" s="29">
        <v>225</v>
      </c>
      <c r="E101" s="29">
        <f t="shared" si="55"/>
        <v>652</v>
      </c>
      <c r="F101" s="29" t="s">
        <v>289</v>
      </c>
      <c r="G101" s="31">
        <v>23.7</v>
      </c>
      <c r="H101" s="31">
        <v>0</v>
      </c>
      <c r="I101" s="31">
        <v>3.75</v>
      </c>
      <c r="J101" s="29">
        <v>39120</v>
      </c>
      <c r="K101" s="29">
        <v>39224.49</v>
      </c>
      <c r="L101" s="29">
        <f t="shared" si="43"/>
        <v>40679.99999995809</v>
      </c>
      <c r="M101" s="29">
        <f t="shared" si="44"/>
        <v>1559.9999999580905</v>
      </c>
      <c r="N101" s="65"/>
      <c r="O101" s="29">
        <v>6.3024191861379602E-3</v>
      </c>
      <c r="P101" s="29">
        <v>2.65455745710871E-2</v>
      </c>
      <c r="R101" s="29">
        <v>0.14936733471146901</v>
      </c>
      <c r="S101" s="29">
        <v>2.6344749195813299E-3</v>
      </c>
      <c r="T101" s="29">
        <v>9.9545904641576893E-2</v>
      </c>
      <c r="U101" s="29">
        <v>5.0745350384866304E-4</v>
      </c>
      <c r="W101" s="31">
        <f>(1000*T101/R101)/$AG$140</f>
        <v>0.66797327664443662</v>
      </c>
      <c r="X101" s="31"/>
      <c r="Y101" s="31">
        <f>T101-AVERAGE(T102:T104)</f>
        <v>9.1819568713377903E-2</v>
      </c>
      <c r="Z101" s="31">
        <f>U101+AVERAGE(T102:T104)</f>
        <v>8.2337894320476529E-3</v>
      </c>
      <c r="AA101" s="31"/>
      <c r="AB101" s="31">
        <f>(Y101*1000)/R101</f>
        <v>614.72321837130323</v>
      </c>
      <c r="AC101" s="31">
        <f>2*((1000*Z101/(2*R101))^2+((S101/2)*1000*Y101/(R101^2))^2)^0.5</f>
        <v>56.180571473274931</v>
      </c>
      <c r="AD101" s="31">
        <f>AB101/$AG$140</f>
        <v>0.61612799034162724</v>
      </c>
      <c r="AE101" s="31">
        <f>2*(($AH$140*AB101/(2*$AG$140^2))^2+(AC101/($AG$140*2))^2)^0.5</f>
        <v>5.6692637754777106E-2</v>
      </c>
      <c r="AF101" s="69"/>
      <c r="AG101" s="31" cm="1">
        <f t="array" ref="AG101:AH101">BP101:BQ101</f>
        <v>0.14987878198192986</v>
      </c>
      <c r="AH101" s="29">
        <v>3.4228483100812138E-3</v>
      </c>
      <c r="AI101" s="31" cm="1">
        <f t="array" ref="AI101:AJ101">BX101:BY101</f>
        <v>9.0902007785455874E-2</v>
      </c>
      <c r="AJ101" s="29">
        <v>8.7350665513181245E-3</v>
      </c>
      <c r="AL101" s="31">
        <f>1000*AI101/AG101</f>
        <v>606.50351292830419</v>
      </c>
      <c r="AM101" s="31">
        <f>2*((AH101*1000*AI101/(2*AG101^2))^2+(1000*AJ101/(AG101*2))^2)^0.5</f>
        <v>59.904176083400003</v>
      </c>
      <c r="AN101" s="31">
        <f>AL101/$AG$140</f>
        <v>0.60788950114121409</v>
      </c>
      <c r="AO101" s="31">
        <f>2*(($AH$140*AL101/(2*$AG$140^2))^2+(AM101/($AG$140*2))^2)^0.5</f>
        <v>6.0391514218133741E-2</v>
      </c>
      <c r="AP101" s="31"/>
      <c r="AQ101" s="31">
        <f>SUM(BP$5:$BP101)</f>
        <v>10.62366530462976</v>
      </c>
      <c r="AR101" s="31" cm="1">
        <f t="array" ref="AR101">2*SQRT(SUM((BQ$5:$BQ101/2)^2))</f>
        <v>6.0911861184979162E-2</v>
      </c>
      <c r="AS101" s="31">
        <f>SUM($BX$5:BX101)</f>
        <v>4.0876075137239747</v>
      </c>
      <c r="AT101" s="31" cm="1">
        <f t="array" ref="AT101">2*SQRT(SUM(($BY$5:BY101/2)^2))</f>
        <v>0.20946005530750539</v>
      </c>
      <c r="AU101" s="31">
        <f t="shared" si="49"/>
        <v>10.590813349093992</v>
      </c>
      <c r="AV101" s="31"/>
      <c r="AW101" s="31">
        <f t="shared" si="50"/>
        <v>5.6968567520636615</v>
      </c>
      <c r="AX101" s="31"/>
      <c r="AY101" s="69"/>
      <c r="AZ101" s="31"/>
      <c r="BB101" s="31"/>
      <c r="BC101" s="31"/>
      <c r="BD101" s="31"/>
      <c r="BE101" s="31"/>
      <c r="BF101" s="31">
        <f t="shared" si="45"/>
        <v>427719104955.93579</v>
      </c>
      <c r="BG101" s="31">
        <f t="shared" si="46"/>
        <v>472419373721.47552</v>
      </c>
      <c r="BH101" s="31">
        <f t="shared" si="66"/>
        <v>4.745574375357872E-16</v>
      </c>
      <c r="BI101" s="31"/>
      <c r="BJ101" s="31"/>
      <c r="BK101" s="31"/>
      <c r="BL101" s="31"/>
      <c r="BM101" s="31"/>
      <c r="BN101" s="114">
        <f>BN100*EXP(-BD100*E100*60)</f>
        <v>1.257705985179783E-2</v>
      </c>
      <c r="BO101" s="116">
        <f>2*((((BO100/2)*EXP(-BD100*E100*60))^2+(BN100*EXP(-BD100*E100*60)*E100*60*BC100*BD100/BB100)^2)^0.5)</f>
        <v>1.6223471435996564E-3</v>
      </c>
      <c r="BP101" s="23">
        <f>R101+BN102-BN101</f>
        <v>0.14987878198192986</v>
      </c>
      <c r="BQ101" s="23">
        <f>2*(((BO101/2)^2+(BO102/2)^2+(S101/2)^2)^(0.5))</f>
        <v>3.4228483100812138E-3</v>
      </c>
      <c r="BR101" s="72">
        <f>100*(BP101-R101)/R101</f>
        <v>0.34240904910622028</v>
      </c>
      <c r="BS101" s="72"/>
      <c r="BT101" s="31"/>
      <c r="BU101" s="31"/>
      <c r="BV101" s="114">
        <f>BV100*EXP(-BB100*BH100*E100*60*0.91357457380209)*EXP(-(M100-1560)*$CW$126*$BH$48*0.91357457380209)</f>
        <v>9.7844390579320435E-3</v>
      </c>
      <c r="BW101" s="116">
        <f>2*SQRT(
((BW100/2) * EXP(-BB100 * BH100 * E100 * 60 * 0.91357457380209) * EXP(-(M100 - 1560) * $CW$126 * $BH$48 * 0.91357457380209))^2 +
(BC100 * (-BV100 * BH100 * E100 * 60 * 0.91357457380209 * EXP(-BB100 * BH100 * E100 * 60 * 0.91357457380209) * EXP(-(M100 - 1560) * $CW$126 * $BH$48 * 0.91357457380209)))^2 +
((0.146030972937065 / 2) * BV100 * (-BB100 * BH100 * E100 * 60 - (M100 - 1560) * $CW$126 * $BH$48) * EXP(-BB100 * BH100 * E100 * 60 * 0.91357457380209) * EXP(-(M100 - 1560) * $CW$126 * $BH$48 * 0.91357457380209))^2 +
-(M100-1560)*$BH$48*0.91357457380209*BV100*EXP(-BB100*BH100*E100*60*0.91357457380209)*EXP(-(M100-1560)*$CW$126*$BH$48*0.91357457380209))</f>
        <v>2.1449963052783028E-3</v>
      </c>
      <c r="BX101" s="23">
        <f>Y101+BV102-BV101</f>
        <v>9.0902007785455874E-2</v>
      </c>
      <c r="BY101" s="23">
        <f>2*(((BW101/2)^2+(BW102/2)^2+(Z101/2)^2)^(0.5))</f>
        <v>8.7350665513181245E-3</v>
      </c>
      <c r="BZ101" s="72">
        <f>100*(BX101-Y101)/Y101</f>
        <v>-0.99930868852833343</v>
      </c>
      <c r="CA101" s="140">
        <f>R101*CC101</f>
        <v>1.9222809007177592E-2</v>
      </c>
      <c r="CB101" s="31">
        <f>BH101*BG101*J101</f>
        <v>8.7703177852777312</v>
      </c>
      <c r="CC101" s="31">
        <f>1/(CB101-1)</f>
        <v>0.12869486520804599</v>
      </c>
      <c r="CD101" s="31">
        <f>CF101*T101</f>
        <v>1.4342816287205771E-2</v>
      </c>
      <c r="CE101" s="31">
        <f>BH101*BF101*J101</f>
        <v>7.940471288778542</v>
      </c>
      <c r="CF101" s="31">
        <f>1/(CE101-1)</f>
        <v>0.14408243451951383</v>
      </c>
      <c r="CG101" s="31">
        <f>R101-CA97</f>
        <v>0.12134926876672238</v>
      </c>
      <c r="CH101" s="31">
        <f>R101+CA101</f>
        <v>0.16859014371864661</v>
      </c>
      <c r="CI101" s="31">
        <f>T101-CD97</f>
        <v>7.7154148124146019E-2</v>
      </c>
      <c r="CJ101" s="31">
        <f>T101+CD101</f>
        <v>0.11388872092878266</v>
      </c>
      <c r="CK101" s="31">
        <f>CE101*1.29</f>
        <v>10.24320796252432</v>
      </c>
      <c r="CL101" s="31">
        <f>R101 / (CK101-1)</f>
        <v>1.6159685610998283E-2</v>
      </c>
      <c r="CM101" s="31">
        <f>1000*T101/R101</f>
        <v>666.45029740852283</v>
      </c>
      <c r="CN101" s="31">
        <f>1000*(T101+CD101)/(R101+CL101)</f>
        <v>688.03703894937041</v>
      </c>
      <c r="CO101" s="31">
        <f>1000*(T101-CD97)/(R101-CL97)</f>
        <v>612.17237690249999</v>
      </c>
      <c r="CP101" s="31">
        <f>1000*(T101+CD101-CD97)/(R101+CL101-CL97)</f>
        <v>643.46998911705316</v>
      </c>
      <c r="CQ101" s="31">
        <f>MAX(CM101:CP101)</f>
        <v>688.03703894937041</v>
      </c>
      <c r="CR101" s="31">
        <f>MIN(CM101:CP101)</f>
        <v>612.17237690249999</v>
      </c>
      <c r="CS101" s="31"/>
    </row>
    <row r="102" spans="1:99" s="44" customFormat="1" x14ac:dyDescent="0.3">
      <c r="A102" s="44" t="s">
        <v>195</v>
      </c>
      <c r="B102" s="44" t="s">
        <v>196</v>
      </c>
      <c r="C102" s="45">
        <v>45344.520833333336</v>
      </c>
      <c r="D102" s="44">
        <v>99.949999999999903</v>
      </c>
      <c r="E102" s="44">
        <f t="shared" si="55"/>
        <v>150</v>
      </c>
      <c r="F102" s="44" t="s">
        <v>286</v>
      </c>
      <c r="G102" s="46">
        <v>0.64300000000000002</v>
      </c>
      <c r="H102" s="46">
        <v>0</v>
      </c>
      <c r="I102" s="46">
        <v>0.19</v>
      </c>
      <c r="J102" s="44">
        <v>9000</v>
      </c>
      <c r="K102" s="44">
        <v>9129.6550000000007</v>
      </c>
      <c r="L102" s="44">
        <f t="shared" si="43"/>
        <v>11400.000000069849</v>
      </c>
      <c r="M102" s="44">
        <f t="shared" si="44"/>
        <v>2400.0000000698492</v>
      </c>
      <c r="N102" s="65"/>
      <c r="O102" s="44">
        <v>6.2981798476908803E-3</v>
      </c>
      <c r="P102" s="44">
        <v>2.6518762084858E-2</v>
      </c>
      <c r="R102" s="44">
        <v>4.0497296420652302E-3</v>
      </c>
      <c r="S102" s="46">
        <v>7.0373189273462001E-5</v>
      </c>
      <c r="T102" s="44">
        <v>5.0385647961230301E-3</v>
      </c>
      <c r="U102" s="46">
        <v>2.5716835509553401E-5</v>
      </c>
      <c r="V102" s="46"/>
      <c r="Y102" s="46"/>
      <c r="Z102" s="46"/>
      <c r="AA102" s="46"/>
      <c r="AB102" s="46"/>
      <c r="AF102" s="69"/>
      <c r="AQ102" s="46">
        <f>SUM(BP$5:$BP102)</f>
        <v>10.62366530462976</v>
      </c>
      <c r="AR102" s="46" cm="1">
        <f t="array" ref="AR102">2*SQRT(SUM((BQ$5:$BQ102/2)^2))</f>
        <v>6.0911861184979162E-2</v>
      </c>
      <c r="AS102" s="46">
        <f>SUM($BX$5:BX102)</f>
        <v>4.0876075137239747</v>
      </c>
      <c r="AT102" s="46" cm="1">
        <f t="array" ref="AT102">2*SQRT(SUM(($BY$5:BY102/2)^2))</f>
        <v>0.20946005530750539</v>
      </c>
      <c r="AU102" s="46">
        <f t="shared" si="49"/>
        <v>10.594863078736058</v>
      </c>
      <c r="AV102" s="46"/>
      <c r="AW102" s="46">
        <f t="shared" si="50"/>
        <v>5.7018953168597841</v>
      </c>
      <c r="AX102" s="46"/>
      <c r="AY102" s="69"/>
      <c r="AZ102" s="46">
        <f>'Naive Apparent Lambdas'!$U$2*(10000/(D102+273))+'Naive Apparent Lambdas'!$V$2</f>
        <v>25.457920878543252</v>
      </c>
      <c r="BA102" s="44">
        <f>'Naive Apparent Lambdas'!$V$4</f>
        <v>6.7480704157997479E-2</v>
      </c>
      <c r="BB102" s="46">
        <f t="shared" si="40"/>
        <v>113824187335.1987</v>
      </c>
      <c r="BC102" s="46">
        <f t="shared" si="41"/>
        <v>7680936311.5910273</v>
      </c>
      <c r="BD102" s="46">
        <f>BB102*(D102+273)*$D$145*$F$144</f>
        <v>4.0452429651994258E-5</v>
      </c>
      <c r="BE102" s="46"/>
      <c r="BF102" s="31">
        <f t="shared" si="45"/>
        <v>81296897822.409683</v>
      </c>
      <c r="BG102" s="31">
        <f t="shared" si="46"/>
        <v>88075455148.34697</v>
      </c>
      <c r="BH102" s="46">
        <f t="shared" si="66"/>
        <v>3.5539396853207187E-16</v>
      </c>
      <c r="BI102" s="46"/>
      <c r="BJ102" s="46">
        <f>R102/(1-EXP(-E102*60*BD102))</f>
        <v>1.3270895012570644E-2</v>
      </c>
      <c r="BK102" s="46">
        <f>2*SQRT(
((S102/2) * (1 / (1 - EXP(-E102 * 60 * BB102 * BH102))))^2 +
(BC102 * (-R102 * 60 * E102 * BH102 * EXP(-E102 * 60 * BB102 * BH102) / (1 - EXP(-E102 * 60 * BB102 * BH102))^2))^2
)</f>
        <v>1.5025640307508123E-3</v>
      </c>
      <c r="BL102" s="46">
        <f>R102/(1-EXP(-E102*60*BB102*BH102)*EXP(-(M102-1560)*$CW$126*$BH$122))</f>
        <v>1.3088507122258689E-2</v>
      </c>
      <c r="BM102" s="46">
        <f>2*SQRT(
((S102/2) * (1 / (1 - EXP(-E102 * 60 * BB102 * BH102) * EXP(-(M102 - 1560) * $CW$126 * $BH$48))))^2 +
(BC102 * (-R102 * 60 * E102 * BH102 * EXP(-E102 * 60 * BB102 * BH102) / ((1 - EXP(-E102 * 60 * BB102 * BH102) * EXP(-(M102 - 1560) * $CW$126 * $BH$48))^2)))^2 +
($CX$126 * (-R102 * (M102 - 1560) * $BH$48 * EXP(-(M102 - 1560) * $CW$126 * $BH$48) / ((1 - EXP(-E102 * 60 * BB102 * BH102) * EXP(-(M102 - 1560) * $CW$126 * $BH$48))^2)))^2
)</f>
        <v>1.4640430996308825E-3</v>
      </c>
      <c r="BN102" s="119" cm="1">
        <f t="array" ref="BN102:BO102">BL102:BM102</f>
        <v>1.3088507122258689E-2</v>
      </c>
      <c r="BO102" s="120">
        <v>1.4640430996308825E-3</v>
      </c>
      <c r="BP102" s="26"/>
      <c r="BQ102" s="26"/>
      <c r="BR102" s="75"/>
      <c r="BS102" s="75"/>
      <c r="BT102" s="123">
        <f>BN102*(Y101/R101)*1.10204926384627</f>
        <v>8.8668781300100096E-3</v>
      </c>
      <c r="BU102" s="123">
        <f>2*(((BO102/2)*1.10204926384627*(AB101/(1000)))^2+((AC101/2000)*1.10204926384627*BN102)^2+((0.187040260207234/2)*BN102*(AB101/(1000)))^2)^0.5</f>
        <v>1.9761300804854776E-3</v>
      </c>
      <c r="BV102" s="124">
        <f>BT102</f>
        <v>8.8668781300100096E-3</v>
      </c>
      <c r="BW102" s="125">
        <f>BU102</f>
        <v>1.9761300804854776E-3</v>
      </c>
      <c r="BX102" s="26"/>
      <c r="BY102" s="26"/>
      <c r="BZ102" s="75"/>
      <c r="CA102" s="141">
        <f t="shared" ref="CA102:CA104" si="67">CA101*(EXP(-BH102*BG102*E102))*(EXP(-$BG$140*$F$144*D241*(24+273)*M102))</f>
        <v>1.9132765188779044E-2</v>
      </c>
      <c r="CB102" s="34"/>
      <c r="CC102" s="34"/>
      <c r="CD102" s="34">
        <f t="shared" ref="CD102:CD104" si="68">CD101*(EXP(-BH102*BF102*E102))*(EXP(-$BF$140*$F$144*D241*(24+273)*M102))</f>
        <v>1.428079097273067E-2</v>
      </c>
      <c r="CE102" s="46"/>
      <c r="CF102" s="46"/>
      <c r="CG102" s="46"/>
      <c r="CH102" s="46"/>
      <c r="CI102" s="46"/>
      <c r="CJ102" s="46"/>
      <c r="CK102" s="46"/>
      <c r="CL102" s="46"/>
      <c r="CM102" s="46"/>
      <c r="CN102" s="46"/>
      <c r="CO102" s="46"/>
      <c r="CP102" s="46"/>
      <c r="CQ102" s="46"/>
      <c r="CR102" s="46"/>
      <c r="CS102" s="46"/>
      <c r="CU102" s="46"/>
    </row>
    <row r="103" spans="1:99" x14ac:dyDescent="0.3">
      <c r="A103" t="s">
        <v>197</v>
      </c>
      <c r="B103" t="s">
        <v>633</v>
      </c>
      <c r="C103" s="1">
        <v>45344.643055555556</v>
      </c>
      <c r="D103">
        <v>99.889999999999901</v>
      </c>
      <c r="E103">
        <f>J103/60</f>
        <v>150</v>
      </c>
      <c r="G103" s="2">
        <v>0.63500000000000001</v>
      </c>
      <c r="H103" s="2">
        <v>0</v>
      </c>
      <c r="I103" s="2">
        <v>0.154</v>
      </c>
      <c r="J103">
        <v>9000</v>
      </c>
      <c r="K103">
        <v>5802.0060000000003</v>
      </c>
      <c r="L103">
        <f t="shared" si="43"/>
        <v>10559.999999846332</v>
      </c>
      <c r="M103">
        <f t="shared" si="44"/>
        <v>1559.9999998463318</v>
      </c>
      <c r="N103" s="65"/>
      <c r="O103">
        <v>6.28965121386233E-3</v>
      </c>
      <c r="P103">
        <v>2.6531351674715899E-2</v>
      </c>
      <c r="R103">
        <v>3.9939285208025798E-3</v>
      </c>
      <c r="S103" s="2">
        <v>6.6112230123441902E-5</v>
      </c>
      <c r="T103">
        <v>4.0858281579062398E-3</v>
      </c>
      <c r="U103" s="2">
        <v>2.0857131625968999E-5</v>
      </c>
      <c r="V103" s="2"/>
      <c r="Y103" s="2"/>
      <c r="Z103" s="2"/>
      <c r="AA103" s="2"/>
      <c r="AB103" s="2"/>
      <c r="AQ103" s="2">
        <f>SUM(BP$5:$BP103)</f>
        <v>10.62366530462976</v>
      </c>
      <c r="AR103" s="2" cm="1">
        <f t="array" ref="AR103">2*SQRT(SUM((BQ$5:$BQ103/2)^2))</f>
        <v>6.0911861184979162E-2</v>
      </c>
      <c r="AS103" s="2">
        <f>SUM($BX$5:BX103)</f>
        <v>4.0876075137239747</v>
      </c>
      <c r="AT103" s="2" cm="1">
        <f t="array" ref="AT103">2*SQRT(SUM(($BY$5:BY103/2)^2))</f>
        <v>0.20946005530750539</v>
      </c>
      <c r="AU103" s="2">
        <f t="shared" si="49"/>
        <v>10.598857007256861</v>
      </c>
      <c r="AV103" s="2"/>
      <c r="AW103" s="2">
        <f t="shared" si="50"/>
        <v>5.7059811450176907</v>
      </c>
      <c r="AX103" s="2"/>
      <c r="AZ103" s="2">
        <f>'Naive Apparent Lambdas'!$U$2*(10000/(D103+273))+'Naive Apparent Lambdas'!$V$2</f>
        <v>25.455707799175855</v>
      </c>
      <c r="BA103">
        <f>'Naive Apparent Lambdas'!$V$4</f>
        <v>6.7480704157997479E-2</v>
      </c>
      <c r="BB103" s="2">
        <f t="shared" si="40"/>
        <v>113572563908.7016</v>
      </c>
      <c r="BC103" s="2">
        <f t="shared" si="41"/>
        <v>7663956585.5883541</v>
      </c>
      <c r="BD103" s="2">
        <f>BB103*(D103+273)*$D$145*$F$144</f>
        <v>4.0356510624971849E-5</v>
      </c>
      <c r="BE103" s="2"/>
      <c r="BF103" s="31">
        <f t="shared" si="45"/>
        <v>81210448602.802063</v>
      </c>
      <c r="BG103" s="31">
        <f t="shared" si="46"/>
        <v>87980708871.843613</v>
      </c>
      <c r="BH103" s="2">
        <f t="shared" si="66"/>
        <v>3.55336792937188E-16</v>
      </c>
      <c r="BI103" s="2"/>
      <c r="BJ103" s="2">
        <f>R103/(1-EXP(-E103*60*BD103))</f>
        <v>1.3113824058352456E-2</v>
      </c>
      <c r="BK103" s="2">
        <f>2*SQRT(
((S103/2) * (1 / (1 - EXP(-E103 * 60 * BB103 * BH103))))^2 +
(BC103 * (-R103 * 60 * E103 * BH103 * EXP(-E103 * 60 * BB103 * BH103) / (1 - EXP(-E103 * 60 * BB103 * BH103))^2))^2
)</f>
        <v>1.4838244112887456E-3</v>
      </c>
      <c r="BL103" s="2">
        <f>R103/(1-EXP(-E103*60*BB103*BH103)*EXP(-(M103-1560)*$CW$126*$BH$122))</f>
        <v>1.3113824058386086E-2</v>
      </c>
      <c r="BM103" s="2">
        <f>2*SQRT(
((S103/2) * (1 / (1 - EXP(-E103 * 60 * BB103 * BH103) * EXP(-(M103 - 1560) * $CW$126 * $BH$48))))^2 +
(BC103 * (-R103 * 60 * E103 * BH103 * EXP(-E103 * 60 * BB103 * BH103) / ((1 - EXP(-E103 * 60 * BB103 * BH103) * EXP(-(M103 - 1560) * $CW$126 * $BH$48))^2)))^2 +
($CX$126 * (-R103 * (M103 - 1560) * $BH$48 * EXP(-(M103 - 1560) * $CW$126 * $BH$48) / ((1 - EXP(-E103 * 60 * BB103 * BH103) * EXP(-(M103 - 1560) * $CW$126 * $BH$48))^2)))^2
)</f>
        <v>1.4838244112962747E-3</v>
      </c>
      <c r="BN103" s="107">
        <f>BN102-R102</f>
        <v>9.0387774801934592E-3</v>
      </c>
      <c r="BO103" s="101">
        <f>BO102+S102</f>
        <v>1.5344162889043445E-3</v>
      </c>
      <c r="BP103" s="22"/>
      <c r="BQ103" s="22"/>
      <c r="BT103" s="2"/>
      <c r="BU103" s="2"/>
      <c r="BV103" s="54">
        <f>BV102*EXP(-BB102*BH102*E102*60*0.91357457380209)*EXP(-(M102-1560)*$CW$126*$BH$48*0.91357457380209)</f>
        <v>6.3224563088880937E-3</v>
      </c>
      <c r="BW103" s="99">
        <f>2*SQRT(
((BW102/2) * EXP(-BB102 * BH102 * E102 * 60 * 0.91357457380209) * EXP(-(M102 - 1560) * $CW$126 * $BH$48 * 0.91357457380209))^2 +
(BC102 * (-BV102 * BH102 * E102 * 60 * 0.91357457380209 * EXP(-BB102 * BH102 * E102 * 60 * 0.91357457380209) * EXP(-(M102 - 1560) * $CW$126 * $BH$48 * 0.91357457380209)))^2 +
((0.146030972937065 / 2) * BV102 * (-BB102 * BH102 * E102 * 60 - (M102 - 1560) * $CW$126 * $BH$48) * EXP(-BB102 * BH102 * E102 * 60 * 0.91357457380209) * EXP(-(M102 - 1560) * $CW$126 * $BH$48 * 0.91357457380209))^2 +
-(M102-1560)*$BH$48*0.91357457380209*BV102*EXP(-BB102*BH102*E102*60*0.91357457380209)*EXP(-(M102-1560)*$CW$126*$BH$48*0.91357457380209))</f>
        <v>1.4774435786374092E-3</v>
      </c>
      <c r="BX103" s="22"/>
      <c r="BY103" s="22"/>
      <c r="CA103" s="141">
        <f t="shared" si="67"/>
        <v>1.9043253708417449E-2</v>
      </c>
      <c r="CB103" s="34"/>
      <c r="CC103" s="34"/>
      <c r="CD103" s="34">
        <f t="shared" si="68"/>
        <v>1.4219109318318029E-2</v>
      </c>
      <c r="CE103" s="2"/>
      <c r="CF103" s="2"/>
      <c r="CS103" s="2"/>
    </row>
    <row r="104" spans="1:99" x14ac:dyDescent="0.3">
      <c r="A104" t="s">
        <v>198</v>
      </c>
      <c r="B104" t="s">
        <v>199</v>
      </c>
      <c r="C104" s="1">
        <v>45344.786111111112</v>
      </c>
      <c r="D104">
        <v>100</v>
      </c>
      <c r="E104">
        <f t="shared" si="55"/>
        <v>150</v>
      </c>
      <c r="G104" s="2">
        <v>0.68700000000000006</v>
      </c>
      <c r="H104" s="2">
        <v>0</v>
      </c>
      <c r="I104" s="2">
        <v>0.52900000000000003</v>
      </c>
      <c r="J104">
        <v>9000</v>
      </c>
      <c r="K104">
        <v>9124.5130000000008</v>
      </c>
      <c r="L104">
        <f t="shared" si="43"/>
        <v>12360.000000055879</v>
      </c>
      <c r="M104">
        <f t="shared" si="44"/>
        <v>3360.0000000558794</v>
      </c>
      <c r="N104" s="65"/>
      <c r="O104">
        <v>6.2856210103967997E-3</v>
      </c>
      <c r="P104">
        <v>2.6568270001073199E-2</v>
      </c>
      <c r="R104">
        <v>4.3182216341426001E-3</v>
      </c>
      <c r="S104" s="2">
        <v>6.9261888705168104E-5</v>
      </c>
      <c r="T104">
        <v>1.40546148305677E-2</v>
      </c>
      <c r="U104" s="2">
        <v>7.1700189013167905E-5</v>
      </c>
      <c r="V104" s="2"/>
      <c r="Y104" s="2"/>
      <c r="Z104" s="2"/>
      <c r="AA104" s="2"/>
      <c r="AB104" s="2"/>
      <c r="AQ104" s="2">
        <f>SUM(BP$5:$BP104)</f>
        <v>10.62366530462976</v>
      </c>
      <c r="AR104" s="2" cm="1">
        <f t="array" ref="AR104">2*SQRT(SUM((BQ$5:$BQ104/2)^2))</f>
        <v>6.0911861184979162E-2</v>
      </c>
      <c r="AS104" s="2">
        <f>SUM($BX$5:BX104)</f>
        <v>4.0876075137239747</v>
      </c>
      <c r="AT104" s="2" cm="1">
        <f t="array" ref="AT104">2*SQRT(SUM(($BY$5:BY104/2)^2))</f>
        <v>0.20946005530750539</v>
      </c>
      <c r="AU104" s="2">
        <f t="shared" si="49"/>
        <v>10.603175228891002</v>
      </c>
      <c r="AV104" s="2"/>
      <c r="AW104" s="2">
        <f t="shared" si="50"/>
        <v>5.7200357598482583</v>
      </c>
      <c r="AX104" s="2"/>
      <c r="AZ104" s="2">
        <f>'Naive Apparent Lambdas'!$U$2*(10000/(D104+273))+'Naive Apparent Lambdas'!$V$2</f>
        <v>25.45976456747379</v>
      </c>
      <c r="BA104">
        <f>'Naive Apparent Lambdas'!$V$4</f>
        <v>6.7480704157997479E-2</v>
      </c>
      <c r="BB104" s="2">
        <f t="shared" si="40"/>
        <v>114034237303.31673</v>
      </c>
      <c r="BC104" s="2">
        <f t="shared" si="41"/>
        <v>7695110631.3479958</v>
      </c>
      <c r="BD104" s="2">
        <f>BB104*(D104+273)*$D$145*$F$144</f>
        <v>4.053251345654956E-5</v>
      </c>
      <c r="BE104" s="2"/>
      <c r="BF104" s="31">
        <f t="shared" si="45"/>
        <v>81368987856.687653</v>
      </c>
      <c r="BG104" s="31">
        <f t="shared" si="46"/>
        <v>88154464997.476822</v>
      </c>
      <c r="BH104" s="2">
        <f t="shared" si="66"/>
        <v>3.5544161486114176E-16</v>
      </c>
      <c r="BI104" s="2"/>
      <c r="BJ104" s="2">
        <f>R104/(1-EXP(-E104*60*BD104))</f>
        <v>1.4127561668925485E-2</v>
      </c>
      <c r="BK104" s="2">
        <f>2*SQRT(
((S104/2) * (1 / (1 - EXP(-E104 * 60 * BB104 * BH104))))^2 +
(BC104 * (-R104 * 60 * E104 * BH104 * EXP(-E104 * 60 * BB104 * BH104) / (1 - EXP(-E104 * 60 * BB104 * BH104))^2))^2
)</f>
        <v>1.5961685511364492E-3</v>
      </c>
      <c r="BL104" s="2">
        <f>R104/(1-EXP(-E104*60*BB104*BH104)*EXP(-(M104-1560)*$CW$126*$BH$122))</f>
        <v>1.3720260592636584E-2</v>
      </c>
      <c r="BM104" s="2">
        <f>2*SQRT(
((S104/2) * (1 / (1 - EXP(-E104 * 60 * BB104 * BH104) * EXP(-(M104 - 1560) * $CW$126 * $BH$48))))^2 +
(BC104 * (-R104 * 60 * E104 * BH104 * EXP(-E104 * 60 * BB104 * BH104) / ((1 - EXP(-E104 * 60 * BB104 * BH104) * EXP(-(M104 - 1560) * $CW$126 * $BH$48))^2)))^2 +
($CX$126 * (-R104 * (M104 - 1560) * $BH$48 * EXP(-(M104 - 1560) * $CW$126 * $BH$48) / ((1 - EXP(-E104 * 60 * BB104 * BH104) * EXP(-(M104 - 1560) * $CW$126 * $BH$48))^2)))^2
)</f>
        <v>1.5157457339442819E-3</v>
      </c>
      <c r="BN104" s="107">
        <f>BN103-R103</f>
        <v>5.0448489593908795E-3</v>
      </c>
      <c r="BO104" s="101">
        <f>BO103+S103</f>
        <v>1.6005285190277864E-3</v>
      </c>
      <c r="BP104" s="22"/>
      <c r="BQ104" s="22"/>
      <c r="BT104" s="2"/>
      <c r="BU104" s="2"/>
      <c r="BV104" s="54">
        <f>BV103*EXP(-BB103*BH103*E103*60*0.91357457380209)*EXP(-(M103-1560)*$CW$126*$BH$48*0.91357457380209)</f>
        <v>4.5371073035470272E-3</v>
      </c>
      <c r="BW104" s="99">
        <f>2*SQRT(
((BW103/2) * EXP(-BB103 * BH103 * E103 * 60 * 0.91357457380209) * EXP(-(M103 - 1560) * $CW$126 * $BH$48 * 0.91357457380209))^2 +
(BC103 * (-BV103 * BH103 * E103 * 60 * 0.91357457380209 * EXP(-BB103 * BH103 * E103 * 60 * 0.91357457380209) * EXP(-(M103 - 1560) * $CW$126 * $BH$48 * 0.91357457380209)))^2 +
((0.146030972937065 / 2) * BV103 * (-BB103 * BH103 * E103 * 60 - (M103 - 1560) * $CW$126 * $BH$48) * EXP(-BB103 * BH103 * E103 * 60 * 0.91357457380209) * EXP(-(M103 - 1560) * $CW$126 * $BH$48 * 0.91357457380209))^2 +
-(M103-1560)*$BH$48*0.91357457380209*BV103*EXP(-BB103*BH103*E103*60*0.91357457380209)*EXP(-(M103-1560)*$CW$126*$BH$48*0.91357457380209))</f>
        <v>1.1060302932567627E-3</v>
      </c>
      <c r="BX104" s="22"/>
      <c r="BY104" s="22"/>
      <c r="CA104" s="141">
        <f t="shared" si="67"/>
        <v>1.895395919119609E-2</v>
      </c>
      <c r="CB104" s="34"/>
      <c r="CC104" s="34"/>
      <c r="CD104" s="34">
        <f t="shared" si="68"/>
        <v>1.4157556331366759E-2</v>
      </c>
      <c r="CE104" s="2"/>
      <c r="CF104" s="2"/>
      <c r="CS104" s="2"/>
    </row>
    <row r="105" spans="1:99" s="29" customFormat="1" x14ac:dyDescent="0.3">
      <c r="A105" s="29" t="s">
        <v>200</v>
      </c>
      <c r="B105" s="29" t="s">
        <v>201</v>
      </c>
      <c r="C105" s="30">
        <v>45345.151388888888</v>
      </c>
      <c r="D105" s="29">
        <v>230</v>
      </c>
      <c r="E105" s="29">
        <f t="shared" si="55"/>
        <v>500</v>
      </c>
      <c r="F105" s="29" t="s">
        <v>289</v>
      </c>
      <c r="G105" s="31">
        <v>24.5</v>
      </c>
      <c r="H105" s="31">
        <v>0</v>
      </c>
      <c r="I105" s="31">
        <v>3.95</v>
      </c>
      <c r="J105" s="29">
        <v>30000</v>
      </c>
      <c r="K105" s="29">
        <v>30129.907999999999</v>
      </c>
      <c r="L105" s="29">
        <f t="shared" si="43"/>
        <v>31559.999999776483</v>
      </c>
      <c r="M105" s="29">
        <f t="shared" si="44"/>
        <v>1559.9999997764826</v>
      </c>
      <c r="N105" s="65"/>
      <c r="O105" s="29">
        <v>6.3256438308951796E-3</v>
      </c>
      <c r="P105" s="29">
        <v>2.6604729729729701E-2</v>
      </c>
      <c r="R105" s="29">
        <v>0.154978273856932</v>
      </c>
      <c r="S105" s="29">
        <v>2.6152352232249499E-3</v>
      </c>
      <c r="T105" s="29">
        <v>0.105088682432432</v>
      </c>
      <c r="U105" s="29">
        <v>4.57805792246963E-4</v>
      </c>
      <c r="W105" s="31">
        <f>(1000*T105/R105)/$AG$140</f>
        <v>0.67963611656377465</v>
      </c>
      <c r="X105" s="31"/>
      <c r="Y105" s="31">
        <f>T105-AVERAGE(T106:T108)</f>
        <v>0.10035689851050061</v>
      </c>
      <c r="Z105" s="31">
        <f>U105+AVERAGE(T106:T108)</f>
        <v>5.1895897141783403E-3</v>
      </c>
      <c r="AA105" s="31"/>
      <c r="AB105" s="31">
        <f>(Y105*1000)/R105</f>
        <v>647.55462822579227</v>
      </c>
      <c r="AC105" s="31">
        <f>2*((1000*Z105/(2*R105))^2+((S105/2)*1000*Y105/(R105^2))^2)^0.5</f>
        <v>35.223777204248222</v>
      </c>
      <c r="AD105" s="31">
        <f>AB105/$AG$140</f>
        <v>0.64903442687955926</v>
      </c>
      <c r="AE105" s="31">
        <f>2*(($AH$140*AB105/(2*$AG$140^2))^2+(AC105/($AG$140*2))^2)^0.5</f>
        <v>3.5979203775221506E-2</v>
      </c>
      <c r="AF105" s="69"/>
      <c r="AG105" s="31" cm="1">
        <f t="array" ref="AG105:AH105">BP105:BQ105</f>
        <v>0.16707467664304859</v>
      </c>
      <c r="AH105" s="29">
        <v>3.373889618939929E-3</v>
      </c>
      <c r="AI105" s="31" cm="1">
        <f t="array" ref="AI105:AJ105">BX105:BY105</f>
        <v>0.10629552541387223</v>
      </c>
      <c r="AJ105" s="29">
        <v>5.5813379305753776E-3</v>
      </c>
      <c r="AL105" s="31">
        <f>1000*AI105/AG105</f>
        <v>636.21565846852002</v>
      </c>
      <c r="AM105" s="31">
        <f>2*((AH105*1000*AI105/(2*AG105^2))^2+(1000*AJ105/(AG105*2))^2)^0.5</f>
        <v>35.791621051319837</v>
      </c>
      <c r="AN105" s="31">
        <f>AL105/$AG$140</f>
        <v>0.63766954518922292</v>
      </c>
      <c r="AO105" s="31">
        <f>2*(($AH$140*AL105/(2*$AG$140^2))^2+(AM105/($AG$140*2))^2)^0.5</f>
        <v>3.6514971166250694E-2</v>
      </c>
      <c r="AP105" s="31"/>
      <c r="AQ105" s="31">
        <f>SUM(BP$5:$BP105)</f>
        <v>10.790739981272809</v>
      </c>
      <c r="AR105" s="31" cm="1">
        <f t="array" ref="AR105">2*SQRT(SUM((BQ$5:$BQ105/2)^2))</f>
        <v>6.1005228990464101E-2</v>
      </c>
      <c r="AS105" s="31">
        <f>SUM($BX$5:BX105)</f>
        <v>4.1939030391378473</v>
      </c>
      <c r="AT105" s="31" cm="1">
        <f t="array" ref="AT105">2*SQRT(SUM(($BY$5:BY105/2)^2))</f>
        <v>0.20953440314783273</v>
      </c>
      <c r="AU105" s="31">
        <f t="shared" si="49"/>
        <v>10.758153502747934</v>
      </c>
      <c r="AV105" s="31"/>
      <c r="AW105" s="31">
        <f t="shared" si="50"/>
        <v>5.82512444228069</v>
      </c>
      <c r="AX105" s="31"/>
      <c r="AY105" s="69"/>
      <c r="AZ105" s="31"/>
      <c r="BB105" s="31"/>
      <c r="BC105" s="31"/>
      <c r="BD105" s="31"/>
      <c r="BE105" s="31"/>
      <c r="BF105" s="31">
        <f t="shared" si="45"/>
        <v>449299634150.43091</v>
      </c>
      <c r="BG105" s="31">
        <f t="shared" si="46"/>
        <v>496539487006.60864</v>
      </c>
      <c r="BH105" s="31">
        <f t="shared" si="66"/>
        <v>4.7932207044277302E-16</v>
      </c>
      <c r="BI105" s="31"/>
      <c r="BJ105" s="31"/>
      <c r="BK105" s="31"/>
      <c r="BL105" s="31"/>
      <c r="BM105" s="31"/>
      <c r="BN105" s="111">
        <f>BN104-R104</f>
        <v>7.2662732524827935E-4</v>
      </c>
      <c r="BO105" s="112">
        <f>BO104+S104</f>
        <v>1.6697904077329546E-3</v>
      </c>
      <c r="BP105" s="23">
        <f>R105+BN106-BN105</f>
        <v>0.16707467664304859</v>
      </c>
      <c r="BQ105" s="23">
        <f>2*(((BO105/2)^2+(BO106/2)^2+(S105/2)^2)^(0.5))</f>
        <v>3.373889618939929E-3</v>
      </c>
      <c r="BR105" s="72">
        <f>100*(BP105-R105)/R105</f>
        <v>7.805224877703421</v>
      </c>
      <c r="BS105" s="72"/>
      <c r="BT105" s="31"/>
      <c r="BU105" s="31"/>
      <c r="BV105" s="114">
        <f>BV104*EXP(-BB104*BH104*E104*60*0.91357457380209)*EXP(-(M104-1560)*$CW$126*$BH$48*0.91357457380209)</f>
        <v>3.2123631356532141E-3</v>
      </c>
      <c r="BW105" s="116">
        <f>2*SQRT(
((BW104/2) * EXP(-BB104 * BH104 * E104 * 60 * 0.91357457380209) * EXP(-(M104 - 1560) * $CW$126 * $BH$48 * 0.91357457380209))^2 +
(BC104 * (-BV104 * BH104 * E104 * 60 * 0.91357457380209 * EXP(-BB104 * BH104 * E104 * 60 * 0.91357457380209) * EXP(-(M104 - 1560) * $CW$126 * $BH$48 * 0.91357457380209)))^2 +
((0.146030972937065 / 2) * BV104 * (-BB104 * BH104 * E104 * 60 - (M104 - 1560) * $CW$126 * $BH$48) * EXP(-BB104 * BH104 * E104 * 60 * 0.91357457380209) * EXP(-(M104 - 1560) * $CW$126 * $BH$48 * 0.91357457380209))^2 +
-(M104-1560)*$BH$48*0.91357457380209*BV104*EXP(-BB104*BH104*E104*60*0.91357457380209)*EXP(-(M104-1560)*$CW$126*$BH$48*0.91357457380209))</f>
        <v>8.1580802125176153E-4</v>
      </c>
      <c r="BX105" s="23">
        <f>Y105+BV106-BV105</f>
        <v>0.10629552541387223</v>
      </c>
      <c r="BY105" s="23">
        <f>2*(((BW105/2)^2+(BW106/2)^2+(Z105/2)^2)^(0.5))</f>
        <v>5.5813379305753776E-3</v>
      </c>
      <c r="BZ105" s="72">
        <f>100*(BX105-Y105)/Y105</f>
        <v>5.9175074075752159</v>
      </c>
      <c r="CA105" s="140">
        <f>R105*CC105</f>
        <v>2.5240473254976706E-2</v>
      </c>
      <c r="CB105" s="31">
        <f>BH105*BG105*J105</f>
        <v>7.1400700490580018</v>
      </c>
      <c r="CC105" s="31">
        <f>1/(CB105-1)</f>
        <v>0.16286459144768523</v>
      </c>
      <c r="CD105" s="31">
        <f>CF105*T105</f>
        <v>1.9244273084753682E-2</v>
      </c>
      <c r="CE105" s="31">
        <f>BH105*BF105*J105</f>
        <v>6.4607769267049493</v>
      </c>
      <c r="CF105" s="31">
        <f>1/(CE105-1)</f>
        <v>0.18312412563671654</v>
      </c>
      <c r="CG105" s="31">
        <f>R105-CA101</f>
        <v>0.1357554648497544</v>
      </c>
      <c r="CH105" s="31">
        <f>R105+CA105</f>
        <v>0.18021874711190872</v>
      </c>
      <c r="CI105" s="31">
        <f>T105-CD101</f>
        <v>9.0745866145226228E-2</v>
      </c>
      <c r="CJ105" s="31">
        <f>T105+CD105</f>
        <v>0.12433295551718568</v>
      </c>
      <c r="CK105" s="31">
        <f>CE105*1.29</f>
        <v>8.3344022354493852</v>
      </c>
      <c r="CL105" s="31">
        <f>R105 / (CK105-1)</f>
        <v>2.1130321038008403E-2</v>
      </c>
      <c r="CM105" s="31">
        <f>1000*T105/R105</f>
        <v>678.08654604996104</v>
      </c>
      <c r="CN105" s="31">
        <f>1000*(T105+CD105)/(R105+CL105)</f>
        <v>706.00163263671448</v>
      </c>
      <c r="CO105" s="31">
        <f>1000*(T105-CD101)/(R105-CL101)</f>
        <v>653.70111662898546</v>
      </c>
      <c r="CP105" s="31">
        <f>1000*(T105+CD105-CD101)/(R105+CL105-CL101)</f>
        <v>687.65795104438541</v>
      </c>
      <c r="CQ105" s="31">
        <f>MAX(CM105:CP105)</f>
        <v>706.00163263671448</v>
      </c>
      <c r="CR105" s="31">
        <f>MIN(CM105:CP105)</f>
        <v>653.70111662898546</v>
      </c>
      <c r="CS105" s="31"/>
    </row>
    <row r="106" spans="1:99" s="32" customFormat="1" x14ac:dyDescent="0.3">
      <c r="A106" s="32" t="s">
        <v>202</v>
      </c>
      <c r="B106" s="32" t="s">
        <v>203</v>
      </c>
      <c r="C106" s="33">
        <v>45345.273611111108</v>
      </c>
      <c r="D106" s="32">
        <v>110</v>
      </c>
      <c r="E106" s="32">
        <f t="shared" si="55"/>
        <v>150</v>
      </c>
      <c r="F106" s="32" t="s">
        <v>286</v>
      </c>
      <c r="G106" s="34">
        <v>0.84099999999999997</v>
      </c>
      <c r="H106" s="34">
        <v>0</v>
      </c>
      <c r="I106" s="34">
        <v>0.26900000000000002</v>
      </c>
      <c r="J106" s="32">
        <v>9000</v>
      </c>
      <c r="K106" s="32">
        <v>9127.4249999999993</v>
      </c>
      <c r="L106" s="32">
        <f t="shared" si="43"/>
        <v>10559.999999846332</v>
      </c>
      <c r="M106" s="32">
        <f t="shared" si="44"/>
        <v>1559.9999998463318</v>
      </c>
      <c r="N106" s="65"/>
      <c r="O106" s="32">
        <v>6.32978723404255E-3</v>
      </c>
      <c r="P106" s="32">
        <v>2.6598367720647699E-2</v>
      </c>
      <c r="R106" s="32">
        <v>5.3233510638297796E-3</v>
      </c>
      <c r="S106" s="34">
        <v>8.8264614113527006E-5</v>
      </c>
      <c r="T106" s="32">
        <v>7.1549609168542298E-3</v>
      </c>
      <c r="U106" s="34">
        <v>3.0637816837095601E-5</v>
      </c>
      <c r="V106" s="34"/>
      <c r="Y106" s="34"/>
      <c r="Z106" s="34"/>
      <c r="AA106" s="34"/>
      <c r="AB106" s="34"/>
      <c r="AF106" s="69"/>
      <c r="AQ106" s="34">
        <f>SUM(BP$5:$BP106)</f>
        <v>10.790739981272809</v>
      </c>
      <c r="AR106" s="34" cm="1">
        <f t="array" ref="AR106">2*SQRT(SUM((BQ$5:$BQ106/2)^2))</f>
        <v>6.1005228990464101E-2</v>
      </c>
      <c r="AS106" s="34">
        <f>SUM($BX$5:BX106)</f>
        <v>4.1939030391378473</v>
      </c>
      <c r="AT106" s="34" cm="1">
        <f t="array" ref="AT106">2*SQRT(SUM(($BY$5:BY106/2)^2))</f>
        <v>0.20953440314783273</v>
      </c>
      <c r="AU106" s="34">
        <f t="shared" si="49"/>
        <v>10.763476853811763</v>
      </c>
      <c r="AV106" s="34"/>
      <c r="AW106" s="34">
        <f t="shared" si="50"/>
        <v>5.8322794031975445</v>
      </c>
      <c r="AX106" s="34"/>
      <c r="AY106" s="69"/>
      <c r="AZ106" s="34">
        <f>'Naive Apparent Lambdas'!$U$2*(10000/(D106+273))+'Naive Apparent Lambdas'!$V$2</f>
        <v>25.818826597052521</v>
      </c>
      <c r="BA106" s="32">
        <f>'Naive Apparent Lambdas'!$V$4</f>
        <v>6.7480704157997479E-2</v>
      </c>
      <c r="BB106" s="34">
        <f t="shared" si="40"/>
        <v>163295388494.29288</v>
      </c>
      <c r="BC106" s="34">
        <f t="shared" si="41"/>
        <v>11019287801.348642</v>
      </c>
      <c r="BD106" s="34">
        <f>BB106*(D106+273)*$D$145*$F$144</f>
        <v>5.9598061748946858E-5</v>
      </c>
      <c r="BE106" s="34"/>
      <c r="BF106" s="31">
        <f t="shared" si="45"/>
        <v>96700059240.232132</v>
      </c>
      <c r="BG106" s="31">
        <f t="shared" si="46"/>
        <v>104974596762.32733</v>
      </c>
      <c r="BH106" s="34">
        <f t="shared" si="66"/>
        <v>3.6497088067511346E-16</v>
      </c>
      <c r="BI106" s="34"/>
      <c r="BJ106" s="34">
        <f>R106/(1-EXP(-E106*60*BD106))</f>
        <v>1.2823030111364887E-2</v>
      </c>
      <c r="BK106" s="34">
        <f>2*SQRT(
((S106/2) * (1 / (1 - EXP(-E106 * 60 * BB106 * BH106))))^2 +
(BC106 * (-R106 * 60 * E106 * BH106 * EXP(-E106 * 60 * BB106 * BH106) / (1 - EXP(-E106 * 60 * BB106 * BH106))^2))^2
)</f>
        <v>1.3249437279511827E-3</v>
      </c>
      <c r="BL106" s="34">
        <f>R106/(1-EXP(-E106*60*BB106*BH106)*EXP(-(M106-1560)*$CW$126*$BH$122))</f>
        <v>1.2823030111385176E-2</v>
      </c>
      <c r="BM106" s="34">
        <f>2*SQRT(
((S106/2) * (1 / (1 - EXP(-E106 * 60 * BB106 * BH106) * EXP(-(M106 - 1560) * $CW$126 * $BH$48))))^2 +
(BC106 * (-R106 * 60 * E106 * BH106 * EXP(-E106 * 60 * BB106 * BH106) / ((1 - EXP(-E106 * 60 * BB106 * BH106) * EXP(-(M106 - 1560) * $CW$126 * $BH$48))^2)))^2 +
($CX$126 * (-R106 * (M106 - 1560) * $BH$48 * EXP(-(M106 - 1560) * $CW$126 * $BH$48) / ((1 - EXP(-E106 * 60 * BB106 * BH106) * EXP(-(M106 - 1560) * $CW$126 * $BH$48))^2)))^2
)</f>
        <v>1.3249437279553211E-3</v>
      </c>
      <c r="BN106" s="117" cm="1">
        <f t="array" ref="BN106:BO106">BJ106:BK106</f>
        <v>1.2823030111364887E-2</v>
      </c>
      <c r="BO106" s="118">
        <v>1.3249437279511827E-3</v>
      </c>
      <c r="BP106" s="24"/>
      <c r="BQ106" s="24"/>
      <c r="BR106" s="73"/>
      <c r="BS106" s="73"/>
      <c r="BT106" s="123">
        <f>BN106*(Y105/R105)*1.10204926384627</f>
        <v>9.1509900390248314E-3</v>
      </c>
      <c r="BU106" s="123">
        <f>2*(((BO106/2)*1.10204926384627*(AB105/(1000)))^2+((AC105/2000)*1.10204926384627*BN106)^2+((0.187040260207234/2)*BN106*(AB105/(1000)))^2)^0.5</f>
        <v>1.8851920237034454E-3</v>
      </c>
      <c r="BV106" s="124">
        <f>BT106</f>
        <v>9.1509900390248314E-3</v>
      </c>
      <c r="BW106" s="125">
        <f>BU106</f>
        <v>1.8851920237034454E-3</v>
      </c>
      <c r="BX106" s="24"/>
      <c r="BY106" s="24"/>
      <c r="BZ106" s="73"/>
      <c r="CA106" s="141">
        <f t="shared" ref="CA106:CA108" si="69">CA105*(EXP(-BH106*BG106*E106))*(EXP(-$BG$140*$F$144*D245*(24+273)*M106))</f>
        <v>2.5095834772286947E-2</v>
      </c>
      <c r="CB106" s="34"/>
      <c r="CC106" s="34"/>
      <c r="CD106" s="34">
        <f t="shared" ref="CD106:CD108" si="70">CD105*(EXP(-BH106*BF106*E106))*(EXP(-$BF$140*$F$144*D245*(24+273)*M106))</f>
        <v>1.9142664903931041E-2</v>
      </c>
      <c r="CE106" s="34"/>
      <c r="CF106" s="34"/>
      <c r="CG106" s="34"/>
      <c r="CH106" s="34"/>
      <c r="CI106" s="34"/>
      <c r="CJ106" s="34"/>
      <c r="CK106" s="34"/>
      <c r="CL106" s="34"/>
      <c r="CM106" s="34"/>
      <c r="CN106" s="34"/>
      <c r="CO106" s="34"/>
      <c r="CP106" s="34"/>
      <c r="CQ106" s="34"/>
      <c r="CR106" s="34"/>
      <c r="CS106" s="34"/>
    </row>
    <row r="107" spans="1:99" x14ac:dyDescent="0.3">
      <c r="A107" t="s">
        <v>204</v>
      </c>
      <c r="B107" t="s">
        <v>205</v>
      </c>
      <c r="C107" s="1">
        <v>45345.395833333336</v>
      </c>
      <c r="D107">
        <v>109.87</v>
      </c>
      <c r="E107">
        <f t="shared" si="55"/>
        <v>150</v>
      </c>
      <c r="G107" s="2">
        <v>0.68</v>
      </c>
      <c r="H107" s="2">
        <v>0</v>
      </c>
      <c r="I107" s="2">
        <v>0.124</v>
      </c>
      <c r="J107">
        <v>9000</v>
      </c>
      <c r="K107">
        <v>9129.1540000000005</v>
      </c>
      <c r="L107">
        <f t="shared" si="43"/>
        <v>10560.000000474975</v>
      </c>
      <c r="M107">
        <f t="shared" si="44"/>
        <v>1560.0000004749745</v>
      </c>
      <c r="N107" s="65"/>
      <c r="O107">
        <v>6.32978723404255E-3</v>
      </c>
      <c r="P107">
        <v>2.65688827473484E-2</v>
      </c>
      <c r="R107">
        <v>4.3042553191489303E-3</v>
      </c>
      <c r="S107" s="2">
        <v>6.7803866599236396E-5</v>
      </c>
      <c r="T107">
        <v>3.2945414606712002E-3</v>
      </c>
      <c r="U107" s="2">
        <v>1.5027905318092601E-5</v>
      </c>
      <c r="V107" s="2"/>
      <c r="Y107" s="2"/>
      <c r="Z107" s="2"/>
      <c r="AA107" s="2"/>
      <c r="AB107" s="2"/>
      <c r="AQ107" s="2">
        <f>SUM(BP$5:$BP107)</f>
        <v>10.790739981272809</v>
      </c>
      <c r="AR107" s="2" cm="1">
        <f t="array" ref="AR107">2*SQRT(SUM((BQ$5:$BQ107/2)^2))</f>
        <v>6.1005228990464101E-2</v>
      </c>
      <c r="AS107" s="2">
        <f>SUM($BX$5:BX107)</f>
        <v>4.1939030391378473</v>
      </c>
      <c r="AT107" s="2" cm="1">
        <f t="array" ref="AT107">2*SQRT(SUM(($BY$5:BY107/2)^2))</f>
        <v>0.20953440314783273</v>
      </c>
      <c r="AU107" s="2">
        <f t="shared" si="49"/>
        <v>10.767781109130912</v>
      </c>
      <c r="AV107" s="2"/>
      <c r="AW107" s="2">
        <f t="shared" si="50"/>
        <v>5.8355739446582158</v>
      </c>
      <c r="AX107" s="2"/>
      <c r="AZ107" s="2">
        <f>'Naive Apparent Lambdas'!$U$2*(10000/(D107+273))+'Naive Apparent Lambdas'!$V$2</f>
        <v>25.814279121978927</v>
      </c>
      <c r="BA107">
        <f>'Naive Apparent Lambdas'!$V$4</f>
        <v>6.7480704157997479E-2</v>
      </c>
      <c r="BB107" s="2">
        <f t="shared" si="40"/>
        <v>162554492664.92142</v>
      </c>
      <c r="BC107" s="2">
        <f t="shared" si="41"/>
        <v>10969291629.074934</v>
      </c>
      <c r="BD107" s="2">
        <f>BB107*(D107+273)*$D$145*$F$144</f>
        <v>5.9307519021004465E-5</v>
      </c>
      <c r="BE107" s="2"/>
      <c r="BF107" s="31">
        <f t="shared" si="45"/>
        <v>96488883730.770706</v>
      </c>
      <c r="BG107" s="31">
        <f t="shared" si="46"/>
        <v>104742687366.71956</v>
      </c>
      <c r="BH107" s="2">
        <f t="shared" si="66"/>
        <v>3.6484700021953181E-16</v>
      </c>
      <c r="BI107" s="2"/>
      <c r="BJ107" s="2">
        <f>R107/(1-EXP(-E107*60*BD107))</f>
        <v>1.0406592295849827E-2</v>
      </c>
      <c r="BK107" s="2">
        <f>2*SQRT(
((S107/2) * (1 / (1 - EXP(-E107 * 60 * BB107 * BH107))))^2 +
(BC107 * (-R107 * 60 * E107 * BH107 * EXP(-E107 * 60 * BB107 * BH107) / (1 - EXP(-E107 * 60 * BB107 * BH107))^2))^2
)</f>
        <v>1.0754098054195356E-3</v>
      </c>
      <c r="BL107" s="2">
        <f>R107/(1-EXP(-E107*60*BB107*BH107)*EXP(-(M107-1560)*$CW$126*$BH$122))</f>
        <v>1.0406592295798612E-2</v>
      </c>
      <c r="BM107" s="2">
        <f>2*SQRT(
((S107/2) * (1 / (1 - EXP(-E107 * 60 * BB107 * BH107) * EXP(-(M107 - 1560) * $CW$126 * $BH$48))))^2 +
(BC107 * (-R107 * 60 * E107 * BH107 * EXP(-E107 * 60 * BB107 * BH107) / ((1 - EXP(-E107 * 60 * BB107 * BH107) * EXP(-(M107 - 1560) * $CW$126 * $BH$48))^2)))^2 +
($CX$126 * (-R107 * (M107 - 1560) * $BH$48 * EXP(-(M107 - 1560) * $CW$126 * $BH$48) / ((1 - EXP(-E107 * 60 * BB107 * BH107) * EXP(-(M107 - 1560) * $CW$126 * $BH$48))^2)))^2
)</f>
        <v>1.0754098054090739E-3</v>
      </c>
      <c r="BN107" s="54">
        <f>BN106*EXP(-BD106*E106*60)</f>
        <v>7.4996790475351073E-3</v>
      </c>
      <c r="BO107" s="99">
        <f>2*((((BO106/2)*EXP(-BD106*E106*60))^2+(BN106*EXP(-BD106*E106*60)*E106*60*BC106*BD106/BB106)^2)^0.5)</f>
        <v>9.4616621724534478E-4</v>
      </c>
      <c r="BP107" s="22"/>
      <c r="BQ107" s="22"/>
      <c r="BT107" s="2"/>
      <c r="BU107" s="2"/>
      <c r="BV107" s="54">
        <f>BV106*EXP(-BB106*BH106*E106*60*0.91357457380209)*EXP(-(M106-1560)*$CW$126*$BH$48*0.91357457380209)</f>
        <v>5.6059952737143055E-3</v>
      </c>
      <c r="BW107" s="99">
        <f>2*SQRT(
((BW106/2) * EXP(-BB106 * BH106 * E106 * 60 * 0.91357457380209) * EXP(-(M106 - 1560) * $CW$126 * $BH$48 * 0.91357457380209))^2 +
(BC106 * (-BV106 * BH106 * E106 * 60 * 0.91357457380209 * EXP(-BB106 * BH106 * E106 * 60 * 0.91357457380209) * EXP(-(M106 - 1560) * $CW$126 * $BH$48 * 0.91357457380209)))^2 +
((0.146030972937065 / 2) * BV106 * (-BB106 * BH106 * E106 * 60 - (M106 - 1560) * $CW$126 * $BH$48) * EXP(-BB106 * BH106 * E106 * 60 * 0.91357457380209) * EXP(-(M106 - 1560) * $CW$126 * $BH$48 * 0.91357457380209))^2 +
-(M106-1560)*$BH$48*0.91357457380209*BV106*EXP(-BB106*BH106*E106*60*0.91357457380209)*EXP(-(M106-1560)*$CW$126*$BH$48*0.91357457380209))</f>
        <v>1.2899770286861349E-3</v>
      </c>
      <c r="BX107" s="22"/>
      <c r="BY107" s="22"/>
      <c r="CA107" s="141">
        <f t="shared" si="69"/>
        <v>2.4952390487944003E-2</v>
      </c>
      <c r="CB107" s="34"/>
      <c r="CC107" s="34"/>
      <c r="CD107" s="34">
        <f t="shared" si="70"/>
        <v>1.9041847487180411E-2</v>
      </c>
      <c r="CE107" s="2"/>
      <c r="CF107" s="2"/>
      <c r="CS107" s="2"/>
    </row>
    <row r="108" spans="1:99" x14ac:dyDescent="0.3">
      <c r="A108" t="s">
        <v>206</v>
      </c>
      <c r="B108" t="s">
        <v>207</v>
      </c>
      <c r="C108" s="1">
        <v>45345.518055555556</v>
      </c>
      <c r="D108">
        <v>109.98</v>
      </c>
      <c r="E108">
        <f t="shared" si="55"/>
        <v>150</v>
      </c>
      <c r="G108" s="2">
        <v>0.14299999999999999</v>
      </c>
      <c r="H108" s="2">
        <v>0</v>
      </c>
      <c r="I108" s="2">
        <v>0.14099999999999999</v>
      </c>
      <c r="J108">
        <v>9000</v>
      </c>
      <c r="K108">
        <v>9124.4519999999993</v>
      </c>
      <c r="L108">
        <f t="shared" si="43"/>
        <v>10559.999999846332</v>
      </c>
      <c r="M108">
        <f t="shared" si="44"/>
        <v>1559.9999998463318</v>
      </c>
      <c r="N108" s="65"/>
      <c r="O108">
        <v>6.3250739543043097E-3</v>
      </c>
      <c r="P108">
        <v>2.6566307718217701E-2</v>
      </c>
      <c r="R108">
        <v>9.0448557546551596E-4</v>
      </c>
      <c r="S108" s="2">
        <v>1.33105749955524E-5</v>
      </c>
      <c r="T108">
        <v>3.7458493882687001E-3</v>
      </c>
      <c r="U108" s="2">
        <v>1.8175664160852601E-5</v>
      </c>
      <c r="V108" s="2"/>
      <c r="Y108" s="2"/>
      <c r="Z108" s="2"/>
      <c r="AA108" s="2"/>
      <c r="AB108" s="2"/>
      <c r="AQ108" s="2">
        <f>SUM(BP$5:$BP108)</f>
        <v>10.790739981272809</v>
      </c>
      <c r="AR108" s="2" cm="1">
        <f t="array" ref="AR108">2*SQRT(SUM((BQ$5:$BQ108/2)^2))</f>
        <v>6.1005228990464101E-2</v>
      </c>
      <c r="AS108" s="2">
        <f>SUM($BX$5:BX108)</f>
        <v>4.1939030391378473</v>
      </c>
      <c r="AT108" s="2" cm="1">
        <f t="array" ref="AT108">2*SQRT(SUM(($BY$5:BY108/2)^2))</f>
        <v>0.20953440314783273</v>
      </c>
      <c r="AU108" s="2">
        <f t="shared" si="49"/>
        <v>10.768685594706378</v>
      </c>
      <c r="AV108" s="2"/>
      <c r="AW108" s="2">
        <f t="shared" si="50"/>
        <v>5.8393197940464843</v>
      </c>
      <c r="AX108" s="2"/>
      <c r="AZ108" s="2">
        <f>'Naive Apparent Lambdas'!$U$2*(10000/(D108+273))+'Naive Apparent Lambdas'!$V$2</f>
        <v>25.818127186446052</v>
      </c>
      <c r="BA108">
        <f>'Naive Apparent Lambdas'!$V$4</f>
        <v>6.7480704157997479E-2</v>
      </c>
      <c r="BB108" s="2">
        <f t="shared" si="40"/>
        <v>163181217898.30954</v>
      </c>
      <c r="BC108" s="2">
        <f t="shared" si="41"/>
        <v>11011583489.137548</v>
      </c>
      <c r="BD108" s="2">
        <f>BB108*(D108+273)*$D$145*$F$144</f>
        <v>5.9553282811581219E-5</v>
      </c>
      <c r="BE108" s="2"/>
      <c r="BF108" s="31">
        <f t="shared" si="45"/>
        <v>96667549981.440369</v>
      </c>
      <c r="BG108" s="31">
        <f t="shared" si="46"/>
        <v>104938895256.66869</v>
      </c>
      <c r="BH108" s="2">
        <f t="shared" si="66"/>
        <v>3.6495182214348547E-16</v>
      </c>
      <c r="BI108" s="2"/>
      <c r="BJ108" s="2">
        <f>R108/(1-EXP(-E108*60*BD108))</f>
        <v>2.1799869776602194E-3</v>
      </c>
      <c r="BK108" s="2">
        <f>2*SQRT(
((S108/2) * (1 / (1 - EXP(-E108 * 60 * BB108 * BH108))))^2 +
(BC108 * (-R108 * 60 * E108 * BH108 * EXP(-E108 * 60 * BB108 * BH108) / (1 - EXP(-E108 * 60 * BB108 * BH108))^2))^2
)</f>
        <v>2.2467974311638788E-4</v>
      </c>
      <c r="BL108" s="2">
        <f>R108/(1-EXP(-E108*60*BB108*BH108)*EXP(-(M108-1560)*$CW$126*$BH$122))</f>
        <v>2.1799869776636723E-3</v>
      </c>
      <c r="BM108" s="2">
        <f>2*SQRT(
((S108/2) * (1 / (1 - EXP(-E108 * 60 * BB108 * BH108) * EXP(-(M108 - 1560) * $CW$126 * $BH$48))))^2 +
(BC108 * (-R108 * 60 * E108 * BH108 * EXP(-E108 * 60 * BB108 * BH108) / ((1 - EXP(-E108 * 60 * BB108 * BH108) * EXP(-(M108 - 1560) * $CW$126 * $BH$48))^2)))^2 +
($CX$126 * (-R108 * (M108 - 1560) * $BH$48 * EXP(-(M108 - 1560) * $CW$126 * $BH$48) / ((1 - EXP(-E108 * 60 * BB108 * BH108) * EXP(-(M108 - 1560) * $CW$126 * $BH$48))^2)))^2
)</f>
        <v>2.2467974311709236E-4</v>
      </c>
      <c r="BN108" s="54">
        <f>BN107*EXP(-BD107*E107*60)</f>
        <v>4.397747837533124E-3</v>
      </c>
      <c r="BO108" s="99">
        <f>2*((((BO107/2)*EXP(-BD107*E107*60))^2+(BN107*EXP(-BD107*E107*60)*E107*60*BC107*BD107/BB107)^2)^0.5)</f>
        <v>6.3890134928478836E-4</v>
      </c>
      <c r="BP108" s="22"/>
      <c r="BQ108" s="22"/>
      <c r="BT108" s="2"/>
      <c r="BU108" s="2"/>
      <c r="BV108" s="54">
        <f>BV107*EXP(-BB107*BH107*E107*60*0.91357457380209)*EXP(-(M107-1560)*$CW$126*$BH$48*0.91357457380209)</f>
        <v>3.4425071787430777E-3</v>
      </c>
      <c r="BW108" s="99">
        <f>2*SQRT(
((BW107/2) * EXP(-BB107 * BH107 * E107 * 60 * 0.91357457380209) * EXP(-(M107 - 1560) * $CW$126 * $BH$48 * 0.91357457380209))^2 +
(BC107 * (-BV107 * BH107 * E107 * 60 * 0.91357457380209 * EXP(-BB107 * BH107 * E107 * 60 * 0.91357457380209) * EXP(-(M107 - 1560) * $CW$126 * $BH$48 * 0.91357457380209)))^2 +
((0.146030972937065 / 2) * BV107 * (-BB107 * BH107 * E107 * 60 - (M107 - 1560) * $CW$126 * $BH$48) * EXP(-BB107 * BH107 * E107 * 60 * 0.91357457380209) * EXP(-(M107 - 1560) * $CW$126 * $BH$48 * 0.91357457380209))^2 +
-(M107-1560)*$BH$48*0.91357457380209*BV107*EXP(-BB107*BH107*E107*60*0.91357457380209)*EXP(-(M107-1560)*$CW$126*$BH$48*0.91357457380209))</f>
        <v>8.6650031829377857E-4</v>
      </c>
      <c r="BX108" s="22"/>
      <c r="BY108" s="22"/>
      <c r="CA108" s="141">
        <f t="shared" si="69"/>
        <v>2.4809458772990078E-2</v>
      </c>
      <c r="CB108" s="34"/>
      <c r="CC108" s="34"/>
      <c r="CD108" s="34">
        <f t="shared" si="70"/>
        <v>1.8941347041978227E-2</v>
      </c>
      <c r="CE108" s="2"/>
      <c r="CF108" s="2"/>
      <c r="CS108" s="2"/>
    </row>
    <row r="109" spans="1:99" s="29" customFormat="1" x14ac:dyDescent="0.3">
      <c r="A109" s="29" t="s">
        <v>208</v>
      </c>
      <c r="B109" s="29" t="s">
        <v>209</v>
      </c>
      <c r="C109" s="30">
        <v>45345.87222222222</v>
      </c>
      <c r="D109" s="29">
        <v>234.89999999999901</v>
      </c>
      <c r="E109" s="29">
        <f t="shared" si="55"/>
        <v>450</v>
      </c>
      <c r="F109" s="29" t="s">
        <v>289</v>
      </c>
      <c r="G109" s="31">
        <v>30.9</v>
      </c>
      <c r="H109" s="31">
        <v>0</v>
      </c>
      <c r="I109" s="31">
        <v>5.14</v>
      </c>
      <c r="J109" s="29">
        <v>27000</v>
      </c>
      <c r="K109" s="29">
        <v>27121.841</v>
      </c>
      <c r="L109" s="29">
        <f t="shared" si="43"/>
        <v>30599.999999790452</v>
      </c>
      <c r="M109" s="29">
        <f t="shared" si="44"/>
        <v>3599.9999997904524</v>
      </c>
      <c r="N109" s="65"/>
      <c r="O109" s="29">
        <v>6.3148451761537803E-3</v>
      </c>
      <c r="P109" s="29">
        <v>2.6638467375603301E-2</v>
      </c>
      <c r="R109" s="29">
        <v>0.19512871594315101</v>
      </c>
      <c r="S109" s="29">
        <v>2.69253773411885E-3</v>
      </c>
      <c r="T109" s="29">
        <v>0.13692172231060101</v>
      </c>
      <c r="U109" s="29">
        <v>7.1749183853404299E-4</v>
      </c>
      <c r="W109" s="31">
        <f>(1000*T109/R109)/$AG$140</f>
        <v>0.70330303055904875</v>
      </c>
      <c r="X109" s="31"/>
      <c r="Y109" s="31">
        <f>T109-AVERAGE(T110:T112)</f>
        <v>0.12813620273443857</v>
      </c>
      <c r="Z109" s="31">
        <f>U109+AVERAGE(T110:T112)</f>
        <v>9.5030114146964773E-3</v>
      </c>
      <c r="AA109" s="31"/>
      <c r="AB109" s="31">
        <f>(Y109*1000)/R109</f>
        <v>656.6752726019572</v>
      </c>
      <c r="AC109" s="31">
        <f>2*((1000*Z109/(2*R109))^2+((S109/2)*1000*Y109/(R109^2))^2)^0.5</f>
        <v>49.537043898545924</v>
      </c>
      <c r="AD109" s="31">
        <f>AB109/$AG$140</f>
        <v>0.65817591384827312</v>
      </c>
      <c r="AE109" s="31">
        <f>2*(($AH$140*AB109/(2*$AG$140^2))^2+(AC109/($AG$140*2))^2)^0.5</f>
        <v>5.0146020325885644E-2</v>
      </c>
      <c r="AF109" s="69"/>
      <c r="AG109" s="31" cm="1">
        <f t="array" ref="AG109:AH109">BP109:BQ109</f>
        <v>0.22594088451450875</v>
      </c>
      <c r="AH109" s="29">
        <v>3.2904834076714256E-3</v>
      </c>
      <c r="AI109" s="31" cm="1">
        <f t="array" ref="AI109:AJ109">BX109:BY109</f>
        <v>0.15018704703521579</v>
      </c>
      <c r="AJ109" s="29">
        <v>1.0609166435274903E-2</v>
      </c>
      <c r="AL109" s="31">
        <f>1000*AI109/AG109</f>
        <v>664.7183282385156</v>
      </c>
      <c r="AM109" s="31">
        <f>2*((AH109*1000*AI109/(2*AG109^2))^2+(1000*AJ109/(AG109*2))^2)^0.5</f>
        <v>47.94301606342885</v>
      </c>
      <c r="AN109" s="31">
        <f>AL109/$AG$140</f>
        <v>0.66623734956024816</v>
      </c>
      <c r="AO109" s="31">
        <f>2*(($AH$140*AL109/(2*$AG$140^2))^2+(AM109/($AG$140*2))^2)^0.5</f>
        <v>4.8577215289709409E-2</v>
      </c>
      <c r="AP109" s="31"/>
      <c r="AQ109" s="31">
        <f>SUM(BP$5:$BP109)</f>
        <v>11.016680865787318</v>
      </c>
      <c r="AR109" s="31" cm="1">
        <f t="array" ref="AR109">2*SQRT(SUM((BQ$5:$BQ109/2)^2))</f>
        <v>6.1093905139834717E-2</v>
      </c>
      <c r="AS109" s="31">
        <f>SUM($BX$5:BX109)</f>
        <v>4.3440900861730629</v>
      </c>
      <c r="AT109" s="31" cm="1">
        <f t="array" ref="AT109">2*SQRT(SUM(($BY$5:BY109/2)^2))</f>
        <v>0.20980281341052093</v>
      </c>
      <c r="AU109" s="31">
        <f t="shared" si="49"/>
        <v>10.963814310649528</v>
      </c>
      <c r="AV109" s="31"/>
      <c r="AW109" s="31">
        <f t="shared" si="50"/>
        <v>5.976241516357085</v>
      </c>
      <c r="AX109" s="31"/>
      <c r="AY109" s="69"/>
      <c r="AZ109" s="31"/>
      <c r="BB109" s="31"/>
      <c r="BC109" s="31"/>
      <c r="BD109" s="31"/>
      <c r="BE109" s="31"/>
      <c r="BF109" s="31">
        <f t="shared" si="45"/>
        <v>471061463377.9845</v>
      </c>
      <c r="BG109" s="31">
        <f t="shared" si="46"/>
        <v>520875889893.65082</v>
      </c>
      <c r="BH109" s="31">
        <f t="shared" si="66"/>
        <v>4.8399141069161816E-16</v>
      </c>
      <c r="BI109" s="31"/>
      <c r="BJ109" s="31"/>
      <c r="BK109" s="31"/>
      <c r="BL109" s="31"/>
      <c r="BM109" s="31"/>
      <c r="BN109" s="114">
        <f>BN108*EXP(-BD108*E108*60)</f>
        <v>2.5731041472975788E-3</v>
      </c>
      <c r="BO109" s="116">
        <f>2*((((BO108/2)*EXP(-BD108*E108*60))^2+(BN108*EXP(-BD108*E108*60)*E108*60*BC108*BD108/BB108)^2)^0.5)</f>
        <v>4.1759369383014331E-4</v>
      </c>
      <c r="BP109" s="23">
        <f>R109+BN110-BN109</f>
        <v>0.22594088451450875</v>
      </c>
      <c r="BQ109" s="23">
        <f>2*(((BO109/2)^2+(BO110/2)^2+(S109/2)^2)^(0.5))</f>
        <v>3.2904834076714256E-3</v>
      </c>
      <c r="BR109" s="72">
        <f>100*(BP109-R109)/R109</f>
        <v>15.790688942131196</v>
      </c>
      <c r="BS109" s="72"/>
      <c r="BT109" s="31"/>
      <c r="BU109" s="31"/>
      <c r="BV109" s="114">
        <f>BV108*EXP(-BB108*BH108*E108*60*0.91357457380209)*EXP(-(M108-1560)*$CW$126*$BH$48*0.91357457380209)</f>
        <v>2.1096936603512166E-3</v>
      </c>
      <c r="BW109" s="116">
        <f>2*SQRT(
((BW108/2) * EXP(-BB108 * BH108 * E108 * 60 * 0.91357457380209) * EXP(-(M108 - 1560) * $CW$126 * $BH$48 * 0.91357457380209))^2 +
(BC108 * (-BV108 * BH108 * E108 * 60 * 0.91357457380209 * EXP(-BB108 * BH108 * E108 * 60 * 0.91357457380209) * EXP(-(M108 - 1560) * $CW$126 * $BH$48 * 0.91357457380209)))^2 +
((0.146030972937065 / 2) * BV108 * (-BB108 * BH108 * E108 * 60 - (M108 - 1560) * $CW$126 * $BH$48) * EXP(-BB108 * BH108 * E108 * 60 * 0.91357457380209) * EXP(-(M108 - 1560) * $CW$126 * $BH$48 * 0.91357457380209))^2 +
-(M108-1560)*$BH$48*0.91357457380209*BV108*EXP(-BB108*BH108*E108*60*0.91357457380209)*EXP(-(M108-1560)*$CW$126*$BH$48*0.91357457380209))</f>
        <v>5.7331420055592875E-4</v>
      </c>
      <c r="BX109" s="23">
        <f>Y109+BV110-BV109</f>
        <v>0.15018704703521579</v>
      </c>
      <c r="BY109" s="23">
        <f>2*(((BW109/2)^2+(BW110/2)^2+(Z109/2)^2)^(0.5))</f>
        <v>1.0609166435274903E-2</v>
      </c>
      <c r="BZ109" s="72">
        <f>100*(BX109-Y109)/Y109</f>
        <v>17.208910386143913</v>
      </c>
      <c r="CA109" s="140">
        <f>R109*CC109</f>
        <v>3.3604148456962642E-2</v>
      </c>
      <c r="CB109" s="31">
        <f>BH109*BG109*J109</f>
        <v>6.8066853321117602</v>
      </c>
      <c r="CC109" s="31">
        <f>1/(CB109-1)</f>
        <v>0.17221529027410248</v>
      </c>
      <c r="CD109" s="31">
        <f>CF109*T109</f>
        <v>2.6557235514478934E-2</v>
      </c>
      <c r="CE109" s="31">
        <f>BH109*BF109*J109</f>
        <v>6.1557219589347563</v>
      </c>
      <c r="CF109" s="31">
        <f>1/(CE109-1)</f>
        <v>0.19395925691202592</v>
      </c>
      <c r="CG109" s="31">
        <f>R109-CA105</f>
        <v>0.16988824268817432</v>
      </c>
      <c r="CH109" s="31">
        <f>R109+CA109</f>
        <v>0.22873286440011364</v>
      </c>
      <c r="CI109" s="31">
        <f>T109-CD105</f>
        <v>0.11767744922584733</v>
      </c>
      <c r="CJ109" s="31">
        <f>T109+CD109</f>
        <v>0.16347895782507996</v>
      </c>
      <c r="CK109" s="31">
        <f>CE109*1.29</f>
        <v>7.9408813270258358</v>
      </c>
      <c r="CL109" s="31">
        <f>R109 / (CK109-1)</f>
        <v>2.8112959543534446E-2</v>
      </c>
      <c r="CM109" s="31">
        <f>1000*T109/R109</f>
        <v>701.699499475474</v>
      </c>
      <c r="CN109" s="31">
        <f>1000*(T109+CD109)/(R109+CL109)</f>
        <v>732.29587382679426</v>
      </c>
      <c r="CO109" s="31">
        <f>1000*(T109-CD105)/(R109-CL105)</f>
        <v>676.31341823584444</v>
      </c>
      <c r="CP109" s="31">
        <f>1000*(T109+CD109-CD105)/(R109+CL109-CL105)</f>
        <v>713.63969200925021</v>
      </c>
      <c r="CQ109" s="31">
        <f>MAX(CM109:CP109)</f>
        <v>732.29587382679426</v>
      </c>
      <c r="CR109" s="31">
        <f>MIN(CM109:CP109)</f>
        <v>676.31341823584444</v>
      </c>
      <c r="CS109" s="31"/>
    </row>
    <row r="110" spans="1:99" x14ac:dyDescent="0.3">
      <c r="A110" t="s">
        <v>210</v>
      </c>
      <c r="B110" t="s">
        <v>211</v>
      </c>
      <c r="C110" s="1">
        <v>45346.518750000003</v>
      </c>
      <c r="D110">
        <v>105</v>
      </c>
      <c r="E110">
        <f t="shared" si="55"/>
        <v>150</v>
      </c>
      <c r="G110" s="2">
        <v>2.46</v>
      </c>
      <c r="H110" s="2">
        <v>0</v>
      </c>
      <c r="I110" s="2">
        <v>0.38200000000000001</v>
      </c>
      <c r="J110">
        <v>9000</v>
      </c>
      <c r="K110">
        <v>9128.473</v>
      </c>
      <c r="L110">
        <f t="shared" si="43"/>
        <v>55860.000000405125</v>
      </c>
      <c r="M110">
        <f t="shared" si="44"/>
        <v>46860.000000405125</v>
      </c>
      <c r="N110" s="65"/>
      <c r="O110">
        <v>6.3036257149568899E-3</v>
      </c>
      <c r="P110">
        <v>2.6649746192893401E-2</v>
      </c>
      <c r="R110">
        <v>1.55069192587939E-2</v>
      </c>
      <c r="S110">
        <v>3.1030791916188198E-4</v>
      </c>
      <c r="T110">
        <v>1.0180203045685199E-2</v>
      </c>
      <c r="U110" s="2">
        <v>2.7675492685117E-5</v>
      </c>
      <c r="V110" s="2"/>
      <c r="Y110" s="2"/>
      <c r="Z110" s="2"/>
      <c r="AA110" s="2"/>
      <c r="AB110" s="2"/>
      <c r="AQ110" s="2">
        <f>SUM(BP$5:$BP110)</f>
        <v>11.016680865787318</v>
      </c>
      <c r="AR110" s="2" cm="1">
        <f t="array" ref="AR110">2*SQRT(SUM((BQ$5:$BQ110/2)^2))</f>
        <v>6.1093905139834717E-2</v>
      </c>
      <c r="AS110" s="2">
        <f>SUM($BX$5:BX110)</f>
        <v>4.3440900861730629</v>
      </c>
      <c r="AT110" s="2" cm="1">
        <f t="array" ref="AT110">2*SQRT(SUM(($BY$5:BY110/2)^2))</f>
        <v>0.20980281341052093</v>
      </c>
      <c r="AU110" s="2">
        <f t="shared" si="49"/>
        <v>10.979321229908322</v>
      </c>
      <c r="AV110" s="2"/>
      <c r="AW110" s="2">
        <f t="shared" si="50"/>
        <v>5.9864217194027702</v>
      </c>
      <c r="AX110" s="2"/>
      <c r="AZ110" s="2">
        <f>'Naive Apparent Lambdas'!$U$2*(10000/(D110+273))+'Naive Apparent Lambdas'!$V$2</f>
        <v>25.64167033113603</v>
      </c>
      <c r="BA110">
        <f>'Naive Apparent Lambdas'!$V$4</f>
        <v>6.7480704157997479E-2</v>
      </c>
      <c r="BB110" s="2">
        <f t="shared" si="40"/>
        <v>136784199007.97165</v>
      </c>
      <c r="BC110" s="2">
        <f t="shared" si="41"/>
        <v>9230294066.7455864</v>
      </c>
      <c r="BD110" s="2">
        <f>BB110*(D110+273)*$D$145*$F$144</f>
        <v>4.9270523078630311E-5</v>
      </c>
      <c r="BE110" s="2"/>
      <c r="BF110" s="31">
        <f t="shared" si="45"/>
        <v>88805250970.861771</v>
      </c>
      <c r="BG110" s="31">
        <f t="shared" si="46"/>
        <v>96308773299.869202</v>
      </c>
      <c r="BH110" s="2">
        <f t="shared" si="66"/>
        <v>3.6020624776812763E-16</v>
      </c>
      <c r="BI110" s="2"/>
      <c r="BJ110" s="2">
        <f>R110/(1-EXP(-E110*60*BD110))</f>
        <v>4.3294632935978898E-2</v>
      </c>
      <c r="BK110" s="2">
        <f>2*SQRT(
((S110/2) * (1 / (1 - EXP(-E110 * 60 * BB110 * BH110))))^2 +
(BC110 * (-R110 * 60 * E110 * BH110 * EXP(-E110 * 60 * BB110 * BH110) / (1 - EXP(-E110 * 60 * BB110 * BH110))^2))^2
)</f>
        <v>4.7231591963865895E-3</v>
      </c>
      <c r="BL110" s="2">
        <f>R110/(1-EXP(-E110*60*BB110*BH110)*EXP(-(M110-1560)*$CW$126*$BH$122))</f>
        <v>2.8766588028409458E-2</v>
      </c>
      <c r="BM110" s="2">
        <f>2*SQRT(
((S110/2) * (1 / (1 - EXP(-E110 * 60 * BB110 * BH110) * EXP(-(M110 - 1560) * $CW$126 * $BH$48))))^2 +
(BC110 * (-R110 * 60 * E110 * BH110 * EXP(-E110 * 60 * BB110 * BH110) / ((1 - EXP(-E110 * 60 * BB110 * BH110) * EXP(-(M110 - 1560) * $CW$126 * $BH$48))^2)))^2 +
($CX$126 * (-R110 * (M110 - 1560) * $BH$48 * EXP(-(M110 - 1560) * $CW$126 * $BH$48) / ((1 - EXP(-E110 * 60 * BB110 * BH110) * EXP(-(M110 - 1560) * $CW$126 * $BH$48))^2)))^2
)</f>
        <v>4.3322167907217241E-3</v>
      </c>
      <c r="BN110" s="113">
        <f>BN111+R110</f>
        <v>3.3385272718655323E-2</v>
      </c>
      <c r="BO110" s="115">
        <f>BO111+S110</f>
        <v>1.8447593646273716E-3</v>
      </c>
      <c r="BP110" s="22"/>
      <c r="BQ110" s="22"/>
      <c r="BT110" s="123">
        <f>BN110*(Y109/R109)*1.10204926384627</f>
        <v>2.4160537961128437E-2</v>
      </c>
      <c r="BU110" s="123">
        <f>2*(((BO110/2)*1.10204926384627*(AB109/(1000)))^2+((AC109/2000)*1.10204926384627*BN110)^2+((0.187040260207234/2)*BN110*(AB109/(1000)))^2)^0.5</f>
        <v>4.6817194844365603E-3</v>
      </c>
      <c r="BV110" s="124">
        <f>BT110</f>
        <v>2.4160537961128437E-2</v>
      </c>
      <c r="BW110" s="125">
        <f>BU110</f>
        <v>4.6817194844365603E-3</v>
      </c>
      <c r="BX110" s="22"/>
      <c r="BY110" s="22"/>
      <c r="CA110" s="141">
        <f t="shared" ref="CA110:CA112" si="71">CA109*(EXP(-BH110*BG110*E110))*(EXP(-$BG$140*$F$144*D249*(24+273)*M110))</f>
        <v>3.3429738298222808E-2</v>
      </c>
      <c r="CB110" s="34"/>
      <c r="CC110" s="34"/>
      <c r="CD110" s="34">
        <f t="shared" ref="CD110:CD112" si="72">CD109*(EXP(-BH110*BF110*E110))*(EXP(-$BF$140*$F$144*D249*(24+273)*M110))</f>
        <v>2.6430112990989001E-2</v>
      </c>
      <c r="CE110" s="2"/>
      <c r="CF110" s="2"/>
      <c r="CS110" s="2"/>
    </row>
    <row r="111" spans="1:99" x14ac:dyDescent="0.3">
      <c r="A111" t="s">
        <v>212</v>
      </c>
      <c r="B111" t="s">
        <v>213</v>
      </c>
      <c r="C111" s="1">
        <v>45346.836111111108</v>
      </c>
      <c r="D111">
        <v>104.94</v>
      </c>
      <c r="E111">
        <f t="shared" si="55"/>
        <v>150</v>
      </c>
      <c r="G111" s="2">
        <v>1.1100000000000001</v>
      </c>
      <c r="H111" s="2">
        <v>0</v>
      </c>
      <c r="I111" s="2">
        <v>0.22600000000000001</v>
      </c>
      <c r="J111">
        <v>9000</v>
      </c>
      <c r="K111">
        <v>9129.4609999999993</v>
      </c>
      <c r="L111">
        <f t="shared" si="43"/>
        <v>27419.999999483116</v>
      </c>
      <c r="M111">
        <f t="shared" si="44"/>
        <v>18419.999999483116</v>
      </c>
      <c r="N111" s="65"/>
      <c r="O111">
        <v>6.3474997725309701E-3</v>
      </c>
      <c r="P111">
        <v>2.6649746192893401E-2</v>
      </c>
      <c r="R111">
        <v>7.0457247475093701E-3</v>
      </c>
      <c r="S111">
        <v>2.7404115395894698E-4</v>
      </c>
      <c r="T111">
        <v>6.0228426395939E-3</v>
      </c>
      <c r="U111" s="2">
        <v>4.5094990770307301E-5</v>
      </c>
      <c r="V111" s="2"/>
      <c r="Y111" s="2"/>
      <c r="Z111" s="2"/>
      <c r="AA111" s="2"/>
      <c r="AB111" s="2"/>
      <c r="AQ111" s="2">
        <f>SUM(BP$5:$BP111)</f>
        <v>11.016680865787318</v>
      </c>
      <c r="AR111" s="2" cm="1">
        <f t="array" ref="AR111">2*SQRT(SUM((BQ$5:$BQ111/2)^2))</f>
        <v>6.1093905139834717E-2</v>
      </c>
      <c r="AS111" s="2">
        <f>SUM($BX$5:BX111)</f>
        <v>4.3440900861730629</v>
      </c>
      <c r="AT111" s="2" cm="1">
        <f t="array" ref="AT111">2*SQRT(SUM(($BY$5:BY111/2)^2))</f>
        <v>0.20980281341052093</v>
      </c>
      <c r="AU111" s="2">
        <f t="shared" si="49"/>
        <v>10.986366954655832</v>
      </c>
      <c r="AV111" s="2"/>
      <c r="AW111" s="2">
        <f t="shared" si="50"/>
        <v>5.9924445620423645</v>
      </c>
      <c r="AX111" s="2"/>
      <c r="AZ111" s="2">
        <f>'Naive Apparent Lambdas'!$U$2*(10000/(D111+273))+'Naive Apparent Lambdas'!$V$2</f>
        <v>25.639515993944542</v>
      </c>
      <c r="BA111">
        <f>'Naive Apparent Lambdas'!$V$4</f>
        <v>6.7480704157997479E-2</v>
      </c>
      <c r="BB111" s="2">
        <f t="shared" si="40"/>
        <v>136489836912.29478</v>
      </c>
      <c r="BC111" s="2">
        <f t="shared" si="41"/>
        <v>9210430305.2518883</v>
      </c>
      <c r="BD111" s="2">
        <f>BB111*(D111+273)*$D$145*$F$144</f>
        <v>4.9156688125040329E-5</v>
      </c>
      <c r="BE111" s="2"/>
      <c r="BF111" s="31">
        <f t="shared" si="45"/>
        <v>88713322810.279419</v>
      </c>
      <c r="BG111" s="31">
        <f t="shared" si="46"/>
        <v>96207918633.123276</v>
      </c>
      <c r="BH111" s="2">
        <f t="shared" si="66"/>
        <v>3.6014907217324377E-16</v>
      </c>
      <c r="BI111" s="2"/>
      <c r="BJ111" s="2">
        <f>R111/(1-EXP(-E111*60*BD111))</f>
        <v>1.9707551304820707E-2</v>
      </c>
      <c r="BK111" s="2">
        <f>2*SQRT(
((S111/2) * (1 / (1 - EXP(-E111 * 60 * BB111 * BH111))))^2 +
(BC111 * (-R111 * 60 * E111 * BH111 * EXP(-E111 * 60 * BB111 * BH111) / (1 - EXP(-E111 * 60 * BB111 * BH111))^2))^2
)</f>
        <v>2.2492858901139428E-3</v>
      </c>
      <c r="BL111" s="2">
        <f>R111/(1-EXP(-E111*60*BB111*BH111)*EXP(-(M111-1560)*$CW$126*$BH$122))</f>
        <v>1.630977565340147E-2</v>
      </c>
      <c r="BM111" s="2">
        <f>2*SQRT(
((S111/2) * (1 / (1 - EXP(-E111 * 60 * BB111 * BH111) * EXP(-(M111 - 1560) * $CW$126 * $BH$48))))^2 +
(BC111 * (-R111 * 60 * E111 * BH111 * EXP(-E111 * 60 * BB111 * BH111) / ((1 - EXP(-E111 * 60 * BB111 * BH111) * EXP(-(M111 - 1560) * $CW$126 * $BH$48))^2)))^2 +
($CX$126 * (-R111 * (M111 - 1560) * $BH$48 * EXP(-(M111 - 1560) * $CW$126 * $BH$48) / ((1 - EXP(-E111 * 60 * BB111 * BH111) * EXP(-(M111 - 1560) * $CW$126 * $BH$48))^2)))^2
)</f>
        <v>1.9989470361170469E-3</v>
      </c>
      <c r="BN111" s="108">
        <f>BN112+R111</f>
        <v>1.7878353459861419E-2</v>
      </c>
      <c r="BO111" s="102">
        <f>BO112+S111</f>
        <v>1.5344514454654896E-3</v>
      </c>
      <c r="BP111" s="22"/>
      <c r="BQ111" s="22"/>
      <c r="BT111" s="2"/>
      <c r="BU111" s="2"/>
      <c r="BV111" s="54">
        <f>BV110*EXP(-BB110*BH110*E110*60*0.91357457380209)*EXP(-(M110-1560)*$CW$126*$BH$48*0.91357457380209)</f>
        <v>1.1907500394804274E-2</v>
      </c>
      <c r="BW111" s="99">
        <f>2*SQRT(
((BW110/2) * EXP(-BB110 * BH110 * E110 * 60 * 0.91357457380209) * EXP(-(M110 - 1560) * $CW$126 * $BH$48 * 0.91357457380209))^2 +
(BC110 * (-BV110 * BH110 * E110 * 60 * 0.91357457380209 * EXP(-BB110 * BH110 * E110 * 60 * 0.91357457380209) * EXP(-(M110 - 1560) * $CW$126 * $BH$48 * 0.91357457380209)))^2 +
((0.146030972937065 / 2) * BV110 * (-BB110 * BH110 * E110 * 60 - (M110 - 1560) * $CW$126 * $BH$48) * EXP(-BB110 * BH110 * E110 * 60 * 0.91357457380209) * EXP(-(M110 - 1560) * $CW$126 * $BH$48 * 0.91357457380209))^2 +
-(M110-1560)*$BH$48*0.91357457380209*BV110*EXP(-BB110*BH110*E110*60*0.91357457380209)*EXP(-(M110-1560)*$CW$126*$BH$48*0.91357457380209))</f>
        <v>2.749823944924372E-3</v>
      </c>
      <c r="BX111" s="22"/>
      <c r="BY111" s="22"/>
      <c r="CA111" s="141">
        <f t="shared" si="71"/>
        <v>3.3256442015258111E-2</v>
      </c>
      <c r="CB111" s="34"/>
      <c r="CC111" s="34"/>
      <c r="CD111" s="34">
        <f t="shared" si="72"/>
        <v>2.6303749631880775E-2</v>
      </c>
      <c r="CE111" s="2"/>
      <c r="CF111" s="2"/>
      <c r="CS111" s="2"/>
    </row>
    <row r="112" spans="1:99" s="44" customFormat="1" x14ac:dyDescent="0.3">
      <c r="A112" s="44" t="s">
        <v>214</v>
      </c>
      <c r="B112" s="44" t="s">
        <v>215</v>
      </c>
      <c r="C112" s="45">
        <v>45346.973611111112</v>
      </c>
      <c r="D112" s="44">
        <v>104.94</v>
      </c>
      <c r="E112" s="44">
        <f t="shared" si="55"/>
        <v>150</v>
      </c>
      <c r="F112" s="44" t="s">
        <v>286</v>
      </c>
      <c r="G112" s="46">
        <v>0.61799999999999999</v>
      </c>
      <c r="H112" s="46">
        <v>0</v>
      </c>
      <c r="I112" s="46">
        <v>0.38100000000000001</v>
      </c>
      <c r="J112" s="44">
        <v>9000</v>
      </c>
      <c r="K112" s="44">
        <v>9126.2950000000001</v>
      </c>
      <c r="L112" s="44">
        <f t="shared" si="43"/>
        <v>11880.000000377186</v>
      </c>
      <c r="M112" s="44">
        <f t="shared" si="44"/>
        <v>2880.0000003771856</v>
      </c>
      <c r="N112" s="65"/>
      <c r="O112" s="44">
        <v>6.3748083583655196E-3</v>
      </c>
      <c r="P112" s="44">
        <v>2.6649640533354901E-2</v>
      </c>
      <c r="R112" s="44">
        <v>3.9396315654698904E-3</v>
      </c>
      <c r="S112" s="44">
        <v>1.9100740830813099E-4</v>
      </c>
      <c r="T112" s="44">
        <v>1.01535130432082E-2</v>
      </c>
      <c r="U112" s="46">
        <v>9.2229713280369001E-5</v>
      </c>
      <c r="V112" s="46"/>
      <c r="Y112" s="46"/>
      <c r="Z112" s="46"/>
      <c r="AA112" s="46"/>
      <c r="AB112" s="46"/>
      <c r="AF112" s="69"/>
      <c r="AQ112" s="46">
        <f>SUM(BP$5:$BP112)</f>
        <v>11.016680865787318</v>
      </c>
      <c r="AR112" s="46" cm="1">
        <f t="array" ref="AR112">2*SQRT(SUM((BQ$5:$BQ112/2)^2))</f>
        <v>6.1093905139834717E-2</v>
      </c>
      <c r="AS112" s="46">
        <f>SUM($BX$5:BX112)</f>
        <v>4.3440900861730629</v>
      </c>
      <c r="AT112" s="46" cm="1">
        <f t="array" ref="AT112">2*SQRT(SUM(($BY$5:BY112/2)^2))</f>
        <v>0.20980281341052093</v>
      </c>
      <c r="AU112" s="46">
        <f t="shared" si="49"/>
        <v>10.990306586221301</v>
      </c>
      <c r="AV112" s="46"/>
      <c r="AW112" s="46">
        <f t="shared" si="50"/>
        <v>6.0025980750855723</v>
      </c>
      <c r="AX112" s="46"/>
      <c r="AY112" s="69"/>
      <c r="AZ112" s="46">
        <f>'Naive Apparent Lambdas'!$U$2*(10000/(D112+273))+'Naive Apparent Lambdas'!$V$2</f>
        <v>25.639515993944542</v>
      </c>
      <c r="BA112" s="44">
        <f>'Naive Apparent Lambdas'!$V$4</f>
        <v>6.7480704157997479E-2</v>
      </c>
      <c r="BB112" s="46">
        <f t="shared" si="40"/>
        <v>136489836912.29478</v>
      </c>
      <c r="BC112" s="46">
        <f t="shared" si="41"/>
        <v>9210430305.2518883</v>
      </c>
      <c r="BD112" s="46">
        <f>BB112*(D112+273)*$D$145*$F$144</f>
        <v>4.9156688125040329E-5</v>
      </c>
      <c r="BE112" s="46"/>
      <c r="BF112" s="31">
        <f t="shared" si="45"/>
        <v>88713322810.279419</v>
      </c>
      <c r="BG112" s="31">
        <f t="shared" si="46"/>
        <v>96207918633.123276</v>
      </c>
      <c r="BH112" s="46">
        <f t="shared" si="66"/>
        <v>3.6014907217324377E-16</v>
      </c>
      <c r="BI112" s="46"/>
      <c r="BJ112" s="46">
        <f>R112/(1-EXP(-E112*60*BD112))</f>
        <v>1.1019518073855287E-2</v>
      </c>
      <c r="BK112" s="46">
        <f>2*SQRT(
((S112/2) * (1 / (1 - EXP(-E112 * 60 * BB112 * BH112))))^2 +
(BC112 * (-R112 * 60 * E112 * BH112 * EXP(-E112 * 60 * BB112 * BH112) / (1 - EXP(-E112 * 60 * BB112 * BH112))^2))^2
)</f>
        <v>1.2975101623777336E-3</v>
      </c>
      <c r="BL112" s="46">
        <f>R112/(1-EXP(-E112*60*BB112*BH112)*EXP(-(M112-1560)*$CW$126*$BH$122))</f>
        <v>1.0832628712352048E-2</v>
      </c>
      <c r="BM112" s="46">
        <f>2*SQRT(
((S112/2) * (1 / (1 - EXP(-E112 * 60 * BB112 * BH112) * EXP(-(M112 - 1560) * $CW$126 * $BH$48))))^2 +
(BC112 * (-R112 * 60 * E112 * BH112 * EXP(-E112 * 60 * BB112 * BH112) / ((1 - EXP(-E112 * 60 * BB112 * BH112) * EXP(-(M112 - 1560) * $CW$126 * $BH$48))^2)))^2 +
($CX$126 * (-R112 * (M112 - 1560) * $BH$48 * EXP(-(M112 - 1560) * $CW$126 * $BH$48) / ((1 - EXP(-E112 * 60 * BB112 * BH112) * EXP(-(M112 - 1560) * $CW$126 * $BH$48))^2)))^2
)</f>
        <v>1.2604102915065426E-3</v>
      </c>
      <c r="BN112" s="56" cm="1">
        <f t="array" ref="BN112:BO112">BL112:BM112</f>
        <v>1.0832628712352048E-2</v>
      </c>
      <c r="BO112" s="104">
        <v>1.2604102915065426E-3</v>
      </c>
      <c r="BP112" s="26"/>
      <c r="BQ112" s="26"/>
      <c r="BR112" s="75"/>
      <c r="BS112" s="75"/>
      <c r="BT112" s="46"/>
      <c r="BU112" s="46"/>
      <c r="BV112" s="54">
        <f>BV111*EXP(-BB111*BH111*E111*60*0.91357457380209)*EXP(-(M111-1560)*$CW$126*$BH$48*0.91357457380209)</f>
        <v>7.1023766776821774E-3</v>
      </c>
      <c r="BW112" s="99">
        <f>2*SQRT(
((BW111/2) * EXP(-BB111 * BH111 * E111 * 60 * 0.91357457380209) * EXP(-(M111 - 1560) * $CW$126 * $BH$48 * 0.91357457380209))^2 +
(BC111 * (-BV111 * BH111 * E111 * 60 * 0.91357457380209 * EXP(-BB111 * BH111 * E111 * 60 * 0.91357457380209) * EXP(-(M111 - 1560) * $CW$126 * $BH$48 * 0.91357457380209)))^2 +
((0.146030972937065 / 2) * BV111 * (-BB111 * BH111 * E111 * 60 - (M111 - 1560) * $CW$126 * $BH$48) * EXP(-BB111 * BH111 * E111 * 60 * 0.91357457380209) * EXP(-(M111 - 1560) * $CW$126 * $BH$48 * 0.91357457380209))^2 +
-(M111-1560)*$BH$48*0.91357457380209*BV111*EXP(-BB111*BH111*E111*60*0.91357457380209)*EXP(-(M111-1560)*$CW$126*$BH$48*0.91357457380209))</f>
        <v>1.7844871526964002E-3</v>
      </c>
      <c r="BX112" s="26"/>
      <c r="BY112" s="26"/>
      <c r="BZ112" s="75"/>
      <c r="CA112" s="141">
        <f t="shared" si="71"/>
        <v>3.3084044082182414E-2</v>
      </c>
      <c r="CB112" s="34"/>
      <c r="CC112" s="34"/>
      <c r="CD112" s="34">
        <f t="shared" si="72"/>
        <v>2.6177990420720405E-2</v>
      </c>
      <c r="CE112" s="46"/>
      <c r="CF112" s="46"/>
      <c r="CG112" s="46"/>
      <c r="CH112" s="46"/>
      <c r="CI112" s="46"/>
      <c r="CJ112" s="46"/>
      <c r="CK112" s="46"/>
      <c r="CL112" s="46"/>
      <c r="CM112" s="46"/>
      <c r="CN112" s="46"/>
      <c r="CO112" s="46"/>
      <c r="CP112" s="46"/>
      <c r="CQ112" s="46"/>
      <c r="CR112" s="46"/>
      <c r="CS112" s="46"/>
      <c r="CU112" s="46"/>
    </row>
    <row r="113" spans="1:102" s="29" customFormat="1" x14ac:dyDescent="0.3">
      <c r="A113" s="29" t="s">
        <v>216</v>
      </c>
      <c r="B113" s="29" t="s">
        <v>217</v>
      </c>
      <c r="C113" s="30">
        <v>45347.269444444442</v>
      </c>
      <c r="D113" s="29">
        <v>240</v>
      </c>
      <c r="E113" s="29">
        <f t="shared" ref="E113:E121" si="73">J113/60</f>
        <v>400</v>
      </c>
      <c r="F113" s="29" t="s">
        <v>289</v>
      </c>
      <c r="G113" s="31">
        <v>39.1</v>
      </c>
      <c r="H113" s="31">
        <v>0</v>
      </c>
      <c r="I113" s="31">
        <v>6.71</v>
      </c>
      <c r="J113" s="29">
        <v>24000</v>
      </c>
      <c r="K113" s="29">
        <v>24125.258999999998</v>
      </c>
      <c r="L113" s="29">
        <f t="shared" si="43"/>
        <v>25559.999999706633</v>
      </c>
      <c r="M113" s="29">
        <f t="shared" si="44"/>
        <v>1559.9999997066334</v>
      </c>
      <c r="N113" s="65"/>
      <c r="O113" s="29">
        <v>6.2009489055161798E-3</v>
      </c>
      <c r="P113" s="29">
        <v>2.6542123877553999E-2</v>
      </c>
      <c r="R113" s="29">
        <v>0.24245710220568201</v>
      </c>
      <c r="S113" s="29">
        <v>1.17986564667764E-2</v>
      </c>
      <c r="T113" s="29">
        <v>0.178097651218387</v>
      </c>
      <c r="U113" s="29">
        <v>1.54157836581248E-3</v>
      </c>
      <c r="W113" s="31">
        <f>(1000*T113/R113)/$AG$140</f>
        <v>0.73623185389101742</v>
      </c>
      <c r="X113" s="31"/>
      <c r="Y113" s="31">
        <f>T113-AVERAGE(T114:T116)</f>
        <v>0.16902168824786956</v>
      </c>
      <c r="Z113" s="31">
        <f>U113+AVERAGE(T114:T116)</f>
        <v>1.0617541336329929E-2</v>
      </c>
      <c r="AA113" s="31"/>
      <c r="AB113" s="31">
        <f>(Y113*1000)/R113</f>
        <v>697.11997178158356</v>
      </c>
      <c r="AC113" s="31">
        <f>2*((1000*Z113/(2*R113))^2+((S113/2)*1000*Y113/(R113^2))^2)^0.5</f>
        <v>55.394191527739558</v>
      </c>
      <c r="AD113" s="31">
        <f>AB113/$AG$140</f>
        <v>0.69871303768025972</v>
      </c>
      <c r="AE113" s="31">
        <f>2*(($AH$140*AB113/(2*$AG$140^2))^2+(AC113/($AG$140*2))^2)^0.5</f>
        <v>5.6020669961775425E-2</v>
      </c>
      <c r="AF113" s="69"/>
      <c r="AG113" s="31" cm="1">
        <f t="array" ref="AG113:AH113">BP113:BQ113</f>
        <v>0.26066439046309131</v>
      </c>
      <c r="AH113" s="29">
        <v>1.2300450721968205E-2</v>
      </c>
      <c r="AI113" s="31" cm="1">
        <f t="array" ref="AI113:AJ113">BX113:BY113</f>
        <v>0.18360581417126934</v>
      </c>
      <c r="AJ113" s="29">
        <v>1.1543033903832742E-2</v>
      </c>
      <c r="AL113" s="31">
        <f>1000*AI113/AG113</f>
        <v>704.37628187371047</v>
      </c>
      <c r="AM113" s="31">
        <f>2*((AH113*1000*AI113/(2*AG113^2))^2+(1000*AJ113/(AG113*2))^2)^0.5</f>
        <v>55.369724997327417</v>
      </c>
      <c r="AN113" s="31">
        <f>AL113/$AG$140</f>
        <v>0.70598592996860243</v>
      </c>
      <c r="AO113" s="31">
        <f>2*(($AH$140*AL113/(2*$AG$140^2))^2+(AM113/($AG$140*2))^2)^0.5</f>
        <v>5.6006784192087301E-2</v>
      </c>
      <c r="AP113" s="31"/>
      <c r="AQ113" s="31">
        <f>SUM(BP$5:$BP113)</f>
        <v>11.27734525625041</v>
      </c>
      <c r="AR113" s="31" cm="1">
        <f t="array" ref="AR113">2*SQRT(SUM((BQ$5:$BQ113/2)^2))</f>
        <v>6.2319871094207911E-2</v>
      </c>
      <c r="AS113" s="31">
        <f>SUM($BX$5:BX113)</f>
        <v>4.527695900344332</v>
      </c>
      <c r="AT113" s="31" cm="1">
        <f t="array" ref="AT113">2*SQRT(SUM(($BY$5:BY113/2)^2))</f>
        <v>0.21012011361760419</v>
      </c>
      <c r="AU113" s="31">
        <f t="shared" si="49"/>
        <v>11.232763688426983</v>
      </c>
      <c r="AV113" s="31"/>
      <c r="AW113" s="31">
        <f t="shared" si="50"/>
        <v>6.1806957263039592</v>
      </c>
      <c r="AX113" s="31"/>
      <c r="AY113" s="69"/>
      <c r="AZ113" s="31"/>
      <c r="BB113" s="31"/>
      <c r="BC113" s="31"/>
      <c r="BD113" s="31"/>
      <c r="BE113" s="31"/>
      <c r="BF113" s="31">
        <f t="shared" si="45"/>
        <v>494357076108.85529</v>
      </c>
      <c r="BG113" s="31">
        <f t="shared" si="46"/>
        <v>546942020716.46802</v>
      </c>
      <c r="BH113" s="31">
        <f t="shared" si="66"/>
        <v>4.8885133625674457E-16</v>
      </c>
      <c r="BI113" s="31"/>
      <c r="BJ113" s="31"/>
      <c r="BK113" s="31"/>
      <c r="BL113" s="31"/>
      <c r="BM113" s="31"/>
      <c r="BN113" s="111">
        <f>BN112-R112</f>
        <v>6.8929971468821571E-3</v>
      </c>
      <c r="BO113" s="112">
        <f>BO112+S112</f>
        <v>1.4514176998146736E-3</v>
      </c>
      <c r="BP113" s="23">
        <f>R113+BN114-BN113</f>
        <v>0.26066439046309131</v>
      </c>
      <c r="BQ113" s="23">
        <f>2*(((BO113/2)^2+(BO114/2)^2+(S113/2)^2)^(0.5))</f>
        <v>1.2300450721968205E-2</v>
      </c>
      <c r="BR113" s="72">
        <f>100*(BP113-R113)/R113</f>
        <v>7.5094885205563653</v>
      </c>
      <c r="BS113" s="72"/>
      <c r="BT113" s="31"/>
      <c r="BU113" s="31"/>
      <c r="BV113" s="114">
        <f>BV112*EXP(-BB112*BH112*E112*60*0.91357457380209)*EXP(-(M112-1560)*$CW$126*$BH$48*0.91357457380209)</f>
        <v>4.6994331894907549E-3</v>
      </c>
      <c r="BW113" s="116">
        <f>2*SQRT(
((BW112/2) * EXP(-BB112 * BH112 * E112 * 60 * 0.91357457380209) * EXP(-(M112 - 1560) * $CW$126 * $BH$48 * 0.91357457380209))^2 +
(BC112 * (-BV112 * BH112 * E112 * 60 * 0.91357457380209 * EXP(-BB112 * BH112 * E112 * 60 * 0.91357457380209) * EXP(-(M112 - 1560) * $CW$126 * $BH$48 * 0.91357457380209)))^2 +
((0.146030972937065 / 2) * BV112 * (-BB112 * BH112 * E112 * 60 - (M112 - 1560) * $CW$126 * $BH$48) * EXP(-BB112 * BH112 * E112 * 60 * 0.91357457380209) * EXP(-(M112 - 1560) * $CW$126 * $BH$48 * 0.91357457380209))^2 +
-(M112-1560)*$BH$48*0.91357457380209*BV112*EXP(-BB112*BH112*E112*60*0.91357457380209)*EXP(-(M112-1560)*$CW$126*$BH$48*0.91357457380209))</f>
        <v>1.2474405618897698E-3</v>
      </c>
      <c r="BX113" s="23">
        <f>Y113+BV114-BV113</f>
        <v>0.18360581417126934</v>
      </c>
      <c r="BY113" s="23">
        <f>2*(((BW113/2)^2+(BW114/2)^2+(Z113/2)^2)^(0.5))</f>
        <v>1.1543033903832742E-2</v>
      </c>
      <c r="BZ113" s="72">
        <f>100*(BX113-Y113)/Y113</f>
        <v>8.6285529831013275</v>
      </c>
      <c r="CA113" s="140">
        <f>R113*CC113</f>
        <v>4.4758886448129864E-2</v>
      </c>
      <c r="CB113" s="31">
        <f>BH113*BG113*J113</f>
        <v>6.4169601043730271</v>
      </c>
      <c r="CC113" s="31">
        <f>1/(CB113-1)</f>
        <v>0.1846053839666856</v>
      </c>
      <c r="CD113" s="31">
        <f>CF113*T113</f>
        <v>3.7103593747011075E-2</v>
      </c>
      <c r="CE113" s="31">
        <f>BH113*BF113*J113</f>
        <v>5.800010813850986</v>
      </c>
      <c r="CF113" s="31">
        <f>1/(CE113-1)</f>
        <v>0.20833286398321946</v>
      </c>
      <c r="CG113" s="31">
        <f>R113-CA109</f>
        <v>0.20885295374871937</v>
      </c>
      <c r="CH113" s="31">
        <f>R113+CA113</f>
        <v>0.28721598865381187</v>
      </c>
      <c r="CI113" s="31">
        <f>T113-CD109</f>
        <v>0.15154041570390805</v>
      </c>
      <c r="CJ113" s="31">
        <f>T113+CD113</f>
        <v>0.21520124496539808</v>
      </c>
      <c r="CK113" s="31">
        <f>CE113*1.29</f>
        <v>7.4820139498677722</v>
      </c>
      <c r="CL113" s="31">
        <f>R113 / (CK113-1)</f>
        <v>3.7404594325291127E-2</v>
      </c>
      <c r="CM113" s="31">
        <f>1000*T113/R113</f>
        <v>734.55324508210367</v>
      </c>
      <c r="CN113" s="31">
        <f>1000*(T113+CD113)/(R113+CL113)</f>
        <v>768.95569359053422</v>
      </c>
      <c r="CO113" s="31">
        <f>1000*(T113-CD109)/(R113-CL109)</f>
        <v>706.99583306443935</v>
      </c>
      <c r="CP113" s="31">
        <f>1000*(T113+CD113-CD109)/(R113+CL113-CL109)</f>
        <v>749.33448210439974</v>
      </c>
      <c r="CQ113" s="31">
        <f>MAX(CM113:CP113)</f>
        <v>768.95569359053422</v>
      </c>
      <c r="CR113" s="31">
        <f>MIN(CM113:CP113)</f>
        <v>706.99583306443935</v>
      </c>
      <c r="CS113" s="31"/>
    </row>
    <row r="114" spans="1:102" s="32" customFormat="1" x14ac:dyDescent="0.3">
      <c r="A114" s="32" t="s">
        <v>218</v>
      </c>
      <c r="B114" s="32" t="s">
        <v>219</v>
      </c>
      <c r="C114" s="33">
        <v>45347.39166666667</v>
      </c>
      <c r="D114" s="32">
        <v>95</v>
      </c>
      <c r="E114" s="32">
        <f t="shared" si="73"/>
        <v>150</v>
      </c>
      <c r="F114" s="32" t="s">
        <v>286</v>
      </c>
      <c r="G114" s="34">
        <v>1.07</v>
      </c>
      <c r="H114" s="34">
        <v>0</v>
      </c>
      <c r="I114" s="34">
        <v>0.38900000000000001</v>
      </c>
      <c r="J114" s="32">
        <v>9000</v>
      </c>
      <c r="K114" s="32">
        <v>9130.32</v>
      </c>
      <c r="L114" s="32">
        <f t="shared" si="43"/>
        <v>10560.000000474975</v>
      </c>
      <c r="M114" s="32">
        <f t="shared" si="44"/>
        <v>1560.0000004749745</v>
      </c>
      <c r="N114" s="65"/>
      <c r="O114" s="32">
        <v>6.0549696254431897E-3</v>
      </c>
      <c r="P114" s="32">
        <v>2.6442988452947101E-2</v>
      </c>
      <c r="R114" s="32">
        <v>6.4788174992242197E-3</v>
      </c>
      <c r="S114" s="32">
        <v>3.1985409024865897E-4</v>
      </c>
      <c r="T114" s="32">
        <v>1.02863225081964E-2</v>
      </c>
      <c r="U114" s="34">
        <v>8.6304873890696398E-5</v>
      </c>
      <c r="V114" s="34"/>
      <c r="Y114" s="34"/>
      <c r="Z114" s="34"/>
      <c r="AA114" s="34"/>
      <c r="AB114" s="34"/>
      <c r="AF114" s="69"/>
      <c r="AQ114" s="34">
        <f>SUM(BP$5:$BP114)</f>
        <v>11.27734525625041</v>
      </c>
      <c r="AR114" s="34" cm="1">
        <f t="array" ref="AR114">2*SQRT(SUM((BQ$5:$BQ114/2)^2))</f>
        <v>6.2319871094207911E-2</v>
      </c>
      <c r="AS114" s="34">
        <f>SUM($BX$5:BX114)</f>
        <v>4.527695900344332</v>
      </c>
      <c r="AT114" s="34" cm="1">
        <f t="array" ref="AT114">2*SQRT(SUM(($BY$5:BY114/2)^2))</f>
        <v>0.21012011361760419</v>
      </c>
      <c r="AU114" s="34">
        <f t="shared" si="49"/>
        <v>11.239242505926207</v>
      </c>
      <c r="AV114" s="34"/>
      <c r="AW114" s="34">
        <f t="shared" si="50"/>
        <v>6.1909820488121561</v>
      </c>
      <c r="AX114" s="34"/>
      <c r="AY114" s="69"/>
      <c r="AZ114" s="34">
        <f>'Naive Apparent Lambdas'!$U$2*(10000/(D114+273))+'Naive Apparent Lambdas'!$V$2</f>
        <v>25.272915712407681</v>
      </c>
      <c r="BA114" s="32">
        <f>'Naive Apparent Lambdas'!$V$4</f>
        <v>6.7480704157997479E-2</v>
      </c>
      <c r="BB114" s="34">
        <f t="shared" si="40"/>
        <v>94599280986.297607</v>
      </c>
      <c r="BC114" s="34">
        <f t="shared" si="41"/>
        <v>6383626093.7956247</v>
      </c>
      <c r="BD114" s="34">
        <f>BB114*(D114+273)*$D$145*$F$144</f>
        <v>3.3173790351308016E-5</v>
      </c>
      <c r="BE114" s="34"/>
      <c r="BF114" s="31">
        <f t="shared" si="45"/>
        <v>74378450025.067627</v>
      </c>
      <c r="BG114" s="31">
        <f t="shared" si="46"/>
        <v>80496818032.103622</v>
      </c>
      <c r="BH114" s="34">
        <f t="shared" si="66"/>
        <v>3.5067698195415599E-16</v>
      </c>
      <c r="BI114" s="34"/>
      <c r="BJ114" s="34">
        <f>R114/(1-EXP(-E114*60*BD114))</f>
        <v>2.5100285404291482E-2</v>
      </c>
      <c r="BK114" s="34">
        <f>2*SQRT(
((S114/2) * (1 / (1 - EXP(-E114 * 60 * BB114 * BH114))))^2 +
(BC114 * (-R114 * 60 * E114 * BH114 * EXP(-E114 * 60 * BB114 * BH114) / (1 - EXP(-E114 * 60 * BB114 * BH114))^2))^2
)</f>
        <v>3.1600918029747577E-3</v>
      </c>
      <c r="BL114" s="34">
        <f>R114/(1-EXP(-E114*60*BB114*BH114)*EXP(-(M114-1560)*$CW$126*$BH$122))</f>
        <v>2.5100285404041061E-2</v>
      </c>
      <c r="BM114" s="34">
        <f>2*SQRT(
((S114/2) * (1 / (1 - EXP(-E114 * 60 * BB114 * BH114) * EXP(-(M114 - 1560) * $CW$126 * $BH$48))))^2 +
(BC114 * (-R114 * 60 * E114 * BH114 * EXP(-E114 * 60 * BB114 * BH114) / ((1 - EXP(-E114 * 60 * BB114 * BH114) * EXP(-(M114 - 1560) * $CW$126 * $BH$48))^2)))^2 +
($CX$126 * (-R114 * (M114 - 1560) * $BH$48 * EXP(-(M114 - 1560) * $CW$126 * $BH$48) / ((1 - EXP(-E114 * 60 * BB114 * BH114) * EXP(-(M114 - 1560) * $CW$126 * $BH$48))^2)))^2
)</f>
        <v>3.1600918029165504E-3</v>
      </c>
      <c r="BN114" s="117" cm="1">
        <f t="array" ref="BN114:BO114">BJ114:BK114</f>
        <v>2.5100285404291482E-2</v>
      </c>
      <c r="BO114" s="118">
        <v>3.1600918029747577E-3</v>
      </c>
      <c r="BP114" s="24"/>
      <c r="BQ114" s="24"/>
      <c r="BR114" s="73"/>
      <c r="BS114" s="73"/>
      <c r="BT114" s="123">
        <f>BN114*(Y113/R113)*1.10204926384627</f>
        <v>1.9283559112890546E-2</v>
      </c>
      <c r="BU114" s="123">
        <f>2*(((BO114/2)*1.10204926384627*(AB113/(1000)))^2+((AC113/2000)*1.10204926384627*BN114)^2+((0.187040260207234/2)*BN114*(AB113/(1000)))^2)^0.5</f>
        <v>4.3535433523636301E-3</v>
      </c>
      <c r="BV114" s="124">
        <f>BT114</f>
        <v>1.9283559112890546E-2</v>
      </c>
      <c r="BW114" s="125">
        <f>BU114</f>
        <v>4.3535433523636301E-3</v>
      </c>
      <c r="BX114" s="24"/>
      <c r="BY114" s="24"/>
      <c r="BZ114" s="73"/>
      <c r="CA114" s="141">
        <f t="shared" ref="CA114:CA116" si="74">CA113*(EXP(-BH114*BG114*E114))*(EXP(-$BG$140*$F$144*D253*(24+273)*M114))</f>
        <v>4.4569766485627924E-2</v>
      </c>
      <c r="CB114" s="34"/>
      <c r="CC114" s="34"/>
      <c r="CD114" s="34">
        <f t="shared" ref="CD114:CD116" si="75">CD113*(EXP(-BH114*BF114*E114))*(EXP(-$BF$140*$F$144*D253*(24+273)*M114))</f>
        <v>3.6958712450171662E-2</v>
      </c>
      <c r="CE114" s="34"/>
      <c r="CF114" s="34"/>
      <c r="CG114" s="34"/>
      <c r="CH114" s="34"/>
      <c r="CI114" s="34"/>
      <c r="CJ114" s="34"/>
      <c r="CK114" s="34"/>
      <c r="CL114" s="34"/>
      <c r="CM114" s="34"/>
      <c r="CN114" s="34"/>
      <c r="CO114" s="34"/>
      <c r="CP114" s="34"/>
      <c r="CQ114" s="34"/>
      <c r="CR114" s="34"/>
      <c r="CS114" s="34"/>
    </row>
    <row r="115" spans="1:102" x14ac:dyDescent="0.3">
      <c r="A115" t="s">
        <v>220</v>
      </c>
      <c r="B115" t="s">
        <v>221</v>
      </c>
      <c r="C115" s="1">
        <v>45347.513888888891</v>
      </c>
      <c r="D115">
        <v>95</v>
      </c>
      <c r="E115">
        <f t="shared" si="73"/>
        <v>150</v>
      </c>
      <c r="G115" s="2">
        <v>0.78300000000000003</v>
      </c>
      <c r="H115" s="2">
        <v>0</v>
      </c>
      <c r="I115" s="2">
        <v>0.26300000000000001</v>
      </c>
      <c r="J115">
        <v>9000</v>
      </c>
      <c r="K115">
        <v>9125.3179999999993</v>
      </c>
      <c r="L115">
        <f t="shared" si="43"/>
        <v>10559.999999846332</v>
      </c>
      <c r="M115">
        <f t="shared" si="44"/>
        <v>1559.9999998463318</v>
      </c>
      <c r="N115" s="65"/>
      <c r="O115">
        <v>6.0608859247235402E-3</v>
      </c>
      <c r="P115">
        <v>2.64450841387164E-2</v>
      </c>
      <c r="R115">
        <v>4.7456736790585296E-3</v>
      </c>
      <c r="S115">
        <v>2.2772235921134499E-4</v>
      </c>
      <c r="T115">
        <v>6.9550571284824302E-3</v>
      </c>
      <c r="U115" s="2">
        <v>5.5442706026271601E-5</v>
      </c>
      <c r="V115" s="2"/>
      <c r="Y115" s="2"/>
      <c r="Z115" s="2"/>
      <c r="AA115" s="2"/>
      <c r="AB115" s="2"/>
      <c r="AQ115" s="2">
        <f>SUM(BP$5:$BP115)</f>
        <v>11.27734525625041</v>
      </c>
      <c r="AR115" s="2" cm="1">
        <f t="array" ref="AR115">2*SQRT(SUM((BQ$5:$BQ115/2)^2))</f>
        <v>6.2319871094207911E-2</v>
      </c>
      <c r="AS115" s="2">
        <f>SUM($BX$5:BX115)</f>
        <v>4.527695900344332</v>
      </c>
      <c r="AT115" s="2" cm="1">
        <f t="array" ref="AT115">2*SQRT(SUM(($BY$5:BY115/2)^2))</f>
        <v>0.21012011361760419</v>
      </c>
      <c r="AU115" s="2">
        <f t="shared" si="49"/>
        <v>11.243988179605266</v>
      </c>
      <c r="AV115" s="2"/>
      <c r="AW115" s="2">
        <f t="shared" si="50"/>
        <v>6.1979371059406381</v>
      </c>
      <c r="AX115" s="2"/>
      <c r="AZ115" s="2">
        <f>'Naive Apparent Lambdas'!$U$2*(10000/(D115+273))+'Naive Apparent Lambdas'!$V$2</f>
        <v>25.272915712407681</v>
      </c>
      <c r="BA115">
        <f>'Naive Apparent Lambdas'!$V$4</f>
        <v>6.7480704157997479E-2</v>
      </c>
      <c r="BB115" s="2">
        <f t="shared" si="40"/>
        <v>94599280986.297607</v>
      </c>
      <c r="BC115" s="2">
        <f t="shared" si="41"/>
        <v>6383626093.7956247</v>
      </c>
      <c r="BD115" s="2">
        <f>BB115*(D115+273)*$D$145*$F$144</f>
        <v>3.3173790351308016E-5</v>
      </c>
      <c r="BE115" s="2"/>
      <c r="BF115" s="31">
        <f t="shared" si="45"/>
        <v>74378450025.067627</v>
      </c>
      <c r="BG115" s="31">
        <f t="shared" si="46"/>
        <v>80496818032.103622</v>
      </c>
      <c r="BH115" s="2">
        <f t="shared" si="66"/>
        <v>3.5067698195415599E-16</v>
      </c>
      <c r="BI115" s="2"/>
      <c r="BJ115" s="2">
        <f>R115/(1-EXP(-E115*60*BD115))</f>
        <v>1.838572606718222E-2</v>
      </c>
      <c r="BK115" s="2">
        <f>2*SQRT(
((S115/2) * (1 / (1 - EXP(-E115 * 60 * BB115 * BH115))))^2 +
(BC115 * (-R115 * 60 * E115 * BH115 * EXP(-E115 * 60 * BB115 * BH115) / (1 - EXP(-E115 * 60 * BB115 * BH115))^2))^2
)</f>
        <v>2.30487890805104E-3</v>
      </c>
      <c r="BL115" s="2">
        <f>R115/(1-EXP(-E115*60*BB115*BH115)*EXP(-(M115-1560)*$CW$126*$BH$122))</f>
        <v>1.8385726067241571E-2</v>
      </c>
      <c r="BM115" s="2">
        <f>2*SQRT(
((S115/2) * (1 / (1 - EXP(-E115 * 60 * BB115 * BH115) * EXP(-(M115 - 1560) * $CW$126 * $BH$48))))^2 +
(BC115 * (-R115 * 60 * E115 * BH115 * EXP(-E115 * 60 * BB115 * BH115) / ((1 - EXP(-E115 * 60 * BB115 * BH115) * EXP(-(M115 - 1560) * $CW$126 * $BH$48))^2)))^2 +
($CX$126 * (-R115 * (M115 - 1560) * $BH$48 * EXP(-(M115 - 1560) * $CW$126 * $BH$48) / ((1 - EXP(-E115 * 60 * BB115 * BH115) * EXP(-(M115 - 1560) * $CW$126 * $BH$48))^2)))^2
)</f>
        <v>2.3048789080648306E-3</v>
      </c>
      <c r="BN115" s="54">
        <f>BN114*EXP(-BD114*E114*60)</f>
        <v>1.8621467905067263E-2</v>
      </c>
      <c r="BO115" s="99">
        <f>2*((((BO114/2)*EXP(-BD114*E114*60))^2+(BN114*EXP(-BD114*E114*60)*E114*60*BC114*BD114/BB114)^2)^0.5)</f>
        <v>2.4615668406163809E-3</v>
      </c>
      <c r="BP115" s="22"/>
      <c r="BQ115" s="22"/>
      <c r="BT115" s="2"/>
      <c r="BU115" s="2"/>
      <c r="BV115" s="54">
        <f>BV114*EXP(-BB114*BH114*E114*60*0.91357457380209)*EXP(-(M114-1560)*$CW$126*$BH$48*0.91357457380209)</f>
        <v>1.4680092011779904E-2</v>
      </c>
      <c r="BW115" s="99">
        <f>2*SQRT(
((BW114/2) * EXP(-BB114 * BH114 * E114 * 60 * 0.91357457380209) * EXP(-(M114 - 1560) * $CW$126 * $BH$48 * 0.91357457380209))^2 +
(BC114 * (-BV114 * BH114 * E114 * 60 * 0.91357457380209 * EXP(-BB114 * BH114 * E114 * 60 * 0.91357457380209) * EXP(-(M114 - 1560) * $CW$126 * $BH$48 * 0.91357457380209)))^2 +
((0.146030972937065 / 2) * BV114 * (-BB114 * BH114 * E114 * 60 - (M114 - 1560) * $CW$126 * $BH$48) * EXP(-BB114 * BH114 * E114 * 60 * 0.91357457380209) * EXP(-(M114 - 1560) * $CW$126 * $BH$48 * 0.91357457380209))^2 +
-(M114-1560)*$BH$48*0.91357457380209*BV114*EXP(-BB114*BH114*E114*60*0.91357457380209)*EXP(-(M114-1560)*$CW$126*$BH$48*0.91357457380209))</f>
        <v>3.418466007902618E-3</v>
      </c>
      <c r="BX115" s="22"/>
      <c r="BY115" s="22"/>
      <c r="CA115" s="141">
        <f t="shared" si="74"/>
        <v>4.4381445612715897E-2</v>
      </c>
      <c r="CB115" s="34"/>
      <c r="CC115" s="34"/>
      <c r="CD115" s="34">
        <f t="shared" si="75"/>
        <v>3.6814396882633757E-2</v>
      </c>
      <c r="CE115" s="2"/>
      <c r="CF115" s="2"/>
      <c r="CS115" s="2"/>
    </row>
    <row r="116" spans="1:102" x14ac:dyDescent="0.3">
      <c r="A116" t="s">
        <v>222</v>
      </c>
      <c r="B116" t="s">
        <v>223</v>
      </c>
      <c r="C116" s="1">
        <v>45347.835416666669</v>
      </c>
      <c r="D116">
        <v>95</v>
      </c>
      <c r="E116" s="39">
        <f t="shared" si="73"/>
        <v>437</v>
      </c>
      <c r="G116" s="2">
        <v>1.59</v>
      </c>
      <c r="H116" s="2">
        <v>0</v>
      </c>
      <c r="I116" s="2">
        <v>0.376</v>
      </c>
      <c r="J116">
        <v>26220</v>
      </c>
      <c r="K116">
        <v>26342.477999999999</v>
      </c>
      <c r="L116">
        <f t="shared" si="43"/>
        <v>27780.00000002794</v>
      </c>
      <c r="M116">
        <f t="shared" si="44"/>
        <v>1560.0000000279397</v>
      </c>
      <c r="N116" s="65"/>
      <c r="O116">
        <v>6.2608810596023502E-3</v>
      </c>
      <c r="P116">
        <v>2.65598650927487E-2</v>
      </c>
      <c r="R116">
        <v>9.9548008847677293E-3</v>
      </c>
      <c r="S116">
        <v>4.0339798812357298E-4</v>
      </c>
      <c r="T116">
        <v>9.9865092748735208E-3</v>
      </c>
      <c r="U116" s="2">
        <v>7.6070019203160406E-5</v>
      </c>
      <c r="V116" s="2"/>
      <c r="Y116" s="2"/>
      <c r="Z116" s="2"/>
      <c r="AA116" s="2"/>
      <c r="AB116" s="2"/>
      <c r="AQ116" s="2">
        <f>SUM(BP$5:$BP116)</f>
        <v>11.27734525625041</v>
      </c>
      <c r="AR116" s="2" cm="1">
        <f t="array" ref="AR116">2*SQRT(SUM((BQ$5:$BQ116/2)^2))</f>
        <v>6.2319871094207911E-2</v>
      </c>
      <c r="AS116" s="2">
        <f>SUM($BX$5:BX116)</f>
        <v>4.527695900344332</v>
      </c>
      <c r="AT116" s="2" cm="1">
        <f t="array" ref="AT116">2*SQRT(SUM(($BY$5:BY116/2)^2))</f>
        <v>0.21012011361760419</v>
      </c>
      <c r="AU116" s="2">
        <f t="shared" si="49"/>
        <v>11.253942980490033</v>
      </c>
      <c r="AV116" s="2"/>
      <c r="AW116" s="2">
        <f t="shared" si="50"/>
        <v>6.2079236152155115</v>
      </c>
      <c r="AX116" s="2"/>
      <c r="AZ116" s="2">
        <f>'Naive Apparent Lambdas'!$U$2*(10000/(D116+273))+'Naive Apparent Lambdas'!$V$2</f>
        <v>25.272915712407681</v>
      </c>
      <c r="BA116">
        <f>'Naive Apparent Lambdas'!$V$4</f>
        <v>6.7480704157997479E-2</v>
      </c>
      <c r="BB116" s="2">
        <f t="shared" si="40"/>
        <v>94599280986.297607</v>
      </c>
      <c r="BC116" s="2">
        <f t="shared" si="41"/>
        <v>6383626093.7956247</v>
      </c>
      <c r="BD116" s="2">
        <f>BB116*(D116+273)*$D$145*$F$144</f>
        <v>3.3173790351308016E-5</v>
      </c>
      <c r="BE116" s="2"/>
      <c r="BF116" s="31">
        <f t="shared" si="45"/>
        <v>74378450025.067627</v>
      </c>
      <c r="BG116" s="31">
        <f t="shared" si="46"/>
        <v>80496818032.103622</v>
      </c>
      <c r="BH116" s="2">
        <f t="shared" si="66"/>
        <v>3.5067698195415599E-16</v>
      </c>
      <c r="BI116" s="2"/>
      <c r="BJ116" s="2">
        <f>R116/(1-EXP(-E116*60*BD116))</f>
        <v>1.7134743649804458E-2</v>
      </c>
      <c r="BK116" s="2">
        <f>2*SQRT(
((S116/2) * (1 / (1 - EXP(-E116 * 60 * BB116 * BH116))))^2 +
(BC116 * (-R116 * 60 * E116 * BH116 * EXP(-E116 * 60 * BB116 * BH116) / (1 - EXP(-E116 * 60 * BB116 * BH116))^2))^2
)</f>
        <v>1.6083852416740824E-3</v>
      </c>
      <c r="BL116" s="2">
        <f>R116/(1-EXP(-E116*60*BB116*BH116)*EXP(-(M116-1560)*$CW$126*$BH$122))</f>
        <v>1.7134743649801935E-2</v>
      </c>
      <c r="BM116" s="2">
        <f>2*SQRT(
((S116/2) * (1 / (1 - EXP(-E116 * 60 * BB116 * BH116) * EXP(-(M116 - 1560) * $CW$126 * $BH$48))))^2 +
(BC116 * (-R116 * 60 * E116 * BH116 * EXP(-E116 * 60 * BB116 * BH116) / ((1 - EXP(-E116 * 60 * BB116 * BH116) * EXP(-(M116 - 1560) * $CW$126 * $BH$48))^2)))^2 +
($CX$126 * (-R116 * (M116 - 1560) * $BH$48 * EXP(-(M116 - 1560) * $CW$126 * $BH$48) / ((1 - EXP(-E116 * 60 * BB116 * BH116) * EXP(-(M116 - 1560) * $CW$126 * $BH$48))^2)))^2
)</f>
        <v>1.6083852416736532E-3</v>
      </c>
      <c r="BN116" s="54">
        <f>BN115*EXP(-BD115*E115*60)</f>
        <v>1.3814945183060093E-2</v>
      </c>
      <c r="BO116" s="99">
        <f>2*((((BO115/2)*EXP(-BD115*E115*60))^2+(BN115*EXP(-BD115*E115*60)*E115*60*BC115*BD115/BB115)^2)^0.5)</f>
        <v>1.9091525770986546E-3</v>
      </c>
      <c r="BP116" s="22"/>
      <c r="BQ116" s="22"/>
      <c r="BT116" s="2"/>
      <c r="BU116" s="2"/>
      <c r="BV116" s="54">
        <f>BV115*EXP(-BB115*BH115*E115*60*0.91357457380209)*EXP(-(M115-1560)*$CW$126*$BH$48*0.91357457380209)</f>
        <v>1.1175587463580269E-2</v>
      </c>
      <c r="BW116" s="99">
        <f>2*SQRT(
((BW115/2) * EXP(-BB115 * BH115 * E115 * 60 * 0.91357457380209) * EXP(-(M115 - 1560) * $CW$126 * $BH$48 * 0.91357457380209))^2 +
(BC115 * (-BV115 * BH115 * E115 * 60 * 0.91357457380209 * EXP(-BB115 * BH115 * E115 * 60 * 0.91357457380209) * EXP(-(M115 - 1560) * $CW$126 * $BH$48 * 0.91357457380209)))^2 +
((0.146030972937065 / 2) * BV115 * (-BB115 * BH115 * E115 * 60 - (M115 - 1560) * $CW$126 * $BH$48) * EXP(-BB115 * BH115 * E115 * 60 * 0.91357457380209) * EXP(-(M115 - 1560) * $CW$126 * $BH$48 * 0.91357457380209))^2 +
-(M115-1560)*$BH$48*0.91357457380209*BV115*EXP(-BB115*BH115*E115*60*0.91357457380209)*EXP(-(M115-1560)*$CW$126*$BH$48*0.91357457380209))</f>
        <v>2.6793861107544405E-3</v>
      </c>
      <c r="BX116" s="22"/>
      <c r="BY116" s="22"/>
      <c r="CA116" s="141">
        <f t="shared" si="74"/>
        <v>4.383732782588394E-2</v>
      </c>
      <c r="CB116" s="34"/>
      <c r="CC116" s="34"/>
      <c r="CD116" s="34">
        <f t="shared" si="75"/>
        <v>3.6397161839861143E-2</v>
      </c>
      <c r="CE116" s="2"/>
      <c r="CF116" s="2"/>
      <c r="CS116" s="2"/>
    </row>
    <row r="117" spans="1:102" s="29" customFormat="1" x14ac:dyDescent="0.3">
      <c r="A117" s="29" t="s">
        <v>224</v>
      </c>
      <c r="B117" s="29" t="s">
        <v>225</v>
      </c>
      <c r="C117" s="30">
        <v>45348.099305555559</v>
      </c>
      <c r="D117" s="29">
        <v>245</v>
      </c>
      <c r="E117" s="29">
        <f t="shared" si="73"/>
        <v>350</v>
      </c>
      <c r="F117" s="29" t="s">
        <v>289</v>
      </c>
      <c r="G117" s="31">
        <v>50.4</v>
      </c>
      <c r="H117" s="31">
        <v>0</v>
      </c>
      <c r="I117" s="31">
        <v>8.68</v>
      </c>
      <c r="J117" s="29">
        <v>21000</v>
      </c>
      <c r="K117" s="29">
        <v>21126.679</v>
      </c>
      <c r="L117" s="29">
        <f t="shared" si="43"/>
        <v>22800.000000139698</v>
      </c>
      <c r="M117" s="29">
        <f t="shared" si="44"/>
        <v>1800.0000001396984</v>
      </c>
      <c r="N117" s="65"/>
      <c r="O117" s="29">
        <v>6.2499123709429403E-3</v>
      </c>
      <c r="P117" s="29">
        <v>2.65598650927487E-2</v>
      </c>
      <c r="R117" s="29">
        <v>0.31499558349552398</v>
      </c>
      <c r="S117" s="29">
        <v>8.0950790239681294E-3</v>
      </c>
      <c r="T117" s="29">
        <v>0.230539629005059</v>
      </c>
      <c r="U117" s="29">
        <v>1.68247318853774E-3</v>
      </c>
      <c r="W117" s="31">
        <f>(1000*T117/R117)/$AG$140</f>
        <v>0.73355460425249708</v>
      </c>
      <c r="X117" s="31"/>
      <c r="Y117" s="31">
        <f>T117-AVERAGE(T118:T120)</f>
        <v>0.22345539614540713</v>
      </c>
      <c r="Z117" s="31">
        <f>U117+AVERAGE(T118:T120)</f>
        <v>8.7667060481896129E-3</v>
      </c>
      <c r="AA117" s="31"/>
      <c r="AB117" s="31">
        <f>(Y117*1000)/R117</f>
        <v>709.39215612393616</v>
      </c>
      <c r="AC117" s="31">
        <f>2*((1000*Z117/(2*R117))^2+((S117/2)*1000*Y117/(R117^2))^2)^0.5</f>
        <v>33.270614281284885</v>
      </c>
      <c r="AD117" s="31">
        <f>AB117/$AG$140</f>
        <v>0.71101326654747099</v>
      </c>
      <c r="AE117" s="31">
        <f>2*(($AH$140*AB117/(2*$AG$140^2))^2+(AC117/($AG$140*2))^2)^0.5</f>
        <v>3.4201428642845741E-2</v>
      </c>
      <c r="AF117" s="69"/>
      <c r="AG117" s="31" cm="1">
        <f t="array" ref="AG117:AH117">BP117:BQ117</f>
        <v>0.34868138609583449</v>
      </c>
      <c r="AH117" s="29">
        <v>9.3889275064231829E-3</v>
      </c>
      <c r="AI117" s="31" cm="1">
        <f t="array" ref="AI117:AJ117">BX117:BY117</f>
        <v>0.24926760390178637</v>
      </c>
      <c r="AJ117" s="29">
        <v>1.1032022437709654E-2</v>
      </c>
      <c r="AL117" s="31">
        <f>1000*AI117/AG117</f>
        <v>714.88646610253977</v>
      </c>
      <c r="AM117" s="31">
        <f>2*((AH117*1000*AI117/(2*AG117^2))^2+(1000*AJ117/(AG117*2))^2)^0.5</f>
        <v>37.035044818884245</v>
      </c>
      <c r="AN117" s="31">
        <f>AL117/$AG$140</f>
        <v>0.7165201321810809</v>
      </c>
      <c r="AO117" s="31">
        <f>2*(($AH$140*AL117/(2*$AG$140^2))^2+(AM117/($AG$140*2))^2)^0.5</f>
        <v>3.7901284100268481E-2</v>
      </c>
      <c r="AP117" s="31"/>
      <c r="AQ117" s="31">
        <f>SUM(BP$5:$BP117)</f>
        <v>11.626026642346245</v>
      </c>
      <c r="AR117" s="31" cm="1">
        <f t="array" ref="AR117">2*SQRT(SUM((BQ$5:$BQ117/2)^2))</f>
        <v>6.3023156799065214E-2</v>
      </c>
      <c r="AS117" s="31">
        <f>SUM($BX$5:BX117)</f>
        <v>4.776963504246118</v>
      </c>
      <c r="AT117" s="31" cm="1">
        <f t="array" ref="AT117">2*SQRT(SUM(($BY$5:BY117/2)^2))</f>
        <v>0.21040952370494312</v>
      </c>
      <c r="AU117" s="31">
        <f t="shared" si="49"/>
        <v>11.568938563985556</v>
      </c>
      <c r="AV117" s="31"/>
      <c r="AW117" s="31">
        <f t="shared" si="50"/>
        <v>6.4384632442205705</v>
      </c>
      <c r="AX117" s="31"/>
      <c r="AY117" s="69"/>
      <c r="AZ117" s="31"/>
      <c r="BB117" s="31"/>
      <c r="BC117" s="31"/>
      <c r="BD117" s="31"/>
      <c r="BE117" s="31"/>
      <c r="BF117" s="31">
        <f t="shared" si="45"/>
        <v>517835909307.63312</v>
      </c>
      <c r="BG117" s="31">
        <f t="shared" si="46"/>
        <v>573227627332.96106</v>
      </c>
      <c r="BH117" s="31">
        <f t="shared" si="66"/>
        <v>4.9361596916373049E-16</v>
      </c>
      <c r="BI117" s="31"/>
      <c r="BJ117" s="31"/>
      <c r="BK117" s="31"/>
      <c r="BL117" s="31"/>
      <c r="BM117" s="31"/>
      <c r="BN117" s="114">
        <f>BN116*EXP(-BD116*E116*60)</f>
        <v>5.7888532063112182E-3</v>
      </c>
      <c r="BO117" s="116">
        <f>2*((((BO116/2)*EXP(-BD116*E116*60))^2+(BN116*EXP(-BD116*E116*60)*E116*60*BC116*BD116/BB116)^2)^0.5)</f>
        <v>1.0496612167003449E-3</v>
      </c>
      <c r="BP117" s="23">
        <f>R117+BN118-BN117</f>
        <v>0.34868138609583449</v>
      </c>
      <c r="BQ117" s="23">
        <f>2*(((BO117/2)^2+(BO118/2)^2+(S117/2)^2)^(0.5))</f>
        <v>9.3889275064231829E-3</v>
      </c>
      <c r="BR117" s="72">
        <f>100*(BP117-R117)/R117</f>
        <v>10.694055525000458</v>
      </c>
      <c r="BS117" s="72"/>
      <c r="BT117" s="31"/>
      <c r="BU117" s="31"/>
      <c r="BV117" s="114">
        <f>BV116*EXP(-BB116*BH116*E116*60*0.91357457380209)*EXP(-(M116-1560)*$CW$126*$BH$48*0.91357457380209)</f>
        <v>5.0484901164498108E-3</v>
      </c>
      <c r="BW117" s="116">
        <f>2*SQRT(
((BW116/2) * EXP(-BB116 * BH116 * E116 * 60 * 0.91357457380209) * EXP(-(M116 - 1560) * $CW$126 * $BH$48 * 0.91357457380209))^2 +
(BC116 * (-BV116 * BH116 * E116 * 60 * 0.91357457380209 * EXP(-BB116 * BH116 * E116 * 60 * 0.91357457380209) * EXP(-(M116 - 1560) * $CW$126 * $BH$48 * 0.91357457380209)))^2 +
((0.146030972937065 / 2) * BV116 * (-BB116 * BH116 * E116 * 60 - (M116 - 1560) * $CW$126 * $BH$48) * EXP(-BB116 * BH116 * E116 * 60 * 0.91357457380209) * EXP(-(M116 - 1560) * $CW$126 * $BH$48 * 0.91357457380209))^2 +
-(M116-1560)*$BH$48*0.91357457380209*BV116*EXP(-BB116*BH116*E116*60*0.91357457380209)*EXP(-(M116-1560)*$CW$126*$BH$48*0.91357457380209))</f>
        <v>1.4728928612186565E-3</v>
      </c>
      <c r="BX117" s="23">
        <f>Y117+BV118-BV117</f>
        <v>0.24926760390178637</v>
      </c>
      <c r="BY117" s="23">
        <f>2*(((BW117/2)^2+(BW118/2)^2+(Z117/2)^2)^(0.5))</f>
        <v>1.1032022437709654E-2</v>
      </c>
      <c r="BZ117" s="72">
        <f>100*(BX117-Y117)/Y117</f>
        <v>11.55139155358893</v>
      </c>
      <c r="CA117" s="140">
        <f>R117*CC117</f>
        <v>6.3737960416163419E-2</v>
      </c>
      <c r="CB117" s="31">
        <f>BH117*BG117*J117</f>
        <v>5.9420405271650916</v>
      </c>
      <c r="CC117" s="31">
        <f>1/(CB117-1)</f>
        <v>0.2023455684961028</v>
      </c>
      <c r="CD117" s="31">
        <f>CF117*T117</f>
        <v>5.2780988622472796E-2</v>
      </c>
      <c r="CE117" s="31">
        <f>BH117*BF117*J117</f>
        <v>5.3678535590540477</v>
      </c>
      <c r="CF117" s="31">
        <f>1/(CE117-1)</f>
        <v>0.228945404528757</v>
      </c>
      <c r="CG117" s="31">
        <f>R117-CA113</f>
        <v>0.27023669704739411</v>
      </c>
      <c r="CH117" s="31">
        <f>R117+CA117</f>
        <v>0.3787335439116874</v>
      </c>
      <c r="CI117" s="31">
        <f>T117-CD113</f>
        <v>0.19343603525804792</v>
      </c>
      <c r="CJ117" s="31">
        <f>T117+CD117</f>
        <v>0.2833206176275318</v>
      </c>
      <c r="CK117" s="31">
        <f>CE117*1.29</f>
        <v>6.9245310911797215</v>
      </c>
      <c r="CL117" s="31">
        <f>R117 / (CK117-1)</f>
        <v>5.3168019316242716E-2</v>
      </c>
      <c r="CM117" s="31">
        <f>1000*T117/R117</f>
        <v>731.88209957342121</v>
      </c>
      <c r="CN117" s="31">
        <f>1000*(T117+CD117)/(R117+CL117)</f>
        <v>769.55086125769719</v>
      </c>
      <c r="CO117" s="31">
        <f>1000*(T117-CD113)/(R117-CL113)</f>
        <v>696.8383081751374</v>
      </c>
      <c r="CP117" s="31">
        <f>1000*(T117+CD117-CD113)/(R117+CL117-CL113)</f>
        <v>744.40005430899191</v>
      </c>
      <c r="CQ117" s="31">
        <f>MAX(CM117:CP117)</f>
        <v>769.55086125769719</v>
      </c>
      <c r="CR117" s="31">
        <f>MIN(CM117:CP117)</f>
        <v>696.8383081751374</v>
      </c>
      <c r="CS117" s="31"/>
    </row>
    <row r="118" spans="1:102" s="32" customFormat="1" x14ac:dyDescent="0.3">
      <c r="A118" s="32" t="s">
        <v>226</v>
      </c>
      <c r="B118" s="32" t="s">
        <v>227</v>
      </c>
      <c r="C118" s="33">
        <v>45348.242361111108</v>
      </c>
      <c r="D118" s="32">
        <v>90</v>
      </c>
      <c r="E118" s="32">
        <f t="shared" si="73"/>
        <v>180</v>
      </c>
      <c r="F118" s="32" t="s">
        <v>375</v>
      </c>
      <c r="G118" s="34">
        <v>1.6</v>
      </c>
      <c r="H118" s="34">
        <v>0</v>
      </c>
      <c r="I118" s="34">
        <v>0.45700000000000002</v>
      </c>
      <c r="J118" s="32">
        <v>10800</v>
      </c>
      <c r="K118" s="32">
        <v>10929.633</v>
      </c>
      <c r="L118" s="32">
        <f t="shared" si="43"/>
        <v>12359.999999427237</v>
      </c>
      <c r="M118" s="32">
        <f t="shared" si="44"/>
        <v>1559.9999994272366</v>
      </c>
      <c r="N118" s="65"/>
      <c r="O118" s="32">
        <v>6.2415967904154998E-3</v>
      </c>
      <c r="P118" s="32">
        <v>2.65642815520916E-2</v>
      </c>
      <c r="R118" s="32">
        <v>9.9865548646648102E-3</v>
      </c>
      <c r="S118" s="34">
        <v>1.7291650258768201E-4</v>
      </c>
      <c r="T118" s="32">
        <v>1.2139876669305801E-2</v>
      </c>
      <c r="U118" s="34">
        <v>8.4180015652451093E-5</v>
      </c>
      <c r="V118" s="34"/>
      <c r="Y118" s="34"/>
      <c r="Z118" s="34"/>
      <c r="AA118" s="34"/>
      <c r="AB118" s="34"/>
      <c r="AF118" s="69"/>
      <c r="AQ118" s="34">
        <f>SUM(BP$5:$BP118)</f>
        <v>11.626026642346245</v>
      </c>
      <c r="AR118" s="34" cm="1">
        <f t="array" ref="AR118">2*SQRT(SUM((BQ$5:$BQ118/2)^2))</f>
        <v>6.3023156799065214E-2</v>
      </c>
      <c r="AS118" s="34">
        <f>SUM($BX$5:BX118)</f>
        <v>4.776963504246118</v>
      </c>
      <c r="AT118" s="34" cm="1">
        <f t="array" ref="AT118">2*SQRT(SUM(($BY$5:BY118/2)^2))</f>
        <v>0.21040952370494312</v>
      </c>
      <c r="AU118" s="34">
        <f t="shared" si="49"/>
        <v>11.57892511885022</v>
      </c>
      <c r="AV118" s="34"/>
      <c r="AW118" s="34">
        <f t="shared" si="50"/>
        <v>6.450603120889876</v>
      </c>
      <c r="AX118" s="34"/>
      <c r="AY118" s="69"/>
      <c r="AZ118" s="34">
        <f>'Naive Apparent Lambdas'!$U$2*(10000/(D118+273))+'Naive Apparent Lambdas'!$V$2</f>
        <v>25.080919505962346</v>
      </c>
      <c r="BA118" s="32">
        <f>'Naive Apparent Lambdas'!$V$4</f>
        <v>6.7480704157997479E-2</v>
      </c>
      <c r="BB118" s="34">
        <f t="shared" si="40"/>
        <v>78073732528.776489</v>
      </c>
      <c r="BC118" s="34">
        <f t="shared" si="41"/>
        <v>5268470447.2849903</v>
      </c>
      <c r="BD118" s="34">
        <f>BB118*(D118+273)*$D$145*$F$144</f>
        <v>2.7006668217909542E-5</v>
      </c>
      <c r="BE118" s="34"/>
      <c r="BF118" s="31">
        <f t="shared" si="45"/>
        <v>67820444032.070572</v>
      </c>
      <c r="BG118" s="31">
        <f t="shared" si="46"/>
        <v>73320582427.391632</v>
      </c>
      <c r="BH118" s="34">
        <f t="shared" si="66"/>
        <v>3.4591234904717017E-16</v>
      </c>
      <c r="BI118" s="34"/>
      <c r="BJ118" s="34">
        <f>R118/(1-EXP(-E118*60*BD118))</f>
        <v>3.9474655806621739E-2</v>
      </c>
      <c r="BK118" s="34">
        <f>2*SQRT(
((S118/2) * (1 / (1 - EXP(-E118 * 60 * BB118 * BH118))))^2 +
(BC118 * (-R118 * 60 * E118 * BH118 * EXP(-E118 * 60 * BB118 * BH118) / (1 - EXP(-E118 * 60 * BB118 * BH118))^2))^2
)</f>
        <v>4.6389510287064032E-3</v>
      </c>
      <c r="BL118" s="34">
        <f>R118/(1-EXP(-E118*60*BB118*BH118)*EXP(-(M118-1560)*$CW$126*$BH$122))</f>
        <v>3.9474655807109633E-2</v>
      </c>
      <c r="BM118" s="34">
        <f>2*SQRT(
((S118/2) * (1 / (1 - EXP(-E118 * 60 * BB118 * BH118) * EXP(-(M118 - 1560) * $CW$126 * $BH$48))))^2 +
(BC118 * (-R118 * 60 * E118 * BH118 * EXP(-E118 * 60 * BB118 * BH118) / ((1 - EXP(-E118 * 60 * BB118 * BH118) * EXP(-(M118 - 1560) * $CW$126 * $BH$48))^2)))^2 +
($CX$126 * (-R118 * (M118 - 1560) * $BH$48 * EXP(-(M118 - 1560) * $CW$126 * $BH$48) / ((1 - EXP(-E118 * 60 * BB118 * BH118) * EXP(-(M118 - 1560) * $CW$126 * $BH$48))^2)))^2
)</f>
        <v>4.6389510288198299E-3</v>
      </c>
      <c r="BN118" s="117" cm="1">
        <f t="array" ref="BN118:BO118">BJ118:BK118</f>
        <v>3.9474655806621739E-2</v>
      </c>
      <c r="BO118" s="118">
        <v>4.6389510287064032E-3</v>
      </c>
      <c r="BP118" s="24"/>
      <c r="BQ118" s="24"/>
      <c r="BR118" s="73"/>
      <c r="BS118" s="73"/>
      <c r="BT118" s="123">
        <f>BN118*(Y117/R117)*1.10204926384627</f>
        <v>3.0860697872829045E-2</v>
      </c>
      <c r="BU118" s="123">
        <f>2*(((BO118/2)*1.10204926384627*(AB117/(1000)))^2+((AC117/2000)*1.10204926384627*BN118)^2+((0.187040260207234/2)*BN118*(AB117/(1000)))^2)^0.5</f>
        <v>6.5330674839722928E-3</v>
      </c>
      <c r="BV118" s="124">
        <f>BT118</f>
        <v>3.0860697872829045E-2</v>
      </c>
      <c r="BW118" s="125">
        <f>BU118</f>
        <v>6.5330674839722928E-3</v>
      </c>
      <c r="BX118" s="24"/>
      <c r="BY118" s="24"/>
      <c r="BZ118" s="73"/>
      <c r="CA118" s="141">
        <f>CA117*(EXP(-BH118*BG118*E118))*(EXP(-$BG$140*$F$144*D257*(24+273)*M118))</f>
        <v>6.3447643938609286E-2</v>
      </c>
      <c r="CB118" s="34"/>
      <c r="CC118" s="34"/>
      <c r="CD118" s="34">
        <f>CD117*(EXP(-BH118*BF118*E118))*(EXP(-$BF$140*$F$144*D257*(24+273)*M118))</f>
        <v>5.2558575669022667E-2</v>
      </c>
      <c r="CE118" s="34"/>
      <c r="CF118" s="34"/>
      <c r="CG118" s="34"/>
      <c r="CH118" s="34"/>
      <c r="CI118" s="34"/>
      <c r="CJ118" s="34"/>
      <c r="CK118" s="34"/>
      <c r="CL118" s="34"/>
      <c r="CM118" s="34"/>
      <c r="CN118" s="34"/>
      <c r="CO118" s="34"/>
      <c r="CP118" s="34"/>
      <c r="CQ118" s="34"/>
      <c r="CR118" s="34"/>
      <c r="CS118" s="34"/>
    </row>
    <row r="119" spans="1:102" s="8" customFormat="1" ht="15" thickBot="1" x14ac:dyDescent="0.35">
      <c r="A119" s="8" t="s">
        <v>228</v>
      </c>
      <c r="B119" s="8" t="s">
        <v>229</v>
      </c>
      <c r="C119" s="35">
        <v>45348.385416666664</v>
      </c>
      <c r="D119" s="8">
        <v>89.92</v>
      </c>
      <c r="E119" s="8">
        <f t="shared" si="73"/>
        <v>180</v>
      </c>
      <c r="F119" s="8" t="s">
        <v>287</v>
      </c>
      <c r="G119" s="36">
        <v>1.08</v>
      </c>
      <c r="H119" s="36">
        <v>0</v>
      </c>
      <c r="I119" s="36">
        <v>0.187</v>
      </c>
      <c r="J119" s="8">
        <v>10800</v>
      </c>
      <c r="K119" s="8">
        <v>10928.4</v>
      </c>
      <c r="L119" s="8">
        <f t="shared" si="43"/>
        <v>12360.000000055879</v>
      </c>
      <c r="M119" s="8">
        <f t="shared" si="44"/>
        <v>1560.0000000558794</v>
      </c>
      <c r="N119" s="65"/>
      <c r="O119" s="8">
        <v>6.2479930097031899E-3</v>
      </c>
      <c r="P119" s="8">
        <v>2.6627066492912702E-2</v>
      </c>
      <c r="R119" s="8">
        <v>6.7478324504794502E-3</v>
      </c>
      <c r="S119" s="36">
        <v>1.2634301790377401E-4</v>
      </c>
      <c r="T119" s="8">
        <v>4.9792614341746897E-3</v>
      </c>
      <c r="U119" s="36">
        <v>3.8904689277950199E-5</v>
      </c>
      <c r="V119" s="36"/>
      <c r="Y119" s="36"/>
      <c r="Z119" s="36"/>
      <c r="AA119" s="36"/>
      <c r="AB119" s="36"/>
      <c r="AF119" s="69"/>
      <c r="AQ119" s="36">
        <f>SUM(BP$5:$BP119)</f>
        <v>11.626026642346245</v>
      </c>
      <c r="AR119" s="36" cm="1">
        <f t="array" ref="AR119">2*SQRT(SUM((BQ$5:$BQ119/2)^2))</f>
        <v>6.3023156799065214E-2</v>
      </c>
      <c r="AS119" s="36">
        <f>SUM($BX$5:BX119)</f>
        <v>4.776963504246118</v>
      </c>
      <c r="AT119" s="36" cm="1">
        <f t="array" ref="AT119">2*SQRT(SUM(($BY$5:BY119/2)^2))</f>
        <v>0.21040952370494312</v>
      </c>
      <c r="AU119" s="36">
        <f t="shared" si="49"/>
        <v>11.585672951300699</v>
      </c>
      <c r="AV119" s="36"/>
      <c r="AW119" s="36">
        <f t="shared" si="50"/>
        <v>6.4555823823240504</v>
      </c>
      <c r="AX119" s="36"/>
      <c r="AY119" s="69"/>
      <c r="AZ119" s="36">
        <f>'Naive Apparent Lambdas'!$U$2*(10000/(D119+273))+'Naive Apparent Lambdas'!$V$2</f>
        <v>25.077804566957745</v>
      </c>
      <c r="BA119" s="8">
        <f>'Naive Apparent Lambdas'!$V$4</f>
        <v>6.7480704157997479E-2</v>
      </c>
      <c r="BB119" s="36">
        <f t="shared" si="40"/>
        <v>77830915989.776245</v>
      </c>
      <c r="BC119" s="36">
        <f t="shared" si="41"/>
        <v>5252085016.2520466</v>
      </c>
      <c r="BD119" s="36">
        <f>BB119*(D119+273)*$D$145*$F$144</f>
        <v>2.691674160662037E-5</v>
      </c>
      <c r="BE119" s="36"/>
      <c r="BF119" s="31">
        <f t="shared" si="45"/>
        <v>67718958026.041382</v>
      </c>
      <c r="BG119" s="31">
        <f t="shared" si="46"/>
        <v>73209590729.348495</v>
      </c>
      <c r="BH119" s="36">
        <f t="shared" si="66"/>
        <v>3.4583611492065842E-16</v>
      </c>
      <c r="BI119" s="36"/>
      <c r="BJ119" s="36">
        <f>R119/(1-EXP(-E119*60*BD119))</f>
        <v>2.6749446453529054E-2</v>
      </c>
      <c r="BK119" s="36">
        <f>2*SQRT(
((S119/2) * (1 / (1 - EXP(-E119 * 60 * BB119 * BH119))))^2 +
(BC119 * (-R119 * 60 * E119 * BH119 * EXP(-E119 * 60 * BB119 * BH119) / (1 - EXP(-E119 * 60 * BB119 * BH119))^2))^2
)</f>
        <v>3.1508553518275E-3</v>
      </c>
      <c r="BL119" s="36">
        <f>R119/(1-EXP(-E119*60*BB119*BH119)*EXP(-(M119-1560)*$CW$126*$BH$122))</f>
        <v>2.6749446453496677E-2</v>
      </c>
      <c r="BM119" s="36">
        <f>2*SQRT(
((S119/2) * (1 / (1 - EXP(-E119 * 60 * BB119 * BH119) * EXP(-(M119 - 1560) * $CW$126 * $BH$48))))^2 +
(BC119 * (-R119 * 60 * E119 * BH119 * EXP(-E119 * 60 * BB119 * BH119) / ((1 - EXP(-E119 * 60 * BB119 * BH119) * EXP(-(M119 - 1560) * $CW$126 * $BH$48))^2)))^2 +
($CX$126 * (-R119 * (M119 - 1560) * $BH$48 * EXP(-(M119 - 1560) * $CW$126 * $BH$48) / ((1 - EXP(-E119 * 60 * BB119 * BH119) * EXP(-(M119 - 1560) * $CW$126 * $BH$48))^2)))^2
)</f>
        <v>3.1508553518199691E-3</v>
      </c>
      <c r="BN119" s="54">
        <f>BN118*EXP(-BD118*E118*60)</f>
        <v>2.9488100941956929E-2</v>
      </c>
      <c r="BO119" s="99">
        <f>2*((((BO118/2)*EXP(-BD118*E118*60))^2+(BN118*EXP(-BD118*E118*60)*E118*60*BC118*BD118/BB118)^2)^0.5)</f>
        <v>3.6546041391332445E-3</v>
      </c>
      <c r="BP119" s="25"/>
      <c r="BQ119" s="25"/>
      <c r="BR119" s="74"/>
      <c r="BS119" s="74"/>
      <c r="BT119" s="36"/>
      <c r="BU119" s="36"/>
      <c r="BV119" s="54">
        <f>BV118*EXP(-BB118*BH118*E118*60*0.91357457380209)*EXP(-(M118-1560)*$CW$126*$BH$48*0.91357457380209)</f>
        <v>2.3641870704965848E-2</v>
      </c>
      <c r="BW119" s="99">
        <f>2*SQRT(
((BW118/2) * EXP(-BB118 * BH118 * E118 * 60 * 0.91357457380209) * EXP(-(M118 - 1560) * $CW$126 * $BH$48 * 0.91357457380209))^2 +
(BC118 * (-BV118 * BH118 * E118 * 60 * 0.91357457380209 * EXP(-BB118 * BH118 * E118 * 60 * 0.91357457380209) * EXP(-(M118 - 1560) * $CW$126 * $BH$48 * 0.91357457380209)))^2 +
((0.146030972937065 / 2) * BV118 * (-BB118 * BH118 * E118 * 60 - (M118 - 1560) * $CW$126 * $BH$48) * EXP(-BB118 * BH118 * E118 * 60 * 0.91357457380209) * EXP(-(M118 - 1560) * $CW$126 * $BH$48 * 0.91357457380209))^2 +
-(M118-1560)*$BH$48*0.91357457380209*BV118*EXP(-BB118*BH118*E118*60*0.91357457380209)*EXP(-(M118-1560)*$CW$126*$BH$48*0.91357457380209))</f>
        <v>5.1754861381503392E-3</v>
      </c>
      <c r="BX119" s="25"/>
      <c r="BY119" s="25"/>
      <c r="BZ119" s="74"/>
      <c r="CA119" s="141">
        <f t="shared" ref="CA119:CA120" si="76">CA118*(EXP(-BH119*BG119*E119))*(EXP(-$BG$140*$F$144*D258*(24+273)*M119))</f>
        <v>6.3159149735596332E-2</v>
      </c>
      <c r="CB119" s="34"/>
      <c r="CC119" s="34"/>
      <c r="CD119" s="34">
        <f t="shared" ref="CD119:CD120" si="77">CD118*(EXP(-BH119*BF119*E119))*(EXP(-$BF$140*$F$144*D258*(24+273)*M119))</f>
        <v>5.2337479288875888E-2</v>
      </c>
      <c r="CE119" s="36"/>
      <c r="CF119" s="36"/>
      <c r="CG119" s="36"/>
      <c r="CH119" s="36"/>
      <c r="CI119" s="36"/>
      <c r="CJ119" s="36"/>
      <c r="CK119" s="36"/>
      <c r="CL119" s="36"/>
      <c r="CM119" s="36"/>
      <c r="CN119" s="36"/>
      <c r="CO119" s="36"/>
      <c r="CP119" s="36"/>
      <c r="CQ119" s="36"/>
      <c r="CR119" s="36"/>
      <c r="CS119" s="36"/>
    </row>
    <row r="120" spans="1:102" s="8" customFormat="1" ht="15" thickBot="1" x14ac:dyDescent="0.35">
      <c r="A120" s="8" t="s">
        <v>230</v>
      </c>
      <c r="B120" s="8" t="s">
        <v>231</v>
      </c>
      <c r="C120" s="35">
        <v>45348.52847222222</v>
      </c>
      <c r="D120" s="8">
        <v>90</v>
      </c>
      <c r="E120" s="8">
        <f t="shared" si="73"/>
        <v>180</v>
      </c>
      <c r="F120" s="8" t="s">
        <v>287</v>
      </c>
      <c r="G120" s="36">
        <v>0.85699999999999998</v>
      </c>
      <c r="H120" s="36">
        <v>0</v>
      </c>
      <c r="I120" s="36">
        <v>0.155</v>
      </c>
      <c r="J120" s="8">
        <v>10800</v>
      </c>
      <c r="K120" s="8">
        <v>10926.404</v>
      </c>
      <c r="L120" s="8">
        <f t="shared" si="43"/>
        <v>12360.000000055879</v>
      </c>
      <c r="M120" s="8">
        <f t="shared" si="44"/>
        <v>1560.0000000558794</v>
      </c>
      <c r="N120" s="65"/>
      <c r="O120" s="8">
        <v>6.2656091954486097E-3</v>
      </c>
      <c r="P120" s="8">
        <v>2.6668132099839498E-2</v>
      </c>
      <c r="R120" s="8">
        <v>5.3696270804994501E-3</v>
      </c>
      <c r="S120" s="36">
        <v>1.07526757796298E-4</v>
      </c>
      <c r="T120" s="8">
        <v>4.1335604754751303E-3</v>
      </c>
      <c r="U120" s="36">
        <v>3.2776448561395702E-5</v>
      </c>
      <c r="V120" s="36"/>
      <c r="Y120" s="36"/>
      <c r="Z120" s="36"/>
      <c r="AA120" s="36"/>
      <c r="AB120" s="36"/>
      <c r="AF120" s="69"/>
      <c r="AQ120" s="36">
        <f>SUM(BP$5:$BP120)</f>
        <v>11.626026642346245</v>
      </c>
      <c r="AR120" s="36" cm="1">
        <f t="array" ref="AR120">2*SQRT(SUM((BQ$5:$BQ120/2)^2))</f>
        <v>6.3023156799065214E-2</v>
      </c>
      <c r="AS120" s="36">
        <f>SUM($BX$5:BX120)</f>
        <v>4.776963504246118</v>
      </c>
      <c r="AT120" s="36" cm="1">
        <f t="array" ref="AT120">2*SQRT(SUM(($BY$5:BY120/2)^2))</f>
        <v>0.21040952370494312</v>
      </c>
      <c r="AU120" s="36">
        <f t="shared" si="49"/>
        <v>11.591042578381199</v>
      </c>
      <c r="AV120" s="36"/>
      <c r="AW120" s="36">
        <f t="shared" si="50"/>
        <v>6.4597159427995257</v>
      </c>
      <c r="AX120" s="36"/>
      <c r="AY120" s="69"/>
      <c r="AZ120" s="36">
        <f>'Naive Apparent Lambdas'!$U$2*(10000/(D120+273))+'Naive Apparent Lambdas'!$V$2</f>
        <v>25.080919505962346</v>
      </c>
      <c r="BA120" s="8">
        <f>'Naive Apparent Lambdas'!$V$4</f>
        <v>6.7480704157997479E-2</v>
      </c>
      <c r="BB120" s="36">
        <f t="shared" si="40"/>
        <v>78073732528.776489</v>
      </c>
      <c r="BC120" s="36">
        <f t="shared" si="41"/>
        <v>5268470447.2849903</v>
      </c>
      <c r="BD120" s="36">
        <f>BB120*(D120+273)*$D$145*$F$144</f>
        <v>2.7006668217909542E-5</v>
      </c>
      <c r="BE120" s="36"/>
      <c r="BF120" s="31">
        <f t="shared" si="45"/>
        <v>67820444032.070572</v>
      </c>
      <c r="BG120" s="31">
        <f t="shared" si="46"/>
        <v>73320582427.391632</v>
      </c>
      <c r="BH120" s="36">
        <f t="shared" si="66"/>
        <v>3.4591234904717017E-16</v>
      </c>
      <c r="BI120" s="36"/>
      <c r="BJ120" s="36">
        <f>R120/(1-EXP(-E120*60*BD120))</f>
        <v>2.1224955320940434E-2</v>
      </c>
      <c r="BK120" s="36">
        <f>2*SQRT(
((S120/2) * (1 / (1 - EXP(-E120 * 60 * BB120 * BH120))))^2 +
(BC120 * (-R120 * 60 * E120 * BH120 * EXP(-E120 * 60 * BB120 * BH120) / (1 - EXP(-E120 * 60 * BB120 * BH120))^2))^2
)</f>
        <v>2.5034190096273148E-3</v>
      </c>
      <c r="BL120" s="36">
        <f>R120/(1-EXP(-E120*60*BB120*BH120)*EXP(-(M120-1560)*$CW$126*$BH$122))</f>
        <v>2.122495532091484E-2</v>
      </c>
      <c r="BM120" s="36">
        <f>2*SQRT(
((S120/2) * (1 / (1 - EXP(-E120 * 60 * BB120 * BH120) * EXP(-(M120 - 1560) * $CW$126 * $BH$48))))^2 +
(BC120 * (-R120 * 60 * E120 * BH120 * EXP(-E120 * 60 * BB120 * BH120) / ((1 - EXP(-E120 * 60 * BB120 * BH120) * EXP(-(M120 - 1560) * $CW$126 * $BH$48))^2)))^2 +
($CX$126 * (-R120 * (M120 - 1560) * $BH$48 * EXP(-(M120 - 1560) * $CW$126 * $BH$48) / ((1 - EXP(-E120 * 60 * BB120 * BH120) * EXP(-(M120 - 1560) * $CW$126 * $BH$48))^2)))^2
)</f>
        <v>2.5034190096213643E-3</v>
      </c>
      <c r="BN120" s="54">
        <f>BN119*EXP(-BD119*E119*60)</f>
        <v>2.2049413760716247E-2</v>
      </c>
      <c r="BO120" s="99">
        <f>2*((((BO119/2)*EXP(-BD119*E119*60))^2+(BN119*EXP(-BD119*E119*60)*E119*60*BC119*BD119/BB119)^2)^0.5)</f>
        <v>2.8663485209492923E-3</v>
      </c>
      <c r="BP120" s="25"/>
      <c r="BQ120" s="25"/>
      <c r="BR120" s="74"/>
      <c r="BS120" s="74"/>
      <c r="BT120" s="36"/>
      <c r="BU120" s="36"/>
      <c r="BV120" s="54">
        <f>BV119*EXP(-BB119*BH119*E119*60*0.91357457380209)*EXP(-(M119-1560)*$CW$126*$BH$48*0.91357457380209)</f>
        <v>1.8127723552819511E-2</v>
      </c>
      <c r="BW120" s="99">
        <f>2*SQRT(
((BW119/2) * EXP(-BB119 * BH119 * E119 * 60 * 0.91357457380209) * EXP(-(M119 - 1560) * $CW$126 * $BH$48 * 0.91357457380209))^2 +
(BC119 * (-BV119 * BH119 * E119 * 60 * 0.91357457380209 * EXP(-BB119 * BH119 * E119 * 60 * 0.91357457380209) * EXP(-(M119 - 1560) * $CW$126 * $BH$48 * 0.91357457380209)))^2 +
((0.146030972937065 / 2) * BV119 * (-BB119 * BH119 * E119 * 60 - (M119 - 1560) * $CW$126 * $BH$48) * EXP(-BB119 * BH119 * E119 * 60 * 0.91357457380209) * EXP(-(M119 - 1560) * $CW$126 * $BH$48 * 0.91357457380209))^2 +
-(M119-1560)*$BH$48*0.91357457380209*BV119*EXP(-BB119*BH119*E119*60*0.91357457380209)*EXP(-(M119-1560)*$CW$126*$BH$48*0.91357457380209))</f>
        <v>4.0941862266683157E-3</v>
      </c>
      <c r="BX120" s="25"/>
      <c r="BY120" s="25"/>
      <c r="BZ120" s="74"/>
      <c r="CA120" s="141">
        <f t="shared" si="76"/>
        <v>6.2871469650497433E-2</v>
      </c>
      <c r="CB120" s="34"/>
      <c r="CC120" s="34"/>
      <c r="CD120" s="34">
        <f t="shared" si="77"/>
        <v>5.2116935232226339E-2</v>
      </c>
      <c r="CE120" s="36"/>
      <c r="CF120" s="36"/>
      <c r="CG120" s="36"/>
      <c r="CH120" s="36"/>
      <c r="CI120" s="36"/>
      <c r="CJ120" s="36"/>
      <c r="CK120" s="36"/>
      <c r="CL120" s="36"/>
      <c r="CM120" s="36"/>
      <c r="CN120" s="36"/>
      <c r="CO120" s="36"/>
      <c r="CP120" s="36"/>
      <c r="CQ120" s="36"/>
      <c r="CR120" s="36"/>
      <c r="CS120" s="36"/>
      <c r="CW120" s="13" t="s">
        <v>617</v>
      </c>
      <c r="CX120" s="14"/>
    </row>
    <row r="121" spans="1:102" s="29" customFormat="1" x14ac:dyDescent="0.3">
      <c r="A121" s="29" t="s">
        <v>232</v>
      </c>
      <c r="B121" s="29" t="s">
        <v>233</v>
      </c>
      <c r="C121" s="30">
        <v>45348.754861111112</v>
      </c>
      <c r="D121" s="29">
        <v>250</v>
      </c>
      <c r="E121" s="29">
        <f t="shared" si="73"/>
        <v>300</v>
      </c>
      <c r="F121" s="29" t="s">
        <v>289</v>
      </c>
      <c r="G121" s="31">
        <v>59</v>
      </c>
      <c r="H121" s="31">
        <v>0</v>
      </c>
      <c r="I121" s="31">
        <v>10.4</v>
      </c>
      <c r="J121" s="29">
        <v>18000</v>
      </c>
      <c r="K121" s="29">
        <v>18130.188999999998</v>
      </c>
      <c r="L121" s="29">
        <f t="shared" si="43"/>
        <v>19560.000000265427</v>
      </c>
      <c r="M121" s="29">
        <f t="shared" si="44"/>
        <v>1560.0000002654269</v>
      </c>
      <c r="N121" s="65"/>
      <c r="O121" s="29">
        <v>6.2985647198686903E-3</v>
      </c>
      <c r="P121" s="29">
        <v>2.6702478907027399E-2</v>
      </c>
      <c r="R121" s="29">
        <v>0.37161531847225299</v>
      </c>
      <c r="S121" s="29">
        <v>7.7492846719158697E-3</v>
      </c>
      <c r="T121" s="29">
        <v>0.27770578063308499</v>
      </c>
      <c r="U121" s="29">
        <v>2.0848228251617099E-3</v>
      </c>
      <c r="W121" s="31">
        <f>(1000*T121/R121)/$AG$140</f>
        <v>0.74900140809833071</v>
      </c>
      <c r="X121" s="31"/>
      <c r="Y121" s="31">
        <f>T121-AVERAGE(T122:T125)</f>
        <v>0.27264591032379681</v>
      </c>
      <c r="Z121" s="31">
        <f>U121+AVERAGE(T122:T125)</f>
        <v>7.1446931344498858E-3</v>
      </c>
      <c r="AA121" s="31"/>
      <c r="AB121" s="31">
        <f>(Y121*1000)/R121</f>
        <v>733.67780274685902</v>
      </c>
      <c r="AC121" s="31">
        <f>2*((1000*Z121/(2*R121))^2+((S121/2)*1000*Y121/(R121^2))^2)^0.5</f>
        <v>24.570538993132551</v>
      </c>
      <c r="AD121" s="31">
        <f>AB121/$AG$140</f>
        <v>0.73535441098573173</v>
      </c>
      <c r="AE121" s="31">
        <f>2*(($AH$140*AB121/(2*$AG$140^2))^2+(AC121/($AG$140*2))^2)^0.5</f>
        <v>2.5850217849899684E-2</v>
      </c>
      <c r="AF121" s="69"/>
      <c r="AG121" s="31" cm="1">
        <f t="array" ref="AG121:AH121">BP121:BQ121</f>
        <v>0.40179984450578188</v>
      </c>
      <c r="AH121" s="29">
        <v>9.6187659471836922E-3</v>
      </c>
      <c r="AI121" s="31" cm="1">
        <f t="array" ref="AI121:AJ121">BX121:BY121</f>
        <v>0.29648201326908941</v>
      </c>
      <c r="AJ121" s="29">
        <v>1.104651418022715E-2</v>
      </c>
      <c r="AL121" s="31">
        <f>1000*AI121/AG121</f>
        <v>737.88483824269633</v>
      </c>
      <c r="AM121" s="31">
        <f>2*((AH121*1000*AI121/(2*AG121^2))^2+(1000*AJ121/(AG121*2))^2)^0.5</f>
        <v>32.678309855691786</v>
      </c>
      <c r="AN121" s="31">
        <f>AL121/$AG$140</f>
        <v>0.73957106044337506</v>
      </c>
      <c r="AO121" s="31">
        <f>2*(($AH$140*AL121/(2*$AG$140^2))^2+(AM121/($AG$140*2))^2)^0.5</f>
        <v>3.3693151536279255E-2</v>
      </c>
      <c r="AP121" s="31"/>
      <c r="AQ121" s="31">
        <f>SUM(BP$5:$BP121)</f>
        <v>12.027826486852026</v>
      </c>
      <c r="AR121" s="31" cm="1">
        <f t="array" ref="AR121">2*SQRT(SUM((BQ$5:$BQ121/2)^2))</f>
        <v>6.3752952490580869E-2</v>
      </c>
      <c r="AS121" s="31">
        <f>SUM($BX$5:BX121)</f>
        <v>5.0734455175152071</v>
      </c>
      <c r="AT121" s="31" cm="1">
        <f t="array" ref="AT121">2*SQRT(SUM(($BY$5:BY121/2)^2))</f>
        <v>0.21069929554052852</v>
      </c>
      <c r="AU121" s="31">
        <f t="shared" si="49"/>
        <v>11.962657896853452</v>
      </c>
      <c r="AV121" s="31"/>
      <c r="AW121" s="31">
        <f t="shared" si="50"/>
        <v>6.737421723432611</v>
      </c>
      <c r="AX121" s="31"/>
      <c r="AY121" s="69"/>
      <c r="AZ121" s="31"/>
      <c r="BB121" s="31"/>
      <c r="BC121" s="31"/>
      <c r="BD121" s="31"/>
      <c r="BE121" s="31"/>
      <c r="BF121" s="31">
        <f t="shared" si="45"/>
        <v>541948810548.71661</v>
      </c>
      <c r="BG121" s="31">
        <f t="shared" si="46"/>
        <v>600237535013.72363</v>
      </c>
      <c r="BH121" s="31">
        <f t="shared" si="66"/>
        <v>4.9838060207071621E-16</v>
      </c>
      <c r="BI121" s="31"/>
      <c r="BJ121" s="31"/>
      <c r="BK121" s="31"/>
      <c r="BL121" s="31"/>
      <c r="BM121" s="31"/>
      <c r="BN121" s="114">
        <f>BN120*EXP(-BD120*E120*60)</f>
        <v>1.6471209828203413E-2</v>
      </c>
      <c r="BO121" s="116">
        <f>2*((((BO120/2)*EXP(-BD120*E120*60))^2+(BN120*EXP(-BD120*E120*60)*E120*60*BC120*BD120/BB120)^2)^0.5)</f>
        <v>2.2372168116405332E-3</v>
      </c>
      <c r="BP121" s="23">
        <f>R121+BN122-BN121</f>
        <v>0.40179984450578188</v>
      </c>
      <c r="BQ121" s="23">
        <f>2*(((BO121/2)^2+(BO122/2)^2+(S121/2)^2)^(0.5))</f>
        <v>9.6187659471836922E-3</v>
      </c>
      <c r="BR121" s="72">
        <f>100*(BP121-R121)/R121</f>
        <v>8.1225193185309053</v>
      </c>
      <c r="BS121" s="72"/>
      <c r="BT121" s="31"/>
      <c r="BU121" s="31"/>
      <c r="BV121" s="114">
        <f>BV120*EXP(-BB120*BH120*E120*60*0.91357457380209)*EXP(-(M120-1560)*$CW$126*$BH$48*0.91357457380209)</f>
        <v>1.3887349475225472E-2</v>
      </c>
      <c r="BW121" s="116">
        <f>2*SQRT(
((BW120/2) * EXP(-BB120 * BH120 * E120 * 60 * 0.91357457380209) * EXP(-(M120 - 1560) * $CW$126 * $BH$48 * 0.91357457380209))^2 +
(BC120 * (-BV120 * BH120 * E120 * 60 * 0.91357457380209 * EXP(-BB120 * BH120 * E120 * 60 * 0.91357457380209) * EXP(-(M120 - 1560) * $CW$126 * $BH$48 * 0.91357457380209)))^2 +
((0.146030972937065 / 2) * BV120 * (-BB120 * BH120 * E120 * 60 - (M120 - 1560) * $CW$126 * $BH$48) * EXP(-BB120 * BH120 * E120 * 60 * 0.91357457380209) * EXP(-(M120 - 1560) * $CW$126 * $BH$48 * 0.91357457380209))^2 +
-(M120-1560)*$BH$48*0.91357457380209*BV120*EXP(-BB120*BH120*E120*60*0.91357457380209)*EXP(-(M120-1560)*$CW$126*$BH$48*0.91357457380209))</f>
        <v>3.2306131416489458E-3</v>
      </c>
      <c r="BX121" s="23">
        <f>Y121+BV122-BV121</f>
        <v>0.29648201326908941</v>
      </c>
      <c r="BY121" s="23">
        <f>2*(((BW121/2)^2+(BW122/2)^2+(Z121/2)^2)^(0.5))</f>
        <v>1.104651418022715E-2</v>
      </c>
      <c r="BZ121" s="72">
        <f>100*(BX121-Y121)/Y121</f>
        <v>8.742512556665389</v>
      </c>
      <c r="CA121" s="140">
        <f>R121*CC121</f>
        <v>8.4753868131547158E-2</v>
      </c>
      <c r="CB121" s="31">
        <f>BH121*BG121*J121</f>
        <v>5.3846413935404795</v>
      </c>
      <c r="CC121" s="31">
        <f>1/(CB121-1)</f>
        <v>0.22806882256624572</v>
      </c>
      <c r="CD121" s="31">
        <f>CF121*T121</f>
        <v>7.1912050283329212E-2</v>
      </c>
      <c r="CE121" s="31">
        <f>BH121*BF121*J121</f>
        <v>4.8617419408700027</v>
      </c>
      <c r="CF121" s="31">
        <f>1/(CE121-1)</f>
        <v>0.25895049832737199</v>
      </c>
      <c r="CG121" s="31">
        <f>R121-CA117</f>
        <v>0.30787735805608957</v>
      </c>
      <c r="CH121" s="31">
        <f>R121+CA121</f>
        <v>0.45636918660380016</v>
      </c>
      <c r="CI121" s="31">
        <f>T121-CD117</f>
        <v>0.22492479201061219</v>
      </c>
      <c r="CJ121" s="31">
        <f>T121+CD121</f>
        <v>0.34961783091641419</v>
      </c>
      <c r="CK121" s="31">
        <f>CE121*1.29</f>
        <v>6.2716471037223034</v>
      </c>
      <c r="CL121" s="31">
        <f>R121 / (CK121-1)</f>
        <v>7.0493208509700103E-2</v>
      </c>
      <c r="CM121" s="31">
        <f>1000*T121/R121</f>
        <v>747.29368470266695</v>
      </c>
      <c r="CN121" s="31">
        <f>1000*(T121+CD121)/(R121+CL121)</f>
        <v>790.79639857451923</v>
      </c>
      <c r="CO121" s="31">
        <f>1000*(T121-CD117)/(R121-CL117)</f>
        <v>706.31716019176986</v>
      </c>
      <c r="CP121" s="31">
        <f>1000*(T121+CD121-CD117)/(R121+CL121-CL117)</f>
        <v>763.19343561167204</v>
      </c>
      <c r="CQ121" s="31">
        <f>MAX(CM121:CP121)</f>
        <v>790.79639857451923</v>
      </c>
      <c r="CR121" s="31">
        <f>MIN(CM121:CP121)</f>
        <v>706.31716019176986</v>
      </c>
      <c r="CS121" s="37"/>
      <c r="CT121" s="38" t="s">
        <v>377</v>
      </c>
      <c r="CU121" s="38" t="s">
        <v>378</v>
      </c>
      <c r="CV121" s="38" t="s">
        <v>379</v>
      </c>
      <c r="CW121" s="15" t="s">
        <v>615</v>
      </c>
      <c r="CX121" s="16" t="s">
        <v>616</v>
      </c>
    </row>
    <row r="122" spans="1:102" s="47" customFormat="1" ht="15" thickBot="1" x14ac:dyDescent="0.35">
      <c r="A122" s="47" t="s">
        <v>234</v>
      </c>
      <c r="B122" s="47" t="s">
        <v>235</v>
      </c>
      <c r="C122" s="48">
        <v>45348.926388888889</v>
      </c>
      <c r="D122" s="47">
        <v>26</v>
      </c>
      <c r="E122" s="87">
        <f>L122/60</f>
        <v>246.99999999837019</v>
      </c>
      <c r="G122" s="49">
        <v>0.64500000000000002</v>
      </c>
      <c r="H122" s="49">
        <v>0</v>
      </c>
      <c r="I122" s="49">
        <v>0.20599999999999999</v>
      </c>
      <c r="J122" s="47">
        <f>E122*60</f>
        <v>14819.999999902211</v>
      </c>
      <c r="K122" s="47">
        <v>186.233</v>
      </c>
      <c r="L122" s="47">
        <f t="shared" si="43"/>
        <v>14819.999999902211</v>
      </c>
      <c r="M122" s="47">
        <f>L122-J122</f>
        <v>0</v>
      </c>
      <c r="N122" s="65"/>
      <c r="O122" s="47">
        <v>6.3030098514487397E-3</v>
      </c>
      <c r="P122" s="47">
        <v>2.67273183171663E-2</v>
      </c>
      <c r="R122" s="47">
        <v>4.0654413541844304E-3</v>
      </c>
      <c r="S122" s="49">
        <v>8.1191297436724802E-5</v>
      </c>
      <c r="T122" s="47">
        <v>5.50582757333626E-3</v>
      </c>
      <c r="U122" s="49">
        <v>3.7680576166472597E-5</v>
      </c>
      <c r="V122" s="49"/>
      <c r="Y122" s="49"/>
      <c r="Z122" s="49"/>
      <c r="AA122" s="49"/>
      <c r="AB122" s="49"/>
      <c r="AF122" s="69"/>
      <c r="AQ122" s="49">
        <f>SUM(BP$5:$BP122)</f>
        <v>12.027826486852026</v>
      </c>
      <c r="AR122" s="49" cm="1">
        <f t="array" ref="AR122">2*SQRT(SUM((BQ$5:$BQ122/2)^2))</f>
        <v>6.3752952490580869E-2</v>
      </c>
      <c r="AS122" s="49">
        <f>SUM($BX$5:BX122)</f>
        <v>5.0734455175152071</v>
      </c>
      <c r="AT122" s="49" cm="1">
        <f t="array" ref="AT122">2*SQRT(SUM(($BY$5:BY122/2)^2))</f>
        <v>0.21069929554052852</v>
      </c>
      <c r="AU122" s="49">
        <f t="shared" si="49"/>
        <v>11.966723338207636</v>
      </c>
      <c r="AV122" s="49"/>
      <c r="AW122" s="49">
        <f t="shared" si="50"/>
        <v>6.7429275510059474</v>
      </c>
      <c r="AX122" s="49"/>
      <c r="AY122" s="69"/>
      <c r="AZ122" s="49">
        <f>'Naive Apparent Lambdas'!$U$2*(10000/(D122+273))+'Naive Apparent Lambdas'!$V$2</f>
        <v>22.056240807500409</v>
      </c>
      <c r="BA122" s="47">
        <f>'Naive Apparent Lambdas'!$V$4</f>
        <v>6.7480704157997479E-2</v>
      </c>
      <c r="BB122" s="49">
        <f t="shared" si="40"/>
        <v>3792308628.8822436</v>
      </c>
      <c r="BC122" s="49">
        <f t="shared" si="41"/>
        <v>255907656.66142374</v>
      </c>
      <c r="BD122" s="49">
        <f>BB122*(D122+273)*$D$145*$F$144</f>
        <v>1.0805237174997918E-6</v>
      </c>
      <c r="BE122" s="49"/>
      <c r="BF122" s="31">
        <f t="shared" si="45"/>
        <v>15843245574.991554</v>
      </c>
      <c r="BG122" s="31">
        <f t="shared" si="46"/>
        <v>16840819425.918863</v>
      </c>
      <c r="BH122" s="49">
        <f t="shared" si="66"/>
        <v>2.8492504783775176E-16</v>
      </c>
      <c r="BI122" s="49"/>
      <c r="BJ122" s="49">
        <f>R122/(1-EXP(-E122*60*BD122))</f>
        <v>0.25591621852102858</v>
      </c>
      <c r="BK122" s="49">
        <f>2*SQRT(
((S122/2) * (1 / (1 - EXP(-E122 * 60 * BB122 * BH122))))^2 +
(BC122 * (-R122 * 60 * E122 * BH122 * EXP(-E122 * 60 * BB122 * BH122) / (1 - EXP(-E122 * 60 * BB122 * BH122))^2))^2
)</f>
        <v>3.4642104774356704E-2</v>
      </c>
      <c r="BL122" s="49">
        <f>R122/(1-EXP(-E122*60*BB122*BH122)*EXP(-(M122-1560)*$CW$126*$BH$122))</f>
        <v>0.88336093806496452</v>
      </c>
      <c r="BM122" s="49">
        <f>2*SQRT(
((S122/2) * (1 / (1 - EXP(-E122 * 60 * BB122 * BH122) * EXP(-(M122 - 1560) * $CW$126 * $BH$48))))^2 +
(BC122 * (-R122 * 60 * E122 * BH122 * EXP(-E122 * 60 * BB122 * BH122) / ((1 - EXP(-E122 * 60 * BB122 * BH122) * EXP(-(M122 - 1560) * $CW$126 * $BH$48))^2)))^2 +
($CX$126 * (-R122 * (M122 - 1560) * $BH$48 * EXP(-(M122 - 1560) * $CW$126 * $BH$48) / ((1 - EXP(-E122 * 60 * BB122 * BH122) * EXP(-(M122 - 1560) * $CW$126 * $BH$48))^2)))^2
)</f>
        <v>0.77470960879431505</v>
      </c>
      <c r="BN122" s="113">
        <f>BN123+R122</f>
        <v>4.6655735861732307E-2</v>
      </c>
      <c r="BO122" s="115">
        <f>BO123+S122</f>
        <v>5.2406207989152687E-3</v>
      </c>
      <c r="BP122" s="27"/>
      <c r="BQ122" s="27"/>
      <c r="BR122" s="76"/>
      <c r="BS122" s="76"/>
      <c r="BT122" s="123">
        <f>BN122*(Y121/R121)*1.10204926384627</f>
        <v>3.7723452420518062E-2</v>
      </c>
      <c r="BU122" s="123">
        <f>2*(((BO122/2)*1.10204926384627*(AB121/(1000)))^2+((AC121/2000)*1.10204926384627*BN122)^2+((0.187040260207234/2)*BN122*(AB121/(1000)))^2)^0.5</f>
        <v>7.7808723339680428E-3</v>
      </c>
      <c r="BV122" s="124">
        <f>BT122</f>
        <v>3.7723452420518062E-2</v>
      </c>
      <c r="BW122" s="125">
        <f>BU122</f>
        <v>7.7808723339680428E-3</v>
      </c>
      <c r="BX122" s="27"/>
      <c r="BY122" s="27"/>
      <c r="BZ122" s="76"/>
      <c r="CA122" s="141">
        <f t="shared" ref="CA122:CA125" si="78">CA121*(EXP(-BH122*BG122*E122))*(EXP(-$BG$140*$F$144*D261*(24+273)*M122))</f>
        <v>8.4653477544536698E-2</v>
      </c>
      <c r="CB122" s="34"/>
      <c r="CC122" s="34"/>
      <c r="CD122" s="34">
        <f t="shared" ref="CD122:CD125" si="79">CD121*(EXP(-BH122*BF122*E122))*(EXP(-$BF$140*$F$144*D261*(24+273)*M122))</f>
        <v>7.1831913609373174E-2</v>
      </c>
      <c r="CE122" s="49"/>
      <c r="CF122" s="49"/>
      <c r="CG122" s="49"/>
      <c r="CH122" s="49"/>
      <c r="CI122" s="49"/>
      <c r="CJ122" s="49"/>
      <c r="CK122" s="49"/>
      <c r="CL122" s="49"/>
      <c r="CM122" s="49"/>
      <c r="CN122" s="49"/>
      <c r="CO122" s="49"/>
      <c r="CP122" s="49"/>
      <c r="CQ122" s="49"/>
      <c r="CR122" s="49"/>
      <c r="CS122" s="40"/>
      <c r="CT122" s="2">
        <f>BN123/BN122</f>
        <v>0.91286298931748366</v>
      </c>
      <c r="CU122" s="2">
        <f>-LN(BN123/BN122)/L122</f>
        <v>6.1517865124046788E-6</v>
      </c>
      <c r="CV122" s="2">
        <f>CU122/((D122+273)*CU124*CV124)</f>
        <v>22515818675.275108</v>
      </c>
      <c r="CW122" s="42">
        <f>AVERAGE(CV127,CV122)</f>
        <v>26766552699.756264</v>
      </c>
      <c r="CX122" s="126">
        <f>_xlfn.STDEV.P(CV122,CV127)</f>
        <v>4250734024.4811678</v>
      </c>
    </row>
    <row r="123" spans="1:102" s="32" customFormat="1" ht="15" thickBot="1" x14ac:dyDescent="0.35">
      <c r="A123" s="32" t="s">
        <v>236</v>
      </c>
      <c r="B123" s="32" t="s">
        <v>237</v>
      </c>
      <c r="C123" s="33">
        <v>45349.069444444445</v>
      </c>
      <c r="D123" s="32">
        <v>84.99</v>
      </c>
      <c r="E123" s="32">
        <f t="shared" ref="E123:E135" si="80">J123/60</f>
        <v>180</v>
      </c>
      <c r="G123" s="34">
        <v>1.42</v>
      </c>
      <c r="H123" s="34">
        <v>0</v>
      </c>
      <c r="I123" s="34">
        <v>0.216</v>
      </c>
      <c r="J123" s="32">
        <v>10800</v>
      </c>
      <c r="K123" s="32">
        <v>10924.35</v>
      </c>
      <c r="L123" s="32">
        <f t="shared" si="43"/>
        <v>12360.000000055879</v>
      </c>
      <c r="M123" s="32">
        <f t="shared" si="44"/>
        <v>1560.0000000558794</v>
      </c>
      <c r="N123" s="65"/>
      <c r="O123" s="32">
        <v>6.3059305945750198E-3</v>
      </c>
      <c r="P123" s="32">
        <v>2.6739231654309598E-2</v>
      </c>
      <c r="R123" s="32">
        <v>8.9544214442965394E-3</v>
      </c>
      <c r="S123" s="34">
        <v>1.6911457529753299E-4</v>
      </c>
      <c r="T123" s="32">
        <v>5.7756740373308803E-3</v>
      </c>
      <c r="U123" s="34">
        <v>3.5979070848273099E-5</v>
      </c>
      <c r="V123" s="34"/>
      <c r="Y123" s="34"/>
      <c r="Z123" s="34"/>
      <c r="AA123" s="34"/>
      <c r="AB123" s="34"/>
      <c r="AF123" s="69"/>
      <c r="AQ123" s="34">
        <f>SUM(BP$5:$BP123)</f>
        <v>12.027826486852026</v>
      </c>
      <c r="AR123" s="34" cm="1">
        <f t="array" ref="AR123">2*SQRT(SUM((BQ$5:$BQ123/2)^2))</f>
        <v>6.3752952490580869E-2</v>
      </c>
      <c r="AS123" s="34">
        <f>SUM($BX$5:BX123)</f>
        <v>5.0734455175152071</v>
      </c>
      <c r="AT123" s="34" cm="1">
        <f t="array" ref="AT123">2*SQRT(SUM(($BY$5:BY123/2)^2))</f>
        <v>0.21069929554052852</v>
      </c>
      <c r="AU123" s="34">
        <f t="shared" si="49"/>
        <v>11.975677759651933</v>
      </c>
      <c r="AV123" s="34"/>
      <c r="AW123" s="34">
        <f t="shared" si="50"/>
        <v>6.7487032250432781</v>
      </c>
      <c r="AX123" s="34"/>
      <c r="AY123" s="69"/>
      <c r="AZ123" s="34">
        <f>'Naive Apparent Lambdas'!$U$2*(10000/(D123+273))+'Naive Apparent Lambdas'!$V$2</f>
        <v>24.883160034525076</v>
      </c>
      <c r="BA123" s="32">
        <f>'Naive Apparent Lambdas'!$V$4</f>
        <v>6.7480704157997479E-2</v>
      </c>
      <c r="BB123" s="34">
        <f t="shared" si="40"/>
        <v>64064744036.307487</v>
      </c>
      <c r="BC123" s="34">
        <f t="shared" si="41"/>
        <v>4323134039.2718992</v>
      </c>
      <c r="BD123" s="34">
        <f>BB123*(D123+273)*$D$145*$F$144</f>
        <v>2.1854930623116571E-5</v>
      </c>
      <c r="BE123" s="34"/>
      <c r="BF123" s="31">
        <f t="shared" si="45"/>
        <v>61669557689.396935</v>
      </c>
      <c r="BG123" s="31">
        <f t="shared" si="46"/>
        <v>66597174060.010414</v>
      </c>
      <c r="BH123" s="34">
        <f t="shared" si="66"/>
        <v>3.4113818687437038E-16</v>
      </c>
      <c r="BI123" s="34"/>
      <c r="BJ123" s="34">
        <f>R123/(1-EXP(-E123*60*BD123))</f>
        <v>4.2590294507547879E-2</v>
      </c>
      <c r="BK123" s="34">
        <f>2*SQRT(
((S123/2) * (1 / (1 - EXP(-E123 * 60 * BB123 * BH123))))^2 +
(BC123 * (-R123 * 60 * E123 * BH123 * EXP(-E123 * 60 * BB123 * BH123) / (1 - EXP(-E123 * 60 * BB123 * BH123))^2))^2
)</f>
        <v>5.1594295014785437E-3</v>
      </c>
      <c r="BL123" s="34">
        <f>R123/(1-EXP(-E123*60*BB123*BH123)*EXP(-(M123-1560)*$CW$126*$BH$122))</f>
        <v>4.2590294507482543E-2</v>
      </c>
      <c r="BM123" s="34">
        <f>2*SQRT(
((S123/2) * (1 / (1 - EXP(-E123 * 60 * BB123 * BH123) * EXP(-(M123 - 1560) * $CW$126 * $BH$48))))^2 +
(BC123 * (-R123 * 60 * E123 * BH123 * EXP(-E123 * 60 * BB123 * BH123) / ((1 - EXP(-E123 * 60 * BB123 * BH123) * EXP(-(M123 - 1560) * $CW$126 * $BH$48))^2)))^2 +
($CX$126 * (-R123 * (M123 - 1560) * $BH$48 * EXP(-(M123 - 1560) * $CW$126 * $BH$48) / ((1 - EXP(-E123 * 60 * BB123 * BH123) * EXP(-(M123 - 1560) * $CW$126 * $BH$48))^2)))^2
)</f>
        <v>5.1594295014629069E-3</v>
      </c>
      <c r="BN123" s="55" cm="1">
        <f t="array" ref="BN123:BO123">BJ123:BK123</f>
        <v>4.2590294507547879E-2</v>
      </c>
      <c r="BO123" s="100">
        <v>5.1594295014785437E-3</v>
      </c>
      <c r="BP123" s="24"/>
      <c r="BQ123" s="24"/>
      <c r="BR123" s="73"/>
      <c r="BS123" s="73"/>
      <c r="BT123" s="34"/>
      <c r="BU123" s="34"/>
      <c r="BV123" s="54">
        <f>BV122*EXP(-BB122*BH122*E122*60*0.91357457380209)*EXP(-(M122-1560)*$CW$126*$BH$48*0.91357457380209)</f>
        <v>3.7564812876868713E-2</v>
      </c>
      <c r="BW123" s="99">
        <f>2*SQRT(
((BW122/2) * EXP(-BB122 * BH122 * E122 * 60 * 0.91357457380209) * EXP(-(M122 - 1560) * $CW$126 * $BH$48 * 0.91357457380209))^2 +
(BC122 * (-BV122 * BH122 * E122 * 60 * 0.91357457380209 * EXP(-BB122 * BH122 * E122 * 60 * 0.91357457380209) * EXP(-(M122 - 1560) * $CW$126 * $BH$48 * 0.91357457380209)))^2 +
((0.146030972937065 / 2) * BV122 * (-BB122 * BH122 * E122 * 60 - (M122 - 1560) * $CW$126 * $BH$48) * EXP(-BB122 * BH122 * E122 * 60 * 0.91357457380209) * EXP(-(M122 - 1560) * $CW$126 * $BH$48 * 0.91357457380209))^2 +
-(M122-1560)*$BH$48*0.91357457380209*BV122*EXP(-BB122*BH122*E122*60*0.91357457380209)*EXP(-(M122-1560)*$CW$126*$BH$48*0.91357457380209))</f>
        <v>7.7485474993187232E-3</v>
      </c>
      <c r="BX123" s="24"/>
      <c r="BY123" s="24"/>
      <c r="BZ123" s="73"/>
      <c r="CA123" s="141">
        <f t="shared" si="78"/>
        <v>8.4308003241670551E-2</v>
      </c>
      <c r="CB123" s="34"/>
      <c r="CC123" s="34"/>
      <c r="CD123" s="34">
        <f t="shared" si="79"/>
        <v>7.1560414083425269E-2</v>
      </c>
      <c r="CE123" s="34"/>
      <c r="CF123" s="34"/>
      <c r="CG123" s="34"/>
      <c r="CH123" s="34"/>
      <c r="CI123" s="34"/>
      <c r="CJ123" s="34"/>
      <c r="CK123" s="34"/>
      <c r="CL123" s="34"/>
      <c r="CM123" s="34"/>
      <c r="CN123" s="34"/>
      <c r="CO123" s="34"/>
      <c r="CP123" s="34"/>
      <c r="CQ123" s="34"/>
      <c r="CR123" s="34"/>
      <c r="CS123" s="15" t="s">
        <v>616</v>
      </c>
      <c r="CT123" s="128">
        <f>((BO123/(BN122*2))^2+(BO122*BN123/(2*BN122^2))^2)^0.5</f>
        <v>7.5403965553793376E-2</v>
      </c>
      <c r="CU123" s="129">
        <f>CT123/(CT122*L122)</f>
        <v>5.573658850284776E-6</v>
      </c>
      <c r="CV123" s="130">
        <f>CU123/((D122+273)*CU124*CV124)</f>
        <v>20399845114.553444</v>
      </c>
    </row>
    <row r="124" spans="1:102" x14ac:dyDescent="0.3">
      <c r="A124" t="s">
        <v>238</v>
      </c>
      <c r="B124" t="s">
        <v>239</v>
      </c>
      <c r="C124" s="1">
        <v>45349.212500000001</v>
      </c>
      <c r="D124">
        <v>84.99</v>
      </c>
      <c r="E124">
        <f t="shared" si="80"/>
        <v>180</v>
      </c>
      <c r="G124" s="2">
        <v>1.05</v>
      </c>
      <c r="H124" s="2">
        <v>0</v>
      </c>
      <c r="I124" s="2">
        <v>0.22900000000000001</v>
      </c>
      <c r="J124">
        <v>10800</v>
      </c>
      <c r="K124">
        <v>10929.771000000001</v>
      </c>
      <c r="L124">
        <f t="shared" si="43"/>
        <v>12360.000000055879</v>
      </c>
      <c r="M124">
        <f t="shared" si="44"/>
        <v>1560.0000000558794</v>
      </c>
      <c r="N124" s="65"/>
      <c r="O124">
        <v>6.3122563141569396E-3</v>
      </c>
      <c r="P124">
        <v>2.67402376910016E-2</v>
      </c>
      <c r="R124">
        <v>6.6278691298647897E-3</v>
      </c>
      <c r="S124" s="2">
        <v>1.16180997769307E-4</v>
      </c>
      <c r="T124">
        <v>6.1235144312393802E-3</v>
      </c>
      <c r="U124" s="2">
        <v>3.4317751070540197E-5</v>
      </c>
      <c r="V124" s="2"/>
      <c r="Y124" s="2"/>
      <c r="Z124" s="2"/>
      <c r="AA124" s="2"/>
      <c r="AB124" s="2"/>
      <c r="AQ124" s="2">
        <f>SUM(BP$5:$BP124)</f>
        <v>12.027826486852026</v>
      </c>
      <c r="AR124" s="2" cm="1">
        <f t="array" ref="AR124">2*SQRT(SUM((BQ$5:$BQ124/2)^2))</f>
        <v>6.3752952490580869E-2</v>
      </c>
      <c r="AS124" s="2">
        <f>SUM($BX$5:BX124)</f>
        <v>5.0734455175152071</v>
      </c>
      <c r="AT124" s="2" cm="1">
        <f t="array" ref="AT124">2*SQRT(SUM(($BY$5:BY124/2)^2))</f>
        <v>0.21069929554052852</v>
      </c>
      <c r="AU124" s="2">
        <f t="shared" si="49"/>
        <v>11.982305628781798</v>
      </c>
      <c r="AV124" s="2"/>
      <c r="AW124" s="2">
        <f t="shared" si="50"/>
        <v>6.7548267394745176</v>
      </c>
      <c r="AX124" s="2"/>
      <c r="AZ124" s="2">
        <f>'Naive Apparent Lambdas'!$U$2*(10000/(D124+273))+'Naive Apparent Lambdas'!$V$2</f>
        <v>24.883160034525076</v>
      </c>
      <c r="BA124">
        <f>'Naive Apparent Lambdas'!$V$4</f>
        <v>6.7480704157997479E-2</v>
      </c>
      <c r="BB124" s="2">
        <f t="shared" si="40"/>
        <v>64064744036.307487</v>
      </c>
      <c r="BC124" s="2">
        <f t="shared" si="41"/>
        <v>4323134039.2718992</v>
      </c>
      <c r="BD124" s="2">
        <f>BB124*(D124+273)*$D$145*$F$144</f>
        <v>2.1854930623116571E-5</v>
      </c>
      <c r="BE124" s="2"/>
      <c r="BF124" s="31">
        <f t="shared" si="45"/>
        <v>61669557689.396935</v>
      </c>
      <c r="BG124" s="31">
        <f t="shared" si="46"/>
        <v>66597174060.010414</v>
      </c>
      <c r="BH124" s="2">
        <f t="shared" si="66"/>
        <v>3.4113818687437038E-16</v>
      </c>
      <c r="BI124" s="2"/>
      <c r="BJ124" s="2">
        <f>R124/(1-EXP(-E124*60*BD124))</f>
        <v>3.1524415056231769E-2</v>
      </c>
      <c r="BK124" s="2">
        <f>2*SQRT(
((S124/2) * (1 / (1 - EXP(-E124 * 60 * BB124 * BH124))))^2 +
(BC124 * (-R124 * 60 * E124 * BH124 * EXP(-E124 * 60 * BB124 * BH124) / (1 - EXP(-E124 * 60 * BB124 * BH124))^2))^2
)</f>
        <v>3.8124630893995566E-3</v>
      </c>
      <c r="BL124" s="2">
        <f>R124/(1-EXP(-E124*60*BB124*BH124)*EXP(-(M124-1560)*$CW$126*$BH$122))</f>
        <v>3.1524415056183412E-2</v>
      </c>
      <c r="BM124" s="2">
        <f>2*SQRT(
((S124/2) * (1 / (1 - EXP(-E124 * 60 * BB124 * BH124) * EXP(-(M124 - 1560) * $CW$126 * $BH$48))))^2 +
(BC124 * (-R124 * 60 * E124 * BH124 * EXP(-E124 * 60 * BB124 * BH124) / ((1 - EXP(-E124 * 60 * BB124 * BH124) * EXP(-(M124 - 1560) * $CW$126 * $BH$48))^2)))^2 +
($CX$126 * (-R124 * (M124 - 1560) * $BH$48 * EXP(-(M124 - 1560) * $CW$126 * $BH$48) / ((1 - EXP(-E124 * 60 * BB124 * BH124) * EXP(-(M124 - 1560) * $CW$126 * $BH$48))^2)))^2
)</f>
        <v>3.8124630893879839E-3</v>
      </c>
      <c r="BN124" s="54">
        <f>BN123*EXP(-BD123*E123*60)</f>
        <v>3.3635873063251338E-2</v>
      </c>
      <c r="BO124" s="99">
        <f>2*((((BO123/2)*EXP(-BD123*E123*60))^2+(BN123*EXP(-BD123*E123*60)*E123*60*BC123*BD123/BB123)^2)^0.5)</f>
        <v>4.2132068690411695E-3</v>
      </c>
      <c r="BP124" s="22"/>
      <c r="BQ124" s="22"/>
      <c r="BT124" s="2"/>
      <c r="BU124" s="2"/>
      <c r="BV124" s="54">
        <f>BV123*EXP(-BB123*BH123*E123*60*0.91357457380209)*EXP(-(M123-1560)*$CW$126*$BH$48*0.91357457380209)</f>
        <v>3.0278376414327044E-2</v>
      </c>
      <c r="BW124" s="99">
        <f>2*SQRT(
((BW123/2) * EXP(-BB123 * BH123 * E123 * 60 * 0.91357457380209) * EXP(-(M123 - 1560) * $CW$126 * $BH$48 * 0.91357457380209))^2 +
(BC123 * (-BV123 * BH123 * E123 * 60 * 0.91357457380209 * EXP(-BB123 * BH123 * E123 * 60 * 0.91357457380209) * EXP(-(M123 - 1560) * $CW$126 * $BH$48 * 0.91357457380209)))^2 +
((0.146030972937065 / 2) * BV123 * (-BB123 * BH123 * E123 * 60 - (M123 - 1560) * $CW$126 * $BH$48) * EXP(-BB123 * BH123 * E123 * 60 * 0.91357457380209) * EXP(-(M123 - 1560) * $CW$126 * $BH$48 * 0.91357457380209))^2 +
-(M123-1560)*$BH$48*0.91357457380209*BV123*EXP(-BB123*BH123*E123*60*0.91357457380209)*EXP(-(M123-1560)*$CW$126*$BH$48*0.91357457380209))</f>
        <v>6.3931769878676171E-3</v>
      </c>
      <c r="BX124" s="22"/>
      <c r="BY124" s="22"/>
      <c r="CA124" s="141">
        <f t="shared" si="78"/>
        <v>8.3963938833558918E-2</v>
      </c>
      <c r="CB124" s="34"/>
      <c r="CC124" s="34"/>
      <c r="CD124" s="34">
        <f t="shared" si="79"/>
        <v>7.1289940730787885E-2</v>
      </c>
      <c r="CE124" s="2"/>
      <c r="CF124" s="2"/>
      <c r="CS124" s="40"/>
      <c r="CU124" s="20">
        <v>6708.6221501703521</v>
      </c>
      <c r="CV124" s="41">
        <v>1.3621000000000001E-22</v>
      </c>
      <c r="CW124" s="38" t="s">
        <v>618</v>
      </c>
      <c r="CX124" s="14"/>
    </row>
    <row r="125" spans="1:102" s="47" customFormat="1" ht="15" thickBot="1" x14ac:dyDescent="0.35">
      <c r="A125" s="47" t="s">
        <v>240</v>
      </c>
      <c r="B125" s="47" t="s">
        <v>285</v>
      </c>
      <c r="C125" s="48">
        <v>45349.356249999997</v>
      </c>
      <c r="D125" s="47">
        <v>26.68</v>
      </c>
      <c r="E125" s="47">
        <f t="shared" si="80"/>
        <v>180</v>
      </c>
      <c r="G125" s="49">
        <v>0.42799999999999999</v>
      </c>
      <c r="H125" s="49">
        <v>0</v>
      </c>
      <c r="I125" s="49">
        <v>0.106</v>
      </c>
      <c r="J125" s="47">
        <v>10800</v>
      </c>
      <c r="K125" s="47">
        <v>10979.954</v>
      </c>
      <c r="L125" s="47">
        <f t="shared" si="43"/>
        <v>12419.999999622814</v>
      </c>
      <c r="M125" s="47">
        <f t="shared" si="44"/>
        <v>1619.9999996228144</v>
      </c>
      <c r="N125" s="65"/>
      <c r="O125" s="47">
        <v>6.3178303279172602E-3</v>
      </c>
      <c r="P125" s="47">
        <v>2.67402376910016E-2</v>
      </c>
      <c r="R125" s="47">
        <v>2.7040313803485799E-3</v>
      </c>
      <c r="S125" s="49">
        <v>4.40588291358177E-5</v>
      </c>
      <c r="T125" s="47">
        <v>2.8344651952461799E-3</v>
      </c>
      <c r="U125" s="49">
        <v>1.4668055301267999E-5</v>
      </c>
      <c r="V125" s="49"/>
      <c r="Y125" s="49"/>
      <c r="Z125" s="49"/>
      <c r="AA125" s="49"/>
      <c r="AB125" s="49"/>
      <c r="AF125" s="69"/>
      <c r="AQ125" s="49">
        <f>SUM(BP$5:$BP125)</f>
        <v>12.027826486852026</v>
      </c>
      <c r="AR125" s="49" cm="1">
        <f t="array" ref="AR125">2*SQRT(SUM((BQ$5:$BQ125/2)^2))</f>
        <v>6.3752952490580869E-2</v>
      </c>
      <c r="AS125" s="49">
        <f>SUM($BX$5:BX125)</f>
        <v>5.0734455175152071</v>
      </c>
      <c r="AT125" s="49" cm="1">
        <f t="array" ref="AT125">2*SQRT(SUM(($BY$5:BY125/2)^2))</f>
        <v>0.21069929554052852</v>
      </c>
      <c r="AU125" s="49">
        <f t="shared" si="49"/>
        <v>11.985009660162147</v>
      </c>
      <c r="AV125" s="49"/>
      <c r="AW125" s="49">
        <f t="shared" si="50"/>
        <v>6.7576612046697635</v>
      </c>
      <c r="AX125" s="49"/>
      <c r="AY125" s="69"/>
      <c r="AZ125" s="49">
        <f>'Naive Apparent Lambdas'!$U$2*(10000/(D125+273))+'Naive Apparent Lambdas'!$V$2</f>
        <v>22.09516835573563</v>
      </c>
      <c r="BA125" s="47">
        <f>'Naive Apparent Lambdas'!$V$4</f>
        <v>6.7480704157997479E-2</v>
      </c>
      <c r="BB125" s="49">
        <f t="shared" si="40"/>
        <v>3942844900.7834935</v>
      </c>
      <c r="BC125" s="49">
        <f t="shared" si="41"/>
        <v>266065950.29063985</v>
      </c>
      <c r="BD125" s="49">
        <f>BB125*(D125+273)*$D$145*$F$144</f>
        <v>1.1259701963369249E-6</v>
      </c>
      <c r="BE125" s="49"/>
      <c r="BF125" s="31">
        <f t="shared" si="45"/>
        <v>16142535757.045656</v>
      </c>
      <c r="BG125" s="31">
        <f t="shared" si="46"/>
        <v>17162690386.164949</v>
      </c>
      <c r="BH125" s="49">
        <f t="shared" si="66"/>
        <v>2.8557303791310182E-16</v>
      </c>
      <c r="BI125" s="49"/>
      <c r="BJ125" s="49">
        <f>R125/(1-EXP(-E125*60*BD125))</f>
        <v>0.22371701446246881</v>
      </c>
      <c r="BK125" s="49">
        <f>2*SQRT(
((S125/2) * (1 / (1 - EXP(-E125 * 60 * BB125 * BH125))))^2 +
(BC125 * (-R125 * 60 * E125 * BH125 * EXP(-E125 * 60 * BB125 * BH125) / (1 - EXP(-E125 * 60 * BB125 * BH125))^2))^2
)</f>
        <v>3.0230526606290449E-2</v>
      </c>
      <c r="BL125" s="49">
        <f>R125/(1-EXP(-E125*60*BB125*BH125)*EXP(-(M125-1560)*$CW$126*$BH$122))</f>
        <v>0.21597825634625373</v>
      </c>
      <c r="BM125" s="49">
        <f>2*SQRT(
((S125/2) * (1 / (1 - EXP(-E125 * 60 * BB125 * BH125) * EXP(-(M125 - 1560) * $CW$126 * $BH$48))))^2 +
(BC125 * (-R125 * 60 * E125 * BH125 * EXP(-E125 * 60 * BB125 * BH125) / ((1 - EXP(-E125 * 60 * BB125 * BH125) * EXP(-(M125 - 1560) * $CW$126 * $BH$48))^2)))^2 +
($CX$126 * (-R125 * (M125 - 1560) * $BH$48 * EXP(-(M125 - 1560) * $CW$126 * $BH$48) / ((1 - EXP(-E125 * 60 * BB125 * BH125) * EXP(-(M125 - 1560) * $CW$126 * $BH$48))^2)))^2
)</f>
        <v>2.8279707596896422E-2</v>
      </c>
      <c r="BN125" s="107">
        <f>BN124-R124</f>
        <v>2.7008003933386548E-2</v>
      </c>
      <c r="BO125" s="101">
        <f>BO124+S124</f>
        <v>4.3293878668104763E-3</v>
      </c>
      <c r="BP125" s="27"/>
      <c r="BQ125" s="27"/>
      <c r="BR125" s="76"/>
      <c r="BS125" s="76"/>
      <c r="BT125" s="49"/>
      <c r="BU125" s="49"/>
      <c r="BV125" s="54">
        <f>BV124*EXP(-BB124*BH124*E124*60*0.91357457380209)*EXP(-(M124-1560)*$CW$126*$BH$48*0.91357457380209)</f>
        <v>2.4405288036246336E-2</v>
      </c>
      <c r="BW125" s="99">
        <f>2*SQRT(
((BW124/2) * EXP(-BB124 * BH124 * E124 * 60 * 0.91357457380209) * EXP(-(M124 - 1560) * $CW$126 * $BH$48 * 0.91357457380209))^2 +
(BC124 * (-BV124 * BH124 * E124 * 60 * 0.91357457380209 * EXP(-BB124 * BH124 * E124 * 60 * 0.91357457380209) * EXP(-(M124 - 1560) * $CW$126 * $BH$48 * 0.91357457380209)))^2 +
((0.146030972937065 / 2) * BV124 * (-BB124 * BH124 * E124 * 60 - (M124 - 1560) * $CW$126 * $BH$48) * EXP(-BB124 * BH124 * E124 * 60 * 0.91357457380209) * EXP(-(M124 - 1560) * $CW$126 * $BH$48 * 0.91357457380209))^2 +
-(M124-1560)*$BH$48*0.91357457380209*BV124*EXP(-BB124*BH124*E124*60*0.91357457380209)*EXP(-(M124-1560)*$CW$126*$BH$48*0.91357457380209))</f>
        <v>5.2693889961300897E-3</v>
      </c>
      <c r="BX125" s="27"/>
      <c r="BY125" s="27"/>
      <c r="BZ125" s="76"/>
      <c r="CA125" s="141">
        <f t="shared" si="78"/>
        <v>8.3889897143821363E-2</v>
      </c>
      <c r="CB125" s="34"/>
      <c r="CC125" s="34"/>
      <c r="CD125" s="34">
        <f t="shared" si="79"/>
        <v>7.1230810503816494E-2</v>
      </c>
      <c r="CE125" s="49"/>
      <c r="CF125" s="49"/>
      <c r="CG125" s="49"/>
      <c r="CH125" s="49"/>
      <c r="CI125" s="49"/>
      <c r="CJ125" s="49"/>
      <c r="CK125" s="49"/>
      <c r="CL125" s="49"/>
      <c r="CM125" s="49"/>
      <c r="CN125" s="49"/>
      <c r="CO125" s="49"/>
      <c r="CP125" s="49"/>
      <c r="CQ125" s="49"/>
      <c r="CR125" s="49"/>
      <c r="CS125" s="42" t="s">
        <v>381</v>
      </c>
      <c r="CT125" s="43"/>
      <c r="CU125" s="43" t="s">
        <v>324</v>
      </c>
      <c r="CV125" s="18" t="s">
        <v>349</v>
      </c>
      <c r="CW125" t="s">
        <v>615</v>
      </c>
      <c r="CX125" s="16" t="s">
        <v>616</v>
      </c>
    </row>
    <row r="126" spans="1:102" s="29" customFormat="1" ht="15" thickBot="1" x14ac:dyDescent="0.35">
      <c r="A126" s="29" t="s">
        <v>241</v>
      </c>
      <c r="B126" s="29" t="s">
        <v>242</v>
      </c>
      <c r="C126" s="30">
        <v>45349.582638888889</v>
      </c>
      <c r="D126" s="29">
        <v>249.97</v>
      </c>
      <c r="E126" s="29">
        <f t="shared" si="80"/>
        <v>300</v>
      </c>
      <c r="F126" s="29" t="s">
        <v>289</v>
      </c>
      <c r="G126" s="31">
        <v>57.7</v>
      </c>
      <c r="H126" s="31">
        <v>0</v>
      </c>
      <c r="I126" s="31">
        <v>9.91</v>
      </c>
      <c r="J126" s="29">
        <v>18000</v>
      </c>
      <c r="K126" s="29">
        <v>18128.988000000001</v>
      </c>
      <c r="L126" s="29">
        <f t="shared" si="43"/>
        <v>19560.000000265427</v>
      </c>
      <c r="M126" s="29">
        <f t="shared" si="44"/>
        <v>1560.0000002654269</v>
      </c>
      <c r="N126" s="65"/>
      <c r="O126" s="29">
        <v>6.3081294054444896E-3</v>
      </c>
      <c r="P126" s="29">
        <v>2.6782826425556201E-2</v>
      </c>
      <c r="R126" s="29">
        <v>0.36397906669414698</v>
      </c>
      <c r="S126" s="29">
        <v>5.4854197032926499E-3</v>
      </c>
      <c r="T126" s="29">
        <v>0.26541780987726199</v>
      </c>
      <c r="U126" s="29">
        <v>1.3589029657335701E-3</v>
      </c>
      <c r="W126" s="31">
        <f>(1000*T126/R126)/$AG$140</f>
        <v>0.73087814600670031</v>
      </c>
      <c r="X126" s="31"/>
      <c r="Y126" s="31">
        <f>T126-AVERAGE(T127:T129)</f>
        <v>0.25937316702011914</v>
      </c>
      <c r="Z126" s="31">
        <f>U126+AVERAGE(T127:T129)</f>
        <v>7.4035458228764225E-3</v>
      </c>
      <c r="AA126" s="31"/>
      <c r="AB126" s="31">
        <f>(Y126*1000)/R126</f>
        <v>712.60462689759959</v>
      </c>
      <c r="AC126" s="31">
        <f>2*((1000*Z126/(2*R126))^2+((S126/2)*1000*Y126/(R126^2))^2)^0.5</f>
        <v>23.001631782912831</v>
      </c>
      <c r="AD126" s="31">
        <f>AB126/$AG$140</f>
        <v>0.71423307849316675</v>
      </c>
      <c r="AE126" s="31">
        <f>2*(($AH$140*AB126/(2*$AG$140^2))^2+(AC126/($AG$140*2))^2)^0.5</f>
        <v>2.4284955432186315E-2</v>
      </c>
      <c r="AF126" s="69"/>
      <c r="AG126" s="31" cm="1">
        <f t="array" ref="AG126:AH126">BP126:BQ126</f>
        <v>0.37354875442200886</v>
      </c>
      <c r="AH126" s="29">
        <v>7.9898983109723681E-3</v>
      </c>
      <c r="AI126" s="31" cm="1">
        <f t="array" ref="AI126:AJ126">BX126:BY126</f>
        <v>0.26184902151937578</v>
      </c>
      <c r="AJ126" s="29">
        <v>1.0587229224221038E-2</v>
      </c>
      <c r="AL126" s="31">
        <f>1000*AI126/AG126</f>
        <v>700.97682944903443</v>
      </c>
      <c r="AM126" s="31">
        <f>2*((AH126*1000*AI126/(2*AG126^2))^2+(1000*AJ126/(AG126*2))^2)^0.5</f>
        <v>32.063767256037629</v>
      </c>
      <c r="AN126" s="31">
        <f>AL126/$AG$140</f>
        <v>0.70257870907945663</v>
      </c>
      <c r="AO126" s="31">
        <f>2*(($AH$140*AL126/(2*$AG$140^2))^2+(AM126/($AG$140*2))^2)^0.5</f>
        <v>3.3002523766063913E-2</v>
      </c>
      <c r="AP126" s="31"/>
      <c r="AQ126" s="31">
        <f>SUM(BP$5:$BP126)</f>
        <v>12.401375241274035</v>
      </c>
      <c r="AR126" s="31" cm="1">
        <f t="array" ref="AR126">2*SQRT(SUM((BQ$5:$BQ126/2)^2))</f>
        <v>6.42516725563307E-2</v>
      </c>
      <c r="AS126" s="31">
        <f>SUM($BX$5:BX126)</f>
        <v>5.3352945390345825</v>
      </c>
      <c r="AT126" s="31" cm="1">
        <f t="array" ref="AT126">2*SQRT(SUM(($BY$5:BY126/2)^2))</f>
        <v>0.21096512167635953</v>
      </c>
      <c r="AU126" s="31">
        <f t="shared" si="49"/>
        <v>12.348988726856295</v>
      </c>
      <c r="AV126" s="31"/>
      <c r="AW126" s="31">
        <f t="shared" si="50"/>
        <v>7.0230790145470259</v>
      </c>
      <c r="AX126" s="31"/>
      <c r="AY126" s="69"/>
      <c r="AZ126" s="31"/>
      <c r="BB126" s="31"/>
      <c r="BC126" s="31"/>
      <c r="BD126" s="31"/>
      <c r="BE126" s="31"/>
      <c r="BF126" s="31">
        <f t="shared" si="45"/>
        <v>541802242084.79565</v>
      </c>
      <c r="BG126" s="31">
        <f t="shared" si="46"/>
        <v>600073314436.42932</v>
      </c>
      <c r="BH126" s="31">
        <f t="shared" si="66"/>
        <v>4.9835201427327435E-16</v>
      </c>
      <c r="BI126" s="31"/>
      <c r="BJ126" s="31"/>
      <c r="BK126" s="31"/>
      <c r="BL126" s="31"/>
      <c r="BM126" s="31"/>
      <c r="BN126" s="111">
        <f>BN125-R125</f>
        <v>2.430397255303797E-2</v>
      </c>
      <c r="BO126" s="112">
        <f>BO125+S125</f>
        <v>4.3734466959462941E-3</v>
      </c>
      <c r="BP126" s="23">
        <f>R126+BN127-BN126</f>
        <v>0.37354875442200886</v>
      </c>
      <c r="BQ126" s="23">
        <f>2*(((BO126/2)^2+(BO127/2)^2+(S126/2)^2)^(0.5))</f>
        <v>7.9898983109723681E-3</v>
      </c>
      <c r="BR126" s="72">
        <f>100*(BP126-R126)/R126</f>
        <v>2.629186292162049</v>
      </c>
      <c r="BS126" s="72"/>
      <c r="BT126" s="31"/>
      <c r="BU126" s="31"/>
      <c r="BV126" s="114">
        <f>BV125*EXP(-BB125*BH125*E125*60*0.91357457380209)*EXP(-(M125-1560)*$CW$126*$BH$48*0.91357457380209)</f>
        <v>2.4125991462260531E-2</v>
      </c>
      <c r="BW126" s="116">
        <f>2*SQRT(
((BW125/2) * EXP(-BB125 * BH125 * E125 * 60 * 0.91357457380209) * EXP(-(M125 - 1560) * $CW$126 * $BH$48 * 0.91357457380209))^2 +
(BC125 * (-BV125 * BH125 * E125 * 60 * 0.91357457380209 * EXP(-BB125 * BH125 * E125 * 60 * 0.91357457380209) * EXP(-(M125 - 1560) * $CW$126 * $BH$48 * 0.91357457380209)))^2 +
((0.146030972937065 / 2) * BV125 * (-BB125 * BH125 * E125 * 60 - (M125 - 1560) * $CW$126 * $BH$48) * EXP(-BB125 * BH125 * E125 * 60 * 0.91357457380209) * EXP(-(M125 - 1560) * $CW$126 * $BH$48 * 0.91357457380209))^2 +
-(M125-1560)*$BH$48*0.91357457380209*BV125*EXP(-BB125*BH125*E125*60*0.91357457380209)*EXP(-(M125-1560)*$CW$126*$BH$48*0.91357457380209))</f>
        <v>5.2094002877886821E-3</v>
      </c>
      <c r="BX126" s="23">
        <f>Y126+BV127-BV126</f>
        <v>0.26184902151937578</v>
      </c>
      <c r="BY126" s="23">
        <f>2*(((BW126/2)^2+(BW127/2)^2+(Z126/2)^2)^(0.5))</f>
        <v>1.0587229224221038E-2</v>
      </c>
      <c r="BZ126" s="72">
        <f>100*(BX126-Y126)/Y126</f>
        <v>0.95455305870733642</v>
      </c>
      <c r="CA126" s="140">
        <f>R126*CC126</f>
        <v>8.3046028335276606E-2</v>
      </c>
      <c r="CB126" s="31">
        <f>BH126*BG126*J126</f>
        <v>5.3828594092986206</v>
      </c>
      <c r="CC126" s="31">
        <f>1/(CB126-1)</f>
        <v>0.22816155085385861</v>
      </c>
      <c r="CD126" s="31">
        <f>CF126*T126</f>
        <v>6.8758449030283414E-2</v>
      </c>
      <c r="CE126" s="31">
        <f>BH126*BF126*J126</f>
        <v>4.8601482962532137</v>
      </c>
      <c r="CF126" s="31">
        <f>1/(CE126-1)</f>
        <v>0.25905740485945389</v>
      </c>
      <c r="CG126" s="31">
        <f>R126-CA121</f>
        <v>0.27922519856259981</v>
      </c>
      <c r="CH126" s="31">
        <f>R126+CA126</f>
        <v>0.44702509502942356</v>
      </c>
      <c r="CI126" s="31">
        <f>T126-CD121</f>
        <v>0.19350575959393279</v>
      </c>
      <c r="CJ126" s="31">
        <f>T126+CD126</f>
        <v>0.33417625890754543</v>
      </c>
      <c r="CK126" s="31">
        <f>CE126*1.29</f>
        <v>6.2695913021666456</v>
      </c>
      <c r="CL126" s="31">
        <f>R126 / (CK126-1)</f>
        <v>6.9071593188734265E-2</v>
      </c>
      <c r="CM126" s="31">
        <f>1000*T126/R126</f>
        <v>729.21174365308661</v>
      </c>
      <c r="CN126" s="31">
        <f>1000*(T126+CD126)/(R126+CL126)</f>
        <v>771.67936656169411</v>
      </c>
      <c r="CO126" s="31">
        <f>1000*(T126-CD121)/(R126-CL121)</f>
        <v>659.33589029124641</v>
      </c>
      <c r="CP126" s="31">
        <f>1000*(T126+CD126-CD121)/(R126+CL126-CL121)</f>
        <v>723.37282720543817</v>
      </c>
      <c r="CQ126" s="31">
        <f>MAX(CM126:CP126)</f>
        <v>771.67936656169411</v>
      </c>
      <c r="CR126" s="31">
        <f>MIN(CM126:CP126)</f>
        <v>659.33589029124641</v>
      </c>
      <c r="CS126" s="37"/>
      <c r="CT126" s="38" t="s">
        <v>377</v>
      </c>
      <c r="CU126" s="38" t="s">
        <v>378</v>
      </c>
      <c r="CV126" s="14" t="s">
        <v>379</v>
      </c>
      <c r="CW126" s="42">
        <f>AVERAGE(CV127,CV122,CV48)</f>
        <v>25648886548.066235</v>
      </c>
      <c r="CX126" s="126">
        <f>_xlfn.STDEV.P(CV127,CV122,CV48)</f>
        <v>3813683488.5958118</v>
      </c>
    </row>
    <row r="127" spans="1:102" s="32" customFormat="1" ht="15" thickBot="1" x14ac:dyDescent="0.35">
      <c r="A127" s="32" t="s">
        <v>243</v>
      </c>
      <c r="B127" s="32" t="s">
        <v>244</v>
      </c>
      <c r="C127" s="33">
        <v>45349.704861111109</v>
      </c>
      <c r="D127" s="32">
        <v>99.99</v>
      </c>
      <c r="E127" s="32">
        <f t="shared" si="80"/>
        <v>150</v>
      </c>
      <c r="F127" s="32" t="s">
        <v>375</v>
      </c>
      <c r="G127" s="34">
        <v>1.64</v>
      </c>
      <c r="H127" s="34">
        <v>0</v>
      </c>
      <c r="I127" s="34">
        <v>0.30599999999999999</v>
      </c>
      <c r="J127" s="32">
        <v>9000</v>
      </c>
      <c r="K127" s="32">
        <v>9124.2659999999996</v>
      </c>
      <c r="L127" s="32">
        <f t="shared" si="43"/>
        <v>10559.999999846332</v>
      </c>
      <c r="M127" s="32">
        <f t="shared" si="44"/>
        <v>1559.9999998463318</v>
      </c>
      <c r="N127" s="65"/>
      <c r="O127" s="32">
        <v>6.31122485425823E-3</v>
      </c>
      <c r="P127" s="32">
        <v>2.6785714285714201E-2</v>
      </c>
      <c r="R127" s="32">
        <v>1.03504087609835E-2</v>
      </c>
      <c r="S127" s="34">
        <v>1.5808081834991101E-4</v>
      </c>
      <c r="T127" s="32">
        <v>8.1964285714285698E-3</v>
      </c>
      <c r="U127" s="34">
        <v>4.5605848633088499E-5</v>
      </c>
      <c r="V127" s="34"/>
      <c r="Y127" s="34"/>
      <c r="Z127" s="34"/>
      <c r="AA127" s="34"/>
      <c r="AB127" s="34"/>
      <c r="AF127" s="69"/>
      <c r="AQ127" s="34">
        <f>SUM(BP$5:$BP127)</f>
        <v>12.401375241274035</v>
      </c>
      <c r="AR127" s="34" cm="1">
        <f t="array" ref="AR127">2*SQRT(SUM((BQ$5:$BQ127/2)^2))</f>
        <v>6.42516725563307E-2</v>
      </c>
      <c r="AS127" s="34">
        <f>SUM($BX$5:BX127)</f>
        <v>5.3352945390345825</v>
      </c>
      <c r="AT127" s="34" cm="1">
        <f t="array" ref="AT127">2*SQRT(SUM(($BY$5:BY127/2)^2))</f>
        <v>0.21096512167635953</v>
      </c>
      <c r="AU127" s="34">
        <f t="shared" si="49"/>
        <v>12.359339135617278</v>
      </c>
      <c r="AV127" s="34"/>
      <c r="AW127" s="34">
        <f t="shared" si="50"/>
        <v>7.0312754431184548</v>
      </c>
      <c r="AX127" s="34"/>
      <c r="AY127" s="69"/>
      <c r="AZ127" s="34">
        <f>'Naive Apparent Lambdas'!$U$2*(10000/(D127+273))+'Naive Apparent Lambdas'!$V$2</f>
        <v>25.45939586923167</v>
      </c>
      <c r="BA127" s="32">
        <f>'Naive Apparent Lambdas'!$V$4</f>
        <v>6.7480704157997479E-2</v>
      </c>
      <c r="BB127" s="34">
        <f t="shared" si="40"/>
        <v>113992200830.34454</v>
      </c>
      <c r="BC127" s="34">
        <f t="shared" si="41"/>
        <v>7692273980.5515146</v>
      </c>
      <c r="BD127" s="34">
        <f>BB127*(D127+273)*$D$145*$F$144</f>
        <v>4.0516485682730825E-5</v>
      </c>
      <c r="BE127" s="34"/>
      <c r="BF127" s="31">
        <f t="shared" si="45"/>
        <v>81354566284.197021</v>
      </c>
      <c r="BG127" s="31">
        <f t="shared" si="46"/>
        <v>88138659054.577789</v>
      </c>
      <c r="BH127" s="34">
        <f t="shared" si="66"/>
        <v>3.5543208559532784E-16</v>
      </c>
      <c r="BI127" s="34"/>
      <c r="BJ127" s="34">
        <f>R127/(1-EXP(-E127*60*BD127))</f>
        <v>3.3873660280899824E-2</v>
      </c>
      <c r="BK127" s="34">
        <f>2*SQRT(
((S127/2) * (1 / (1 - EXP(-E127 * 60 * BB127 * BH127))))^2 +
(BC127 * (-R127 * 60 * E127 * BH127 * EXP(-E127 * 60 * BB127 * BH127) / (1 - EXP(-E127 * 60 * BB127 * BH127))^2))^2
)</f>
        <v>3.8238213473074708E-3</v>
      </c>
      <c r="BL127" s="34">
        <f>R127/(1-EXP(-E127*60*BB127*BH127)*EXP(-(M127-1560)*$CW$126*$BH$122))</f>
        <v>3.3873660280986283E-2</v>
      </c>
      <c r="BM127" s="34">
        <f>2*SQRT(
((S127/2) * (1 / (1 - EXP(-E127 * 60 * BB127 * BH127) * EXP(-(M127 - 1560) * $CW$126 * $BH$48))))^2 +
(BC127 * (-R127 * 60 * E127 * BH127 * EXP(-E127 * 60 * BB127 * BH127) / ((1 - EXP(-E127 * 60 * BB127 * BH127) * EXP(-(M127 - 1560) * $CW$126 * $BH$48))^2)))^2 +
($CX$126 * (-R127 * (M127 - 1560) * $BH$48 * EXP(-(M127 - 1560) * $CW$126 * $BH$48) / ((1 - EXP(-E127 * 60 * BB127 * BH127) * EXP(-(M127 - 1560) * $CW$126 * $BH$48))^2)))^2
)</f>
        <v>3.823821347326813E-3</v>
      </c>
      <c r="BN127" s="117" cm="1">
        <f t="array" ref="BN127:BO127">BJ127:BK127</f>
        <v>3.3873660280899824E-2</v>
      </c>
      <c r="BO127" s="118">
        <v>3.8238213473074708E-3</v>
      </c>
      <c r="BP127" s="24"/>
      <c r="BQ127" s="24"/>
      <c r="BR127" s="73"/>
      <c r="BS127" s="73"/>
      <c r="BT127" s="123">
        <f>BN127*(Y126/R126)*1.10204926384627</f>
        <v>2.660184596151716E-2</v>
      </c>
      <c r="BU127" s="123">
        <f>2*(((BO127/2)*1.10204926384627*(AB126/(1000)))^2+((AC126/2000)*1.10204926384627*BN127)^2+((0.187040260207234/2)*BN127*(AB126/(1000)))^2)^0.5</f>
        <v>5.4899071518884788E-3</v>
      </c>
      <c r="BV127" s="124">
        <f>BT127</f>
        <v>2.660184596151716E-2</v>
      </c>
      <c r="BW127" s="125">
        <f>BU127</f>
        <v>5.4899071518884788E-3</v>
      </c>
      <c r="BX127" s="24"/>
      <c r="BY127" s="24"/>
      <c r="BZ127" s="73"/>
      <c r="CA127" s="141">
        <f t="shared" ref="CA127:CA129" si="81">CA126*(EXP(-BH127*BG127*E127))*(EXP(-$BG$140*$F$144*D266*(24+273)*M127))</f>
        <v>8.2656702522573275E-2</v>
      </c>
      <c r="CB127" s="34"/>
      <c r="CC127" s="34"/>
      <c r="CD127" s="34">
        <f t="shared" ref="CD127:CD129" si="82">CD126*(EXP(-BH127*BF127*E127))*(EXP(-$BF$140*$F$144*D266*(24+273)*M127))</f>
        <v>6.8460861739138845E-2</v>
      </c>
      <c r="CE127" s="34"/>
      <c r="CF127" s="34"/>
      <c r="CG127" s="34"/>
      <c r="CH127" s="34"/>
      <c r="CI127" s="34"/>
      <c r="CJ127" s="34"/>
      <c r="CK127" s="34"/>
      <c r="CL127" s="34"/>
      <c r="CM127" s="34"/>
      <c r="CN127" s="34"/>
      <c r="CO127" s="34"/>
      <c r="CP127" s="34"/>
      <c r="CQ127" s="34"/>
      <c r="CR127" s="34"/>
      <c r="CS127" s="40"/>
      <c r="CT127" s="2">
        <f>BN126/BN125</f>
        <v>0.89988036927801507</v>
      </c>
      <c r="CU127" s="61">
        <f>-LN(BN126/BN125)/L125</f>
        <v>8.4938363543080441E-6</v>
      </c>
      <c r="CV127" s="41">
        <f>CU127/((D125+273)*CU129*CV129)</f>
        <v>31017286724.237423</v>
      </c>
    </row>
    <row r="128" spans="1:102" s="8" customFormat="1" ht="15" thickBot="1" x14ac:dyDescent="0.35">
      <c r="A128" s="8" t="s">
        <v>245</v>
      </c>
      <c r="B128" s="8" t="s">
        <v>246</v>
      </c>
      <c r="C128" s="35">
        <v>45349.82708333333</v>
      </c>
      <c r="D128" s="8">
        <v>99.98</v>
      </c>
      <c r="E128" s="8">
        <f t="shared" si="80"/>
        <v>150</v>
      </c>
      <c r="F128" s="8" t="s">
        <v>287</v>
      </c>
      <c r="G128" s="36">
        <v>1.08</v>
      </c>
      <c r="H128" s="36">
        <v>0</v>
      </c>
      <c r="I128" s="36">
        <v>0.192</v>
      </c>
      <c r="J128" s="8">
        <v>9000</v>
      </c>
      <c r="K128" s="8">
        <v>9124.2849999999999</v>
      </c>
      <c r="L128" s="8">
        <f t="shared" si="43"/>
        <v>10559.999999846332</v>
      </c>
      <c r="M128" s="8">
        <f t="shared" si="44"/>
        <v>1559.9999998463318</v>
      </c>
      <c r="N128" s="65"/>
      <c r="O128" s="8">
        <v>6.32575275047136E-3</v>
      </c>
      <c r="P128" s="8">
        <v>2.6785714285714201E-2</v>
      </c>
      <c r="R128" s="8">
        <v>6.8318129705090703E-3</v>
      </c>
      <c r="S128" s="36">
        <v>1.10718921375758E-4</v>
      </c>
      <c r="T128" s="8">
        <v>5.14285714285714E-3</v>
      </c>
      <c r="U128" s="36">
        <v>3.7664227717236002E-5</v>
      </c>
      <c r="V128" s="36"/>
      <c r="Y128" s="36"/>
      <c r="Z128" s="36"/>
      <c r="AA128" s="36"/>
      <c r="AB128" s="36"/>
      <c r="AF128" s="69"/>
      <c r="AQ128" s="36">
        <f>SUM(BP$5:$BP128)</f>
        <v>12.401375241274035</v>
      </c>
      <c r="AR128" s="36" cm="1">
        <f t="array" ref="AR128">2*SQRT(SUM((BQ$5:$BQ128/2)^2))</f>
        <v>6.42516725563307E-2</v>
      </c>
      <c r="AS128" s="36">
        <f>SUM($BX$5:BX128)</f>
        <v>5.3352945390345825</v>
      </c>
      <c r="AT128" s="36" cm="1">
        <f t="array" ref="AT128">2*SQRT(SUM(($BY$5:BY128/2)^2))</f>
        <v>0.21096512167635953</v>
      </c>
      <c r="AU128" s="36">
        <f t="shared" si="49"/>
        <v>12.366170948587786</v>
      </c>
      <c r="AV128" s="36"/>
      <c r="AW128" s="36">
        <f t="shared" si="50"/>
        <v>7.0364183002613121</v>
      </c>
      <c r="AX128" s="36"/>
      <c r="AY128" s="69"/>
      <c r="AZ128" s="36">
        <f>'Naive Apparent Lambdas'!$U$2*(10000/(D128+273))+'Naive Apparent Lambdas'!$V$2</f>
        <v>25.459027151219146</v>
      </c>
      <c r="BA128" s="8">
        <f>'Naive Apparent Lambdas'!$V$4</f>
        <v>6.7480704157997479E-2</v>
      </c>
      <c r="BB128" s="36">
        <f t="shared" si="40"/>
        <v>113950177600.44814</v>
      </c>
      <c r="BC128" s="36">
        <f t="shared" si="41"/>
        <v>7689438223.4071121</v>
      </c>
      <c r="BD128" s="36">
        <f>BB128*(D128+273)*$D$145*$F$144</f>
        <v>4.0500463416953386E-5</v>
      </c>
      <c r="BE128" s="36"/>
      <c r="BF128" s="31">
        <f t="shared" si="45"/>
        <v>81340146494.628036</v>
      </c>
      <c r="BG128" s="31">
        <f t="shared" si="46"/>
        <v>88122855098.335785</v>
      </c>
      <c r="BH128" s="36">
        <f t="shared" si="66"/>
        <v>3.5542255632951387E-16</v>
      </c>
      <c r="BI128" s="36"/>
      <c r="BJ128" s="36">
        <f>R128/(1-EXP(-E128*60*BD128))</f>
        <v>2.2365723751140047E-2</v>
      </c>
      <c r="BK128" s="36">
        <f>2*SQRT(
((S128/2) * (1 / (1 - EXP(-E128 * 60 * BB128 * BH128))))^2 +
(BC128 * (-R128 * 60 * E128 * BH128 * EXP(-E128 * 60 * BB128 * BH128) / (1 - EXP(-E128 * 60 * BB128 * BH128))^2))^2
)</f>
        <v>2.5278488901385255E-3</v>
      </c>
      <c r="BL128" s="36">
        <f>R128/(1-EXP(-E128*60*BB128*BH128)*EXP(-(M128-1560)*$CW$126*$BH$122))</f>
        <v>2.2365723751197154E-2</v>
      </c>
      <c r="BM128" s="36">
        <f>2*SQRT(
((S128/2) * (1 / (1 - EXP(-E128 * 60 * BB128 * BH128) * EXP(-(M128 - 1560) * $CW$126 * $BH$48))))^2 +
(BC128 * (-R128 * 60 * E128 * BH128 * EXP(-E128 * 60 * BB128 * BH128) / ((1 - EXP(-E128 * 60 * BB128 * BH128) * EXP(-(M128 - 1560) * $CW$126 * $BH$48))^2)))^2 +
($CX$126 * (-R128 * (M128 - 1560) * $BH$48 * EXP(-(M128 - 1560) * $CW$126 * $BH$48) / ((1 - EXP(-E128 * 60 * BB128 * BH128) * EXP(-(M128 - 1560) * $CW$126 * $BH$48))^2)))^2
)</f>
        <v>2.5278488901513039E-3</v>
      </c>
      <c r="BN128" s="54">
        <f>BN127*EXP(-BD127*E127*60)</f>
        <v>2.3523251519916324E-2</v>
      </c>
      <c r="BO128" s="99">
        <f>2*((((BO127/2)*EXP(-BD127*E127*60))^2+(BN127*EXP(-BD127*E127*60)*E127*60*BC127*BD127/BB127)^2)^0.5)</f>
        <v>2.8967948139657453E-3</v>
      </c>
      <c r="BP128" s="25"/>
      <c r="BQ128" s="25"/>
      <c r="BR128" s="74"/>
      <c r="BS128" s="74"/>
      <c r="BT128" s="36"/>
      <c r="BU128" s="36"/>
      <c r="BV128" s="54">
        <f>BV127*EXP(-BB127*BH127*E127*60*0.91357457380209)*EXP(-(M127-1560)*$CW$126*$BH$48*0.91357457380209)</f>
        <v>1.9064865341802434E-2</v>
      </c>
      <c r="BW128" s="99">
        <f>2*SQRT(
((BW127/2) * EXP(-BB127 * BH127 * E127 * 60 * 0.91357457380209) * EXP(-(M127 - 1560) * $CW$126 * $BH$48 * 0.91357457380209))^2 +
(BC127 * (-BV127 * BH127 * E127 * 60 * 0.91357457380209 * EXP(-BB127 * BH127 * E127 * 60 * 0.91357457380209) * EXP(-(M127 - 1560) * $CW$126 * $BH$48 * 0.91357457380209)))^2 +
((0.146030972937065 / 2) * BV127 * (-BB127 * BH127 * E127 * 60 - (M127 - 1560) * $CW$126 * $BH$48) * EXP(-BB127 * BH127 * E127 * 60 * 0.91357457380209) * EXP(-(M127 - 1560) * $CW$126 * $BH$48 * 0.91357457380209))^2 +
-(M127-1560)*$BH$48*0.91357457380209*BV127*EXP(-BB127*BH127*E127*60*0.91357457380209)*EXP(-(M127-1560)*$CW$126*$BH$48*0.91357457380209))</f>
        <v>4.1527660832578099E-3</v>
      </c>
      <c r="BX128" s="25"/>
      <c r="BY128" s="25"/>
      <c r="BZ128" s="74"/>
      <c r="CA128" s="141">
        <f t="shared" si="81"/>
        <v>8.2269281579175596E-2</v>
      </c>
      <c r="CB128" s="34"/>
      <c r="CC128" s="34"/>
      <c r="CD128" s="34">
        <f t="shared" si="82"/>
        <v>6.816462273834735E-2</v>
      </c>
      <c r="CE128" s="36"/>
      <c r="CF128" s="36"/>
      <c r="CG128" s="36"/>
      <c r="CH128" s="36"/>
      <c r="CI128" s="36"/>
      <c r="CJ128" s="36"/>
      <c r="CK128" s="36"/>
      <c r="CL128" s="36"/>
      <c r="CM128" s="36"/>
      <c r="CN128" s="36"/>
      <c r="CO128" s="36"/>
      <c r="CP128" s="36"/>
      <c r="CQ128" s="36"/>
      <c r="CR128" s="36"/>
      <c r="CS128" s="15" t="s">
        <v>616</v>
      </c>
      <c r="CT128" s="128">
        <f>((BO130/(BN129*2))^2+(BO129*BN130/(2*BN129^2))^2)^0.5</f>
        <v>6.7313328557648516E-2</v>
      </c>
      <c r="CU128" s="129">
        <f>CT128/(CT127*L125)</f>
        <v>6.0227480086236285E-6</v>
      </c>
      <c r="CV128" s="130">
        <f>CU128/((D125+273)*CU129*CV129)</f>
        <v>21993513185.188694</v>
      </c>
    </row>
    <row r="129" spans="1:100" s="8" customFormat="1" x14ac:dyDescent="0.3">
      <c r="A129" s="8" t="s">
        <v>247</v>
      </c>
      <c r="B129" s="8" t="s">
        <v>248</v>
      </c>
      <c r="C129" s="35">
        <v>45349.949305555558</v>
      </c>
      <c r="D129" s="8">
        <v>100</v>
      </c>
      <c r="E129" s="8">
        <f t="shared" si="80"/>
        <v>150</v>
      </c>
      <c r="F129" s="8" t="s">
        <v>287</v>
      </c>
      <c r="G129" s="36">
        <v>0.84799999999999998</v>
      </c>
      <c r="H129" s="36">
        <v>0</v>
      </c>
      <c r="I129" s="36">
        <v>0.17899999999999999</v>
      </c>
      <c r="J129" s="8">
        <v>9000</v>
      </c>
      <c r="K129" s="8">
        <v>9124.2870000000003</v>
      </c>
      <c r="L129" s="8">
        <f t="shared" si="43"/>
        <v>10560.000000474975</v>
      </c>
      <c r="M129" s="8">
        <f t="shared" si="44"/>
        <v>1560.0000004749745</v>
      </c>
      <c r="N129" s="65"/>
      <c r="O129" s="8">
        <v>6.3408591876399998E-3</v>
      </c>
      <c r="P129" s="8">
        <v>2.6785714285714201E-2</v>
      </c>
      <c r="R129" s="8">
        <v>5.3770485911187197E-3</v>
      </c>
      <c r="S129" s="36">
        <v>9.37236987834509E-5</v>
      </c>
      <c r="T129" s="8">
        <v>4.7946428571428498E-3</v>
      </c>
      <c r="U129" s="36">
        <v>4.6249055477867197E-5</v>
      </c>
      <c r="V129" s="36"/>
      <c r="Y129" s="36"/>
      <c r="Z129" s="36"/>
      <c r="AA129" s="36"/>
      <c r="AB129" s="36"/>
      <c r="AF129" s="69"/>
      <c r="AQ129" s="36">
        <f>SUM(BP$5:$BP129)</f>
        <v>12.401375241274035</v>
      </c>
      <c r="AR129" s="36" cm="1">
        <f t="array" ref="AR129">2*SQRT(SUM((BQ$5:$BQ129/2)^2))</f>
        <v>6.42516725563307E-2</v>
      </c>
      <c r="AS129" s="36">
        <f>SUM($BX$5:BX129)</f>
        <v>5.3352945390345825</v>
      </c>
      <c r="AT129" s="36" cm="1">
        <f t="array" ref="AT129">2*SQRT(SUM(($BY$5:BY129/2)^2))</f>
        <v>0.21096512167635953</v>
      </c>
      <c r="AU129" s="36">
        <f t="shared" si="49"/>
        <v>12.371547997178904</v>
      </c>
      <c r="AV129" s="36"/>
      <c r="AW129" s="36">
        <f t="shared" si="50"/>
        <v>7.0412129431184551</v>
      </c>
      <c r="AX129" s="36"/>
      <c r="AY129" s="69"/>
      <c r="AZ129" s="36">
        <f>'Naive Apparent Lambdas'!$U$2*(10000/(D129+273))+'Naive Apparent Lambdas'!$V$2</f>
        <v>25.45976456747379</v>
      </c>
      <c r="BA129" s="8">
        <f>'Naive Apparent Lambdas'!$V$4</f>
        <v>6.7480704157997479E-2</v>
      </c>
      <c r="BB129" s="36">
        <f t="shared" si="40"/>
        <v>114034237303.31673</v>
      </c>
      <c r="BC129" s="36">
        <f t="shared" si="41"/>
        <v>7695110631.3479958</v>
      </c>
      <c r="BD129" s="36">
        <f>BB129*(D129+273)*$D$145*$F$144</f>
        <v>4.053251345654956E-5</v>
      </c>
      <c r="BE129" s="36"/>
      <c r="BF129" s="31">
        <f t="shared" si="45"/>
        <v>81368987856.687653</v>
      </c>
      <c r="BG129" s="31">
        <f t="shared" si="46"/>
        <v>88154464997.476822</v>
      </c>
      <c r="BH129" s="36">
        <f t="shared" si="66"/>
        <v>3.5544161486114176E-16</v>
      </c>
      <c r="BI129" s="36"/>
      <c r="BJ129" s="36">
        <f>R129/(1-EXP(-E129*60*BD129))</f>
        <v>1.7591636558720005E-2</v>
      </c>
      <c r="BK129" s="36">
        <f>2*SQRT(
((S129/2) * (1 / (1 - EXP(-E129 * 60 * BB129 * BH129))))^2 +
(BC129 * (-R129 * 60 * E129 * BH129 * EXP(-E129 * 60 * BB129 * BH129) / (1 - EXP(-E129 * 60 * BB129 * BH129))^2))^2
)</f>
        <v>1.9911695655806926E-3</v>
      </c>
      <c r="BL129" s="36">
        <f>R129/(1-EXP(-E129*60*BB129*BH129)*EXP(-(M129-1560)*$CW$126*$BH$122))</f>
        <v>1.7591636558581297E-2</v>
      </c>
      <c r="BM129" s="36">
        <f>2*SQRT(
((S129/2) * (1 / (1 - EXP(-E129 * 60 * BB129 * BH129) * EXP(-(M129 - 1560) * $CW$126 * $BH$48))))^2 +
(BC129 * (-R129 * 60 * E129 * BH129 * EXP(-E129 * 60 * BB129 * BH129) / ((1 - EXP(-E129 * 60 * BB129 * BH129) * EXP(-(M129 - 1560) * $CW$126 * $BH$48))^2)))^2 +
($CX$126 * (-R129 * (M129 - 1560) * $BH$48 * EXP(-(M129 - 1560) * $CW$126 * $BH$48) / ((1 - EXP(-E129 * 60 * BB129 * BH129) * EXP(-(M129 - 1560) * $CW$126 * $BH$48))^2)))^2
)</f>
        <v>1.9911695655496641E-3</v>
      </c>
      <c r="BN129" s="54">
        <f>BN128*EXP(-BD128*E128*60)</f>
        <v>1.6337861204339353E-2</v>
      </c>
      <c r="BO129" s="99">
        <f>2*((((BO128/2)*EXP(-BD128*E128*60))^2+(BN128*EXP(-BD128*E128*60)*E128*60*BC128*BD128/BB128)^2)^0.5)</f>
        <v>2.1665378727082881E-3</v>
      </c>
      <c r="BP129" s="25"/>
      <c r="BQ129" s="25"/>
      <c r="BR129" s="74"/>
      <c r="BS129" s="74"/>
      <c r="BT129" s="36"/>
      <c r="BU129" s="36"/>
      <c r="BV129" s="54">
        <f>BV128*EXP(-BB128*BH128*E128*60*0.91357457380209)*EXP(-(M128-1560)*$CW$126*$BH$48*0.91357457380209)</f>
        <v>1.3665103421906697E-2</v>
      </c>
      <c r="BW129" s="99">
        <f>2*SQRT(
((BW128/2) * EXP(-BB128 * BH128 * E128 * 60 * 0.91357457380209) * EXP(-(M128 - 1560) * $CW$126 * $BH$48 * 0.91357457380209))^2 +
(BC128 * (-BV128 * BH128 * E128 * 60 * 0.91357457380209 * EXP(-BB128 * BH128 * E128 * 60 * 0.91357457380209) * EXP(-(M128 - 1560) * $CW$126 * $BH$48 * 0.91357457380209)))^2 +
((0.146030972937065 / 2) * BV128 * (-BB128 * BH128 * E128 * 60 - (M128 - 1560) * $CW$126 * $BH$48) * EXP(-BB128 * BH128 * E128 * 60 * 0.91357457380209) * EXP(-(M128 - 1560) * $CW$126 * $BH$48 * 0.91357457380209))^2 +
-(M128-1560)*$BH$48*0.91357457380209*BV128*EXP(-BB128*BH128*E128*60*0.91357457380209)*EXP(-(M128-1560)*$CW$126*$BH$48*0.91357457380209))</f>
        <v>3.125098642151315E-3</v>
      </c>
      <c r="BX129" s="25"/>
      <c r="BY129" s="25"/>
      <c r="BZ129" s="74"/>
      <c r="CA129" s="141">
        <f t="shared" si="81"/>
        <v>8.1883517891244817E-2</v>
      </c>
      <c r="CB129" s="34"/>
      <c r="CC129" s="34"/>
      <c r="CD129" s="34">
        <f t="shared" si="82"/>
        <v>6.7869545456077179E-2</v>
      </c>
      <c r="CE129" s="36"/>
      <c r="CF129" s="36"/>
      <c r="CG129" s="36"/>
      <c r="CH129" s="36"/>
      <c r="CI129" s="36"/>
      <c r="CJ129" s="36"/>
      <c r="CK129" s="36"/>
      <c r="CL129" s="36"/>
      <c r="CM129" s="36"/>
      <c r="CN129" s="36"/>
      <c r="CO129" s="36"/>
      <c r="CP129" s="36"/>
      <c r="CQ129" s="36"/>
      <c r="CR129" s="36"/>
      <c r="CS129" s="2"/>
      <c r="CT129"/>
      <c r="CU129" s="20">
        <v>6708.6221501703521</v>
      </c>
      <c r="CV129" s="41">
        <v>1.3621000000000001E-22</v>
      </c>
    </row>
    <row r="130" spans="1:100" s="29" customFormat="1" ht="15" thickBot="1" x14ac:dyDescent="0.35">
      <c r="A130" s="29" t="s">
        <v>249</v>
      </c>
      <c r="B130" s="29" t="s">
        <v>250</v>
      </c>
      <c r="C130" s="30">
        <v>45350.213888888888</v>
      </c>
      <c r="D130" s="29">
        <v>249.98</v>
      </c>
      <c r="E130" s="29">
        <f t="shared" si="80"/>
        <v>300</v>
      </c>
      <c r="F130" s="29" t="s">
        <v>289</v>
      </c>
      <c r="G130" s="31">
        <v>54.6</v>
      </c>
      <c r="H130" s="31">
        <v>0</v>
      </c>
      <c r="I130" s="31">
        <v>9.2799999999999994</v>
      </c>
      <c r="J130" s="29">
        <v>18000</v>
      </c>
      <c r="K130" s="29">
        <v>18124.592000000001</v>
      </c>
      <c r="L130" s="29">
        <f t="shared" si="43"/>
        <v>22859.999999706633</v>
      </c>
      <c r="M130" s="29">
        <f t="shared" si="44"/>
        <v>4859.9999997066334</v>
      </c>
      <c r="N130" s="65"/>
      <c r="O130" s="29">
        <v>6.3221821827654798E-3</v>
      </c>
      <c r="P130" s="29">
        <v>2.6820883887270601E-2</v>
      </c>
      <c r="R130" s="29">
        <v>0.34519114717899502</v>
      </c>
      <c r="S130" s="29">
        <v>6.3251010869425804E-3</v>
      </c>
      <c r="T130" s="29">
        <v>0.248897802473871</v>
      </c>
      <c r="U130" s="29">
        <v>2.8044341407380598E-3</v>
      </c>
      <c r="W130" s="31">
        <f>(1000*T130/R130)/$AG$140</f>
        <v>0.72269114776306831</v>
      </c>
      <c r="X130" s="31"/>
      <c r="Y130" s="31">
        <f>T130-AVERAGE(T131:T132)</f>
        <v>0.23828393015298283</v>
      </c>
      <c r="Z130" s="31">
        <f>U130+AVERAGE(T131:T132)</f>
        <v>1.3418306461626235E-2</v>
      </c>
      <c r="AA130" s="31"/>
      <c r="AB130" s="31">
        <f>(Y130*1000)/R130</f>
        <v>690.2956002791791</v>
      </c>
      <c r="AC130" s="31">
        <f>2*((1000*Z130/(2*R130))^2+((S130/2)*1000*Y130/(R130^2))^2)^0.5</f>
        <v>40.87820888112617</v>
      </c>
      <c r="AD130" s="31">
        <f>AB130/$AG$140</f>
        <v>0.69187307105225215</v>
      </c>
      <c r="AE130" s="31">
        <f>2*(($AH$140*AB130/(2*$AG$140^2))^2+(AC130/($AG$140*2))^2)^0.5</f>
        <v>4.1633474757632787E-2</v>
      </c>
      <c r="AF130" s="69"/>
      <c r="AG130" s="31" cm="1">
        <f t="array" ref="AG130:AH130">BP130:BQ130</f>
        <v>0.37333060971607829</v>
      </c>
      <c r="AH130" s="29">
        <v>7.9125970260669649E-3</v>
      </c>
      <c r="AI130" s="31" cm="1">
        <f t="array" ref="AI130:AJ130">BX130:BY130</f>
        <v>0.25852845994034707</v>
      </c>
      <c r="AJ130" s="29">
        <v>1.5042407445786145E-2</v>
      </c>
      <c r="AL130" s="31">
        <f>1000*AI130/AG130</f>
        <v>692.49199827723908</v>
      </c>
      <c r="AM130" s="31">
        <f>2*((AH130*1000*AI130/(2*AG130^2))^2+(1000*AJ130/(AG130*2))^2)^0.5</f>
        <v>42.882389053721901</v>
      </c>
      <c r="AN130" s="31">
        <f>AL130/$AG$140</f>
        <v>0.69407448828214058</v>
      </c>
      <c r="AO130" s="31">
        <f>2*(($AH$140*AL130/(2*$AG$140^2))^2+(AM130/($AG$140*2))^2)^0.5</f>
        <v>4.3615755610741699E-2</v>
      </c>
      <c r="AP130" s="31"/>
      <c r="AQ130" s="31">
        <f>SUM(BP$5:$BP130)</f>
        <v>12.774705850990113</v>
      </c>
      <c r="AR130" s="31" cm="1">
        <f t="array" ref="AR130">2*SQRT(SUM((BQ$5:$BQ130/2)^2))</f>
        <v>6.4737057532628595E-2</v>
      </c>
      <c r="AS130" s="31">
        <f>SUM($BX$5:BX130)</f>
        <v>5.5938229989749297</v>
      </c>
      <c r="AT130" s="31" cm="1">
        <f t="array" ref="AT130">2*SQRT(SUM(($BY$5:BY130/2)^2))</f>
        <v>0.21150072478761442</v>
      </c>
      <c r="AU130" s="31">
        <f t="shared" si="49"/>
        <v>12.716739144357899</v>
      </c>
      <c r="AV130" s="31"/>
      <c r="AW130" s="31">
        <f t="shared" si="50"/>
        <v>7.290110745592326</v>
      </c>
      <c r="AX130" s="31"/>
      <c r="AY130" s="69"/>
      <c r="AZ130" s="31"/>
      <c r="BB130" s="31"/>
      <c r="BC130" s="31"/>
      <c r="BD130" s="31"/>
      <c r="BE130" s="31"/>
      <c r="BF130" s="31">
        <f t="shared" si="45"/>
        <v>541851095702.86389</v>
      </c>
      <c r="BG130" s="31">
        <f t="shared" si="46"/>
        <v>600128051729.38245</v>
      </c>
      <c r="BH130" s="31">
        <f t="shared" si="66"/>
        <v>4.9836154353908837E-16</v>
      </c>
      <c r="BI130" s="31"/>
      <c r="BJ130" s="31"/>
      <c r="BK130" s="31"/>
      <c r="BL130" s="31"/>
      <c r="BM130" s="31"/>
      <c r="BN130" s="114">
        <f>BN129*EXP(-BD129*E129*60)</f>
        <v>1.1344040801249001E-2</v>
      </c>
      <c r="BO130" s="116">
        <f>2*((((BO129/2)*EXP(-BD129*E129*60))^2+(BN129*EXP(-BD129*E129*60)*E129*60*BC129*BD129/BB129)^2)^0.5)</f>
        <v>1.6046454522322178E-3</v>
      </c>
      <c r="BP130" s="23">
        <f>R130+BN131-BN130</f>
        <v>0.37333060971607829</v>
      </c>
      <c r="BQ130" s="23">
        <f>2*(((BO130/2)^2+(BO131/2)^2+(S130/2)^2)^(0.5))</f>
        <v>7.9125970260669649E-3</v>
      </c>
      <c r="BR130" s="72">
        <f>100*(BP130-R130)/R130</f>
        <v>8.1518494222830871</v>
      </c>
      <c r="BS130" s="72"/>
      <c r="BT130" s="31"/>
      <c r="BU130" s="31"/>
      <c r="BV130" s="114">
        <f>BV129*EXP(-BB129*BH129*E129*60*0.91357457380209)*EXP(-(M129-1560)*$CW$126*$BH$48*0.91357457380209)</f>
        <v>9.7921409921263945E-3</v>
      </c>
      <c r="BW130" s="116">
        <f>2*SQRT(
((BW129/2) * EXP(-BB129 * BH129 * E129 * 60 * 0.91357457380209) * EXP(-(M129 - 1560) * $CW$126 * $BH$48 * 0.91357457380209))^2 +
(BC129 * (-BV129 * BH129 * E129 * 60 * 0.91357457380209 * EXP(-BB129 * BH129 * E129 * 60 * 0.91357457380209) * EXP(-(M129 - 1560) * $CW$126 * $BH$48 * 0.91357457380209)))^2 +
((0.146030972937065 / 2) * BV129 * (-BB129 * BH129 * E129 * 60 - (M129 - 1560) * $CW$126 * $BH$48) * EXP(-BB129 * BH129 * E129 * 60 * 0.91357457380209) * EXP(-(M129 - 1560) * $CW$126 * $BH$48 * 0.91357457380209))^2 +
-(M129-1560)*$BH$48*0.91357457380209*BV129*EXP(-BB129*BH129*E129*60*0.91357457380209)*EXP(-(M129-1560)*$CW$126*$BH$48*0.91357457380209))</f>
        <v>2.3411370619456865E-3</v>
      </c>
      <c r="BX130" s="23">
        <f>Y130+BV131-BV130</f>
        <v>0.25852845994034707</v>
      </c>
      <c r="BY130" s="23">
        <f>2*(((BW130/2)^2+(BW131/2)^2+(Z130/2)^2)^(0.5))</f>
        <v>1.5042407445786145E-2</v>
      </c>
      <c r="BZ130" s="72">
        <f>100*(BX130-Y130)/Y130</f>
        <v>8.4959693985099491</v>
      </c>
      <c r="CA130" s="140">
        <f>R130*CC130</f>
        <v>7.87486757330257E-2</v>
      </c>
      <c r="CB130" s="31">
        <f>BH130*BG130*J130</f>
        <v>5.3834533592572962</v>
      </c>
      <c r="CC130" s="31">
        <f>1/(CB130-1)</f>
        <v>0.22813063537863978</v>
      </c>
      <c r="CD130" s="31">
        <f>CF130*T130</f>
        <v>6.4469947402812741E-2</v>
      </c>
      <c r="CE130" s="31">
        <f>BH130*BF130*J130</f>
        <v>4.8606794716108599</v>
      </c>
      <c r="CF130" s="31">
        <f>1/(CE130-1)</f>
        <v>0.25902176219326289</v>
      </c>
      <c r="CG130" s="31">
        <f>R130-CA126</f>
        <v>0.26214511884371838</v>
      </c>
      <c r="CH130" s="31">
        <f>R130+CA130</f>
        <v>0.4239398229120207</v>
      </c>
      <c r="CI130" s="31">
        <f>T130-CD126</f>
        <v>0.18013935344358759</v>
      </c>
      <c r="CJ130" s="31">
        <f>T130+CD130</f>
        <v>0.31336774987668375</v>
      </c>
      <c r="CK130" s="31">
        <f>CE130*1.29</f>
        <v>6.2702765183780098</v>
      </c>
      <c r="CL130" s="31">
        <f>R130 / (CK130-1)</f>
        <v>6.5497729763377144E-2</v>
      </c>
      <c r="CM130" s="31">
        <f>1000*T130/R130</f>
        <v>721.04341176747448</v>
      </c>
      <c r="CN130" s="31">
        <f>1000*(T130+CD130)/(R130+CL130)</f>
        <v>763.02955222392234</v>
      </c>
      <c r="CO130" s="31">
        <f>1000*(T130-CD126)/(R130-CL126)</f>
        <v>652.39622055141172</v>
      </c>
      <c r="CP130" s="31">
        <f>1000*(T130+CD130-CD126)/(R130+CL130-CL126)</f>
        <v>716.03315311998028</v>
      </c>
      <c r="CQ130" s="31">
        <f>MAX(CM130:CP130)</f>
        <v>763.02955222392234</v>
      </c>
      <c r="CR130" s="31">
        <f>MIN(CM130:CP130)</f>
        <v>652.39622055141172</v>
      </c>
      <c r="CS130" s="42" t="s">
        <v>381</v>
      </c>
      <c r="CT130" s="43"/>
      <c r="CU130" s="43" t="s">
        <v>324</v>
      </c>
      <c r="CV130" s="18" t="s">
        <v>349</v>
      </c>
    </row>
    <row r="131" spans="1:100" s="32" customFormat="1" x14ac:dyDescent="0.3">
      <c r="A131" s="32" t="s">
        <v>251</v>
      </c>
      <c r="B131" s="32" t="s">
        <v>252</v>
      </c>
      <c r="C131" s="33">
        <v>45350.335416666669</v>
      </c>
      <c r="D131" s="32">
        <v>100</v>
      </c>
      <c r="E131" s="32">
        <f t="shared" si="80"/>
        <v>150</v>
      </c>
      <c r="F131" s="32" t="s">
        <v>286</v>
      </c>
      <c r="G131" s="34">
        <v>1.91</v>
      </c>
      <c r="H131" s="34">
        <v>0</v>
      </c>
      <c r="I131" s="34">
        <v>0.50600000000000001</v>
      </c>
      <c r="J131" s="32">
        <v>9000</v>
      </c>
      <c r="K131" s="32">
        <v>9121.1880000000001</v>
      </c>
      <c r="L131" s="32">
        <f t="shared" si="43"/>
        <v>10500.000000279397</v>
      </c>
      <c r="M131" s="32">
        <f t="shared" si="44"/>
        <v>1500.0000002793968</v>
      </c>
      <c r="N131" s="65"/>
      <c r="O131" s="32">
        <v>6.3185878811506304E-3</v>
      </c>
      <c r="P131" s="32">
        <v>2.6833225011953701E-2</v>
      </c>
      <c r="R131" s="32">
        <v>1.20685028529977E-2</v>
      </c>
      <c r="S131" s="34">
        <v>2.2218710331890301E-4</v>
      </c>
      <c r="T131" s="32">
        <v>1.3577611856048499E-2</v>
      </c>
      <c r="U131" s="32">
        <v>1.5498253517727201E-4</v>
      </c>
      <c r="AF131" s="69"/>
      <c r="AQ131" s="34">
        <f>SUM(BP$5:$BP131)</f>
        <v>12.774705850990113</v>
      </c>
      <c r="AR131" s="34" cm="1">
        <f t="array" ref="AR131">2*SQRT(SUM((BQ$5:$BQ131/2)^2))</f>
        <v>6.4737057532628595E-2</v>
      </c>
      <c r="AS131" s="34">
        <f>SUM($BX$5:BX131)</f>
        <v>5.5938229989749297</v>
      </c>
      <c r="AT131" s="34" cm="1">
        <f t="array" ref="AT131">2*SQRT(SUM(($BY$5:BY131/2)^2))</f>
        <v>0.21150072478761442</v>
      </c>
      <c r="AU131" s="34">
        <f t="shared" si="49"/>
        <v>12.728807647210896</v>
      </c>
      <c r="AV131" s="34"/>
      <c r="AW131" s="34">
        <f t="shared" si="50"/>
        <v>7.3036883574483742</v>
      </c>
      <c r="AX131" s="34"/>
      <c r="AY131" s="69"/>
      <c r="AZ131" s="34">
        <f>'Naive Apparent Lambdas'!$U$2*(10000/(D131+273))+'Naive Apparent Lambdas'!$V$2</f>
        <v>25.45976456747379</v>
      </c>
      <c r="BA131" s="32">
        <f>'Naive Apparent Lambdas'!$V$4</f>
        <v>6.7480704157997479E-2</v>
      </c>
      <c r="BB131" s="34">
        <f t="shared" si="40"/>
        <v>114034237303.31673</v>
      </c>
      <c r="BC131" s="34">
        <f t="shared" si="41"/>
        <v>7695110631.3479958</v>
      </c>
      <c r="BD131" s="34">
        <f>BB131*(D131+273)*$D$145*$F$144</f>
        <v>4.053251345654956E-5</v>
      </c>
      <c r="BE131" s="34"/>
      <c r="BF131" s="31">
        <f t="shared" si="45"/>
        <v>81368987856.687653</v>
      </c>
      <c r="BG131" s="31">
        <f t="shared" si="46"/>
        <v>88154464997.476822</v>
      </c>
      <c r="BH131" s="34">
        <f t="shared" si="66"/>
        <v>3.5544161486114176E-16</v>
      </c>
      <c r="BI131" s="34"/>
      <c r="BJ131" s="34">
        <f>R131/(1-EXP(-E131*60*BD131))</f>
        <v>3.948350333833231E-2</v>
      </c>
      <c r="BK131" s="34">
        <f>2*SQRT(
((S131/2) * (1 / (1 - EXP(-E131 * 60 * BB131 * BH131))))^2 +
(BC131 * (-R131 * 60 * E131 * BH131 * EXP(-E131 * 60 * BB131 * BH131) / (1 - EXP(-E131 * 60 * BB131 * BH131))^2))^2
)</f>
        <v>4.4751984212448095E-3</v>
      </c>
      <c r="BL131" s="34">
        <f>R131/(1-EXP(-E131*60*BB131*BH131)*EXP(-(M131-1560)*$CW$126*$BH$122))</f>
        <v>3.9522879107239742E-2</v>
      </c>
      <c r="BM131" s="34">
        <f>2*SQRT(
((S131/2) * (1 / (1 - EXP(-E131 * 60 * BB131 * BH131) * EXP(-(M131 - 1560) * $CW$126 * $BH$48))))^2 +
(BC131 * (-R131 * 60 * E131 * BH131 * EXP(-E131 * 60 * BB131 * BH131) / ((1 - EXP(-E131 * 60 * BB131 * BH131) * EXP(-(M131 - 1560) * $CW$126 * $BH$48))^2)))^2 +
($CX$126 * (-R131 * (M131 - 1560) * $BH$48 * EXP(-(M131 - 1560) * $CW$126 * $BH$48) / ((1 - EXP(-E131 * 60 * BB131 * BH131) * EXP(-(M131 - 1560) * $CW$126 * $BH$48))^2)))^2
)</f>
        <v>4.484042825448239E-3</v>
      </c>
      <c r="BN131" s="117" cm="1">
        <f t="array" ref="BN131:BO131">BJ131:BK131</f>
        <v>3.948350333833231E-2</v>
      </c>
      <c r="BO131" s="118">
        <v>4.4751984212448095E-3</v>
      </c>
      <c r="BP131" s="24"/>
      <c r="BQ131" s="24"/>
      <c r="BR131" s="73"/>
      <c r="BS131" s="73"/>
      <c r="BT131" s="123">
        <f>BN131*(Y130/R130)*1.10204926384627</f>
        <v>3.0036670779490609E-2</v>
      </c>
      <c r="BU131" s="123">
        <f>2*(((BO131/2)*1.10204926384627*(AB130/(1000)))^2+((AC130/2000)*1.10204926384627*BN131)^2+((0.187040260207234/2)*BN131*(AB130/(1000)))^2)^0.5</f>
        <v>6.3829578350562809E-3</v>
      </c>
      <c r="BV131" s="124">
        <f>BT131</f>
        <v>3.0036670779490609E-2</v>
      </c>
      <c r="BW131" s="125">
        <f>BU131</f>
        <v>6.3829578350562809E-3</v>
      </c>
      <c r="BX131" s="24"/>
      <c r="BY131" s="24"/>
      <c r="BZ131" s="73"/>
      <c r="CA131" s="141">
        <f t="shared" ref="CA131:CA132" si="83">CA130*(EXP(-BH131*BG131*E131))*(EXP(-$BG$140*$F$144*D270*(24+273)*M131))</f>
        <v>7.8379420295427146E-2</v>
      </c>
      <c r="CB131" s="34"/>
      <c r="CC131" s="34"/>
      <c r="CD131" s="34">
        <f t="shared" ref="CD131:CD132" si="84">CD130*(EXP(-BH131*BF131*E131))*(EXP(-$BF$140*$F$144*D270*(24+273)*M131))</f>
        <v>6.4190863970623208E-2</v>
      </c>
      <c r="CE131" s="34"/>
      <c r="CF131" s="34"/>
      <c r="CG131" s="34"/>
      <c r="CH131" s="34"/>
      <c r="CI131" s="34"/>
      <c r="CJ131" s="34"/>
      <c r="CK131" s="34"/>
      <c r="CL131" s="34"/>
      <c r="CM131" s="34"/>
      <c r="CN131" s="34"/>
      <c r="CO131" s="34"/>
      <c r="CP131" s="34"/>
      <c r="CQ131" s="34"/>
      <c r="CR131" s="34"/>
      <c r="CS131" s="34"/>
    </row>
    <row r="132" spans="1:100" x14ac:dyDescent="0.3">
      <c r="A132" t="s">
        <v>253</v>
      </c>
      <c r="B132" t="s">
        <v>254</v>
      </c>
      <c r="C132" s="1">
        <v>45350.457638888889</v>
      </c>
      <c r="D132">
        <v>99.94</v>
      </c>
      <c r="E132">
        <f t="shared" si="80"/>
        <v>150</v>
      </c>
      <c r="G132" s="2">
        <v>1.1100000000000001</v>
      </c>
      <c r="H132" s="2">
        <v>0</v>
      </c>
      <c r="I132" s="2">
        <v>0.28499999999999998</v>
      </c>
      <c r="J132">
        <v>9000</v>
      </c>
      <c r="K132">
        <v>9124.4110000000001</v>
      </c>
      <c r="L132">
        <f t="shared" si="43"/>
        <v>10559.999999846332</v>
      </c>
      <c r="M132">
        <f t="shared" si="44"/>
        <v>1559.9999998463318</v>
      </c>
      <c r="N132" s="65"/>
      <c r="O132">
        <v>6.3187325174070101E-3</v>
      </c>
      <c r="P132">
        <v>2.6842571177992401E-2</v>
      </c>
      <c r="R132">
        <v>7.0137930943217804E-3</v>
      </c>
      <c r="S132" s="2">
        <v>1.29082914997403E-4</v>
      </c>
      <c r="T132">
        <v>7.6501327857278504E-3</v>
      </c>
      <c r="U132" s="2">
        <v>8.7306145894588301E-5</v>
      </c>
      <c r="V132" s="2"/>
      <c r="Y132" s="2"/>
      <c r="Z132" s="2"/>
      <c r="AA132" s="2"/>
      <c r="AB132" s="2"/>
      <c r="AQ132" s="2">
        <f>SUM(BP$5:$BP132)</f>
        <v>12.774705850990113</v>
      </c>
      <c r="AR132" s="2" cm="1">
        <f t="array" ref="AR132">2*SQRT(SUM((BQ$5:$BQ132/2)^2))</f>
        <v>6.4737057532628595E-2</v>
      </c>
      <c r="AS132" s="2">
        <f>SUM($BX$5:BX132)</f>
        <v>5.5938229989749297</v>
      </c>
      <c r="AT132" s="2" cm="1">
        <f t="array" ref="AT132">2*SQRT(SUM(($BY$5:BY132/2)^2))</f>
        <v>0.21150072478761442</v>
      </c>
      <c r="AU132" s="2">
        <f t="shared" si="49"/>
        <v>12.735821440305218</v>
      </c>
      <c r="AV132" s="2"/>
      <c r="AW132" s="2">
        <f t="shared" si="50"/>
        <v>7.3113384902341023</v>
      </c>
      <c r="AX132" s="2"/>
      <c r="AZ132" s="2">
        <f>'Naive Apparent Lambdas'!$U$2*(10000/(D132+273))+'Naive Apparent Lambdas'!$V$2</f>
        <v>25.457552081433214</v>
      </c>
      <c r="BA132">
        <f>'Naive Apparent Lambdas'!$V$4</f>
        <v>6.7480704157997479E-2</v>
      </c>
      <c r="BB132" s="2">
        <f t="shared" ref="BB132:BB137" si="85">EXP(AZ132)</f>
        <v>113782217043.59386</v>
      </c>
      <c r="BC132" s="2">
        <f t="shared" ref="BC132:BC137" si="86">BA132*BB132</f>
        <v>7678104126.7598152</v>
      </c>
      <c r="BD132" s="2">
        <f>BB132*(D132+273)*$D$145*$F$144</f>
        <v>4.0436429402509261E-5</v>
      </c>
      <c r="BE132" s="2"/>
      <c r="BF132" s="31">
        <f t="shared" si="45"/>
        <v>81282485163.486313</v>
      </c>
      <c r="BG132" s="31">
        <f t="shared" si="46"/>
        <v>88059659137.528412</v>
      </c>
      <c r="BH132" s="2">
        <f t="shared" ref="BH132:BH138" si="87">(D132+273)*$D$145*$F$144</f>
        <v>3.5538443926625795E-16</v>
      </c>
      <c r="BI132" s="2"/>
      <c r="BJ132" s="2">
        <f>R132/(1-EXP(-E132*60*BD132))</f>
        <v>2.2991619705614103E-2</v>
      </c>
      <c r="BK132" s="2">
        <f>2*SQRT(
((S132/2) * (1 / (1 - EXP(-E132 * 60 * BB132 * BH132))))^2 +
(BC132 * (-R132 * 60 * E132 * BH132 * EXP(-E132 * 60 * BB132 * BH132) / (1 - EXP(-E132 * 60 * BB132 * BH132))^2))^2
)</f>
        <v>2.6070907284340751E-3</v>
      </c>
      <c r="BL132" s="2">
        <f>R132/(1-EXP(-E132*60*BB132*BH132)*EXP(-(M132-1560)*$CW$126*$BH$122))</f>
        <v>2.2991619705672924E-2</v>
      </c>
      <c r="BM132" s="2">
        <f>2*SQRT(
((S132/2) * (1 / (1 - EXP(-E132 * 60 * BB132 * BH132) * EXP(-(M132 - 1560) * $CW$126 * $BH$48))))^2 +
(BC132 * (-R132 * 60 * E132 * BH132 * EXP(-E132 * 60 * BB132 * BH132) / ((1 - EXP(-E132 * 60 * BB132 * BH132) * EXP(-(M132 - 1560) * $CW$126 * $BH$48))^2)))^2 +
($CX$126 * (-R132 * (M132 - 1560) * $BH$48 * EXP(-(M132 - 1560) * $CW$126 * $BH$48) / ((1 - EXP(-E132 * 60 * BB132 * BH132) * EXP(-(M132 - 1560) * $CW$126 * $BH$48))^2)))^2
)</f>
        <v>2.6070907284472399E-3</v>
      </c>
      <c r="BN132" s="54">
        <f>BN131*EXP(-BD131*E131*60)</f>
        <v>2.7415000485334611E-2</v>
      </c>
      <c r="BO132" s="99">
        <f>2*((((BO131/2)*EXP(-BD131*E131*60))^2+(BN131*EXP(-BD131*E131*60)*E131*60*BC131*BD131/BB131)^2)^0.5)</f>
        <v>3.387791950041691E-3</v>
      </c>
      <c r="BP132" s="22"/>
      <c r="BQ132" s="22"/>
      <c r="BT132" s="2"/>
      <c r="BU132" s="2"/>
      <c r="BV132" s="54">
        <f>BV131*EXP(-BB131*BH131*E131*60*0.91357457380209)*EXP(-(M131-1560)*$CW$126*$BH$48*0.91357457380209)</f>
        <v>2.1532303930393834E-2</v>
      </c>
      <c r="BW132" s="99">
        <f>2*SQRT(
((BW131/2) * EXP(-BB131 * BH131 * E131 * 60 * 0.91357457380209) * EXP(-(M131 - 1560) * $CW$126 * $BH$48 * 0.91357457380209))^2 +
(BC131 * (-BV131 * BH131 * E131 * 60 * 0.91357457380209 * EXP(-BB131 * BH131 * E131 * 60 * 0.91357457380209) * EXP(-(M131 - 1560) * $CW$126 * $BH$48 * 0.91357457380209)))^2 +
((0.146030972937065 / 2) * BV131 * (-BB131 * BH131 * E131 * 60 - (M131 - 1560) * $CW$126 * $BH$48) * EXP(-BB131 * BH131 * E131 * 60 * 0.91357457380209) * EXP(-(M131 - 1560) * $CW$126 * $BH$48 * 0.91357457380209))^2 +
-(M131-1560)*$BH$48*0.91357457380209*BV131*EXP(-BB131*BH131*E131*60*0.91357457380209)*EXP(-(M131-1560)*$CW$126*$BH$48*0.91357457380209))</f>
        <v>4.8153755997802352E-3</v>
      </c>
      <c r="BX132" s="22"/>
      <c r="BY132" s="22"/>
      <c r="CA132" s="141">
        <f t="shared" si="83"/>
        <v>7.8012349554486174E-2</v>
      </c>
      <c r="CB132" s="34"/>
      <c r="CC132" s="34"/>
      <c r="CD132" s="34">
        <f t="shared" si="84"/>
        <v>6.3913327982088652E-2</v>
      </c>
      <c r="CE132" s="2"/>
      <c r="CF132" s="2"/>
      <c r="CS132" s="2"/>
    </row>
    <row r="133" spans="1:100" s="29" customFormat="1" x14ac:dyDescent="0.3">
      <c r="A133" s="29" t="s">
        <v>255</v>
      </c>
      <c r="B133" s="29" t="s">
        <v>256</v>
      </c>
      <c r="C133" s="30">
        <v>45357.732638888891</v>
      </c>
      <c r="D133" s="29">
        <v>250</v>
      </c>
      <c r="E133" s="29">
        <f t="shared" si="80"/>
        <v>10250</v>
      </c>
      <c r="F133" s="29" t="s">
        <v>289</v>
      </c>
      <c r="G133" s="31">
        <v>1340</v>
      </c>
      <c r="H133" s="31">
        <v>0</v>
      </c>
      <c r="I133" s="31">
        <v>251</v>
      </c>
      <c r="J133" s="29">
        <v>615000</v>
      </c>
      <c r="K133" s="29">
        <v>189.81299999999999</v>
      </c>
      <c r="L133" s="29">
        <f t="shared" ref="L133:L137" si="88">(C133-C132)*24*3600</f>
        <v>628560.00000012573</v>
      </c>
      <c r="M133" s="29">
        <f>L133-J133</f>
        <v>13560.000000125729</v>
      </c>
      <c r="N133" s="65"/>
      <c r="O133" s="29">
        <v>6.3305284377801196E-3</v>
      </c>
      <c r="P133" s="29">
        <v>2.7108433734939701E-2</v>
      </c>
      <c r="R133" s="29">
        <v>8.4829081066253593</v>
      </c>
      <c r="S133" s="29">
        <v>0.127588734899796</v>
      </c>
      <c r="T133" s="29">
        <v>6.8042168674698704</v>
      </c>
      <c r="U133" s="29">
        <v>3.0800470299049702E-2</v>
      </c>
      <c r="W133" s="31">
        <f>(1000*T133/R133)/$AG$140</f>
        <v>0.80394197953914526</v>
      </c>
      <c r="X133" s="31"/>
      <c r="Y133" s="31">
        <f>T133-AVERAGE(T134)</f>
        <v>6.7607238951181738</v>
      </c>
      <c r="Z133" s="31">
        <f>U133+AVERAGE(T134)</f>
        <v>7.42934426507465E-2</v>
      </c>
      <c r="AA133" s="31"/>
      <c r="AB133" s="31">
        <f>(Y133*1000)/R133</f>
        <v>796.98186166108326</v>
      </c>
      <c r="AC133" s="31">
        <f>2*((1000*Z133/(2*R133))^2+((S133/2)*1000*Y133/(R133^2))^2)^0.5</f>
        <v>14.84569461666716</v>
      </c>
      <c r="AD133" s="31">
        <f>AB133/$AG$140</f>
        <v>0.79880313300184114</v>
      </c>
      <c r="AE133" s="31">
        <f>2*(($AH$140*AB133/(2*$AG$140^2))^2+(AC133/($AG$140*2))^2)^0.5</f>
        <v>1.7154608575698491E-2</v>
      </c>
      <c r="AF133" s="69"/>
      <c r="AG133" s="31" cm="1">
        <f t="array" ref="AG133:AH133">BP133:BQ133</f>
        <v>8.580386501689409</v>
      </c>
      <c r="AH133" s="29">
        <v>0.12782739057103734</v>
      </c>
      <c r="AI133" s="31" cm="1">
        <f t="array" ref="AI133:AJ133">BX133:BY133</f>
        <v>6.8476321121963766</v>
      </c>
      <c r="AJ133" s="29">
        <v>7.6681482925613401E-2</v>
      </c>
      <c r="AL133" s="31">
        <f>1000*AI133/AG133</f>
        <v>798.05637086955619</v>
      </c>
      <c r="AM133" s="31">
        <f>2*((AH133*1000*AI133/(2*AG133^2))^2+(1000*AJ133/(AG133*2))^2)^0.5</f>
        <v>14.873424887666932</v>
      </c>
      <c r="AN133" s="31">
        <f>AL133/$AG$140</f>
        <v>0.79988009769006951</v>
      </c>
      <c r="AO133" s="31">
        <f>2*(($AH$140*AL133/(2*$AG$140^2))^2+(AM133/($AG$140*2))^2)^0.5</f>
        <v>1.7184444366869129E-2</v>
      </c>
      <c r="AP133" s="31"/>
      <c r="AQ133" s="31">
        <f>SUM(BP$5:$BP133)</f>
        <v>21.35509235267952</v>
      </c>
      <c r="AR133" s="31" cm="1">
        <f t="array" ref="AR133">2*SQRT(SUM((BQ$5:$BQ133/2)^2))</f>
        <v>0.14328547867171812</v>
      </c>
      <c r="AS133" s="31">
        <f>SUM($BX$5:BX133)</f>
        <v>12.441455111171306</v>
      </c>
      <c r="AT133" s="31" cm="1">
        <f t="array" ref="AT133">2*SQRT(SUM(($BY$5:BY133/2)^2))</f>
        <v>0.22497245700164578</v>
      </c>
      <c r="AU133" s="31">
        <f t="shared" si="49"/>
        <v>21.218729546930575</v>
      </c>
      <c r="AV133" s="31"/>
      <c r="AW133" s="31">
        <f t="shared" si="50"/>
        <v>14.115555357703972</v>
      </c>
      <c r="AX133" s="31"/>
      <c r="AY133" s="69"/>
      <c r="AZ133" s="31"/>
      <c r="BB133" s="31"/>
      <c r="BC133" s="31"/>
      <c r="BD133" s="31"/>
      <c r="BE133" s="31"/>
      <c r="BF133" s="31">
        <f t="shared" si="45"/>
        <v>541948810548.71661</v>
      </c>
      <c r="BG133" s="31">
        <f t="shared" si="46"/>
        <v>600237535013.72363</v>
      </c>
      <c r="BH133" s="31">
        <f t="shared" si="87"/>
        <v>4.9838060207071621E-16</v>
      </c>
      <c r="BI133" s="31"/>
      <c r="BJ133" s="31"/>
      <c r="BK133" s="31"/>
      <c r="BL133" s="31"/>
      <c r="BM133" s="31"/>
      <c r="BN133" s="54">
        <f>BN132*EXP(-BD132*E132*60)</f>
        <v>1.9051816701552888E-2</v>
      </c>
      <c r="BO133" s="99">
        <f>2*((((BO132/2)*EXP(-BD132*E132*60))^2+(BN132*EXP(-BD132*E132*60)*E132*60*BC132*BD132/BB132)^2)^0.5)</f>
        <v>2.5334641758869769E-3</v>
      </c>
      <c r="BP133" s="23">
        <f>R133+BN134-BN133</f>
        <v>8.580386501689409</v>
      </c>
      <c r="BQ133" s="23">
        <f>2*(((BO133/2)^2+(BO134/2)^2+(S133/2)^2)^(0.5))</f>
        <v>0.12782739057103734</v>
      </c>
      <c r="BR133" s="72">
        <f>100*(BP133-R133)/R133</f>
        <v>1.1491153014838935</v>
      </c>
      <c r="BS133" s="72"/>
      <c r="BT133" s="31"/>
      <c r="BU133" s="31"/>
      <c r="BV133" s="114">
        <f>BV132*EXP(-BB132*BH132*E132*60*0.91357457380209)*EXP(-(M132-1560)*$CW$126*$BH$48*0.91357457380209)</f>
        <v>1.544181473084906E-2</v>
      </c>
      <c r="BW133" s="116">
        <f>2*SQRT(
((BW132/2) * EXP(-BB132 * BH132 * E132 * 60 * 0.91357457380209) * EXP(-(M132 - 1560) * $CW$126 * $BH$48 * 0.91357457380209))^2 +
(BC132 * (-BV132 * BH132 * E132 * 60 * 0.91357457380209 * EXP(-BB132 * BH132 * E132 * 60 * 0.91357457380209) * EXP(-(M132 - 1560) * $CW$126 * $BH$48 * 0.91357457380209)))^2 +
((0.146030972937065 / 2) * BV132 * (-BB132 * BH132 * E132 * 60 - (M132 - 1560) * $CW$126 * $BH$48) * EXP(-BB132 * BH132 * E132 * 60 * 0.91357457380209) * EXP(-(M132 - 1560) * $CW$126 * $BH$48 * 0.91357457380209))^2 +
-(M132-1560)*$BH$48*0.91357457380209*BV132*EXP(-BB132*BH132*E132*60*0.91357457380209)*EXP(-(M132-1560)*$CW$126*$BH$48*0.91357457380209))</f>
        <v>3.6164976665796983E-3</v>
      </c>
      <c r="BX133" s="23">
        <f>Y133+BV134-BV133</f>
        <v>6.8476321121963766</v>
      </c>
      <c r="BY133" s="23">
        <f>2*(((BW133/2)^2+(BW134/2)^2+(Z133/2)^2)^(0.5))</f>
        <v>7.6681482925613401E-2</v>
      </c>
      <c r="BZ133" s="72">
        <f>100*(BX133-Y133)/Y133</f>
        <v>1.2854868565325965</v>
      </c>
      <c r="CA133" s="140">
        <f>R133*CC133</f>
        <v>4.6360959841869227E-2</v>
      </c>
      <c r="CB133" s="31">
        <f>BH133*BG133*J133</f>
        <v>183.97524761263304</v>
      </c>
      <c r="CC133" s="31">
        <f>1/(CB133-1)</f>
        <v>5.4652200942339789E-3</v>
      </c>
      <c r="CD133" s="31">
        <f>CF133*T133</f>
        <v>4.1210325239937298E-2</v>
      </c>
      <c r="CE133" s="31">
        <f>BH133*BF133*J133</f>
        <v>166.10951631305841</v>
      </c>
      <c r="CF133" s="31">
        <f>1/(CE133-1)</f>
        <v>6.05658609103993E-3</v>
      </c>
      <c r="CG133" s="31">
        <f>R133-CA130</f>
        <v>8.4041594308923333</v>
      </c>
      <c r="CH133" s="31">
        <f>R133+CA133</f>
        <v>8.5292690664672293</v>
      </c>
      <c r="CI133" s="31">
        <f>T133-CD130</f>
        <v>6.7397469200670574</v>
      </c>
      <c r="CJ133" s="31">
        <f>T133+CD133</f>
        <v>6.845427192709808</v>
      </c>
      <c r="CK133" s="31">
        <f>CE133*1.29</f>
        <v>214.28127604384534</v>
      </c>
      <c r="CL133" s="31">
        <f>R133 / (CK133-1)</f>
        <v>3.977333718165435E-2</v>
      </c>
      <c r="CM133" s="31">
        <f>1000*T133/R133</f>
        <v>802.10899162701173</v>
      </c>
      <c r="CN133" s="31">
        <f>1000*(T133+CD133)/(R133+CL133)</f>
        <v>803.20110963246452</v>
      </c>
      <c r="CO133" s="31">
        <f>1000*(T133-CD130)/(R133-CL130)</f>
        <v>800.69125993826628</v>
      </c>
      <c r="CP133" s="31">
        <f>1000*(T133+CD133-CD130)/(R133+CL133-CL130)</f>
        <v>801.79850344823762</v>
      </c>
      <c r="CQ133" s="31">
        <f>MAX(CM133:CP133)</f>
        <v>803.20110963246452</v>
      </c>
      <c r="CR133" s="31">
        <f>MIN(CM133:CP133)</f>
        <v>800.69125993826628</v>
      </c>
      <c r="CS133" s="31"/>
    </row>
    <row r="134" spans="1:100" s="82" customFormat="1" x14ac:dyDescent="0.3">
      <c r="A134" s="82" t="s">
        <v>257</v>
      </c>
      <c r="B134" s="82" t="s">
        <v>258</v>
      </c>
      <c r="C134" s="83">
        <v>45362.880555555559</v>
      </c>
      <c r="D134" s="82">
        <v>100</v>
      </c>
      <c r="E134" s="82">
        <f t="shared" si="80"/>
        <v>7200</v>
      </c>
      <c r="F134" s="82" t="s">
        <v>376</v>
      </c>
      <c r="G134" s="84">
        <v>18.2</v>
      </c>
      <c r="H134" s="84">
        <v>0</v>
      </c>
      <c r="I134" s="84">
        <v>1.6</v>
      </c>
      <c r="J134" s="82">
        <v>432000</v>
      </c>
      <c r="K134" s="82" t="s">
        <v>273</v>
      </c>
      <c r="L134" s="82">
        <f t="shared" si="88"/>
        <v>444780.00000016764</v>
      </c>
      <c r="M134" s="82">
        <f>L134-J134</f>
        <v>12780.000000167638</v>
      </c>
      <c r="N134" s="65"/>
      <c r="O134" s="82">
        <v>6.4027588882200398E-3</v>
      </c>
      <c r="P134" s="82">
        <v>2.7183107719810501E-2</v>
      </c>
      <c r="R134" s="82">
        <v>0.11653021176560401</v>
      </c>
      <c r="S134" s="82">
        <v>7.3849892443793698E-3</v>
      </c>
      <c r="T134" s="82">
        <v>4.3492972351696801E-2</v>
      </c>
      <c r="U134" s="84">
        <v>1.8018362315392399E-4</v>
      </c>
      <c r="V134" s="84"/>
      <c r="Y134" s="84"/>
      <c r="Z134" s="84"/>
      <c r="AA134" s="84"/>
      <c r="AB134" s="84"/>
      <c r="AF134" s="69"/>
      <c r="AQ134" s="84">
        <f>SUM(BP$5:$BP134)</f>
        <v>21.35509235267952</v>
      </c>
      <c r="AR134" s="84" cm="1">
        <f t="array" ref="AR134">2*SQRT(SUM((BQ$5:$BQ134/2)^2))</f>
        <v>0.14328547867171812</v>
      </c>
      <c r="AS134" s="84">
        <f>SUM($BX$5:BX134)</f>
        <v>12.441455111171306</v>
      </c>
      <c r="AT134" s="84" cm="1">
        <f t="array" ref="AT134">2*SQRT(SUM(($BY$5:BY134/2)^2))</f>
        <v>0.22497245700164578</v>
      </c>
      <c r="AU134" s="84">
        <f t="shared" si="49"/>
        <v>21.335259758696179</v>
      </c>
      <c r="AV134" s="84"/>
      <c r="AW134" s="84">
        <f t="shared" si="50"/>
        <v>14.159048330055668</v>
      </c>
      <c r="AX134" s="84"/>
      <c r="AY134" s="69"/>
      <c r="AZ134" s="84">
        <f>'Naive Apparent Lambdas'!$U$2*(10000/(D134+273))+'Naive Apparent Lambdas'!$V$2</f>
        <v>25.45976456747379</v>
      </c>
      <c r="BA134" s="82">
        <f>'Naive Apparent Lambdas'!$V$4</f>
        <v>6.7480704157997479E-2</v>
      </c>
      <c r="BB134" s="84">
        <f t="shared" si="85"/>
        <v>114034237303.31673</v>
      </c>
      <c r="BC134" s="84">
        <f t="shared" si="86"/>
        <v>7695110631.3479958</v>
      </c>
      <c r="BD134" s="84">
        <f>BB134*(D134+273)*$D$145*$F$144</f>
        <v>4.053251345654956E-5</v>
      </c>
      <c r="BE134" s="84"/>
      <c r="BF134" s="31">
        <f t="shared" ref="BF134:BF137" si="89">IF((273+D134)&gt;=600, 0.00074*EXP(-6613/(1.987*(273+D134)))*128000000000000000*EXP(1174/(1.987*(273+D134))), 0.000304*EXP(-5580/(1.987*(273+D134)))*199000000000000000*EXP(680/(1.987*(273+D134))))</f>
        <v>81368987856.687653</v>
      </c>
      <c r="BG134" s="31">
        <f t="shared" ref="BG134:BG137" si="90">BF134 * 1.17*EXP(-57/(1.987*(273+D134)))</f>
        <v>88154464997.476822</v>
      </c>
      <c r="BH134" s="84">
        <f t="shared" si="87"/>
        <v>3.5544161486114176E-16</v>
      </c>
      <c r="BI134" s="84"/>
      <c r="BJ134" s="84">
        <f>R134/(1-EXP(-E134*60*BD134))</f>
        <v>0.11653021466242909</v>
      </c>
      <c r="BK134" s="84">
        <f>2*SQRT(
((S134/2) * (1 / (1 - EXP(-E134 * 60 * BB134 * BH134))))^2 +
(BC134 * (-R134 * 60 * E134 * BH134 * EXP(-E134 * 60 * BB134 * BH134) / (1 - EXP(-E134 * 60 * BB134 * BH134))^2))^2
)</f>
        <v>7.3849894279660244E-3</v>
      </c>
      <c r="BL134" s="84">
        <f>R134/(1-EXP(-E134*60*BB134*BH134)*EXP(-(M134-1560)*$CW$126*$BH$122))</f>
        <v>0.11653021443437872</v>
      </c>
      <c r="BM134" s="84">
        <f>2*SQRT(
((S134/2) * (1 / (1 - EXP(-E134 * 60 * BB134 * BH134) * EXP(-(M134 - 1560) * $CW$126 * $BH$48))))^2 +
(BC134 * (-R134 * 60 * E134 * BH134 * EXP(-E134 * 60 * BB134 * BH134) / ((1 - EXP(-E134 * 60 * BB134 * BH134) * EXP(-(M134 - 1560) * $CW$126 * $BH$48))^2)))^2 +
($CX$126 * (-R134 * (M134 - 1560) * $BH$48 * EXP(-(M134 - 1560) * $CW$126 * $BH$48) / ((1 - EXP(-E134 * 60 * BB134 * BH134) * EXP(-(M134 - 1560) * $CW$126 * $BH$48))^2)))^2
)</f>
        <v>7.835217013329317E-3</v>
      </c>
      <c r="BN134" s="110" cm="1">
        <f t="array" ref="BN134:BO134">R134:S134</f>
        <v>0.11653021176560401</v>
      </c>
      <c r="BO134" s="105">
        <v>7.3849892443793698E-3</v>
      </c>
      <c r="BP134" s="121"/>
      <c r="BQ134" s="121"/>
      <c r="BR134" s="85"/>
      <c r="BS134" s="85"/>
      <c r="BT134" s="123">
        <f>BN134*(Y133/R133)*1.10204926384627</f>
        <v>0.10235003180905194</v>
      </c>
      <c r="BU134" s="123">
        <f>2*(((BO134/2)*1.10204926384627*(AB133/(1000)))^2+((AC133/2000)*1.10204926384627*BN134)^2+((0.187040260207234/2)*BN134*(AB133/(1000)))^2)^0.5</f>
        <v>1.8640148803027397E-2</v>
      </c>
      <c r="BV134" s="124">
        <f>BT134</f>
        <v>0.10235003180905194</v>
      </c>
      <c r="BW134" s="125">
        <f>BU134</f>
        <v>1.8640148803027397E-2</v>
      </c>
      <c r="BX134" s="121"/>
      <c r="BY134" s="121"/>
      <c r="BZ134" s="85"/>
      <c r="CA134" s="141">
        <f>CA133*(EXP(-BH134*BG134*E134))*(EXP(-$BG$140*$F$144*D273*(24+273)*M134))</f>
        <v>3.6997657931870612E-2</v>
      </c>
      <c r="CB134" s="34"/>
      <c r="CC134" s="34"/>
      <c r="CD134" s="34">
        <f>CD133*(EXP(-BH134*BF134*E134))*(EXP(-$BF$140*$F$144*D273*(24+273)*M134))</f>
        <v>3.3463355738696667E-2</v>
      </c>
      <c r="CE134" s="84"/>
      <c r="CF134" s="84"/>
      <c r="CG134" s="84"/>
      <c r="CH134" s="84"/>
      <c r="CI134" s="84"/>
      <c r="CJ134" s="84"/>
      <c r="CK134" s="84"/>
      <c r="CL134" s="84"/>
      <c r="CM134" s="84"/>
      <c r="CN134" s="84"/>
      <c r="CO134" s="84"/>
      <c r="CP134" s="84"/>
      <c r="CQ134" s="84"/>
      <c r="CR134" s="84"/>
      <c r="CS134" s="84"/>
    </row>
    <row r="135" spans="1:100" s="29" customFormat="1" x14ac:dyDescent="0.3">
      <c r="A135" s="29" t="s">
        <v>259</v>
      </c>
      <c r="B135" s="29" t="s">
        <v>260</v>
      </c>
      <c r="C135" s="30">
        <v>45363.45416666667</v>
      </c>
      <c r="D135" s="29">
        <v>240</v>
      </c>
      <c r="E135" s="29">
        <f t="shared" si="80"/>
        <v>785</v>
      </c>
      <c r="F135" s="29" t="s">
        <v>289</v>
      </c>
      <c r="G135" s="31">
        <v>34.4</v>
      </c>
      <c r="H135" s="31">
        <v>0</v>
      </c>
      <c r="I135" s="31">
        <v>6.82</v>
      </c>
      <c r="J135" s="29">
        <v>47100</v>
      </c>
      <c r="K135" s="29" t="s">
        <v>273</v>
      </c>
      <c r="L135" s="29">
        <f t="shared" si="88"/>
        <v>49559.99999998603</v>
      </c>
      <c r="M135" s="29">
        <f>L135-J135</f>
        <v>2459.9999999860302</v>
      </c>
      <c r="N135" s="65"/>
      <c r="O135" s="29">
        <v>6.5734078265436997E-3</v>
      </c>
      <c r="P135" s="29">
        <v>2.7167619375327599E-2</v>
      </c>
      <c r="R135" s="29">
        <v>0.22612522923310299</v>
      </c>
      <c r="S135" s="29">
        <v>2.1894704367404101E-2</v>
      </c>
      <c r="T135" s="29">
        <v>0.185283164139734</v>
      </c>
      <c r="U135" s="29">
        <v>9.5603041985698703E-4</v>
      </c>
      <c r="W135" s="31">
        <f>(1000*T135/R135)/$AG$140</f>
        <v>0.82125544242397996</v>
      </c>
      <c r="X135" s="31"/>
      <c r="Y135" s="31">
        <f>T135-AVERAGE(T136:T137)</f>
        <v>0.16777942942238755</v>
      </c>
      <c r="Z135" s="31">
        <f>U135+AVERAGE(T136:T137)</f>
        <v>1.8459765137203439E-2</v>
      </c>
      <c r="AA135" s="31"/>
      <c r="AB135" s="31">
        <f>(Y135*1000)/R135</f>
        <v>741.97571846098958</v>
      </c>
      <c r="AC135" s="31">
        <f>2*((1000*Z135/(2*R135))^2+((S135/2)*1000*Y135/(R135^2))^2)^0.5</f>
        <v>108.74558051382942</v>
      </c>
      <c r="AD135" s="31">
        <f>AB135/$AG$140</f>
        <v>0.74367128918421121</v>
      </c>
      <c r="AE135" s="31">
        <f>2*(($AH$140*AB135/(2*$AG$140^2))^2+(AC135/($AG$140*2))^2)^0.5</f>
        <v>0.10928346598315383</v>
      </c>
      <c r="AF135" s="69"/>
      <c r="AG135" s="31" cm="1">
        <f t="array" ref="AG135:AH135">BP135:BQ135</f>
        <v>0.25246265215053254</v>
      </c>
      <c r="AH135" s="29">
        <v>2.2088877113003287E-2</v>
      </c>
      <c r="AI135" s="31" cm="1">
        <f t="array" ref="AI135:AJ135">BX135:BY135</f>
        <v>0.18931536834743984</v>
      </c>
      <c r="AJ135" s="29">
        <v>1.9230067960907676E-2</v>
      </c>
      <c r="AL135" s="31">
        <f>1000*AI135/AG135</f>
        <v>749.87475071979861</v>
      </c>
      <c r="AM135" s="31">
        <f>2*((AH135*1000*AI135/(2*AG135^2))^2+(1000*AJ135/(AG135*2))^2)^0.5</f>
        <v>100.53078279045049</v>
      </c>
      <c r="AN135" s="31">
        <f>AL135/$AG$140</f>
        <v>0.75158837239469778</v>
      </c>
      <c r="AO135" s="31">
        <f>2*(($AH$140*AL135/(2*$AG$140^2))^2+(AM135/($AG$140*2))^2)^0.5</f>
        <v>0.10108015990948178</v>
      </c>
      <c r="AP135" s="31"/>
      <c r="AQ135" s="31">
        <f>SUM(BP$5:$BP135)</f>
        <v>21.607555004830054</v>
      </c>
      <c r="AR135" s="31" cm="1">
        <f t="array" ref="AR135">2*SQRT(SUM((BQ$5:$BQ135/2)^2))</f>
        <v>0.1449780910699846</v>
      </c>
      <c r="AS135" s="31">
        <f>SUM($BX$5:BX135)</f>
        <v>12.630770479518747</v>
      </c>
      <c r="AT135" s="31" cm="1">
        <f t="array" ref="AT135">2*SQRT(SUM(($BY$5:BY135/2)^2))</f>
        <v>0.22579282965395178</v>
      </c>
      <c r="AU135" s="31">
        <f t="shared" ref="AU135:AU137" si="91">AU134+R135</f>
        <v>21.56138498792928</v>
      </c>
      <c r="AV135" s="31"/>
      <c r="AW135" s="31">
        <f t="shared" ref="AW135:AW137" si="92">AW134+T135</f>
        <v>14.344331494195403</v>
      </c>
      <c r="AX135" s="31"/>
      <c r="AY135" s="69"/>
      <c r="AZ135" s="31"/>
      <c r="BB135" s="31"/>
      <c r="BC135" s="31"/>
      <c r="BD135" s="31"/>
      <c r="BE135" s="31"/>
      <c r="BF135" s="31">
        <f t="shared" si="89"/>
        <v>494357076108.85529</v>
      </c>
      <c r="BG135" s="31">
        <f t="shared" si="90"/>
        <v>546942020716.46802</v>
      </c>
      <c r="BH135" s="31">
        <f t="shared" si="87"/>
        <v>4.8885133625674457E-16</v>
      </c>
      <c r="BI135" s="31"/>
      <c r="BJ135" s="31"/>
      <c r="BK135" s="31"/>
      <c r="BL135" s="31"/>
      <c r="BM135" s="31"/>
      <c r="BN135" s="114">
        <f>BN134*EXP(-BD134*E134*60)</f>
        <v>2.8968250085057248E-9</v>
      </c>
      <c r="BO135" s="116">
        <f>2*((((BO134/2)*EXP(-BD134*E134*60))^2+(BN134*EXP(-BD134*E134*60)*E134*60*BC134*BD134/BB134)^2)^0.5)</f>
        <v>6.8481813665907213E-9</v>
      </c>
      <c r="BP135" s="23">
        <f>R135+BN136-BN135</f>
        <v>0.25246265215053254</v>
      </c>
      <c r="BQ135" s="23">
        <f>2*(((BO135/2)^2+(BO136/2)^2+(S135/2)^2)^(0.5))</f>
        <v>2.2088877113003287E-2</v>
      </c>
      <c r="BR135" s="72">
        <f>100*(BP135-R135)/R135</f>
        <v>11.647273064908386</v>
      </c>
      <c r="BS135" s="72"/>
      <c r="BT135" s="31"/>
      <c r="BU135" s="31"/>
      <c r="BV135" s="114">
        <f>BV134*EXP(-BB134*BH134*E134*60*0.91357457380209)*EXP(-(M134-1560)*$CW$126*$BH$48*0.91357457380209)</f>
        <v>1.072167285590211E-8</v>
      </c>
      <c r="BW135" s="116">
        <f>2*SQRT(
((BW134/2) * EXP(-BB134 * BH134 * E134 * 60 * 0.91357457380209) * EXP(-(M134 - 1560) * $CW$126 * $BH$48 * 0.91357457380209))^2 +
(BC134 * (-BV134 * BH134 * E134 * 60 * 0.91357457380209 * EXP(-BB134 * BH134 * E134 * 60 * 0.91357457380209) * EXP(-(M134 - 1560) * $CW$126 * $BH$48 * 0.91357457380209)))^2 +
((0.146030972937065 / 2) * BV134 * (-BB134 * BH134 * E134 * 60 - (M134 - 1560) * $CW$126 * $BH$48) * EXP(-BB134 * BH134 * E134 * 60 * 0.91357457380209) * EXP(-(M134 - 1560) * $CW$126 * $BH$48 * 0.91357457380209))^2 +
-(M134-1560)*$BH$48*0.91357457380209*BV134*EXP(-BB134*BH134*E134*60*0.91357457380209)*EXP(-(M134-1560)*$CW$126*$BH$48*0.91357457380209))</f>
        <v>3.6029895402506174E-8</v>
      </c>
      <c r="BX135" s="23">
        <f>Y135+BV136-BV135</f>
        <v>0.18931536834743984</v>
      </c>
      <c r="BY135" s="23">
        <f>2*(((BW135/2)^2+(BW136/2)^2+(Z135/2)^2)^(0.5))</f>
        <v>1.9230067960907676E-2</v>
      </c>
      <c r="BZ135" s="72">
        <f>100*(BX135-Y135)/Y135</f>
        <v>12.835863728464112</v>
      </c>
      <c r="CA135" s="140">
        <f>R135*CC135</f>
        <v>1.9504846533379586E-2</v>
      </c>
      <c r="CB135" s="31">
        <f>BH135*BG135*J135</f>
        <v>12.593284204832065</v>
      </c>
      <c r="CC135" s="31">
        <f>1/(CB135-1)</f>
        <v>8.625683476155975E-2</v>
      </c>
      <c r="CD135" s="31">
        <f>CF135*T135</f>
        <v>1.7845681234329783E-2</v>
      </c>
      <c r="CE135" s="31">
        <f>BH135*BF135*J135</f>
        <v>11.382521222182559</v>
      </c>
      <c r="CF135" s="31">
        <f>1/(CE135-1)</f>
        <v>9.6315719332551994E-2</v>
      </c>
      <c r="CG135" s="31">
        <f>R135-CA133</f>
        <v>0.17976426939123377</v>
      </c>
      <c r="CH135" s="31">
        <f>R135+CA135</f>
        <v>0.24563007576648258</v>
      </c>
      <c r="CI135" s="31">
        <f>T135-CD133</f>
        <v>0.14407283889979672</v>
      </c>
      <c r="CJ135" s="31">
        <f>T135+CD135</f>
        <v>0.20312884537406378</v>
      </c>
      <c r="CK135" s="31">
        <f>CE135*1.29</f>
        <v>14.683452376615502</v>
      </c>
      <c r="CL135" s="31">
        <f>R135 / (CK135-1)</f>
        <v>1.6525451546098292E-2</v>
      </c>
      <c r="CM135" s="31">
        <f>1000*T135/R135</f>
        <v>819.38297981218795</v>
      </c>
      <c r="CN135" s="31">
        <f>1000*(T135+CD135)/(R135+CL135)</f>
        <v>837.12456409260938</v>
      </c>
      <c r="CO135" s="31">
        <f>1000*(T135-CD133)/(R135-CL133)</f>
        <v>773.12249054074869</v>
      </c>
      <c r="CP135" s="31">
        <f>1000*(T135+CD135-CD133)/(R135+CL135-CL133)</f>
        <v>798.11041126074917</v>
      </c>
      <c r="CQ135" s="31">
        <f>MAX(CM135:CP135)</f>
        <v>837.12456409260938</v>
      </c>
      <c r="CR135" s="31">
        <f>MIN(CM135:CP135)</f>
        <v>773.12249054074869</v>
      </c>
      <c r="CS135" s="31"/>
    </row>
    <row r="136" spans="1:100" s="82" customFormat="1" x14ac:dyDescent="0.3">
      <c r="A136" s="82" t="s">
        <v>261</v>
      </c>
      <c r="B136" s="82" t="s">
        <v>262</v>
      </c>
      <c r="C136" s="83">
        <v>45364.574999999997</v>
      </c>
      <c r="D136" s="82">
        <v>100</v>
      </c>
      <c r="E136" s="86">
        <f>(L136-1520)/60</f>
        <v>1588.6666666575863</v>
      </c>
      <c r="F136" s="82" t="s">
        <v>376</v>
      </c>
      <c r="G136" s="84">
        <v>4.18</v>
      </c>
      <c r="H136" s="84">
        <v>0</v>
      </c>
      <c r="I136" s="84">
        <v>1.1100000000000001</v>
      </c>
      <c r="J136" s="82">
        <v>60</v>
      </c>
      <c r="K136" s="82" t="s">
        <v>273</v>
      </c>
      <c r="L136" s="82">
        <f t="shared" si="88"/>
        <v>96839.999999455176</v>
      </c>
      <c r="M136" s="82">
        <f>L136-J136</f>
        <v>96779.999999455176</v>
      </c>
      <c r="N136" s="65"/>
      <c r="O136" s="82">
        <v>6.1685455352981497E-3</v>
      </c>
      <c r="P136" s="82">
        <v>2.7018036524747199E-2</v>
      </c>
      <c r="R136" s="82">
        <v>2.5784520337546201E-2</v>
      </c>
      <c r="S136" s="82">
        <v>2.8464852265301299E-3</v>
      </c>
      <c r="T136" s="82">
        <v>2.9990020542469398E-2</v>
      </c>
      <c r="U136" s="82">
        <v>2.2958014031697999E-4</v>
      </c>
      <c r="AF136" s="69"/>
      <c r="AQ136" s="84">
        <f>SUM(BP$5:$BP136)</f>
        <v>21.607555004830054</v>
      </c>
      <c r="AR136" s="84" cm="1">
        <f t="array" ref="AR136">2*SQRT(SUM((BQ$5:$BQ136/2)^2))</f>
        <v>0.1449780910699846</v>
      </c>
      <c r="AS136" s="84">
        <f>SUM($BX$5:BX136)</f>
        <v>12.630770479518747</v>
      </c>
      <c r="AT136" s="84" cm="1">
        <f t="array" ref="AT136">2*SQRT(SUM(($BY$5:BY136/2)^2))</f>
        <v>0.22579282965395178</v>
      </c>
      <c r="AU136" s="84">
        <f t="shared" si="91"/>
        <v>21.587169508266825</v>
      </c>
      <c r="AV136" s="84"/>
      <c r="AW136" s="84">
        <f t="shared" si="92"/>
        <v>14.374321514737872</v>
      </c>
      <c r="AX136" s="84"/>
      <c r="AY136" s="69"/>
      <c r="AZ136" s="84">
        <f>'Naive Apparent Lambdas'!$U$2*(10000/(D136+273))+'Naive Apparent Lambdas'!$V$2</f>
        <v>25.45976456747379</v>
      </c>
      <c r="BA136" s="82">
        <f>'Naive Apparent Lambdas'!$V$4</f>
        <v>6.7480704157997479E-2</v>
      </c>
      <c r="BB136" s="84">
        <f t="shared" si="85"/>
        <v>114034237303.31673</v>
      </c>
      <c r="BC136" s="84">
        <f t="shared" si="86"/>
        <v>7695110631.3479958</v>
      </c>
      <c r="BD136" s="84">
        <f>BB136*(D136+273)*$D$145*$F$144</f>
        <v>4.053251345654956E-5</v>
      </c>
      <c r="BE136" s="84"/>
      <c r="BF136" s="31">
        <f t="shared" si="89"/>
        <v>81368987856.687653</v>
      </c>
      <c r="BG136" s="31">
        <f t="shared" si="90"/>
        <v>88154464997.476822</v>
      </c>
      <c r="BH136" s="84">
        <f t="shared" si="87"/>
        <v>3.5544161486114176E-16</v>
      </c>
      <c r="BI136" s="84"/>
      <c r="BJ136" s="84">
        <f>R136/(1-EXP(-E136*60*BD136))</f>
        <v>2.6337425814254526E-2</v>
      </c>
      <c r="BK136" s="84">
        <f>2*SQRT(
((S136/2) * (1 / (1 - EXP(-E136 * 60 * BB136 * BH136))))^2 +
(BC136 * (-R136 * 60 * E136 * BH136 * EXP(-E136 * 60 * BB136 * BH136) / (1 - EXP(-E136 * 60 * BB136 * BH136))^2))^2
)</f>
        <v>2.9223984631273859E-3</v>
      </c>
      <c r="BL136" s="84">
        <f>R136/(1-EXP(-E136*60*BB136*BH136)*EXP(-(M136-1560)*$CW$126*$BH$122))</f>
        <v>2.6057289235408339E-2</v>
      </c>
      <c r="BM136" s="84">
        <f>2*SQRT(
((S136/2) * (1 / (1 - EXP(-E136 * 60 * BB136 * BH136) * EXP(-(M136 - 1560) * $CW$126 * $BH$48))))^2 +
(BC136 * (-R136 * 60 * E136 * BH136 * EXP(-E136 * 60 * BB136 * BH136) / ((1 - EXP(-E136 * 60 * BB136 * BH136) * EXP(-(M136 - 1560) * $CW$126 * $BH$48))^2)))^2 +
($CX$126 * (-R136 * (M136 - 1560) * $BH$48 * EXP(-(M136 - 1560) * $CW$126 * $BH$48) / ((1 - EXP(-E136 * 60 * BB136 * BH136) * EXP(-(M136 - 1560) * $CW$126 * $BH$48))^2)))^2
)</f>
        <v>3.9674999291816598E-3</v>
      </c>
      <c r="BN136" s="117" cm="1">
        <f t="array" ref="BN136:BO136">BJ136:BK136</f>
        <v>2.6337425814254526E-2</v>
      </c>
      <c r="BO136" s="118">
        <v>2.9223984631273859E-3</v>
      </c>
      <c r="BP136" s="121"/>
      <c r="BQ136" s="121"/>
      <c r="BR136" s="85"/>
      <c r="BS136" s="85"/>
      <c r="BT136" s="123">
        <f>BN136*(Y135/R135)*1.10204926384627</f>
        <v>2.1535949646725148E-2</v>
      </c>
      <c r="BU136" s="123">
        <f>2*(((BO136/2)*1.10204926384627*(AB135/(1000)))^2+((AC135/2000)*1.10204926384627*BN136)^2+((0.187040260207234/2)*BN136*(AB135/(1000)))^2)^0.5</f>
        <v>5.388189385973568E-3</v>
      </c>
      <c r="BV136" s="124">
        <f>BT136</f>
        <v>2.1535949646725148E-2</v>
      </c>
      <c r="BW136" s="125">
        <f>BU136</f>
        <v>5.388189385973568E-3</v>
      </c>
      <c r="BX136" s="121"/>
      <c r="BY136" s="121"/>
      <c r="BZ136" s="85"/>
      <c r="CA136" s="141">
        <f t="shared" ref="CA136:CA137" si="93">CA135*(EXP(-BH136*BG136*E136))*(EXP(-$BG$140*$F$144*D275*(24+273)*M136))</f>
        <v>1.8557686433795587E-2</v>
      </c>
      <c r="CB136" s="34"/>
      <c r="CC136" s="34"/>
      <c r="CD136" s="34">
        <f t="shared" ref="CD136:CD137" si="94">CD135*(EXP(-BH136*BF136*E136))*(EXP(-$BF$140*$F$144*D275*(24+273)*M136))</f>
        <v>1.7044272678203749E-2</v>
      </c>
      <c r="CE136" s="84"/>
      <c r="CF136" s="84"/>
      <c r="CG136" s="84"/>
      <c r="CH136" s="84"/>
      <c r="CI136" s="84"/>
      <c r="CJ136" s="84"/>
      <c r="CK136" s="84"/>
      <c r="CL136" s="84"/>
      <c r="CM136" s="84"/>
      <c r="CN136" s="84"/>
      <c r="CO136" s="84"/>
      <c r="CP136" s="84"/>
      <c r="CQ136" s="84"/>
      <c r="CR136" s="84"/>
      <c r="CS136" s="84"/>
    </row>
    <row r="137" spans="1:100" s="82" customFormat="1" x14ac:dyDescent="0.3">
      <c r="A137" s="82" t="s">
        <v>263</v>
      </c>
      <c r="B137" s="82" t="s">
        <v>262</v>
      </c>
      <c r="C137" s="83">
        <v>45364.762499999997</v>
      </c>
      <c r="D137" s="82">
        <v>100</v>
      </c>
      <c r="E137" s="86">
        <f>(L137-1520)/60</f>
        <v>244.66666666666666</v>
      </c>
      <c r="F137" s="82" t="s">
        <v>376</v>
      </c>
      <c r="G137" s="84">
        <v>0.60899999999999999</v>
      </c>
      <c r="H137" s="84">
        <v>0</v>
      </c>
      <c r="I137" s="84">
        <v>0.185</v>
      </c>
      <c r="J137" s="82">
        <v>60</v>
      </c>
      <c r="K137" s="82" t="s">
        <v>273</v>
      </c>
      <c r="L137" s="82">
        <f t="shared" si="88"/>
        <v>16200</v>
      </c>
      <c r="M137" s="82">
        <f>L137-J137</f>
        <v>16140</v>
      </c>
      <c r="N137" s="65"/>
      <c r="O137" s="82">
        <v>6.2710184549172304E-3</v>
      </c>
      <c r="P137" s="82">
        <v>2.7121345363370301E-2</v>
      </c>
      <c r="R137" s="82">
        <v>3.8190502390445902E-3</v>
      </c>
      <c r="S137" s="82">
        <v>1.63749099919393E-4</v>
      </c>
      <c r="T137" s="82">
        <v>5.0174488922235102E-3</v>
      </c>
      <c r="U137" s="84">
        <v>3.8309233838511402E-5</v>
      </c>
      <c r="V137" s="84"/>
      <c r="Y137" s="84"/>
      <c r="Z137" s="84"/>
      <c r="AA137" s="84"/>
      <c r="AB137" s="84"/>
      <c r="AF137" s="69"/>
      <c r="AQ137" s="84">
        <f>SUM(BP$5:$BP137)</f>
        <v>21.607555004830054</v>
      </c>
      <c r="AR137" s="84" cm="1">
        <f t="array" ref="AR137">2*SQRT(SUM((BQ$5:$BQ137/2)^2))</f>
        <v>0.1449780910699846</v>
      </c>
      <c r="AS137" s="84">
        <f>SUM($BX$5:BX137)</f>
        <v>12.630770479518747</v>
      </c>
      <c r="AT137" s="84" cm="1">
        <f t="array" ref="AT137">2*SQRT(SUM(($BY$5:BY137/2)^2))</f>
        <v>0.22579282965395178</v>
      </c>
      <c r="AU137" s="84">
        <f t="shared" si="91"/>
        <v>21.59098855850587</v>
      </c>
      <c r="AV137" s="84"/>
      <c r="AW137" s="84">
        <f t="shared" si="92"/>
        <v>14.379338963630095</v>
      </c>
      <c r="AX137" s="84"/>
      <c r="AY137" s="69"/>
      <c r="AZ137" s="84">
        <f>'Naive Apparent Lambdas'!$U$2*(10000/(D137+273))+'Naive Apparent Lambdas'!$V$2</f>
        <v>25.45976456747379</v>
      </c>
      <c r="BA137" s="82">
        <f>'Naive Apparent Lambdas'!$V$4</f>
        <v>6.7480704157997479E-2</v>
      </c>
      <c r="BB137" s="84">
        <f t="shared" si="85"/>
        <v>114034237303.31673</v>
      </c>
      <c r="BC137" s="84">
        <f t="shared" si="86"/>
        <v>7695110631.3479958</v>
      </c>
      <c r="BD137" s="84">
        <f>BB137*(D137+273)*$D$145*$F$144</f>
        <v>4.053251345654956E-5</v>
      </c>
      <c r="BE137" s="84"/>
      <c r="BF137" s="31">
        <f t="shared" si="89"/>
        <v>81368987856.687653</v>
      </c>
      <c r="BG137" s="31">
        <f t="shared" si="90"/>
        <v>88154464997.476822</v>
      </c>
      <c r="BH137" s="84">
        <f t="shared" si="87"/>
        <v>3.5544161486114176E-16</v>
      </c>
      <c r="BI137" s="84"/>
      <c r="BJ137" s="84">
        <f>R137/(1-EXP(-E137*60*BD137))</f>
        <v>8.5161690328599861E-3</v>
      </c>
      <c r="BK137" s="84">
        <f>2*SQRT(
((S137/2) * (1 / (1 - EXP(-E137 * 60 * BB137 * BH137))))^2 +
(BC137 * (-R137 * 60 * E137 * BH137 * EXP(-E137 * 60 * BB137 * BH137) / (1 - EXP(-E137 * 60 * BB137 * BH137))^2))^2
)</f>
        <v>9.1696276203032589E-4</v>
      </c>
      <c r="BL137" s="84">
        <f>R137/(1-EXP(-E137*60*BB137*BH137)*EXP(-(M137-1560)*$CW$126*$BH$122))</f>
        <v>7.5745834332229837E-3</v>
      </c>
      <c r="BM137" s="84">
        <f>2*SQRT(
((S137/2) * (1 / (1 - EXP(-E137 * 60 * BB137 * BH137) * EXP(-(M137 - 1560) * $CW$126 * $BH$48))))^2 +
(BC137 * (-R137 * 60 * E137 * BH137 * EXP(-E137 * 60 * BB137 * BH137) / ((1 - EXP(-E137 * 60 * BB137 * BH137) * EXP(-(M137 - 1560) * $CW$126 * $BH$48))^2)))^2 +
($CX$126 * (-R137 * (M137 - 1560) * $BH$48 * EXP(-(M137 - 1560) * $CW$126 * $BH$48) / ((1 - EXP(-E137 * 60 * BB137 * BH137) * EXP(-(M137 - 1560) * $CW$126 * $BH$48))^2)))^2
)</f>
        <v>8.5519179074609126E-4</v>
      </c>
      <c r="BN137" s="107">
        <f>BN136-R136</f>
        <v>5.5290547670832496E-4</v>
      </c>
      <c r="BO137" s="101">
        <f>BO136+S136</f>
        <v>5.7688836896575158E-3</v>
      </c>
      <c r="BP137" s="121"/>
      <c r="BQ137" s="121"/>
      <c r="BR137" s="85"/>
      <c r="BS137" s="85"/>
      <c r="BT137" s="84"/>
      <c r="BU137" s="84"/>
      <c r="BV137" s="54">
        <f>BV136*EXP(-BB136*BH136*E136*60*0.91357457380209)*EXP(-(M136-1560)*$CW$126*$BH$48*0.91357457380209)</f>
        <v>3.34320956378255E-4</v>
      </c>
      <c r="BW137" s="99">
        <f>2*SQRT(
((BW136/2) * EXP(-BB136 * BH136 * E136 * 60 * 0.91357457380209) * EXP(-(M136 - 1560) * $CW$126 * $BH$48 * 0.91357457380209))^2 +
(BC136 * (-BV136 * BH136 * E136 * 60 * 0.91357457380209 * EXP(-BB136 * BH136 * E136 * 60 * 0.91357457380209) * EXP(-(M136 - 1560) * $CW$126 * $BH$48 * 0.91357457380209)))^2 +
((0.146030972937065 / 2) * BV136 * (-BB136 * BH136 * E136 * 60 - (M136 - 1560) * $CW$126 * $BH$48) * EXP(-BB136 * BH136 * E136 * 60 * 0.91357457380209) * EXP(-(M136 - 1560) * $CW$126 * $BH$48 * 0.91357457380209))^2 +
-(M136-1560)*$BH$48*0.91357457380209*BV136*EXP(-BB136*BH136*E136*60*0.91357457380209)*EXP(-(M136-1560)*$CW$126*$BH$48*0.91357457380209))</f>
        <v>2.8619816923089176E-4</v>
      </c>
      <c r="BX137" s="121"/>
      <c r="BY137" s="121"/>
      <c r="BZ137" s="85"/>
      <c r="CA137" s="141">
        <f t="shared" si="93"/>
        <v>1.8415961074576302E-2</v>
      </c>
      <c r="CB137" s="34"/>
      <c r="CC137" s="34"/>
      <c r="CD137" s="34">
        <f t="shared" si="94"/>
        <v>1.6924089194643471E-2</v>
      </c>
      <c r="CE137" s="85"/>
      <c r="CF137" s="85"/>
      <c r="CG137" s="84"/>
      <c r="CH137" s="84"/>
      <c r="CI137" s="84"/>
      <c r="CJ137" s="84"/>
      <c r="CK137" s="84"/>
      <c r="CL137" s="84"/>
      <c r="CM137" s="84"/>
      <c r="CN137" s="84"/>
      <c r="CO137" s="84"/>
      <c r="CP137" s="84"/>
      <c r="CQ137" s="84"/>
      <c r="CR137" s="84"/>
      <c r="CS137" s="84"/>
    </row>
    <row r="138" spans="1:100" x14ac:dyDescent="0.3">
      <c r="B138" t="s">
        <v>322</v>
      </c>
      <c r="D138">
        <v>1100</v>
      </c>
      <c r="R138">
        <f>Totals!W7</f>
        <v>124.54078707011602</v>
      </c>
      <c r="S138">
        <f>Totals!W8</f>
        <v>1.0730577113002813</v>
      </c>
      <c r="T138">
        <f>Totals!V7</f>
        <v>133.18435333935949</v>
      </c>
      <c r="U138">
        <f>Totals!V8</f>
        <v>1.1001273148073354</v>
      </c>
      <c r="AG138">
        <f>Totals!W7</f>
        <v>124.54078707011602</v>
      </c>
      <c r="AH138">
        <f>Totals!W8</f>
        <v>1.0730577113002813</v>
      </c>
      <c r="AI138">
        <f>Totals!V7</f>
        <v>133.18435333935949</v>
      </c>
      <c r="AJ138">
        <f>Totals!V8</f>
        <v>1.1001273148073354</v>
      </c>
      <c r="AL138">
        <f>Totals!V7</f>
        <v>133.18435333935949</v>
      </c>
      <c r="AQ138" s="2">
        <f>SUM(BP$5:$BP138)</f>
        <v>146.14834207494607</v>
      </c>
      <c r="AR138" s="2" cm="1">
        <f t="array" ref="AR138">2*SQRT(SUM((BQ$5:$BQ138/2)^2))</f>
        <v>1.0828072306146161</v>
      </c>
      <c r="AS138" s="2">
        <f>SUM($BX$5:BX138)</f>
        <v>145.81512381887825</v>
      </c>
      <c r="AT138" s="2" cm="1">
        <f t="array" ref="AT138">2*SQRT(SUM(($BY$5:BY138/2)^2))</f>
        <v>1.1230594421972224</v>
      </c>
      <c r="AU138" s="2"/>
      <c r="AV138" s="2"/>
      <c r="AW138" s="2"/>
      <c r="AX138" s="2"/>
      <c r="BH138" s="2">
        <f t="shared" si="87"/>
        <v>1.3083681962583049E-15</v>
      </c>
      <c r="BI138" s="2"/>
      <c r="BP138" s="21">
        <f>Totals!W7</f>
        <v>124.54078707011602</v>
      </c>
      <c r="BQ138" s="21">
        <f>Totals!W8</f>
        <v>1.0730577113002813</v>
      </c>
      <c r="BV138" s="54"/>
      <c r="BW138" s="99"/>
      <c r="BX138" s="22">
        <f>Totals!V7</f>
        <v>133.18435333935949</v>
      </c>
      <c r="BY138" s="22">
        <f>Totals!V8</f>
        <v>1.1001273148073354</v>
      </c>
      <c r="CS138" s="2"/>
    </row>
    <row r="139" spans="1:100" x14ac:dyDescent="0.3">
      <c r="AG139" s="2">
        <f>SUM(AG5:AG138)</f>
        <v>146.14834207494607</v>
      </c>
      <c r="AH139" cm="1">
        <f t="array" ref="AH139">2*SUM((AH4:AH138/2)^2)^0.5</f>
        <v>1.0828072306146161</v>
      </c>
      <c r="AI139" s="2">
        <f>SUM(AI5:AI138)</f>
        <v>145.81512381887825</v>
      </c>
      <c r="AJ139" cm="1">
        <f t="array" ref="AJ139">2*SUM((AJ4:AJ138/2)^2)^0.5</f>
        <v>1.1230594421972224</v>
      </c>
      <c r="BV139" s="54"/>
      <c r="BW139" s="99"/>
      <c r="BX139" s="22"/>
      <c r="BY139" s="22"/>
      <c r="CS139" s="2"/>
    </row>
    <row r="140" spans="1:100" ht="15" thickBot="1" x14ac:dyDescent="0.35">
      <c r="AG140" s="2">
        <f>(AI139*1000)/AG139</f>
        <v>997.71999975273798</v>
      </c>
      <c r="AH140" s="2">
        <f>2*((AH139*1000*AI139/(2*AG139^2))^2+(1000*AJ139/(AG139*2))^2)^0.5</f>
        <v>10.662662177970901</v>
      </c>
      <c r="BE140" t="s">
        <v>646</v>
      </c>
      <c r="BF140" s="31">
        <f>IF((273+24)&gt;=600, 0.00074*EXP(-6613/(1.987*(273+24)))*128000000000000000*EXP(1174/(1.987*(273+24))), 0.000304*EXP(-5580/(1.987*(273+24)))*199000000000000000*EXP(680/(1.987*(273+24))))</f>
        <v>14987311470.674416</v>
      </c>
      <c r="BG140" s="31">
        <f>BF140 * 1.17*EXP(-57/(1.987*(273+24)))</f>
        <v>15920702014.437832</v>
      </c>
    </row>
    <row r="141" spans="1:100" x14ac:dyDescent="0.3">
      <c r="C141" s="13" t="s">
        <v>333</v>
      </c>
      <c r="D141" s="38"/>
      <c r="E141" s="38"/>
      <c r="F141" s="14"/>
      <c r="AG141" t="s">
        <v>355</v>
      </c>
      <c r="AH141" t="s">
        <v>371</v>
      </c>
      <c r="AQ141" s="2"/>
    </row>
    <row r="142" spans="1:100" x14ac:dyDescent="0.3">
      <c r="C142" s="15" t="s">
        <v>336</v>
      </c>
      <c r="D142">
        <v>5.0500000000000003E-2</v>
      </c>
      <c r="E142">
        <v>5.7000000000000002E-2</v>
      </c>
      <c r="F142" s="16">
        <f>AVERAGE(D142:E142)</f>
        <v>5.3750000000000006E-2</v>
      </c>
    </row>
    <row r="143" spans="1:100" x14ac:dyDescent="0.3">
      <c r="C143" s="15" t="s">
        <v>337</v>
      </c>
      <c r="D143">
        <v>7.8700000000000006E-2</v>
      </c>
      <c r="E143">
        <v>8.1000000000000003E-2</v>
      </c>
      <c r="F143" s="16">
        <f>AVERAGE(D143:E143)</f>
        <v>7.9850000000000004E-2</v>
      </c>
    </row>
    <row r="144" spans="1:100" x14ac:dyDescent="0.3">
      <c r="C144" s="15" t="s">
        <v>334</v>
      </c>
      <c r="D144">
        <f>2/((LN(D143/D142)*((D142/2)^2)))</f>
        <v>7070.4547002279523</v>
      </c>
      <c r="E144">
        <f>2/((LN(E143/E142)*((E142/2)^2)))</f>
        <v>7007.1454136003194</v>
      </c>
      <c r="F144" s="16">
        <f>2/((LN(F143/F142)*((F142/2)^2)))</f>
        <v>6996.0104353363404</v>
      </c>
    </row>
    <row r="145" spans="3:6" ht="29.4" thickBot="1" x14ac:dyDescent="0.35">
      <c r="C145" s="60" t="s">
        <v>335</v>
      </c>
      <c r="D145" s="61">
        <v>1.3621000000000001E-22</v>
      </c>
      <c r="E145" s="43"/>
      <c r="F145" s="18"/>
    </row>
  </sheetData>
  <mergeCells count="6">
    <mergeCell ref="CS2:CV2"/>
    <mergeCell ref="A1:M1"/>
    <mergeCell ref="O1:AE1"/>
    <mergeCell ref="AG1:AT1"/>
    <mergeCell ref="AZ1:BZ1"/>
    <mergeCell ref="CA1:CJ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BF998-11AA-46C8-890B-274C23C1BB64}">
  <dimension ref="A1:AA36"/>
  <sheetViews>
    <sheetView tabSelected="1" zoomScale="85" zoomScaleNormal="85" workbookViewId="0">
      <selection activeCell="U16" sqref="U16"/>
    </sheetView>
  </sheetViews>
  <sheetFormatPr defaultRowHeight="14.4" x14ac:dyDescent="0.3"/>
  <cols>
    <col min="3" max="3" width="2.5546875" customWidth="1"/>
    <col min="4" max="4" width="10.33203125" customWidth="1"/>
    <col min="5" max="5" width="11" customWidth="1"/>
    <col min="8" max="8" width="8.88671875" customWidth="1"/>
    <col min="9" max="9" width="10.109375" customWidth="1"/>
    <col min="10" max="10" width="10" customWidth="1"/>
    <col min="11" max="11" width="10.88671875" customWidth="1"/>
    <col min="12" max="12" width="3.44140625" customWidth="1"/>
    <col min="13" max="13" width="9.6640625" customWidth="1"/>
    <col min="14" max="14" width="10.6640625" customWidth="1"/>
    <col min="18" max="18" width="10.33203125" customWidth="1"/>
    <col min="19" max="19" width="10.109375" customWidth="1"/>
    <col min="20" max="20" width="11" customWidth="1"/>
  </cols>
  <sheetData>
    <row r="1" spans="1:27" s="4" customFormat="1" ht="44.4" customHeight="1" x14ac:dyDescent="0.3">
      <c r="A1" s="4" t="s">
        <v>300</v>
      </c>
      <c r="B1" s="4" t="s">
        <v>301</v>
      </c>
      <c r="D1" s="4" t="s">
        <v>652</v>
      </c>
      <c r="E1" s="4" t="s">
        <v>653</v>
      </c>
      <c r="F1" s="4" t="s">
        <v>657</v>
      </c>
      <c r="G1" s="4" t="s">
        <v>654</v>
      </c>
      <c r="H1" s="4" t="s">
        <v>655</v>
      </c>
      <c r="I1" s="4" t="s">
        <v>662</v>
      </c>
      <c r="J1" s="4" t="s">
        <v>670</v>
      </c>
      <c r="K1" s="4" t="s">
        <v>671</v>
      </c>
      <c r="M1" s="4" t="s">
        <v>663</v>
      </c>
      <c r="N1" s="4" t="s">
        <v>664</v>
      </c>
      <c r="O1" s="4" t="s">
        <v>665</v>
      </c>
      <c r="P1" s="4" t="s">
        <v>666</v>
      </c>
      <c r="Q1" s="4" t="s">
        <v>674</v>
      </c>
      <c r="R1" s="4" t="s">
        <v>667</v>
      </c>
      <c r="S1" s="4" t="s">
        <v>668</v>
      </c>
      <c r="T1" s="4" t="s">
        <v>669</v>
      </c>
      <c r="U1" s="4" t="s">
        <v>677</v>
      </c>
      <c r="V1" s="4" t="s">
        <v>678</v>
      </c>
      <c r="W1" s="4" t="s">
        <v>679</v>
      </c>
      <c r="X1" s="4" t="s">
        <v>676</v>
      </c>
      <c r="Y1" s="4" t="s">
        <v>680</v>
      </c>
      <c r="Z1" s="4" t="s">
        <v>681</v>
      </c>
      <c r="AA1" s="4" t="s">
        <v>682</v>
      </c>
    </row>
    <row r="2" spans="1:27" x14ac:dyDescent="0.3">
      <c r="A2">
        <v>170</v>
      </c>
      <c r="B2">
        <v>300</v>
      </c>
      <c r="D2">
        <v>0.96295641608282601</v>
      </c>
      <c r="E2">
        <v>0</v>
      </c>
      <c r="F2">
        <v>1.16603655149832</v>
      </c>
      <c r="G2" s="144" t="s">
        <v>656</v>
      </c>
      <c r="H2" s="144" t="s">
        <v>656</v>
      </c>
      <c r="I2" s="144" t="s">
        <v>656</v>
      </c>
      <c r="J2" s="144" t="s">
        <v>656</v>
      </c>
      <c r="K2" s="144" t="s">
        <v>656</v>
      </c>
      <c r="M2">
        <v>1.9201957516247901E-2</v>
      </c>
      <c r="N2">
        <v>0</v>
      </c>
      <c r="O2">
        <v>2.8019871939759675E-2</v>
      </c>
      <c r="P2" s="144" t="s">
        <v>656</v>
      </c>
      <c r="Q2" s="144" t="s">
        <v>656</v>
      </c>
      <c r="R2" s="144" t="s">
        <v>656</v>
      </c>
      <c r="S2" s="144" t="s">
        <v>656</v>
      </c>
      <c r="T2" s="144" t="s">
        <v>656</v>
      </c>
      <c r="U2" s="144" t="s">
        <v>656</v>
      </c>
      <c r="V2" s="144" t="s">
        <v>656</v>
      </c>
      <c r="W2" s="144" t="s">
        <v>656</v>
      </c>
      <c r="X2" s="144"/>
    </row>
    <row r="3" spans="1:27" x14ac:dyDescent="0.3">
      <c r="A3">
        <v>180</v>
      </c>
      <c r="B3">
        <v>463</v>
      </c>
      <c r="D3">
        <v>0.544184151846411</v>
      </c>
      <c r="E3">
        <v>0.96295641608282601</v>
      </c>
      <c r="F3">
        <v>0.24131110111422421</v>
      </c>
      <c r="G3" s="144" t="s">
        <v>656</v>
      </c>
      <c r="H3" s="144" t="s">
        <v>656</v>
      </c>
      <c r="I3" s="144" t="s">
        <v>656</v>
      </c>
      <c r="J3" s="144" t="s">
        <v>656</v>
      </c>
      <c r="K3" s="144" t="s">
        <v>656</v>
      </c>
      <c r="M3">
        <v>3.0467213114754099E-2</v>
      </c>
      <c r="N3">
        <v>1.9201957516247901E-2</v>
      </c>
      <c r="O3">
        <v>1.5177050086118013E-2</v>
      </c>
      <c r="P3" s="144" t="s">
        <v>656</v>
      </c>
      <c r="Q3" s="144" t="s">
        <v>656</v>
      </c>
      <c r="R3" s="144" t="s">
        <v>656</v>
      </c>
      <c r="S3" s="144" t="s">
        <v>656</v>
      </c>
      <c r="T3" s="144" t="s">
        <v>656</v>
      </c>
      <c r="U3" s="144" t="s">
        <v>656</v>
      </c>
      <c r="V3" s="144" t="s">
        <v>656</v>
      </c>
      <c r="W3" s="144" t="s">
        <v>656</v>
      </c>
      <c r="X3" s="144"/>
    </row>
    <row r="4" spans="1:27" x14ac:dyDescent="0.3">
      <c r="A4">
        <v>190</v>
      </c>
      <c r="B4">
        <v>550</v>
      </c>
      <c r="D4">
        <v>0.52920163854343805</v>
      </c>
      <c r="E4">
        <v>1.624118796026139</v>
      </c>
      <c r="F4">
        <v>0.15383390185638787</v>
      </c>
      <c r="G4" s="144" t="s">
        <v>656</v>
      </c>
      <c r="H4" s="144" t="s">
        <v>656</v>
      </c>
      <c r="I4" s="144" t="s">
        <v>656</v>
      </c>
      <c r="J4" s="144" t="s">
        <v>656</v>
      </c>
      <c r="K4" s="144" t="s">
        <v>656</v>
      </c>
      <c r="M4">
        <v>5.5770491803278699E-2</v>
      </c>
      <c r="N4">
        <v>6.5965821544759856E-2</v>
      </c>
      <c r="O4">
        <v>1.7949879911869703E-2</v>
      </c>
      <c r="P4" s="144" t="s">
        <v>656</v>
      </c>
      <c r="Q4" s="144" t="s">
        <v>656</v>
      </c>
      <c r="R4" s="144" t="s">
        <v>656</v>
      </c>
      <c r="S4" s="144" t="s">
        <v>656</v>
      </c>
      <c r="T4" s="144" t="s">
        <v>656</v>
      </c>
      <c r="U4" s="144" t="s">
        <v>656</v>
      </c>
      <c r="V4" s="144" t="s">
        <v>656</v>
      </c>
      <c r="W4" s="144" t="s">
        <v>656</v>
      </c>
      <c r="X4" s="144"/>
    </row>
    <row r="5" spans="1:27" x14ac:dyDescent="0.3">
      <c r="A5">
        <v>200</v>
      </c>
      <c r="B5">
        <v>500</v>
      </c>
      <c r="D5">
        <v>0.51895322426698798</v>
      </c>
      <c r="E5">
        <v>2.2112310169217499</v>
      </c>
      <c r="F5">
        <v>0.14297777351382371</v>
      </c>
      <c r="G5">
        <f>D5-F4</f>
        <v>0.36511932241060008</v>
      </c>
      <c r="H5">
        <f>D5+F5</f>
        <v>0.66193099778081166</v>
      </c>
      <c r="I5">
        <v>-22.013137756699276</v>
      </c>
      <c r="J5">
        <v>-21.775275755109799</v>
      </c>
      <c r="K5">
        <v>-21.503404311784536</v>
      </c>
      <c r="M5">
        <v>0.102413793103448</v>
      </c>
      <c r="N5">
        <v>0.13751482998502546</v>
      </c>
      <c r="O5">
        <v>3.1329647377433434E-2</v>
      </c>
      <c r="P5">
        <f>M5-O4</f>
        <v>8.4463913191578296E-2</v>
      </c>
      <c r="Q5">
        <f>M5+O5</f>
        <v>0.13374344048088144</v>
      </c>
      <c r="R5">
        <v>-25.974514256878816</v>
      </c>
      <c r="S5">
        <v>-25.965481213605219</v>
      </c>
      <c r="T5">
        <v>-25.618839802782574</v>
      </c>
      <c r="V5">
        <f>1000*M5/D5</f>
        <v>197.34686733685029</v>
      </c>
      <c r="X5" s="144">
        <f t="shared" ref="X5:X35" si="0">(E5+D5)/$E$36</f>
        <v>1.8680911479575162E-2</v>
      </c>
      <c r="Z5">
        <f>V5/$V$36</f>
        <v>0.197798635660654</v>
      </c>
    </row>
    <row r="6" spans="1:27" x14ac:dyDescent="0.3">
      <c r="A6">
        <v>210</v>
      </c>
      <c r="B6">
        <v>475</v>
      </c>
      <c r="D6">
        <v>0.57702821305164198</v>
      </c>
      <c r="E6">
        <v>2.7646138270456992</v>
      </c>
      <c r="F6">
        <v>0.1439701738412783</v>
      </c>
      <c r="G6">
        <f t="shared" ref="G6:G35" si="1">D6-F5</f>
        <v>0.4340504395378183</v>
      </c>
      <c r="H6">
        <f t="shared" ref="H6:H35" si="2">D6+F6</f>
        <v>0.72099838689292028</v>
      </c>
      <c r="I6">
        <v>-21.588208143850281</v>
      </c>
      <c r="J6">
        <v>-21.406243033772043</v>
      </c>
      <c r="K6">
        <v>-21.160193463223745</v>
      </c>
      <c r="M6">
        <v>0.145987300080372</v>
      </c>
      <c r="N6">
        <v>0.2499547833128809</v>
      </c>
      <c r="O6">
        <v>4.0403541112893668E-2</v>
      </c>
      <c r="P6">
        <f t="shared" ref="P6:P35" si="3">M6-O5</f>
        <v>0.11465765270293857</v>
      </c>
      <c r="Q6">
        <f t="shared" ref="Q6:Q35" si="4">M6+O6</f>
        <v>0.18639084119326566</v>
      </c>
      <c r="R6">
        <v>-25.122243282258715</v>
      </c>
      <c r="S6">
        <v>-25.022470611164515</v>
      </c>
      <c r="T6">
        <v>-24.717468875356136</v>
      </c>
      <c r="U6">
        <v>248.21085279307337</v>
      </c>
      <c r="V6">
        <f t="shared" ref="V6:V35" si="5">1000*M6/D6</f>
        <v>252.99854804033066</v>
      </c>
      <c r="W6">
        <v>268.78508305150689</v>
      </c>
      <c r="X6" s="144">
        <f t="shared" si="0"/>
        <v>2.2864727664058754E-2</v>
      </c>
      <c r="Y6">
        <f>U6/$V$36</f>
        <v>0.24877905943566889</v>
      </c>
      <c r="Z6">
        <f t="shared" ref="Z6:Z35" si="6">V6/$V$36</f>
        <v>0.2535777147203766</v>
      </c>
      <c r="AA6">
        <f t="shared" ref="AA6:AA35" si="7">W6/$V$36</f>
        <v>0.26940038841749658</v>
      </c>
    </row>
    <row r="7" spans="1:27" x14ac:dyDescent="0.3">
      <c r="A7">
        <v>220</v>
      </c>
      <c r="B7">
        <v>450</v>
      </c>
      <c r="D7">
        <v>0.63333256423751405</v>
      </c>
      <c r="E7">
        <v>3.3798521929721193</v>
      </c>
      <c r="F7">
        <v>0.14472127170072055</v>
      </c>
      <c r="G7">
        <f t="shared" si="1"/>
        <v>0.48936239039623575</v>
      </c>
      <c r="H7">
        <f t="shared" si="2"/>
        <v>0.77805383593823463</v>
      </c>
      <c r="I7">
        <v>-21.228418891204242</v>
      </c>
      <c r="J7">
        <v>-21.067846504886631</v>
      </c>
      <c r="K7">
        <v>-20.842660232160856</v>
      </c>
      <c r="M7">
        <v>0.20905016447368399</v>
      </c>
      <c r="N7">
        <v>0.40553743215273907</v>
      </c>
      <c r="O7">
        <v>5.2955344862849356E-2</v>
      </c>
      <c r="P7">
        <f t="shared" si="3"/>
        <v>0.16864662336079034</v>
      </c>
      <c r="Q7">
        <f t="shared" si="4"/>
        <v>0.26200550933653333</v>
      </c>
      <c r="R7">
        <v>-24.214028178958579</v>
      </c>
      <c r="S7">
        <v>-24.152308143473558</v>
      </c>
      <c r="T7">
        <v>-23.875908687138619</v>
      </c>
      <c r="U7">
        <v>326.31141457247622</v>
      </c>
      <c r="V7">
        <f t="shared" si="5"/>
        <v>330.07960789978495</v>
      </c>
      <c r="W7">
        <v>349.3346709189239</v>
      </c>
      <c r="X7" s="144">
        <f t="shared" si="0"/>
        <v>2.7459666666294711E-2</v>
      </c>
      <c r="Y7">
        <f t="shared" ref="Y7:Y35" si="8">U7/$V$36</f>
        <v>0.32705840976317158</v>
      </c>
      <c r="Z7">
        <f t="shared" si="6"/>
        <v>0.33083522927444881</v>
      </c>
      <c r="AA7">
        <f t="shared" si="7"/>
        <v>0.35013437116680363</v>
      </c>
    </row>
    <row r="8" spans="1:27" x14ac:dyDescent="0.3">
      <c r="A8">
        <v>230</v>
      </c>
      <c r="B8">
        <v>425</v>
      </c>
      <c r="D8">
        <v>0.78987804878048695</v>
      </c>
      <c r="E8">
        <v>4.0551293336322498</v>
      </c>
      <c r="F8">
        <v>0.1685298892422378</v>
      </c>
      <c r="G8">
        <f t="shared" si="1"/>
        <v>0.64515677707976637</v>
      </c>
      <c r="H8">
        <f t="shared" si="2"/>
        <v>0.95840793802272473</v>
      </c>
      <c r="I8">
        <v>-20.727935256026949</v>
      </c>
      <c r="J8">
        <v>-20.604277154842471</v>
      </c>
      <c r="K8">
        <v>-20.392123606048976</v>
      </c>
      <c r="M8">
        <v>0.32434102141680399</v>
      </c>
      <c r="N8">
        <v>0.63194775582281049</v>
      </c>
      <c r="O8">
        <v>7.6028074622824196E-2</v>
      </c>
      <c r="P8">
        <f t="shared" si="3"/>
        <v>0.27138567655395462</v>
      </c>
      <c r="Q8">
        <f t="shared" si="4"/>
        <v>0.40036909603962817</v>
      </c>
      <c r="R8">
        <v>-23.260927493777352</v>
      </c>
      <c r="S8">
        <v>-23.213229371695068</v>
      </c>
      <c r="T8">
        <v>-22.955878960679193</v>
      </c>
      <c r="U8">
        <v>403.68598314190712</v>
      </c>
      <c r="V8">
        <f t="shared" si="5"/>
        <v>410.62164205925512</v>
      </c>
      <c r="W8">
        <v>432.32048895044346</v>
      </c>
      <c r="X8" s="144">
        <f t="shared" si="0"/>
        <v>3.3151298972164712E-2</v>
      </c>
      <c r="Y8">
        <f t="shared" si="8"/>
        <v>0.40461010493014804</v>
      </c>
      <c r="Z8">
        <f t="shared" si="6"/>
        <v>0.41156164102378895</v>
      </c>
      <c r="AA8">
        <f t="shared" si="7"/>
        <v>0.43331016112145276</v>
      </c>
    </row>
    <row r="9" spans="1:27" x14ac:dyDescent="0.3">
      <c r="A9">
        <v>225</v>
      </c>
      <c r="B9">
        <v>908</v>
      </c>
      <c r="D9">
        <v>0.75127118186624997</v>
      </c>
      <c r="E9">
        <v>4.8885443360909573</v>
      </c>
      <c r="F9">
        <v>7.1632251066584746E-2</v>
      </c>
      <c r="G9">
        <f t="shared" si="1"/>
        <v>0.5827412926240122</v>
      </c>
      <c r="H9">
        <f t="shared" si="2"/>
        <v>0.82290343293283474</v>
      </c>
      <c r="I9">
        <v>-21.415947023841984</v>
      </c>
      <c r="J9">
        <v>-21.245538331793281</v>
      </c>
      <c r="K9">
        <v>-21.147685452735615</v>
      </c>
      <c r="M9">
        <v>0.34826732673267302</v>
      </c>
      <c r="N9">
        <v>0.97991452293274905</v>
      </c>
      <c r="O9">
        <v>3.6262949410074727E-2</v>
      </c>
      <c r="P9">
        <f t="shared" si="3"/>
        <v>0.27223925210984884</v>
      </c>
      <c r="Q9">
        <f t="shared" si="4"/>
        <v>0.38453027614274776</v>
      </c>
      <c r="R9">
        <v>-23.660023341853201</v>
      </c>
      <c r="S9">
        <v>-23.527410912091444</v>
      </c>
      <c r="T9">
        <v>-23.412769699120762</v>
      </c>
      <c r="U9">
        <v>442.63343317125594</v>
      </c>
      <c r="V9">
        <f t="shared" si="5"/>
        <v>463.57072537713236</v>
      </c>
      <c r="W9">
        <v>474.44901875323802</v>
      </c>
      <c r="X9" s="144">
        <f t="shared" si="0"/>
        <v>3.8589664705639036E-2</v>
      </c>
      <c r="Y9">
        <f t="shared" si="8"/>
        <v>0.4436467138321642</v>
      </c>
      <c r="Z9">
        <f t="shared" si="6"/>
        <v>0.46463193588629453</v>
      </c>
      <c r="AA9">
        <f t="shared" si="7"/>
        <v>0.47553513195495717</v>
      </c>
    </row>
    <row r="10" spans="1:27" x14ac:dyDescent="0.3">
      <c r="A10">
        <v>215</v>
      </c>
      <c r="B10">
        <v>450</v>
      </c>
      <c r="D10">
        <v>0.141512821493641</v>
      </c>
      <c r="E10">
        <v>5.6841898534713735</v>
      </c>
      <c r="F10">
        <v>3.4933248288563416E-2</v>
      </c>
      <c r="G10">
        <f t="shared" si="1"/>
        <v>6.9880570427056254E-2</v>
      </c>
      <c r="H10">
        <f t="shared" si="2"/>
        <v>0.17644606978220442</v>
      </c>
      <c r="I10">
        <v>-22.520538844320015</v>
      </c>
      <c r="J10">
        <v>-22.123783561871615</v>
      </c>
      <c r="K10">
        <v>-21.900128143634642</v>
      </c>
      <c r="M10">
        <v>7.1590909090909094E-2</v>
      </c>
      <c r="N10">
        <v>1.34871133895702</v>
      </c>
      <c r="O10">
        <v>1.9598846304267926E-2</v>
      </c>
      <c r="P10">
        <f t="shared" si="3"/>
        <v>3.5327959680834367E-2</v>
      </c>
      <c r="Q10">
        <f t="shared" si="4"/>
        <v>9.1189755395177013E-2</v>
      </c>
      <c r="R10">
        <v>-24.546427912449627</v>
      </c>
      <c r="S10">
        <v>-24.225348336156141</v>
      </c>
      <c r="T10">
        <v>-23.976320889094893</v>
      </c>
      <c r="U10">
        <v>429.11923743969936</v>
      </c>
      <c r="V10">
        <f t="shared" si="5"/>
        <v>505.89698046636778</v>
      </c>
      <c r="W10">
        <v>537.1215311309245</v>
      </c>
      <c r="X10" s="144">
        <f t="shared" si="0"/>
        <v>3.9861572100335876E-2</v>
      </c>
      <c r="Y10">
        <f t="shared" si="8"/>
        <v>0.43010158127533349</v>
      </c>
      <c r="Z10">
        <f t="shared" si="6"/>
        <v>0.50705508464084414</v>
      </c>
      <c r="AA10">
        <f t="shared" si="7"/>
        <v>0.5383511148434631</v>
      </c>
    </row>
    <row r="11" spans="1:27" x14ac:dyDescent="0.3">
      <c r="A11">
        <v>205</v>
      </c>
      <c r="B11">
        <v>520</v>
      </c>
      <c r="D11">
        <v>7.6269133314252294E-2</v>
      </c>
      <c r="E11">
        <v>5.8529134968853125</v>
      </c>
      <c r="F11">
        <v>1.8384882019502679E-2</v>
      </c>
      <c r="G11">
        <f t="shared" si="1"/>
        <v>4.1335885025688877E-2</v>
      </c>
      <c r="H11">
        <f t="shared" si="2"/>
        <v>9.4654015333754976E-2</v>
      </c>
      <c r="I11">
        <v>-23.099269295054707</v>
      </c>
      <c r="J11">
        <v>-22.86311258578305</v>
      </c>
      <c r="K11">
        <v>-22.645593406533735</v>
      </c>
      <c r="M11">
        <v>3.8451904805222398E-2</v>
      </c>
      <c r="N11">
        <v>1.4359486872794978</v>
      </c>
      <c r="O11">
        <v>1.0286564269391755E-2</v>
      </c>
      <c r="P11">
        <f t="shared" si="3"/>
        <v>1.8853058500954471E-2</v>
      </c>
      <c r="Q11">
        <f t="shared" si="4"/>
        <v>4.8738469074614155E-2</v>
      </c>
      <c r="R11">
        <v>-25.004012575918988</v>
      </c>
      <c r="S11">
        <v>-24.941707478096856</v>
      </c>
      <c r="T11">
        <v>-24.701118828965665</v>
      </c>
      <c r="U11">
        <v>392.39647511084371</v>
      </c>
      <c r="V11">
        <f t="shared" si="5"/>
        <v>504.16076772222806</v>
      </c>
      <c r="W11">
        <v>534.56799784393286</v>
      </c>
      <c r="X11" s="144">
        <f t="shared" si="0"/>
        <v>4.056961951137996E-2</v>
      </c>
      <c r="Y11">
        <f t="shared" si="8"/>
        <v>0.39329475285003235</v>
      </c>
      <c r="Z11">
        <f t="shared" si="6"/>
        <v>0.50531489734199397</v>
      </c>
      <c r="AA11">
        <f t="shared" si="7"/>
        <v>0.53579173598380836</v>
      </c>
    </row>
    <row r="12" spans="1:27" x14ac:dyDescent="0.3">
      <c r="A12">
        <v>195</v>
      </c>
      <c r="B12">
        <v>1106</v>
      </c>
      <c r="D12">
        <v>6.7045156410478396E-2</v>
      </c>
      <c r="E12">
        <v>5.9491316303760451</v>
      </c>
      <c r="F12">
        <v>7.9879961726194802E-3</v>
      </c>
      <c r="G12">
        <f t="shared" si="1"/>
        <v>4.8660274390975713E-2</v>
      </c>
      <c r="H12">
        <f t="shared" si="2"/>
        <v>7.5033152583097881E-2</v>
      </c>
      <c r="I12">
        <v>-23.902244298803726</v>
      </c>
      <c r="J12">
        <v>-23.731260504599646</v>
      </c>
      <c r="K12">
        <v>-23.618029449334998</v>
      </c>
      <c r="M12">
        <v>3.3582644628099102E-2</v>
      </c>
      <c r="N12">
        <v>1.4912304433243895</v>
      </c>
      <c r="O12">
        <v>4.2852357100173722E-3</v>
      </c>
      <c r="P12">
        <f t="shared" si="3"/>
        <v>2.3296080358707345E-2</v>
      </c>
      <c r="Q12">
        <f t="shared" si="4"/>
        <v>3.7867880338116472E-2</v>
      </c>
      <c r="R12">
        <v>-25.488453418915022</v>
      </c>
      <c r="S12">
        <v>-25.796109896294308</v>
      </c>
      <c r="T12">
        <v>-25.674596227389348</v>
      </c>
      <c r="U12">
        <v>446.69915011494282</v>
      </c>
      <c r="V12">
        <f t="shared" si="5"/>
        <v>500.89590995197557</v>
      </c>
      <c r="W12">
        <v>515.30129279629682</v>
      </c>
      <c r="X12" s="144">
        <f t="shared" si="0"/>
        <v>4.1164865104671378E-2</v>
      </c>
      <c r="Y12">
        <f t="shared" si="8"/>
        <v>0.44772173805370907</v>
      </c>
      <c r="Z12">
        <f t="shared" si="6"/>
        <v>0.50204256562831262</v>
      </c>
      <c r="AA12">
        <f t="shared" si="7"/>
        <v>0.51648092541191426</v>
      </c>
    </row>
    <row r="13" spans="1:27" x14ac:dyDescent="0.3">
      <c r="A13">
        <v>185</v>
      </c>
      <c r="B13">
        <v>740</v>
      </c>
      <c r="D13">
        <v>2.2678534031413601E-2</v>
      </c>
      <c r="E13">
        <v>6.024602455718326</v>
      </c>
      <c r="F13">
        <v>4.9499189764554766E-3</v>
      </c>
      <c r="G13">
        <f t="shared" si="1"/>
        <v>1.4690537858794121E-2</v>
      </c>
      <c r="H13">
        <f t="shared" si="2"/>
        <v>2.7628453007869078E-2</v>
      </c>
      <c r="I13">
        <v>-24.187087425822416</v>
      </c>
      <c r="J13">
        <v>-24.404485468823875</v>
      </c>
      <c r="K13">
        <v>-24.206648207778461</v>
      </c>
      <c r="M13">
        <v>7.9399336711820697E-3</v>
      </c>
      <c r="N13">
        <v>1.5467152370384845</v>
      </c>
      <c r="O13">
        <v>1.9098529718839911E-3</v>
      </c>
      <c r="P13">
        <f t="shared" si="3"/>
        <v>3.6546979611646975E-3</v>
      </c>
      <c r="Q13">
        <f t="shared" si="4"/>
        <v>9.8497866430660615E-3</v>
      </c>
      <c r="R13">
        <v>-24.931223184904997</v>
      </c>
      <c r="S13">
        <v>-26.808461186203029</v>
      </c>
      <c r="T13">
        <v>-26.592300693482755</v>
      </c>
      <c r="U13">
        <v>224.70646569644978</v>
      </c>
      <c r="V13">
        <f t="shared" si="5"/>
        <v>350.10788881609017</v>
      </c>
      <c r="W13">
        <v>369.09302443473166</v>
      </c>
      <c r="X13" s="144">
        <f t="shared" si="0"/>
        <v>4.1377691350399613E-2</v>
      </c>
      <c r="Y13">
        <f t="shared" si="8"/>
        <v>0.2252208658727762</v>
      </c>
      <c r="Z13">
        <f t="shared" si="6"/>
        <v>0.35090935912172683</v>
      </c>
      <c r="AA13">
        <f t="shared" si="7"/>
        <v>0.36993795569321425</v>
      </c>
    </row>
    <row r="14" spans="1:27" x14ac:dyDescent="0.3">
      <c r="A14">
        <v>175</v>
      </c>
      <c r="B14">
        <v>920</v>
      </c>
      <c r="D14">
        <v>1.80179115952207E-2</v>
      </c>
      <c r="E14">
        <v>6.0610322665028766</v>
      </c>
      <c r="F14">
        <v>3.572625329078016E-3</v>
      </c>
      <c r="G14">
        <f t="shared" si="1"/>
        <v>1.3067992618765224E-2</v>
      </c>
      <c r="H14">
        <f t="shared" si="2"/>
        <v>2.1590536924298714E-2</v>
      </c>
      <c r="I14">
        <v>-25.01572931025866</v>
      </c>
      <c r="J14">
        <v>-24.846627930338666</v>
      </c>
      <c r="K14">
        <v>-24.665444928592549</v>
      </c>
      <c r="M14">
        <v>1.5191836823502501E-2</v>
      </c>
      <c r="N14">
        <v>1.602041375714798</v>
      </c>
      <c r="O14">
        <v>3.3303786853332933E-3</v>
      </c>
      <c r="P14">
        <f t="shared" si="3"/>
        <v>1.3281983851618509E-2</v>
      </c>
      <c r="Q14">
        <f t="shared" si="4"/>
        <v>1.8522215508835795E-2</v>
      </c>
      <c r="R14">
        <v>-25.615414710781138</v>
      </c>
      <c r="S14">
        <v>-26.340019388812088</v>
      </c>
      <c r="T14">
        <v>-26.140772793931248</v>
      </c>
      <c r="U14">
        <v>843.15192375192782</v>
      </c>
      <c r="V14">
        <f t="shared" si="5"/>
        <v>843.15192375192782</v>
      </c>
      <c r="W14">
        <v>981.97226552049676</v>
      </c>
      <c r="X14" s="144">
        <f t="shared" si="0"/>
        <v>4.1595067667484796E-2</v>
      </c>
      <c r="Y14">
        <f t="shared" si="8"/>
        <v>0.84508207514700984</v>
      </c>
      <c r="Z14">
        <f t="shared" si="6"/>
        <v>0.84508207514700984</v>
      </c>
      <c r="AA14">
        <f t="shared" si="7"/>
        <v>0.98422020576096036</v>
      </c>
    </row>
    <row r="15" spans="1:27" x14ac:dyDescent="0.3">
      <c r="A15">
        <v>200</v>
      </c>
      <c r="B15">
        <v>260</v>
      </c>
      <c r="D15">
        <v>2.24239448032976E-2</v>
      </c>
      <c r="E15">
        <v>6.0813780844820462</v>
      </c>
      <c r="F15">
        <v>1.6342933054712922E-2</v>
      </c>
      <c r="G15">
        <f t="shared" si="1"/>
        <v>1.8851319474219586E-2</v>
      </c>
      <c r="H15">
        <f t="shared" si="2"/>
        <v>3.8766877858010522E-2</v>
      </c>
      <c r="I15">
        <v>-23.334189457236437</v>
      </c>
      <c r="J15">
        <v>-23.360464998895949</v>
      </c>
      <c r="K15">
        <v>-22.811687817371251</v>
      </c>
      <c r="M15">
        <v>1.0662386255492901E-2</v>
      </c>
      <c r="N15">
        <v>1.6351145558218827</v>
      </c>
      <c r="O15">
        <v>9.1026262885347941E-3</v>
      </c>
      <c r="P15">
        <f t="shared" si="3"/>
        <v>7.3320075701596068E-3</v>
      </c>
      <c r="Q15">
        <f t="shared" si="4"/>
        <v>1.9765012544027696E-2</v>
      </c>
      <c r="R15">
        <v>-24.987966713603452</v>
      </c>
      <c r="S15">
        <v>-25.411404204660958</v>
      </c>
      <c r="T15">
        <v>-24.791442523091266</v>
      </c>
      <c r="U15">
        <v>375.56430611583824</v>
      </c>
      <c r="V15">
        <f t="shared" si="5"/>
        <v>475.49110332830116</v>
      </c>
      <c r="W15">
        <v>554.72487048612311</v>
      </c>
      <c r="X15" s="144">
        <f t="shared" si="0"/>
        <v>4.1764428816819993E-2</v>
      </c>
      <c r="Y15">
        <f t="shared" si="8"/>
        <v>0.37642405149383223</v>
      </c>
      <c r="Z15">
        <f t="shared" si="6"/>
        <v>0.47657960207993094</v>
      </c>
      <c r="AA15">
        <f t="shared" si="7"/>
        <v>0.55599475193037218</v>
      </c>
    </row>
    <row r="16" spans="1:27" x14ac:dyDescent="0.3">
      <c r="A16">
        <v>210</v>
      </c>
      <c r="B16">
        <v>520</v>
      </c>
      <c r="D16">
        <v>8.1207064838573401E-2</v>
      </c>
      <c r="E16">
        <v>6.1080940573054585</v>
      </c>
      <c r="F16">
        <v>1.814151817891772E-2</v>
      </c>
      <c r="G16">
        <f t="shared" si="1"/>
        <v>6.4864131783860482E-2</v>
      </c>
      <c r="H16">
        <f t="shared" si="2"/>
        <v>9.9348583017491124E-2</v>
      </c>
      <c r="I16">
        <v>-22.95894630412992</v>
      </c>
      <c r="J16">
        <v>-22.757572285673085</v>
      </c>
      <c r="K16">
        <v>-22.554465682586059</v>
      </c>
      <c r="M16">
        <v>0.21658617347290901</v>
      </c>
      <c r="N16">
        <v>1.6546682514507727</v>
      </c>
      <c r="O16">
        <v>5.3482889981913369E-2</v>
      </c>
      <c r="P16">
        <f t="shared" si="3"/>
        <v>0.20748354718437423</v>
      </c>
      <c r="Q16">
        <f t="shared" si="4"/>
        <v>0.2700690634548224</v>
      </c>
      <c r="R16">
        <v>-23.060882786664525</v>
      </c>
      <c r="S16">
        <v>-23.02125816154911</v>
      </c>
      <c r="T16">
        <v>-22.785514353301107</v>
      </c>
      <c r="U16">
        <v>2667.0853564704935</v>
      </c>
      <c r="V16">
        <f t="shared" si="5"/>
        <v>2667.0853564704935</v>
      </c>
      <c r="W16">
        <v>3103.7960961793647</v>
      </c>
      <c r="X16" s="144">
        <f t="shared" si="0"/>
        <v>4.2349444641459622E-2</v>
      </c>
      <c r="Y16">
        <f t="shared" si="8"/>
        <v>2.6731908736099039</v>
      </c>
      <c r="Z16">
        <f t="shared" si="6"/>
        <v>2.6731908736099039</v>
      </c>
      <c r="AA16">
        <f t="shared" si="7"/>
        <v>3.1109013356935349</v>
      </c>
    </row>
    <row r="17" spans="1:27" x14ac:dyDescent="0.3">
      <c r="A17">
        <v>220</v>
      </c>
      <c r="B17">
        <v>1167</v>
      </c>
      <c r="D17">
        <v>0.576620115600047</v>
      </c>
      <c r="E17">
        <v>6.1913588302030496</v>
      </c>
      <c r="F17">
        <v>4.4707783184792398E-2</v>
      </c>
      <c r="G17">
        <f t="shared" si="1"/>
        <v>0.55847859742112926</v>
      </c>
      <c r="H17">
        <f t="shared" si="2"/>
        <v>0.62132789878483941</v>
      </c>
      <c r="I17">
        <v>-21.5634872056396</v>
      </c>
      <c r="J17">
        <v>-21.553324557830241</v>
      </c>
      <c r="K17">
        <v>-21.475205355231868</v>
      </c>
      <c r="M17">
        <v>0.31868729096989901</v>
      </c>
      <c r="N17">
        <v>1.8713997936537554</v>
      </c>
      <c r="O17">
        <v>2.6943849939813705E-2</v>
      </c>
      <c r="P17">
        <f t="shared" si="3"/>
        <v>0.26520440098798564</v>
      </c>
      <c r="Q17">
        <f t="shared" si="4"/>
        <v>0.3456311409097127</v>
      </c>
      <c r="R17">
        <v>-22.319051211121977</v>
      </c>
      <c r="S17">
        <v>-23.301992158932148</v>
      </c>
      <c r="T17">
        <v>-23.214218283518118</v>
      </c>
      <c r="U17">
        <v>471.74789967936994</v>
      </c>
      <c r="V17">
        <f t="shared" si="5"/>
        <v>552.68153563852707</v>
      </c>
      <c r="W17">
        <v>563.21193771383696</v>
      </c>
      <c r="X17" s="144">
        <f t="shared" si="0"/>
        <v>4.6308968338022075E-2</v>
      </c>
      <c r="Y17">
        <f t="shared" si="8"/>
        <v>0.47282782945364044</v>
      </c>
      <c r="Z17">
        <f t="shared" si="6"/>
        <v>0.55394673946122819</v>
      </c>
      <c r="AA17">
        <f t="shared" si="7"/>
        <v>0.5645012478330238</v>
      </c>
    </row>
    <row r="18" spans="1:27" x14ac:dyDescent="0.3">
      <c r="A18">
        <v>230</v>
      </c>
      <c r="B18">
        <v>370</v>
      </c>
      <c r="D18">
        <v>0.35768644224377999</v>
      </c>
      <c r="E18">
        <v>6.7796477858176338</v>
      </c>
      <c r="F18">
        <v>9.0299256925921001E-2</v>
      </c>
      <c r="G18">
        <f t="shared" si="1"/>
        <v>0.31297865905898758</v>
      </c>
      <c r="H18">
        <f t="shared" si="2"/>
        <v>0.44798569916970099</v>
      </c>
      <c r="I18">
        <v>-20.886148344686578</v>
      </c>
      <c r="J18">
        <v>-20.810869629433277</v>
      </c>
      <c r="K18">
        <v>-20.579297598846523</v>
      </c>
      <c r="M18">
        <v>0.21132607073022699</v>
      </c>
      <c r="N18">
        <v>2.6765802826323815</v>
      </c>
      <c r="O18">
        <v>5.8963091818407115E-2</v>
      </c>
      <c r="P18">
        <f t="shared" si="3"/>
        <v>0.18438222079041328</v>
      </c>
      <c r="Q18">
        <f t="shared" si="4"/>
        <v>0.27028916254863411</v>
      </c>
      <c r="R18">
        <v>-21.42289860701776</v>
      </c>
      <c r="S18">
        <v>-22.24925597661262</v>
      </c>
      <c r="T18">
        <v>-21.99262534345624</v>
      </c>
      <c r="U18">
        <v>575.07038787595934</v>
      </c>
      <c r="V18">
        <f t="shared" si="5"/>
        <v>590.81375688877358</v>
      </c>
      <c r="W18">
        <v>627.97963732602864</v>
      </c>
      <c r="X18" s="144">
        <f t="shared" si="0"/>
        <v>4.8836231234161594E-2</v>
      </c>
      <c r="Y18">
        <f t="shared" si="8"/>
        <v>0.57638684447193067</v>
      </c>
      <c r="Z18">
        <f t="shared" si="6"/>
        <v>0.5921662533546751</v>
      </c>
      <c r="AA18">
        <f t="shared" si="7"/>
        <v>0.62941721427855957</v>
      </c>
    </row>
    <row r="19" spans="1:27" x14ac:dyDescent="0.3">
      <c r="A19">
        <v>240</v>
      </c>
      <c r="B19">
        <v>320</v>
      </c>
      <c r="D19">
        <v>0.67668226199703296</v>
      </c>
      <c r="E19">
        <v>7.1562740942855676</v>
      </c>
      <c r="F19">
        <v>0.17759559976861111</v>
      </c>
      <c r="G19">
        <f t="shared" si="1"/>
        <v>0.58638300507111196</v>
      </c>
      <c r="H19">
        <f t="shared" si="2"/>
        <v>0.85427786176564413</v>
      </c>
      <c r="I19">
        <v>-20.011208840114652</v>
      </c>
      <c r="J19">
        <v>-19.912587763702412</v>
      </c>
      <c r="K19">
        <v>-19.667235013319825</v>
      </c>
      <c r="M19">
        <v>0.42862847782896701</v>
      </c>
      <c r="N19">
        <v>3.1616484034204646</v>
      </c>
      <c r="O19">
        <v>0.12426166694170741</v>
      </c>
      <c r="P19">
        <f t="shared" si="3"/>
        <v>0.36966538601055987</v>
      </c>
      <c r="Q19">
        <f t="shared" si="4"/>
        <v>0.55289014477067444</v>
      </c>
      <c r="R19">
        <v>-21.201624612573944</v>
      </c>
      <c r="S19">
        <v>-21.203462781847573</v>
      </c>
      <c r="T19">
        <v>-20.930657393362615</v>
      </c>
      <c r="U19">
        <v>612.06417386149838</v>
      </c>
      <c r="V19">
        <f t="shared" si="5"/>
        <v>633.42650147795121</v>
      </c>
      <c r="W19">
        <v>674.82930687930752</v>
      </c>
      <c r="X19" s="144">
        <f t="shared" si="0"/>
        <v>5.3595930306659219E-2</v>
      </c>
      <c r="Y19">
        <f t="shared" si="8"/>
        <v>0.61346531698384521</v>
      </c>
      <c r="Z19">
        <f t="shared" si="6"/>
        <v>0.63487654744365229</v>
      </c>
      <c r="AA19">
        <f t="shared" si="7"/>
        <v>0.67637413254052314</v>
      </c>
    </row>
    <row r="20" spans="1:27" x14ac:dyDescent="0.3">
      <c r="A20">
        <v>245</v>
      </c>
      <c r="B20">
        <v>250</v>
      </c>
      <c r="D20">
        <v>0.55490965024488204</v>
      </c>
      <c r="E20">
        <v>7.858151969738925</v>
      </c>
      <c r="F20">
        <v>0.18878938039918705</v>
      </c>
      <c r="G20">
        <f t="shared" si="1"/>
        <v>0.37731405047627092</v>
      </c>
      <c r="H20">
        <f t="shared" si="2"/>
        <v>0.74369903064406906</v>
      </c>
      <c r="I20">
        <v>-20.013727180198856</v>
      </c>
      <c r="J20">
        <v>-19.778438484483498</v>
      </c>
      <c r="K20">
        <v>-19.473520697928574</v>
      </c>
      <c r="M20">
        <v>0.39881989764248399</v>
      </c>
      <c r="N20">
        <v>3.6430418162593958</v>
      </c>
      <c r="O20">
        <v>0.15214280836708616</v>
      </c>
      <c r="P20">
        <f t="shared" si="3"/>
        <v>0.27455823070077656</v>
      </c>
      <c r="Q20">
        <f t="shared" si="4"/>
        <v>0.55096270600957009</v>
      </c>
      <c r="R20">
        <v>-20.697497264856157</v>
      </c>
      <c r="S20">
        <v>-20.899253165621602</v>
      </c>
      <c r="T20">
        <v>-20.556491776648134</v>
      </c>
      <c r="U20">
        <v>665.92597501582713</v>
      </c>
      <c r="V20">
        <f t="shared" si="5"/>
        <v>718.7114108873119</v>
      </c>
      <c r="W20">
        <v>778.41499615482007</v>
      </c>
      <c r="X20" s="144">
        <f t="shared" si="0"/>
        <v>5.7565221066069434E-2</v>
      </c>
      <c r="Y20">
        <f t="shared" si="8"/>
        <v>0.66745041908514569</v>
      </c>
      <c r="Z20">
        <f t="shared" si="6"/>
        <v>0.72035669187796958</v>
      </c>
      <c r="AA20">
        <f t="shared" si="7"/>
        <v>0.7801969511601472</v>
      </c>
    </row>
    <row r="21" spans="1:27" x14ac:dyDescent="0.3">
      <c r="A21">
        <v>250</v>
      </c>
      <c r="B21">
        <v>210</v>
      </c>
      <c r="D21">
        <v>0.69344251385634403</v>
      </c>
      <c r="E21">
        <v>8.4743294157646964</v>
      </c>
      <c r="F21">
        <v>0.27862586861561084</v>
      </c>
      <c r="G21">
        <f t="shared" si="1"/>
        <v>0.50465313345715701</v>
      </c>
      <c r="H21">
        <f t="shared" si="2"/>
        <v>0.97206838247195493</v>
      </c>
      <c r="I21">
        <v>-19.535882746310033</v>
      </c>
      <c r="J21">
        <v>-19.29642152604136</v>
      </c>
      <c r="K21">
        <v>-18.942173000508859</v>
      </c>
      <c r="M21">
        <v>0.443959731543624</v>
      </c>
      <c r="N21">
        <v>4.2358768242785416</v>
      </c>
      <c r="O21">
        <v>0.20199919944560826</v>
      </c>
      <c r="P21">
        <f t="shared" si="3"/>
        <v>0.29181692317653785</v>
      </c>
      <c r="Q21">
        <f t="shared" si="4"/>
        <v>0.64595893098923229</v>
      </c>
      <c r="R21">
        <v>-20.718845220789209</v>
      </c>
      <c r="S21">
        <v>-20.469118401101518</v>
      </c>
      <c r="T21">
        <v>-20.071712646592207</v>
      </c>
      <c r="U21">
        <v>541.71471414418033</v>
      </c>
      <c r="V21">
        <f t="shared" si="5"/>
        <v>640.22571831469259</v>
      </c>
      <c r="W21">
        <v>702.78760088245417</v>
      </c>
      <c r="X21" s="144">
        <f t="shared" si="0"/>
        <v>6.2729222921459701E-2</v>
      </c>
      <c r="Y21">
        <f t="shared" si="8"/>
        <v>0.54295481261491507</v>
      </c>
      <c r="Z21">
        <f t="shared" si="6"/>
        <v>0.6416913291121793</v>
      </c>
      <c r="AA21">
        <f t="shared" si="7"/>
        <v>0.70439642893594823</v>
      </c>
    </row>
    <row r="22" spans="1:27" x14ac:dyDescent="0.3">
      <c r="A22">
        <v>245</v>
      </c>
      <c r="B22">
        <v>270</v>
      </c>
      <c r="D22">
        <v>0.465872340425531</v>
      </c>
      <c r="E22">
        <v>9.2085717420240716</v>
      </c>
      <c r="F22">
        <v>0.14127452017396488</v>
      </c>
      <c r="G22">
        <f t="shared" si="1"/>
        <v>0.18724647180992016</v>
      </c>
      <c r="H22">
        <f t="shared" si="2"/>
        <v>0.60714686059949585</v>
      </c>
      <c r="I22">
        <v>-20.593388624555541</v>
      </c>
      <c r="J22">
        <v>-19.873986017490029</v>
      </c>
      <c r="K22">
        <v>-19.60126036979398</v>
      </c>
      <c r="M22">
        <v>0.312337571455232</v>
      </c>
      <c r="N22">
        <v>4.7263353878919219</v>
      </c>
      <c r="O22">
        <v>0.10527623198998548</v>
      </c>
      <c r="P22">
        <f t="shared" si="3"/>
        <v>0.11033837200962374</v>
      </c>
      <c r="Q22">
        <f t="shared" si="4"/>
        <v>0.41761380344521748</v>
      </c>
      <c r="R22">
        <v>-21.648711320402946</v>
      </c>
      <c r="S22">
        <v>-20.981091979450198</v>
      </c>
      <c r="T22">
        <v>-20.679896185268134</v>
      </c>
      <c r="U22">
        <v>469.13753615387515</v>
      </c>
      <c r="V22">
        <f t="shared" si="5"/>
        <v>670.43596357306967</v>
      </c>
      <c r="W22">
        <v>721.39101638050579</v>
      </c>
      <c r="X22" s="144">
        <f t="shared" si="0"/>
        <v>6.6196057684242957E-2</v>
      </c>
      <c r="Y22">
        <f t="shared" si="8"/>
        <v>0.47021149025916065</v>
      </c>
      <c r="Z22">
        <f t="shared" si="6"/>
        <v>0.67197073195104517</v>
      </c>
      <c r="AA22">
        <f t="shared" si="7"/>
        <v>0.72304243154951886</v>
      </c>
    </row>
    <row r="23" spans="1:27" x14ac:dyDescent="0.3">
      <c r="A23">
        <v>240</v>
      </c>
      <c r="B23">
        <v>320</v>
      </c>
      <c r="D23">
        <v>0.28572750818781401</v>
      </c>
      <c r="E23">
        <v>9.7206471019714762</v>
      </c>
      <c r="F23">
        <v>7.4898461636162775E-2</v>
      </c>
      <c r="G23">
        <f t="shared" si="1"/>
        <v>0.14445298801384912</v>
      </c>
      <c r="H23">
        <f t="shared" si="2"/>
        <v>0.36062596982397677</v>
      </c>
      <c r="I23">
        <v>-21.00623519822075</v>
      </c>
      <c r="J23">
        <v>-20.486617275176307</v>
      </c>
      <c r="K23">
        <v>-20.249807241991373</v>
      </c>
      <c r="M23">
        <v>0.19266524672441601</v>
      </c>
      <c r="N23">
        <v>5.0845761497510589</v>
      </c>
      <c r="O23">
        <v>5.5862832423451719E-2</v>
      </c>
      <c r="P23">
        <f t="shared" si="3"/>
        <v>8.7389014734430531E-2</v>
      </c>
      <c r="Q23">
        <f t="shared" si="4"/>
        <v>0.24852807914786773</v>
      </c>
      <c r="R23">
        <v>-22.093505143338248</v>
      </c>
      <c r="S23">
        <v>-21.574799127787781</v>
      </c>
      <c r="T23">
        <v>-21.314820765249234</v>
      </c>
      <c r="U23">
        <v>505.46539927453</v>
      </c>
      <c r="V23">
        <f t="shared" si="5"/>
        <v>674.29715796833102</v>
      </c>
      <c r="W23">
        <v>718.37784213324312</v>
      </c>
      <c r="X23" s="144">
        <f t="shared" si="0"/>
        <v>6.8467246826706643E-2</v>
      </c>
      <c r="Y23">
        <f t="shared" si="8"/>
        <v>0.50662251546924142</v>
      </c>
      <c r="Z23">
        <f t="shared" si="6"/>
        <v>0.67584076542920346</v>
      </c>
      <c r="AA23">
        <f t="shared" si="7"/>
        <v>0.7200223595151396</v>
      </c>
    </row>
    <row r="24" spans="1:27" x14ac:dyDescent="0.3">
      <c r="A24">
        <v>235</v>
      </c>
      <c r="B24">
        <v>370</v>
      </c>
      <c r="D24">
        <v>0.21993533317982999</v>
      </c>
      <c r="E24">
        <v>10.035706839866055</v>
      </c>
      <c r="F24">
        <v>5.1711581889084063E-2</v>
      </c>
      <c r="G24">
        <f t="shared" si="1"/>
        <v>0.14503687154366723</v>
      </c>
      <c r="H24">
        <f t="shared" si="2"/>
        <v>0.27164691506891403</v>
      </c>
      <c r="I24">
        <v>-21.176356981950615</v>
      </c>
      <c r="J24">
        <v>-20.863677493380901</v>
      </c>
      <c r="K24">
        <v>-20.649812541596372</v>
      </c>
      <c r="M24">
        <v>0.151676470588235</v>
      </c>
      <c r="N24">
        <v>5.303111570911577</v>
      </c>
      <c r="O24">
        <v>3.9304060536724465E-2</v>
      </c>
      <c r="P24">
        <f t="shared" si="3"/>
        <v>9.5813638164783277E-2</v>
      </c>
      <c r="Q24">
        <f t="shared" si="4"/>
        <v>0.19098053112495947</v>
      </c>
      <c r="R24">
        <v>-22.214249374288766</v>
      </c>
      <c r="S24">
        <v>-21.921672906129302</v>
      </c>
      <c r="T24">
        <v>-21.687604334933908</v>
      </c>
      <c r="U24">
        <v>599.7704402381745</v>
      </c>
      <c r="V24">
        <f t="shared" si="5"/>
        <v>689.64121587601755</v>
      </c>
      <c r="W24">
        <v>729.9304934173208</v>
      </c>
      <c r="X24" s="144">
        <f t="shared" si="0"/>
        <v>7.0172825961903204E-2</v>
      </c>
      <c r="Y24">
        <f t="shared" si="8"/>
        <v>0.6011434404287016</v>
      </c>
      <c r="Z24">
        <f t="shared" si="6"/>
        <v>0.69121994910004414</v>
      </c>
      <c r="AA24">
        <f t="shared" si="7"/>
        <v>0.73160145723830461</v>
      </c>
    </row>
    <row r="25" spans="1:27" x14ac:dyDescent="0.3">
      <c r="A25">
        <v>230</v>
      </c>
      <c r="B25">
        <v>420</v>
      </c>
      <c r="D25">
        <v>0.14002473498233201</v>
      </c>
      <c r="E25">
        <v>10.273567996054735</v>
      </c>
      <c r="F25">
        <v>3.0308677971326085E-2</v>
      </c>
      <c r="G25">
        <f t="shared" si="1"/>
        <v>8.8313153093247942E-2</v>
      </c>
      <c r="H25">
        <f t="shared" si="2"/>
        <v>0.17033341295365809</v>
      </c>
      <c r="I25">
        <v>-21.74799137895377</v>
      </c>
      <c r="J25">
        <v>-21.421486021426901</v>
      </c>
      <c r="K25">
        <v>-21.223995451300514</v>
      </c>
      <c r="M25">
        <v>9.9129484321787698E-2</v>
      </c>
      <c r="N25">
        <v>5.4714195120880476</v>
      </c>
      <c r="O25">
        <v>2.3579154160969555E-2</v>
      </c>
      <c r="P25">
        <f t="shared" si="3"/>
        <v>5.9825423785063232E-2</v>
      </c>
      <c r="Q25">
        <f t="shared" si="4"/>
        <v>0.12270863848275726</v>
      </c>
      <c r="R25">
        <v>-22.751735180208161</v>
      </c>
      <c r="S25">
        <v>-22.447684463700043</v>
      </c>
      <c r="T25">
        <v>-22.232165493731721</v>
      </c>
      <c r="U25">
        <v>608.29880213795366</v>
      </c>
      <c r="V25">
        <f t="shared" si="5"/>
        <v>707.94266694591943</v>
      </c>
      <c r="W25">
        <v>745.90470965616441</v>
      </c>
      <c r="X25" s="144">
        <f t="shared" si="0"/>
        <v>7.1253581006734179E-2</v>
      </c>
      <c r="Y25">
        <f t="shared" si="8"/>
        <v>0.60969132553557415</v>
      </c>
      <c r="Z25">
        <f t="shared" si="6"/>
        <v>0.70956329602562696</v>
      </c>
      <c r="AA25">
        <f t="shared" si="7"/>
        <v>0.74761224180474151</v>
      </c>
    </row>
    <row r="26" spans="1:27" x14ac:dyDescent="0.3">
      <c r="A26">
        <v>225</v>
      </c>
      <c r="B26">
        <v>652</v>
      </c>
      <c r="D26">
        <v>0.14936733471146901</v>
      </c>
      <c r="E26">
        <v>10.427938422059281</v>
      </c>
      <c r="F26">
        <v>2.0604758975768092E-2</v>
      </c>
      <c r="G26">
        <f t="shared" si="1"/>
        <v>0.11905865674014293</v>
      </c>
      <c r="H26">
        <f t="shared" si="2"/>
        <v>0.16997209368723709</v>
      </c>
      <c r="I26">
        <v>-21.90640522713781</v>
      </c>
      <c r="J26">
        <v>-21.780509658844522</v>
      </c>
      <c r="K26">
        <v>-21.650243739666884</v>
      </c>
      <c r="M26">
        <v>9.9545904641576893E-2</v>
      </c>
      <c r="N26">
        <v>5.5835195846451295</v>
      </c>
      <c r="O26">
        <v>1.5050137012872311E-2</v>
      </c>
      <c r="P26">
        <f t="shared" si="3"/>
        <v>7.5966750480607331E-2</v>
      </c>
      <c r="Q26">
        <f t="shared" si="4"/>
        <v>0.1145960416544492</v>
      </c>
      <c r="R26">
        <v>-22.963342528423325</v>
      </c>
      <c r="S26">
        <v>-22.863144401432493</v>
      </c>
      <c r="T26">
        <v>-22.721015100004262</v>
      </c>
      <c r="U26">
        <v>608.20908312090148</v>
      </c>
      <c r="V26">
        <f t="shared" si="5"/>
        <v>666.45029740852283</v>
      </c>
      <c r="W26">
        <v>689.160737519588</v>
      </c>
      <c r="X26" s="144">
        <f t="shared" si="0"/>
        <v>7.2373764947306893E-2</v>
      </c>
      <c r="Y26">
        <f t="shared" si="8"/>
        <v>0.60960140113289563</v>
      </c>
      <c r="Z26">
        <f t="shared" si="6"/>
        <v>0.66797594176164454</v>
      </c>
      <c r="AA26">
        <f t="shared" si="7"/>
        <v>0.69073837082799583</v>
      </c>
    </row>
    <row r="27" spans="1:27" x14ac:dyDescent="0.3">
      <c r="A27">
        <v>230</v>
      </c>
      <c r="B27">
        <v>500</v>
      </c>
      <c r="D27">
        <v>0.154978273856932</v>
      </c>
      <c r="E27">
        <v>10.590813349093992</v>
      </c>
      <c r="F27">
        <v>2.7068038215287464E-2</v>
      </c>
      <c r="G27">
        <f t="shared" si="1"/>
        <v>0.13437351488116389</v>
      </c>
      <c r="H27">
        <f t="shared" si="2"/>
        <v>0.18204631207221947</v>
      </c>
      <c r="I27">
        <v>-21.519982337730923</v>
      </c>
      <c r="J27">
        <v>-21.46158767704717</v>
      </c>
      <c r="K27">
        <v>-21.299265011241193</v>
      </c>
      <c r="M27">
        <v>0.105088682432432</v>
      </c>
      <c r="N27">
        <v>5.6968567520636615</v>
      </c>
      <c r="O27">
        <v>2.0227350984826028E-2</v>
      </c>
      <c r="P27">
        <f t="shared" si="3"/>
        <v>9.003854541955969E-2</v>
      </c>
      <c r="Q27">
        <f t="shared" si="4"/>
        <v>0.12531603341725803</v>
      </c>
      <c r="R27">
        <v>-22.445302885357012</v>
      </c>
      <c r="S27">
        <v>-22.523120640182771</v>
      </c>
      <c r="T27">
        <v>-22.345328876583576</v>
      </c>
      <c r="U27">
        <v>652.14430547860275</v>
      </c>
      <c r="V27">
        <f t="shared" si="5"/>
        <v>678.08654604996104</v>
      </c>
      <c r="W27">
        <v>707.50701513709578</v>
      </c>
      <c r="X27" s="144">
        <f t="shared" si="0"/>
        <v>7.3526606394483718E-2</v>
      </c>
      <c r="Y27">
        <f t="shared" si="8"/>
        <v>0.65363720041906981</v>
      </c>
      <c r="Z27">
        <f t="shared" si="6"/>
        <v>0.67963882821403487</v>
      </c>
      <c r="AA27">
        <f t="shared" si="7"/>
        <v>0.70912664691854321</v>
      </c>
    </row>
    <row r="28" spans="1:27" x14ac:dyDescent="0.3">
      <c r="A28">
        <v>235</v>
      </c>
      <c r="B28">
        <v>450</v>
      </c>
      <c r="D28">
        <v>0.19512871594315101</v>
      </c>
      <c r="E28">
        <v>10.758153502747934</v>
      </c>
      <c r="F28">
        <v>3.6124189715508598E-2</v>
      </c>
      <c r="G28">
        <f t="shared" si="1"/>
        <v>0.16806067772786354</v>
      </c>
      <c r="H28">
        <f t="shared" si="2"/>
        <v>0.23125290565865961</v>
      </c>
      <c r="I28">
        <v>-21.199864852937989</v>
      </c>
      <c r="J28">
        <v>-21.107353028945408</v>
      </c>
      <c r="K28">
        <v>-20.935732782849378</v>
      </c>
      <c r="M28">
        <v>0.13692172231060101</v>
      </c>
      <c r="N28">
        <v>5.82512444228069</v>
      </c>
      <c r="O28">
        <v>2.792695523407504E-2</v>
      </c>
      <c r="P28">
        <f t="shared" si="3"/>
        <v>0.11669437132577498</v>
      </c>
      <c r="Q28">
        <f t="shared" si="4"/>
        <v>0.16484867754467605</v>
      </c>
      <c r="R28">
        <v>-22.170532603875763</v>
      </c>
      <c r="S28">
        <v>-22.12838648922795</v>
      </c>
      <c r="T28">
        <v>-21.940401469666696</v>
      </c>
      <c r="U28">
        <v>674.5831294870477</v>
      </c>
      <c r="V28">
        <f t="shared" si="5"/>
        <v>701.699499475474</v>
      </c>
      <c r="W28">
        <v>733.96178401447867</v>
      </c>
      <c r="X28" s="144">
        <f t="shared" si="0"/>
        <v>7.4946332357804998E-2</v>
      </c>
      <c r="Y28">
        <f t="shared" si="8"/>
        <v>0.67612739159663793</v>
      </c>
      <c r="Z28">
        <f t="shared" si="6"/>
        <v>0.70330583663688861</v>
      </c>
      <c r="AA28">
        <f t="shared" si="7"/>
        <v>0.73564197630420081</v>
      </c>
    </row>
    <row r="29" spans="1:27" x14ac:dyDescent="0.3">
      <c r="A29">
        <v>240</v>
      </c>
      <c r="B29">
        <v>400</v>
      </c>
      <c r="D29">
        <v>0.24245710220568201</v>
      </c>
      <c r="E29">
        <v>10.963814310649528</v>
      </c>
      <c r="F29">
        <v>4.8305325147797132E-2</v>
      </c>
      <c r="G29">
        <f t="shared" si="1"/>
        <v>0.20633291249017341</v>
      </c>
      <c r="H29">
        <f t="shared" si="2"/>
        <v>0.29076242735347912</v>
      </c>
      <c r="I29">
        <v>-20.79362859368554</v>
      </c>
      <c r="J29">
        <v>-20.750170505014115</v>
      </c>
      <c r="K29">
        <v>-20.566171057126105</v>
      </c>
      <c r="M29">
        <v>0.178097651218387</v>
      </c>
      <c r="N29">
        <v>5.976241516357085</v>
      </c>
      <c r="O29">
        <v>3.9041494980822052E-2</v>
      </c>
      <c r="P29">
        <f t="shared" si="3"/>
        <v>0.15017069598431196</v>
      </c>
      <c r="Q29">
        <f t="shared" si="4"/>
        <v>0.21713914619920904</v>
      </c>
      <c r="R29">
        <v>-21.723362705020939</v>
      </c>
      <c r="S29">
        <v>-21.718962953662416</v>
      </c>
      <c r="T29">
        <v>-21.517543313403269</v>
      </c>
      <c r="U29">
        <v>705.06347024517083</v>
      </c>
      <c r="V29">
        <f t="shared" si="5"/>
        <v>734.55324508210367</v>
      </c>
      <c r="W29">
        <v>770.85263018945989</v>
      </c>
      <c r="X29" s="144">
        <f t="shared" si="0"/>
        <v>7.6677376244942572E-2</v>
      </c>
      <c r="Y29">
        <f t="shared" si="8"/>
        <v>0.70667750824043429</v>
      </c>
      <c r="Z29">
        <f t="shared" si="6"/>
        <v>0.7362347913501216</v>
      </c>
      <c r="AA29">
        <f t="shared" si="7"/>
        <v>0.77261727335476515</v>
      </c>
    </row>
    <row r="30" spans="1:27" x14ac:dyDescent="0.3">
      <c r="A30">
        <v>245</v>
      </c>
      <c r="B30">
        <v>350</v>
      </c>
      <c r="D30">
        <v>0.31499558349552398</v>
      </c>
      <c r="E30">
        <v>11.232763688426983</v>
      </c>
      <c r="F30">
        <v>6.9005485077693107E-2</v>
      </c>
      <c r="G30">
        <f t="shared" si="1"/>
        <v>0.26669025834772686</v>
      </c>
      <c r="H30">
        <f t="shared" si="2"/>
        <v>0.38400106857321709</v>
      </c>
      <c r="I30">
        <v>-20.419167118344568</v>
      </c>
      <c r="J30">
        <v>-20.325970081429222</v>
      </c>
      <c r="K30">
        <v>-20.124656127180703</v>
      </c>
      <c r="M30">
        <v>0.230539629005059</v>
      </c>
      <c r="N30">
        <v>6.1806957263039592</v>
      </c>
      <c r="O30">
        <v>5.5587238243525364E-2</v>
      </c>
      <c r="P30">
        <f t="shared" si="3"/>
        <v>0.19149813402423696</v>
      </c>
      <c r="Q30">
        <f t="shared" si="4"/>
        <v>0.28612686724858438</v>
      </c>
      <c r="R30">
        <v>-21.337375963395466</v>
      </c>
      <c r="S30">
        <v>-21.290014164380711</v>
      </c>
      <c r="T30">
        <v>-21.069596836861255</v>
      </c>
      <c r="U30">
        <v>694.3844577502681</v>
      </c>
      <c r="V30">
        <f t="shared" si="5"/>
        <v>731.88209957342121</v>
      </c>
      <c r="W30">
        <v>771.66532139022138</v>
      </c>
      <c r="X30" s="144">
        <f t="shared" si="0"/>
        <v>7.9013960117321896E-2</v>
      </c>
      <c r="Y30">
        <f t="shared" si="8"/>
        <v>0.69597404924866135</v>
      </c>
      <c r="Z30">
        <f t="shared" si="6"/>
        <v>0.73355753102976073</v>
      </c>
      <c r="AA30">
        <f t="shared" si="7"/>
        <v>0.7734318249759452</v>
      </c>
    </row>
    <row r="31" spans="1:27" x14ac:dyDescent="0.3">
      <c r="A31">
        <v>250</v>
      </c>
      <c r="B31">
        <v>300</v>
      </c>
      <c r="D31">
        <v>0.37161531847225299</v>
      </c>
      <c r="E31">
        <v>11.568938563985556</v>
      </c>
      <c r="F31">
        <v>9.39472857834414E-2</v>
      </c>
      <c r="G31">
        <f t="shared" si="1"/>
        <v>0.30260983339455988</v>
      </c>
      <c r="H31">
        <f t="shared" si="2"/>
        <v>0.4655626042556944</v>
      </c>
      <c r="I31">
        <v>-20.111773839697516</v>
      </c>
      <c r="J31">
        <v>-19.972898386996384</v>
      </c>
      <c r="K31">
        <v>-19.743245719178898</v>
      </c>
      <c r="M31">
        <v>0.27770578063308499</v>
      </c>
      <c r="N31">
        <v>6.4384632442205705</v>
      </c>
      <c r="O31">
        <v>7.583389724102918E-2</v>
      </c>
      <c r="P31">
        <f t="shared" si="3"/>
        <v>0.22211854238955964</v>
      </c>
      <c r="Q31">
        <f t="shared" si="4"/>
        <v>0.35353967787411417</v>
      </c>
      <c r="R31">
        <v>-21.032164188724931</v>
      </c>
      <c r="S31">
        <v>-20.906006306348448</v>
      </c>
      <c r="T31">
        <v>-20.658824541935065</v>
      </c>
      <c r="U31">
        <v>703.26458792946335</v>
      </c>
      <c r="V31">
        <f t="shared" si="5"/>
        <v>747.29368470266695</v>
      </c>
      <c r="W31">
        <v>793.30138965265462</v>
      </c>
      <c r="X31" s="144">
        <f t="shared" si="0"/>
        <v>8.1701603404673556E-2</v>
      </c>
      <c r="Y31">
        <f t="shared" si="8"/>
        <v>0.70487450790623751</v>
      </c>
      <c r="Z31">
        <f t="shared" si="6"/>
        <v>0.74900439650611794</v>
      </c>
      <c r="AA31">
        <f t="shared" si="7"/>
        <v>0.7951174227314205</v>
      </c>
    </row>
    <row r="32" spans="1:27" x14ac:dyDescent="0.3">
      <c r="A32">
        <v>250</v>
      </c>
      <c r="B32">
        <v>300</v>
      </c>
      <c r="D32">
        <v>0.36397906669414698</v>
      </c>
      <c r="E32">
        <v>11.962657896853452</v>
      </c>
      <c r="F32">
        <v>8.9890592394904045E-2</v>
      </c>
      <c r="G32">
        <f t="shared" si="1"/>
        <v>0.27003178091070557</v>
      </c>
      <c r="H32">
        <f t="shared" si="2"/>
        <v>0.45386965908905103</v>
      </c>
      <c r="I32">
        <v>-20.184956367216881</v>
      </c>
      <c r="J32">
        <v>-19.958755788067709</v>
      </c>
      <c r="K32">
        <v>-19.734082337096847</v>
      </c>
      <c r="M32">
        <v>0.26541780987726199</v>
      </c>
      <c r="N32">
        <v>6.737421723432611</v>
      </c>
      <c r="O32">
        <v>7.2508644731792679E-2</v>
      </c>
      <c r="P32">
        <f t="shared" si="3"/>
        <v>0.18958391263623281</v>
      </c>
      <c r="Q32">
        <f t="shared" si="4"/>
        <v>0.33792645460905468</v>
      </c>
      <c r="R32">
        <v>-21.135786184692897</v>
      </c>
      <c r="S32">
        <v>-20.907706950582284</v>
      </c>
      <c r="T32">
        <v>-20.660920675595388</v>
      </c>
      <c r="U32">
        <v>653.74410134174445</v>
      </c>
      <c r="V32">
        <f t="shared" si="5"/>
        <v>729.21174365308661</v>
      </c>
      <c r="W32">
        <v>774.12497422211072</v>
      </c>
      <c r="X32" s="144">
        <f t="shared" si="0"/>
        <v>8.4343323971656128E-2</v>
      </c>
      <c r="Y32">
        <f t="shared" si="8"/>
        <v>0.65524065855010194</v>
      </c>
      <c r="Z32">
        <f t="shared" si="6"/>
        <v>0.73088106210528092</v>
      </c>
      <c r="AA32">
        <f t="shared" si="7"/>
        <v>0.77589710846846782</v>
      </c>
    </row>
    <row r="33" spans="1:27" x14ac:dyDescent="0.3">
      <c r="A33">
        <v>250</v>
      </c>
      <c r="B33">
        <v>300</v>
      </c>
      <c r="D33">
        <v>0.34519114717899502</v>
      </c>
      <c r="E33">
        <v>12.348988726856295</v>
      </c>
      <c r="F33">
        <v>8.5238772110251049E-2</v>
      </c>
      <c r="G33">
        <f t="shared" si="1"/>
        <v>0.25530055478409097</v>
      </c>
      <c r="H33">
        <f t="shared" si="2"/>
        <v>0.43042991928924607</v>
      </c>
      <c r="I33">
        <v>-20.203539654923759</v>
      </c>
      <c r="J33">
        <v>-19.978984285999768</v>
      </c>
      <c r="K33">
        <v>-19.754647739371499</v>
      </c>
      <c r="M33">
        <v>0.248897802473871</v>
      </c>
      <c r="N33">
        <v>7.0230790145470259</v>
      </c>
      <c r="O33">
        <v>6.7986136399718677E-2</v>
      </c>
      <c r="P33">
        <f t="shared" si="3"/>
        <v>0.17638915774207831</v>
      </c>
      <c r="Q33">
        <f t="shared" si="4"/>
        <v>0.31688393887358968</v>
      </c>
      <c r="R33">
        <v>-21.132871308171339</v>
      </c>
      <c r="S33">
        <v>-20.932386365133155</v>
      </c>
      <c r="T33">
        <v>-20.646514362633326</v>
      </c>
      <c r="U33">
        <v>646.83334147170569</v>
      </c>
      <c r="V33">
        <f t="shared" si="5"/>
        <v>721.04341176747448</v>
      </c>
      <c r="W33">
        <v>765.44736008536438</v>
      </c>
      <c r="X33" s="144">
        <f t="shared" si="0"/>
        <v>8.6858185962353299E-2</v>
      </c>
      <c r="Y33">
        <f t="shared" si="8"/>
        <v>0.6483140785029059</v>
      </c>
      <c r="Z33">
        <f t="shared" si="6"/>
        <v>0.72269403119670461</v>
      </c>
      <c r="AA33">
        <f t="shared" si="7"/>
        <v>0.76719962945498898</v>
      </c>
    </row>
    <row r="34" spans="1:27" x14ac:dyDescent="0.3">
      <c r="A34">
        <v>250</v>
      </c>
      <c r="B34">
        <v>10250</v>
      </c>
      <c r="D34">
        <v>8.4829081066253593</v>
      </c>
      <c r="E34">
        <v>12.716739144357899</v>
      </c>
      <c r="F34">
        <v>4.9443126792458318E-2</v>
      </c>
      <c r="G34">
        <f t="shared" si="1"/>
        <v>8.3976693345151077</v>
      </c>
      <c r="H34">
        <f t="shared" si="2"/>
        <v>8.5323512334178169</v>
      </c>
      <c r="I34">
        <v>-19.981207021763495</v>
      </c>
      <c r="J34">
        <v>-19.976436533434331</v>
      </c>
      <c r="K34">
        <v>-19.968993356476926</v>
      </c>
      <c r="M34">
        <v>6.8042168674698704</v>
      </c>
      <c r="N34">
        <v>7.290110745592326</v>
      </c>
      <c r="O34">
        <v>4.2986872947873671E-2</v>
      </c>
      <c r="P34">
        <f t="shared" si="3"/>
        <v>6.7362307310701519</v>
      </c>
      <c r="Q34">
        <f t="shared" si="4"/>
        <v>6.8472037404177444</v>
      </c>
      <c r="R34">
        <v>-20.69319521420865</v>
      </c>
      <c r="S34">
        <v>-20.690674689703993</v>
      </c>
      <c r="T34">
        <v>-20.68221971095274</v>
      </c>
      <c r="U34">
        <v>800.58812683226586</v>
      </c>
      <c r="V34">
        <f t="shared" si="5"/>
        <v>802.10899162701173</v>
      </c>
      <c r="W34">
        <v>803.25078928100095</v>
      </c>
      <c r="X34" s="144">
        <f t="shared" si="0"/>
        <v>0.14505568075559766</v>
      </c>
      <c r="Y34">
        <f t="shared" si="8"/>
        <v>0.80242084077901843</v>
      </c>
      <c r="Z34">
        <f t="shared" si="6"/>
        <v>0.80394518715190288</v>
      </c>
      <c r="AA34">
        <f t="shared" si="7"/>
        <v>0.80508959861993046</v>
      </c>
    </row>
    <row r="35" spans="1:27" x14ac:dyDescent="0.3">
      <c r="A35">
        <v>240</v>
      </c>
      <c r="B35">
        <v>785</v>
      </c>
      <c r="D35">
        <v>0.22612522923310299</v>
      </c>
      <c r="E35">
        <v>21.218729546930575</v>
      </c>
      <c r="F35">
        <v>2.0888872296387254E-2</v>
      </c>
      <c r="G35">
        <f t="shared" si="1"/>
        <v>0.17668210244064467</v>
      </c>
      <c r="H35">
        <f t="shared" si="2"/>
        <v>0.24701410152949024</v>
      </c>
      <c r="I35">
        <v>-20.520082993287787</v>
      </c>
      <c r="J35">
        <v>-20.777833299546604</v>
      </c>
      <c r="K35">
        <v>-20.688921712733308</v>
      </c>
      <c r="M35">
        <v>0.185283164139734</v>
      </c>
      <c r="N35">
        <v>14.115555357703972</v>
      </c>
      <c r="O35">
        <v>1.8687270374551351E-2</v>
      </c>
      <c r="P35">
        <f t="shared" si="3"/>
        <v>0.14229629119186032</v>
      </c>
      <c r="Q35">
        <f t="shared" si="4"/>
        <v>0.20397043451428534</v>
      </c>
      <c r="R35">
        <v>-21.416016051831246</v>
      </c>
      <c r="S35">
        <v>-21.422031275634382</v>
      </c>
      <c r="T35">
        <v>-21.325228263865863</v>
      </c>
      <c r="U35">
        <v>770.53322650183384</v>
      </c>
      <c r="V35">
        <f t="shared" si="5"/>
        <v>819.38297981218795</v>
      </c>
      <c r="W35">
        <v>838.00762489278839</v>
      </c>
      <c r="X35" s="144">
        <f t="shared" si="0"/>
        <v>0.14673347963924613</v>
      </c>
      <c r="Y35">
        <f t="shared" si="8"/>
        <v>0.77229713848518255</v>
      </c>
      <c r="Z35">
        <f t="shared" si="6"/>
        <v>0.82125871911496184</v>
      </c>
      <c r="AA35">
        <f t="shared" si="7"/>
        <v>0.83992599991004335</v>
      </c>
    </row>
    <row r="36" spans="1:27" x14ac:dyDescent="0.3">
      <c r="A36" t="s">
        <v>675</v>
      </c>
      <c r="E36">
        <v>146.14834207494607</v>
      </c>
      <c r="N36">
        <v>145.81454203984794</v>
      </c>
      <c r="V36">
        <f>1000*N36/E36</f>
        <v>997.71601900945984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1C20-89E6-4E7A-BB27-6587F81F0365}">
  <dimension ref="A1:AC36"/>
  <sheetViews>
    <sheetView topLeftCell="H1" zoomScale="85" zoomScaleNormal="85" workbookViewId="0">
      <selection activeCell="S35" sqref="S35:T35"/>
    </sheetView>
  </sheetViews>
  <sheetFormatPr defaultRowHeight="14.4" x14ac:dyDescent="0.3"/>
  <cols>
    <col min="3" max="3" width="2.5546875" customWidth="1"/>
    <col min="4" max="4" width="10.33203125" customWidth="1"/>
    <col min="5" max="5" width="11" customWidth="1"/>
    <col min="8" max="9" width="8.88671875" customWidth="1"/>
    <col min="12" max="12" width="10.109375" customWidth="1"/>
    <col min="13" max="13" width="10" customWidth="1"/>
    <col min="14" max="14" width="3.44140625" customWidth="1"/>
    <col min="15" max="15" width="9.6640625" customWidth="1"/>
    <col min="16" max="16" width="10.6640625" customWidth="1"/>
    <col min="17" max="18" width="12" bestFit="1" customWidth="1"/>
    <col min="20" max="20" width="10.33203125" customWidth="1"/>
    <col min="21" max="21" width="10.109375" customWidth="1"/>
    <col min="22" max="22" width="11" customWidth="1"/>
  </cols>
  <sheetData>
    <row r="1" spans="1:29" s="4" customFormat="1" ht="44.4" customHeight="1" x14ac:dyDescent="0.3">
      <c r="A1" s="4" t="s">
        <v>300</v>
      </c>
      <c r="B1" s="4" t="s">
        <v>301</v>
      </c>
      <c r="D1" s="4" t="s">
        <v>652</v>
      </c>
      <c r="E1" s="4" t="s">
        <v>653</v>
      </c>
      <c r="F1" s="4" t="s">
        <v>683</v>
      </c>
      <c r="G1" s="58" t="s">
        <v>687</v>
      </c>
      <c r="H1" s="4" t="s">
        <v>685</v>
      </c>
      <c r="I1" s="58" t="s">
        <v>687</v>
      </c>
      <c r="J1" s="4" t="s">
        <v>684</v>
      </c>
      <c r="K1" s="58" t="s">
        <v>687</v>
      </c>
      <c r="L1" s="4" t="s">
        <v>686</v>
      </c>
      <c r="M1" s="58" t="s">
        <v>687</v>
      </c>
      <c r="O1" s="4" t="s">
        <v>663</v>
      </c>
      <c r="P1" s="4" t="s">
        <v>664</v>
      </c>
      <c r="Q1" s="4" t="s">
        <v>688</v>
      </c>
      <c r="R1" s="58" t="s">
        <v>687</v>
      </c>
      <c r="S1" s="4" t="s">
        <v>689</v>
      </c>
      <c r="T1" s="58" t="s">
        <v>687</v>
      </c>
      <c r="U1" s="4" t="s">
        <v>690</v>
      </c>
      <c r="V1" s="58" t="s">
        <v>687</v>
      </c>
      <c r="W1" s="4" t="s">
        <v>691</v>
      </c>
      <c r="X1" s="58" t="s">
        <v>687</v>
      </c>
      <c r="Y1" s="4" t="s">
        <v>693</v>
      </c>
      <c r="Z1" s="58" t="s">
        <v>687</v>
      </c>
      <c r="AA1" s="4" t="s">
        <v>676</v>
      </c>
      <c r="AB1" s="4" t="s">
        <v>692</v>
      </c>
      <c r="AC1" s="58" t="s">
        <v>687</v>
      </c>
    </row>
    <row r="2" spans="1:29" x14ac:dyDescent="0.3">
      <c r="A2">
        <v>170</v>
      </c>
      <c r="B2">
        <v>300</v>
      </c>
      <c r="D2">
        <v>0.96295641608282601</v>
      </c>
      <c r="E2">
        <v>0</v>
      </c>
      <c r="F2">
        <v>0</v>
      </c>
      <c r="G2">
        <v>0</v>
      </c>
      <c r="H2" s="144">
        <v>0.1967747923454479</v>
      </c>
      <c r="I2" s="144">
        <v>2.2175266934817351E-2</v>
      </c>
      <c r="J2" s="144">
        <f>D2+H2-F2</f>
        <v>1.1597312084282738</v>
      </c>
      <c r="K2" s="144">
        <v>2.6265117316231646E-2</v>
      </c>
      <c r="L2" s="144">
        <v>-21.909783861687121</v>
      </c>
      <c r="M2" s="144">
        <v>4.5295180685578793E-2</v>
      </c>
      <c r="O2">
        <v>1.9201957516247901E-2</v>
      </c>
      <c r="P2">
        <v>0</v>
      </c>
      <c r="Q2">
        <v>0</v>
      </c>
      <c r="R2" s="144">
        <v>0</v>
      </c>
      <c r="S2" s="144">
        <v>3.1009131130839661E-3</v>
      </c>
      <c r="T2" s="144">
        <v>1.3938601398530105E-3</v>
      </c>
      <c r="U2" s="144">
        <v>1.687065365807925E-2</v>
      </c>
      <c r="V2" s="144">
        <v>5.6870596158773669E-3</v>
      </c>
      <c r="W2" s="144">
        <v>-30.365946045187574</v>
      </c>
      <c r="X2" s="144">
        <v>0.67419552687620621</v>
      </c>
      <c r="Y2" s="144">
        <v>14.54703774070477</v>
      </c>
      <c r="Z2" s="144">
        <v>4.9148284979059476</v>
      </c>
      <c r="AA2" s="144">
        <v>7.9353018444338844E-3</v>
      </c>
      <c r="AB2">
        <v>1.4580342060309854E-2</v>
      </c>
      <c r="AC2">
        <v>4.9285444533606953E-3</v>
      </c>
    </row>
    <row r="3" spans="1:29" x14ac:dyDescent="0.3">
      <c r="A3">
        <v>180</v>
      </c>
      <c r="B3">
        <v>463</v>
      </c>
      <c r="D3">
        <v>0.544184151846411</v>
      </c>
      <c r="E3">
        <v>0.96295641608282601</v>
      </c>
      <c r="F3">
        <v>7.2623003005953646E-2</v>
      </c>
      <c r="G3">
        <v>1.2879227825012298E-2</v>
      </c>
      <c r="H3" s="144">
        <v>7.8160263259984125E-2</v>
      </c>
      <c r="I3" s="144">
        <v>4.9292849630535917E-3</v>
      </c>
      <c r="J3" s="144">
        <f t="shared" ref="J3:J35" si="0">D3+H3-F3</f>
        <v>0.54972141210044145</v>
      </c>
      <c r="K3" s="144">
        <v>1.6048764198593045E-2</v>
      </c>
      <c r="L3" s="144">
        <v>-22.184421007270576</v>
      </c>
      <c r="M3" s="144">
        <v>8.9470864262307326E-2</v>
      </c>
      <c r="O3">
        <v>3.0467213114754099E-2</v>
      </c>
      <c r="P3">
        <v>1.9201957516247901E-2</v>
      </c>
      <c r="Q3">
        <v>1.1378019818397583E-3</v>
      </c>
      <c r="R3" s="144">
        <v>5.2963107286112623E-4</v>
      </c>
      <c r="S3" s="144">
        <v>3.9900145973822271E-3</v>
      </c>
      <c r="T3" s="144">
        <v>1.1185295369623746E-3</v>
      </c>
      <c r="U3" s="144">
        <v>2.8059920184634268E-2</v>
      </c>
      <c r="V3" s="144">
        <v>5.5219583881615407E-3</v>
      </c>
      <c r="W3" s="144">
        <v>-28.998102720984868</v>
      </c>
      <c r="X3" s="144">
        <v>0.44635095719397166</v>
      </c>
      <c r="Y3" s="144">
        <v>51.043891627614727</v>
      </c>
      <c r="Z3" s="144">
        <v>10.154947113713742</v>
      </c>
      <c r="AA3" s="144">
        <v>1.1696695263584269E-2</v>
      </c>
      <c r="AB3">
        <v>5.1160752675956996E-2</v>
      </c>
      <c r="AC3">
        <v>1.019287102298122E-2</v>
      </c>
    </row>
    <row r="4" spans="1:29" x14ac:dyDescent="0.3">
      <c r="A4">
        <v>190</v>
      </c>
      <c r="B4">
        <v>550</v>
      </c>
      <c r="D4">
        <v>0.52920163854343805</v>
      </c>
      <c r="E4">
        <v>1.624118796026139</v>
      </c>
      <c r="F4">
        <v>1.9451379933409806E-2</v>
      </c>
      <c r="G4">
        <v>2.5358499189087418E-3</v>
      </c>
      <c r="H4" s="144">
        <v>6.7948182809747334E-2</v>
      </c>
      <c r="I4" s="144">
        <v>8.195961181018542E-3</v>
      </c>
      <c r="J4" s="144">
        <f t="shared" si="0"/>
        <v>0.57769844141977555</v>
      </c>
      <c r="K4" s="144">
        <v>1.2950250979173827E-2</v>
      </c>
      <c r="L4" s="144">
        <v>-21.975554541085934</v>
      </c>
      <c r="M4" s="144">
        <v>8.5490762351553409E-2</v>
      </c>
      <c r="O4">
        <v>5.5770491803278699E-2</v>
      </c>
      <c r="P4">
        <v>6.5965821544759856E-2</v>
      </c>
      <c r="Q4">
        <v>1.2192275405758278E-3</v>
      </c>
      <c r="R4" s="144">
        <v>3.7964231030913659E-4</v>
      </c>
      <c r="S4" s="144">
        <v>7.418645134132461E-3</v>
      </c>
      <c r="T4" s="144">
        <v>1.6311145092833337E-3</v>
      </c>
      <c r="U4" s="144">
        <v>5.8627855988699525E-2</v>
      </c>
      <c r="V4" s="144">
        <v>3.9483135204425122E-3</v>
      </c>
      <c r="W4" s="144">
        <v>-27.556085898039413</v>
      </c>
      <c r="X4" s="144">
        <v>0.23255939127033884</v>
      </c>
      <c r="Y4" s="144">
        <v>101.48522444445805</v>
      </c>
      <c r="Z4" s="144">
        <v>7.2032472134008962</v>
      </c>
      <c r="AA4" s="144">
        <v>1.5649517671405544E-2</v>
      </c>
      <c r="AB4">
        <v>0.10171756702927411</v>
      </c>
      <c r="AC4">
        <v>7.3011181779714914E-3</v>
      </c>
    </row>
    <row r="5" spans="1:29" x14ac:dyDescent="0.3">
      <c r="A5">
        <v>200</v>
      </c>
      <c r="B5">
        <v>500</v>
      </c>
      <c r="D5">
        <v>0.51895322426698798</v>
      </c>
      <c r="E5">
        <v>2.2112310169217499</v>
      </c>
      <c r="F5">
        <v>3.2775020382518054E-2</v>
      </c>
      <c r="G5">
        <v>5.4235857465404404E-3</v>
      </c>
      <c r="H5">
        <v>5.3183279588532931E-2</v>
      </c>
      <c r="I5">
        <v>5.773401449484912E-3</v>
      </c>
      <c r="J5" s="144">
        <f t="shared" si="0"/>
        <v>0.53936148347300295</v>
      </c>
      <c r="K5" s="144">
        <v>1.1455177618815199E-2</v>
      </c>
      <c r="L5">
        <v>-21.702439189377039</v>
      </c>
      <c r="M5">
        <v>8.8151326738702712E-2</v>
      </c>
      <c r="O5">
        <v>0.102413793103448</v>
      </c>
      <c r="P5">
        <v>0.13751482998502546</v>
      </c>
      <c r="Q5">
        <v>3.7747989928730518E-3</v>
      </c>
      <c r="R5">
        <v>8.8466314779341623E-4</v>
      </c>
      <c r="S5">
        <v>1.1205384141335447E-2</v>
      </c>
      <c r="T5">
        <v>2.3022532248693026E-3</v>
      </c>
      <c r="U5">
        <v>0.10664592866541502</v>
      </c>
      <c r="V5">
        <v>4.4234432660537615E-3</v>
      </c>
      <c r="W5">
        <v>-26.114345047519155</v>
      </c>
      <c r="X5">
        <v>0.13428898740385614</v>
      </c>
      <c r="Y5">
        <v>197.72625953694566</v>
      </c>
      <c r="Z5">
        <v>9.21387703945053</v>
      </c>
      <c r="AA5" s="144">
        <v>1.9340024698823028E-2</v>
      </c>
      <c r="AB5">
        <v>0.19817893854000551</v>
      </c>
      <c r="AC5">
        <v>9.4747247923145199E-3</v>
      </c>
    </row>
    <row r="6" spans="1:29" x14ac:dyDescent="0.3">
      <c r="A6">
        <v>210</v>
      </c>
      <c r="B6">
        <v>475</v>
      </c>
      <c r="D6">
        <v>0.57702821305164198</v>
      </c>
      <c r="E6">
        <v>2.7646138270456992</v>
      </c>
      <c r="F6">
        <v>1.4061491057597691E-2</v>
      </c>
      <c r="G6">
        <v>2.1106009719806212E-3</v>
      </c>
      <c r="H6">
        <v>5.5214985605355787E-2</v>
      </c>
      <c r="I6">
        <v>5.7108534338673744E-3</v>
      </c>
      <c r="J6" s="144">
        <f t="shared" si="0"/>
        <v>0.61818170759940005</v>
      </c>
      <c r="K6" s="144">
        <v>1.1701238428196283E-2</v>
      </c>
      <c r="L6">
        <v>-21.310696745391002</v>
      </c>
      <c r="M6">
        <v>8.2220743379991648E-2</v>
      </c>
      <c r="O6">
        <v>0.145987300080372</v>
      </c>
      <c r="P6">
        <v>0.2499547833128809</v>
      </c>
      <c r="Q6">
        <v>3.3236459809109116E-3</v>
      </c>
      <c r="R6">
        <v>8.3925303164672765E-4</v>
      </c>
      <c r="S6">
        <v>1.4784639366699041E-2</v>
      </c>
      <c r="T6">
        <v>3.0258067642394177E-3</v>
      </c>
      <c r="U6">
        <v>0.151661573734031</v>
      </c>
      <c r="V6">
        <v>7.1272338165366805E-3</v>
      </c>
      <c r="W6">
        <v>-25.110289852160104</v>
      </c>
      <c r="X6">
        <v>0.11174359368570641</v>
      </c>
      <c r="Y6">
        <v>245.33494257373297</v>
      </c>
      <c r="Z6">
        <v>12.429439534524285</v>
      </c>
      <c r="AA6" s="144">
        <v>2.3569848306964895E-2</v>
      </c>
      <c r="AB6">
        <v>0.24589661798032847</v>
      </c>
      <c r="AC6">
        <v>1.2732049538063284E-2</v>
      </c>
    </row>
    <row r="7" spans="1:29" x14ac:dyDescent="0.3">
      <c r="A7">
        <v>220</v>
      </c>
      <c r="B7">
        <v>450</v>
      </c>
      <c r="D7">
        <v>0.63333256423751405</v>
      </c>
      <c r="E7">
        <v>3.3798521929721193</v>
      </c>
      <c r="F7">
        <v>1.1048429217312555E-2</v>
      </c>
      <c r="G7">
        <v>1.7956689666237637E-3</v>
      </c>
      <c r="H7">
        <v>4.6933864159026679E-2</v>
      </c>
      <c r="I7">
        <v>4.5756477228355748E-3</v>
      </c>
      <c r="J7" s="144">
        <f t="shared" si="0"/>
        <v>0.6692179991792282</v>
      </c>
      <c r="K7" s="144">
        <v>1.2436422611370901E-2</v>
      </c>
      <c r="L7">
        <v>-20.990584057760397</v>
      </c>
      <c r="M7">
        <v>7.982463477357192E-2</v>
      </c>
      <c r="O7">
        <v>0.20905016447368399</v>
      </c>
      <c r="P7">
        <v>0.40553743215273907</v>
      </c>
      <c r="Q7">
        <v>3.3997315985360094E-3</v>
      </c>
      <c r="R7">
        <v>9.2109958727305309E-4</v>
      </c>
      <c r="S7">
        <v>1.6429688536583338E-2</v>
      </c>
      <c r="T7">
        <v>3.3091405272169874E-3</v>
      </c>
      <c r="U7">
        <v>0.21420487284735309</v>
      </c>
      <c r="V7">
        <v>9.4861651864119653E-3</v>
      </c>
      <c r="W7">
        <v>-24.216520641243555</v>
      </c>
      <c r="X7">
        <v>9.8127706096721806E-2</v>
      </c>
      <c r="Y7">
        <v>320.08235449445124</v>
      </c>
      <c r="Z7">
        <v>15.372454805119547</v>
      </c>
      <c r="AA7" s="144">
        <v>2.8148880745362641E-2</v>
      </c>
      <c r="AB7">
        <v>0.3208151583287468</v>
      </c>
      <c r="AC7">
        <v>1.5784509386032028E-2</v>
      </c>
    </row>
    <row r="8" spans="1:29" x14ac:dyDescent="0.3">
      <c r="A8">
        <v>230</v>
      </c>
      <c r="B8">
        <v>425</v>
      </c>
      <c r="D8">
        <v>0.78987804878048695</v>
      </c>
      <c r="E8">
        <v>4.0551293336322498</v>
      </c>
      <c r="F8">
        <v>5.8701709041388637E-3</v>
      </c>
      <c r="G8">
        <v>1.8638899258493595E-3</v>
      </c>
      <c r="H8">
        <v>6.3852973450545303E-2</v>
      </c>
      <c r="I8">
        <v>3.4783534075836665E-3</v>
      </c>
      <c r="J8" s="144">
        <f t="shared" si="0"/>
        <v>0.84786085132689337</v>
      </c>
      <c r="K8" s="144">
        <v>1.2467122897981176E-2</v>
      </c>
      <c r="L8">
        <v>-20.513906927225889</v>
      </c>
      <c r="M8">
        <v>6.6216778962641901E-2</v>
      </c>
      <c r="O8">
        <v>0.32434102141680399</v>
      </c>
      <c r="P8">
        <v>0.63194775582281049</v>
      </c>
      <c r="Q8">
        <v>2.7936766719921652E-3</v>
      </c>
      <c r="R8">
        <v>8.2078602490888431E-4</v>
      </c>
      <c r="S8">
        <v>2.8285436826283157E-2</v>
      </c>
      <c r="T8">
        <v>5.1118447904412029E-3</v>
      </c>
      <c r="U8">
        <v>0.3429896184738957</v>
      </c>
      <c r="V8">
        <v>9.6837745520694674E-3</v>
      </c>
      <c r="W8">
        <v>-23.222308196522327</v>
      </c>
      <c r="X8">
        <v>7.3294699018407475E-2</v>
      </c>
      <c r="Y8">
        <v>404.53527007069675</v>
      </c>
      <c r="Z8">
        <v>12.877575230283414</v>
      </c>
      <c r="AA8" s="144">
        <v>3.3950252415334121E-2</v>
      </c>
      <c r="AB8">
        <v>0.40546142233386612</v>
      </c>
      <c r="AC8">
        <v>1.3615016148711589E-2</v>
      </c>
    </row>
    <row r="9" spans="1:29" x14ac:dyDescent="0.3">
      <c r="A9">
        <v>225</v>
      </c>
      <c r="B9">
        <v>908</v>
      </c>
      <c r="D9">
        <v>0.75127118186624997</v>
      </c>
      <c r="E9">
        <v>4.8885443360909573</v>
      </c>
      <c r="F9">
        <v>1.947863793637887E-2</v>
      </c>
      <c r="G9">
        <v>2.4538493498737607E-3</v>
      </c>
      <c r="H9">
        <v>4.2015245291308158E-2</v>
      </c>
      <c r="I9">
        <v>4.9388402064205403E-3</v>
      </c>
      <c r="J9" s="144">
        <f t="shared" si="0"/>
        <v>0.77380778922117932</v>
      </c>
      <c r="K9" s="144">
        <v>1.417490492811602E-2</v>
      </c>
      <c r="L9">
        <v>-21.200057638176556</v>
      </c>
      <c r="M9">
        <v>0.12143479295866241</v>
      </c>
      <c r="O9">
        <v>0.34826732673267302</v>
      </c>
      <c r="P9">
        <v>0.97991452293274905</v>
      </c>
      <c r="Q9">
        <v>1.3927438892744202E-2</v>
      </c>
      <c r="R9">
        <v>2.7570481519643662E-3</v>
      </c>
      <c r="S9">
        <v>1.460683990827818E-2</v>
      </c>
      <c r="T9">
        <v>3.4357229782361366E-3</v>
      </c>
      <c r="U9">
        <v>0.35165185006413324</v>
      </c>
      <c r="V9">
        <v>7.5838750923087105E-3</v>
      </c>
      <c r="W9">
        <v>-23.574938196375737</v>
      </c>
      <c r="X9">
        <v>0.11382951164016314</v>
      </c>
      <c r="Y9">
        <v>454.44340954239186</v>
      </c>
      <c r="Z9">
        <v>12.859013695594404</v>
      </c>
      <c r="AA9" s="144">
        <v>3.9244926157335006E-2</v>
      </c>
      <c r="AB9">
        <v>0.45548382263704373</v>
      </c>
      <c r="AC9">
        <v>1.3777065462470293E-2</v>
      </c>
    </row>
    <row r="10" spans="1:29" x14ac:dyDescent="0.3">
      <c r="A10">
        <v>215</v>
      </c>
      <c r="B10">
        <v>450</v>
      </c>
      <c r="D10">
        <v>0.141512821493641</v>
      </c>
      <c r="E10">
        <v>5.6841898534713735</v>
      </c>
      <c r="F10">
        <v>1.30975284289475E-2</v>
      </c>
      <c r="G10">
        <v>1.8524800249933894E-3</v>
      </c>
      <c r="H10">
        <v>2.7835423404272388E-2</v>
      </c>
      <c r="I10">
        <v>3.5378590512173558E-3</v>
      </c>
      <c r="J10" s="144">
        <f t="shared" si="0"/>
        <v>0.15625071646896588</v>
      </c>
      <c r="K10" s="144">
        <v>6.4784413975517603E-3</v>
      </c>
      <c r="L10">
        <v>-22.014553440567788</v>
      </c>
      <c r="M10">
        <v>0.31623194112326086</v>
      </c>
      <c r="O10">
        <v>7.1590909090909094E-2</v>
      </c>
      <c r="P10">
        <v>1.34871133895702</v>
      </c>
      <c r="Q10">
        <v>7.317302239875441E-3</v>
      </c>
      <c r="R10">
        <v>1.725219105475006E-3</v>
      </c>
      <c r="S10">
        <v>5.6389360745929913E-3</v>
      </c>
      <c r="T10">
        <v>2.5062963734370659E-3</v>
      </c>
      <c r="U10">
        <v>7.4672983949394506E-2</v>
      </c>
      <c r="V10">
        <v>7.4798385123085055E-3</v>
      </c>
      <c r="W10">
        <v>-24.244578690033645</v>
      </c>
      <c r="X10">
        <v>0.31827009372925641</v>
      </c>
      <c r="Y10">
        <v>477.90490589030907</v>
      </c>
      <c r="Z10">
        <v>51.809606061387193</v>
      </c>
      <c r="AA10" s="144">
        <v>4.0314050269525337E-2</v>
      </c>
      <c r="AB10">
        <v>0.478999032269185</v>
      </c>
      <c r="AC10">
        <v>5.2179930381857226E-2</v>
      </c>
    </row>
    <row r="11" spans="1:29" x14ac:dyDescent="0.3">
      <c r="A11">
        <v>205</v>
      </c>
      <c r="B11">
        <v>520</v>
      </c>
      <c r="D11">
        <v>7.6269133314252294E-2</v>
      </c>
      <c r="E11">
        <v>5.8529134968853125</v>
      </c>
      <c r="F11">
        <v>7.178946642807325E-3</v>
      </c>
      <c r="G11">
        <v>1.2252106964655628E-3</v>
      </c>
      <c r="H11">
        <v>1.2527671412278825E-2</v>
      </c>
      <c r="I11">
        <v>1.6251792718410003E-3</v>
      </c>
      <c r="J11" s="144">
        <f t="shared" si="0"/>
        <v>8.1617858083723793E-2</v>
      </c>
      <c r="K11" s="144">
        <v>8.0957866822480816E-3</v>
      </c>
      <c r="L11">
        <v>-22.788297334130629</v>
      </c>
      <c r="M11">
        <v>0.82913173978727128</v>
      </c>
      <c r="O11">
        <v>3.8451904805222398E-2</v>
      </c>
      <c r="P11">
        <v>1.4359486872794978</v>
      </c>
      <c r="Q11">
        <v>3.0133740351740916E-3</v>
      </c>
      <c r="R11">
        <v>8.6520412073250847E-4</v>
      </c>
      <c r="S11">
        <v>8.9812641845970261E-3</v>
      </c>
      <c r="T11">
        <v>8.2524946483063313E-3</v>
      </c>
      <c r="U11">
        <v>3.3776750482642656E-2</v>
      </c>
      <c r="V11">
        <v>1.2008459341336264E-2</v>
      </c>
      <c r="W11">
        <v>-25.141887016861883</v>
      </c>
      <c r="X11">
        <v>1.0218499139981319</v>
      </c>
      <c r="Y11">
        <v>413.84019717834769</v>
      </c>
      <c r="Z11">
        <v>152.74938324549828</v>
      </c>
      <c r="AA11" s="144">
        <v>4.0872509277167512E-2</v>
      </c>
      <c r="AB11">
        <v>0.41478765235361631</v>
      </c>
      <c r="AC11">
        <v>0.15316325264137026</v>
      </c>
    </row>
    <row r="12" spans="1:29" x14ac:dyDescent="0.3">
      <c r="A12">
        <v>195</v>
      </c>
      <c r="B12">
        <v>1106</v>
      </c>
      <c r="D12">
        <v>6.7045156410478396E-2</v>
      </c>
      <c r="E12">
        <v>5.9491316303760451</v>
      </c>
      <c r="F12">
        <v>2.1161706643875824E-3</v>
      </c>
      <c r="G12">
        <v>4.022099333139018E-4</v>
      </c>
      <c r="H12">
        <v>3.0718162510601343E-2</v>
      </c>
      <c r="I12">
        <v>2.8583370762273437E-3</v>
      </c>
      <c r="J12" s="144">
        <f t="shared" si="0"/>
        <v>9.5647148256692155E-2</v>
      </c>
      <c r="K12" s="144">
        <v>3.229441717397656E-3</v>
      </c>
      <c r="L12">
        <v>-23.369526603602075</v>
      </c>
      <c r="M12">
        <v>1.0943842268833679</v>
      </c>
      <c r="O12">
        <v>3.3582644628099102E-2</v>
      </c>
      <c r="P12">
        <v>1.4912304433243895</v>
      </c>
      <c r="Q12">
        <v>9.4714757721476857E-4</v>
      </c>
      <c r="R12">
        <v>4.6754254793300592E-4</v>
      </c>
      <c r="S12">
        <v>8.675347306338826E-4</v>
      </c>
      <c r="T12">
        <v>2.636710912369165E-3</v>
      </c>
      <c r="U12">
        <v>2.5821359567104286E-2</v>
      </c>
      <c r="V12">
        <v>1.7984596052889303E-2</v>
      </c>
      <c r="W12">
        <v>-26.143495371894339</v>
      </c>
      <c r="X12">
        <v>2.313209463630538</v>
      </c>
      <c r="Y12">
        <v>269.96476149823565</v>
      </c>
      <c r="Z12">
        <v>188.25146251009451</v>
      </c>
      <c r="AA12" s="144">
        <v>4.1526961780006331E-2</v>
      </c>
      <c r="AB12">
        <v>0.27058282497337804</v>
      </c>
      <c r="AC12">
        <v>0.18870460765699165</v>
      </c>
    </row>
    <row r="13" spans="1:29" x14ac:dyDescent="0.3">
      <c r="A13">
        <v>185</v>
      </c>
      <c r="B13">
        <v>740</v>
      </c>
      <c r="D13">
        <v>2.2678534031413601E-2</v>
      </c>
      <c r="E13">
        <v>6.024602455718326</v>
      </c>
      <c r="F13">
        <v>1.2547163577763207E-2</v>
      </c>
      <c r="G13">
        <v>1.6424097579863432E-3</v>
      </c>
      <c r="H13">
        <v>9.0187931113335108E-3</v>
      </c>
      <c r="I13">
        <v>1.0554907840374891E-3</v>
      </c>
      <c r="J13" s="144">
        <f t="shared" si="0"/>
        <v>1.9150163564983905E-2</v>
      </c>
      <c r="K13" s="144">
        <v>1.9966670604714739E-3</v>
      </c>
      <c r="L13">
        <v>-24.566538736322304</v>
      </c>
      <c r="M13">
        <v>2.8220158173011893</v>
      </c>
      <c r="O13">
        <v>7.9399336711820697E-3</v>
      </c>
      <c r="P13">
        <v>1.5467152370384845</v>
      </c>
      <c r="Q13">
        <v>4.940501785141705E-3</v>
      </c>
      <c r="R13">
        <v>4.5578930851516639E-3</v>
      </c>
      <c r="S13">
        <v>3.3876629484477574E-3</v>
      </c>
      <c r="T13">
        <v>1.0710752463649091E-3</v>
      </c>
      <c r="U13">
        <v>-2.0934811445197711E-3</v>
      </c>
      <c r="V13">
        <v>7.9846347126861644E-3</v>
      </c>
      <c r="W13" s="144" t="s">
        <v>656</v>
      </c>
      <c r="X13" s="144" t="s">
        <v>656</v>
      </c>
      <c r="Y13" s="144" t="s">
        <v>656</v>
      </c>
      <c r="Z13" s="144" t="s">
        <v>656</v>
      </c>
      <c r="AA13" s="144">
        <v>4.1657994149536484E-2</v>
      </c>
      <c r="AB13" s="144" t="s">
        <v>656</v>
      </c>
      <c r="AC13" s="144" t="s">
        <v>656</v>
      </c>
    </row>
    <row r="14" spans="1:29" x14ac:dyDescent="0.3">
      <c r="A14">
        <v>175</v>
      </c>
      <c r="B14">
        <v>920</v>
      </c>
      <c r="D14">
        <v>1.80179115952207E-2</v>
      </c>
      <c r="E14">
        <v>6.0610322665028766</v>
      </c>
      <c r="F14">
        <v>3.6825969058136296E-3</v>
      </c>
      <c r="G14">
        <v>5.0180094803285236E-4</v>
      </c>
      <c r="H14">
        <v>4.5294537172462122E-3</v>
      </c>
      <c r="I14">
        <v>4.4232016329736658E-4</v>
      </c>
      <c r="J14" s="144">
        <f t="shared" si="0"/>
        <v>1.8864768406653284E-2</v>
      </c>
      <c r="K14" s="144">
        <v>7.4198426911484022E-4</v>
      </c>
      <c r="L14">
        <v>-24.79615536754115</v>
      </c>
      <c r="M14">
        <v>3.796616898766414</v>
      </c>
      <c r="O14">
        <v>1.5191836823502501E-2</v>
      </c>
      <c r="P14">
        <v>1.602041375714798</v>
      </c>
      <c r="Q14">
        <v>3.8216053085683211E-4</v>
      </c>
      <c r="R14">
        <v>1.1621213594321803E-3</v>
      </c>
      <c r="S14">
        <v>4.9308641590482443E-3</v>
      </c>
      <c r="T14">
        <v>1.0835013112484215E-3</v>
      </c>
      <c r="U14">
        <v>1.5233569449961109E-2</v>
      </c>
      <c r="V14">
        <v>3.4152995735799792E-3</v>
      </c>
      <c r="W14">
        <v>-26.473909188061903</v>
      </c>
      <c r="X14">
        <v>3.2859664931388943</v>
      </c>
      <c r="Y14">
        <v>807.51425734908503</v>
      </c>
      <c r="Z14">
        <v>183.80603799458487</v>
      </c>
      <c r="AA14" s="144">
        <v>4.1787073741811155E-2</v>
      </c>
      <c r="AB14">
        <v>0.80936299888614471</v>
      </c>
      <c r="AC14">
        <v>0.18442979393859729</v>
      </c>
    </row>
    <row r="15" spans="1:29" x14ac:dyDescent="0.3">
      <c r="A15">
        <v>200</v>
      </c>
      <c r="B15">
        <v>260</v>
      </c>
      <c r="D15">
        <v>2.24239448032976E-2</v>
      </c>
      <c r="E15">
        <v>6.0813780844820462</v>
      </c>
      <c r="F15">
        <v>6.526979738586962E-4</v>
      </c>
      <c r="G15">
        <v>1.1734453031074565E-4</v>
      </c>
      <c r="H15">
        <v>9.5398478354524214E-3</v>
      </c>
      <c r="I15">
        <v>1.2336484151398209E-3</v>
      </c>
      <c r="J15" s="144">
        <f t="shared" si="0"/>
        <v>3.1311094664891327E-2</v>
      </c>
      <c r="K15" s="144">
        <v>1.6538991465150801E-3</v>
      </c>
      <c r="L15">
        <v>-23.0216810083603</v>
      </c>
      <c r="M15">
        <v>1.4946288944539046</v>
      </c>
      <c r="O15">
        <v>1.0662386255492901E-2</v>
      </c>
      <c r="P15">
        <v>1.6351145558218827</v>
      </c>
      <c r="Q15">
        <v>5.7713743379339641E-4</v>
      </c>
      <c r="R15">
        <v>2.2026513528158382E-4</v>
      </c>
      <c r="S15">
        <v>1.0697839053705903E-2</v>
      </c>
      <c r="T15">
        <v>3.2208978119430486E-2</v>
      </c>
      <c r="U15">
        <v>1.4870744250674179E-2</v>
      </c>
      <c r="V15">
        <v>1.1240999958782886E-3</v>
      </c>
      <c r="W15">
        <v>-25.223707932679442</v>
      </c>
      <c r="X15">
        <v>2.21384058846205</v>
      </c>
      <c r="Y15">
        <v>474.93530359858437</v>
      </c>
      <c r="Z15">
        <v>43.797603801519429</v>
      </c>
      <c r="AA15" s="144">
        <v>4.2001315615652152E-2</v>
      </c>
      <c r="AB15">
        <v>0.47602263130232197</v>
      </c>
      <c r="AC15">
        <v>4.4191671891852302E-2</v>
      </c>
    </row>
    <row r="16" spans="1:29" x14ac:dyDescent="0.3">
      <c r="A16">
        <v>210</v>
      </c>
      <c r="B16">
        <v>520</v>
      </c>
      <c r="D16">
        <v>8.1207064838573401E-2</v>
      </c>
      <c r="E16">
        <v>6.1080940573054585</v>
      </c>
      <c r="F16">
        <v>7.4821397764346315E-3</v>
      </c>
      <c r="G16">
        <v>9.9817571355020982E-4</v>
      </c>
      <c r="H16">
        <v>1.4484922268282383E-2</v>
      </c>
      <c r="I16">
        <v>1.3220238405334162E-3</v>
      </c>
      <c r="J16" s="144">
        <f t="shared" si="0"/>
        <v>8.8209847330421143E-2</v>
      </c>
      <c r="K16" s="144">
        <v>3.8531533254852145E-3</v>
      </c>
      <c r="L16">
        <v>-22.669369036207119</v>
      </c>
      <c r="M16">
        <v>1.1351699905785733</v>
      </c>
      <c r="O16">
        <v>0.21658617347290901</v>
      </c>
      <c r="P16">
        <v>1.6546682514507727</v>
      </c>
      <c r="Q16">
        <v>3.9493592537265263E-3</v>
      </c>
      <c r="R16">
        <v>8.8699153070486141E-4</v>
      </c>
      <c r="S16">
        <v>1.2006305691274735E-2</v>
      </c>
      <c r="T16">
        <v>5.5394491635595853E-3</v>
      </c>
      <c r="U16">
        <v>6.1170253936645949E-2</v>
      </c>
      <c r="V16">
        <v>0.16664480308256807</v>
      </c>
      <c r="W16">
        <v>-24.476268765849518</v>
      </c>
      <c r="X16">
        <v>3.0111866456378014</v>
      </c>
      <c r="Y16">
        <v>693.46287050595561</v>
      </c>
      <c r="Z16">
        <v>1889.4287725561046</v>
      </c>
      <c r="AA16" s="144">
        <v>4.2604879406236834E-2</v>
      </c>
      <c r="AB16">
        <v>0.69505050019972925</v>
      </c>
      <c r="AC16">
        <v>1.8937690416228767</v>
      </c>
    </row>
    <row r="17" spans="1:29" x14ac:dyDescent="0.3">
      <c r="A17">
        <v>220</v>
      </c>
      <c r="B17">
        <v>1167</v>
      </c>
      <c r="D17">
        <v>0.576620115600047</v>
      </c>
      <c r="E17">
        <v>6.1913588302030496</v>
      </c>
      <c r="F17">
        <v>2.816082253744774E-3</v>
      </c>
      <c r="G17">
        <v>1.4422237794391841E-3</v>
      </c>
      <c r="H17">
        <v>2.7620494064241833E-2</v>
      </c>
      <c r="I17">
        <v>3.237268932729014E-3</v>
      </c>
      <c r="J17" s="144">
        <f t="shared" si="0"/>
        <v>0.60142452741054409</v>
      </c>
      <c r="K17" s="144">
        <v>2.4482953762859149E-2</v>
      </c>
      <c r="L17">
        <v>-21.503876349140512</v>
      </c>
      <c r="M17">
        <v>0.18369738646094408</v>
      </c>
      <c r="O17">
        <v>0.31868729096989901</v>
      </c>
      <c r="P17">
        <v>1.8713997936537554</v>
      </c>
      <c r="Q17">
        <v>2.9527227941553197E-3</v>
      </c>
      <c r="R17">
        <v>8.9013557898408695E-3</v>
      </c>
      <c r="S17">
        <v>2.5208705998385521E-2</v>
      </c>
      <c r="T17">
        <v>5.8844695771930909E-3</v>
      </c>
      <c r="U17">
        <v>0.23649352384773306</v>
      </c>
      <c r="V17">
        <v>9.3965384277708175E-2</v>
      </c>
      <c r="W17">
        <v>-23.835526107934644</v>
      </c>
      <c r="X17">
        <v>1.7355363441722407</v>
      </c>
      <c r="Y17">
        <v>393.22227988599803</v>
      </c>
      <c r="Z17">
        <v>157.0559115326194</v>
      </c>
      <c r="AA17" s="144">
        <v>4.6720044305624667E-2</v>
      </c>
      <c r="AB17">
        <v>0.39412253193171304</v>
      </c>
      <c r="AC17">
        <v>0.15747181980499581</v>
      </c>
    </row>
    <row r="18" spans="1:29" x14ac:dyDescent="0.3">
      <c r="A18">
        <v>230</v>
      </c>
      <c r="B18">
        <v>370</v>
      </c>
      <c r="D18">
        <v>0.35768644224377999</v>
      </c>
      <c r="E18">
        <v>6.7796477858176338</v>
      </c>
      <c r="F18">
        <v>8.6806278400885298E-3</v>
      </c>
      <c r="G18">
        <v>3.9575211037341865E-3</v>
      </c>
      <c r="H18">
        <v>4.223162098878841E-2</v>
      </c>
      <c r="I18">
        <v>5.1323413557861951E-3</v>
      </c>
      <c r="J18" s="144">
        <f t="shared" si="0"/>
        <v>0.39123743539247985</v>
      </c>
      <c r="K18" s="144">
        <v>1.4831992159713469E-2</v>
      </c>
      <c r="L18">
        <v>-20.711887696632463</v>
      </c>
      <c r="M18">
        <v>0.14605297778065734</v>
      </c>
      <c r="O18">
        <v>0.21132607073022699</v>
      </c>
      <c r="P18">
        <v>2.6765802826323815</v>
      </c>
      <c r="Q18">
        <v>4.3135203993755348E-3</v>
      </c>
      <c r="R18">
        <v>2.0590529057316277E-3</v>
      </c>
      <c r="S18">
        <v>4.8962794144872784E-2</v>
      </c>
      <c r="T18">
        <v>1.3618958111066897E-2</v>
      </c>
      <c r="U18">
        <v>0.21463294465924873</v>
      </c>
      <c r="V18">
        <v>1.9908616689322627E-2</v>
      </c>
      <c r="W18">
        <v>-22.65289555587005</v>
      </c>
      <c r="X18">
        <v>1.0004943238106971</v>
      </c>
      <c r="Y18">
        <v>548.600223912454</v>
      </c>
      <c r="Z18">
        <v>54.972330047056573</v>
      </c>
      <c r="AA18" s="144">
        <v>4.9397032835483252E-2</v>
      </c>
      <c r="AB18">
        <v>0.54985620176294636</v>
      </c>
      <c r="AC18">
        <v>5.5410661574641709E-2</v>
      </c>
    </row>
    <row r="19" spans="1:29" x14ac:dyDescent="0.3">
      <c r="A19">
        <v>240</v>
      </c>
      <c r="B19">
        <v>320</v>
      </c>
      <c r="D19">
        <v>0.67668226199703296</v>
      </c>
      <c r="E19">
        <v>7.1562740942855676</v>
      </c>
      <c r="F19">
        <v>1.7244218251926482E-2</v>
      </c>
      <c r="G19">
        <v>2.4166604225733671E-3</v>
      </c>
      <c r="H19">
        <v>8.2603827257957216E-2</v>
      </c>
      <c r="I19">
        <v>9.9433066963101491E-3</v>
      </c>
      <c r="J19" s="144">
        <f t="shared" si="0"/>
        <v>0.74204187100306374</v>
      </c>
      <c r="K19" s="144">
        <v>1.5668893362883726E-2</v>
      </c>
      <c r="L19">
        <v>-19.807148723973192</v>
      </c>
      <c r="M19">
        <v>9.8539192512642176E-2</v>
      </c>
      <c r="O19">
        <v>0.42862847782896701</v>
      </c>
      <c r="P19">
        <v>3.1616484034204646</v>
      </c>
      <c r="Q19">
        <v>1.1121805754977726E-2</v>
      </c>
      <c r="R19">
        <v>2.8192794982440615E-3</v>
      </c>
      <c r="S19">
        <v>3.9301357235914568E-2</v>
      </c>
      <c r="T19">
        <v>8.160184352415719E-3</v>
      </c>
      <c r="U19">
        <v>0.40179776275997475</v>
      </c>
      <c r="V19">
        <v>6.8308437086863863E-2</v>
      </c>
      <c r="W19">
        <v>-21.725664033941481</v>
      </c>
      <c r="X19">
        <v>0.68020589338095372</v>
      </c>
      <c r="Y19">
        <v>541.47586337256143</v>
      </c>
      <c r="Z19">
        <v>92.762047470352613</v>
      </c>
      <c r="AA19" s="144">
        <v>5.4474352635816937E-2</v>
      </c>
      <c r="AB19">
        <v>0.54271553054973098</v>
      </c>
      <c r="AC19">
        <v>9.3155155336081388E-2</v>
      </c>
    </row>
    <row r="20" spans="1:29" x14ac:dyDescent="0.3">
      <c r="A20">
        <v>245</v>
      </c>
      <c r="B20">
        <v>250</v>
      </c>
      <c r="D20">
        <v>0.55490965024488204</v>
      </c>
      <c r="E20">
        <v>7.858151969738925</v>
      </c>
      <c r="F20">
        <v>2.1336031477067516E-2</v>
      </c>
      <c r="G20">
        <v>8.8687409865561787E-3</v>
      </c>
      <c r="H20">
        <v>5.1625825932574823E-2</v>
      </c>
      <c r="I20">
        <v>5.6475017695457397E-3</v>
      </c>
      <c r="J20" s="144">
        <f t="shared" si="0"/>
        <v>0.58519944470038932</v>
      </c>
      <c r="K20" s="144">
        <v>1.4559819103457473E-2</v>
      </c>
      <c r="L20">
        <v>-19.710177213146256</v>
      </c>
      <c r="M20">
        <v>0.124590008582889</v>
      </c>
      <c r="O20">
        <v>0.39881989764248399</v>
      </c>
      <c r="P20">
        <v>3.6430418162593958</v>
      </c>
      <c r="Q20">
        <v>1.4258946377723214E-2</v>
      </c>
      <c r="R20">
        <v>4.4677224534499229E-3</v>
      </c>
      <c r="S20">
        <v>4.8945775511228765E-2</v>
      </c>
      <c r="T20">
        <v>1.0215248417218667E-2</v>
      </c>
      <c r="U20">
        <v>0.40836269781075663</v>
      </c>
      <c r="V20">
        <v>1.9539715649649566E-2</v>
      </c>
      <c r="W20">
        <v>-21.289699893533221</v>
      </c>
      <c r="X20">
        <v>0.65964447099724244</v>
      </c>
      <c r="Y20">
        <v>697.81798583187367</v>
      </c>
      <c r="Z20">
        <v>37.633931200397015</v>
      </c>
      <c r="AA20" s="144">
        <v>5.8478499630521083E-2</v>
      </c>
      <c r="AB20">
        <v>0.69941558622589006</v>
      </c>
      <c r="AC20">
        <v>3.845356084536531E-2</v>
      </c>
    </row>
    <row r="21" spans="1:29" x14ac:dyDescent="0.3">
      <c r="A21">
        <v>250</v>
      </c>
      <c r="B21">
        <v>210</v>
      </c>
      <c r="D21">
        <v>0.69344251385634403</v>
      </c>
      <c r="E21">
        <v>8.4743294157646964</v>
      </c>
      <c r="F21">
        <v>1.0826013529542629E-2</v>
      </c>
      <c r="G21">
        <v>4.5204916946347436E-3</v>
      </c>
      <c r="H21">
        <v>7.1847731275520604E-2</v>
      </c>
      <c r="I21">
        <v>8.15318353537604E-3</v>
      </c>
      <c r="J21" s="144">
        <f t="shared" si="0"/>
        <v>0.75446423160232201</v>
      </c>
      <c r="K21" s="144">
        <v>1.4115074525016438E-2</v>
      </c>
      <c r="L21">
        <v>-19.199913770925956</v>
      </c>
      <c r="M21">
        <v>0.1023559143384617</v>
      </c>
      <c r="O21">
        <v>0.443959731543624</v>
      </c>
      <c r="P21">
        <v>4.2358768242785416</v>
      </c>
      <c r="Q21">
        <v>1.131325491466424E-2</v>
      </c>
      <c r="R21">
        <v>2.8793540535173505E-3</v>
      </c>
      <c r="S21">
        <v>3.576637483320684E-2</v>
      </c>
      <c r="T21">
        <v>7.4923277101520596E-3</v>
      </c>
      <c r="U21">
        <v>0.4662911886722203</v>
      </c>
      <c r="V21">
        <v>2.0355452437423465E-2</v>
      </c>
      <c r="W21">
        <v>-20.824479192600872</v>
      </c>
      <c r="X21">
        <v>0.59376055353554147</v>
      </c>
      <c r="Y21">
        <v>618.042803277654</v>
      </c>
      <c r="Z21">
        <v>29.353352706745106</v>
      </c>
      <c r="AA21" s="144">
        <v>6.3640817730684182E-2</v>
      </c>
      <c r="AB21">
        <v>0.61945776455134238</v>
      </c>
      <c r="AC21">
        <v>3.0156190894375889E-2</v>
      </c>
    </row>
    <row r="22" spans="1:29" x14ac:dyDescent="0.3">
      <c r="A22">
        <v>245</v>
      </c>
      <c r="B22">
        <v>270</v>
      </c>
      <c r="D22">
        <v>0.465872340425531</v>
      </c>
      <c r="E22">
        <v>9.2085717420240716</v>
      </c>
      <c r="F22">
        <v>2.4796831581348003E-2</v>
      </c>
      <c r="G22">
        <v>3.4847092584036721E-3</v>
      </c>
      <c r="H22">
        <v>4.9782393388959373E-2</v>
      </c>
      <c r="I22">
        <v>5.8377318434053556E-3</v>
      </c>
      <c r="J22" s="144">
        <f t="shared" si="0"/>
        <v>0.49085790223314235</v>
      </c>
      <c r="K22" s="144">
        <v>1.0074319930729742E-2</v>
      </c>
      <c r="L22">
        <v>-19.810088930197612</v>
      </c>
      <c r="M22">
        <v>0.19650341152932066</v>
      </c>
      <c r="O22">
        <v>0.312337571455232</v>
      </c>
      <c r="P22">
        <v>4.7263353878919219</v>
      </c>
      <c r="Q22">
        <v>1.8519461396592576E-2</v>
      </c>
      <c r="R22">
        <v>4.4345411577553298E-3</v>
      </c>
      <c r="S22">
        <v>2.4468285004923169E-2</v>
      </c>
      <c r="T22">
        <v>5.1720003371195844E-3</v>
      </c>
      <c r="U22">
        <v>0.32096109341314571</v>
      </c>
      <c r="V22">
        <v>1.3213212622658545E-2</v>
      </c>
      <c r="W22">
        <v>-21.325554835105851</v>
      </c>
      <c r="X22">
        <v>1.0498792978386167</v>
      </c>
      <c r="Y22">
        <v>653.87781668165769</v>
      </c>
      <c r="Z22">
        <v>30.078419759830464</v>
      </c>
      <c r="AA22" s="144">
        <v>6.6999445651221415E-2</v>
      </c>
      <c r="AB22">
        <v>0.65537481945140408</v>
      </c>
      <c r="AC22">
        <v>3.0950202385666526E-2</v>
      </c>
    </row>
    <row r="23" spans="1:29" x14ac:dyDescent="0.3">
      <c r="A23">
        <v>240</v>
      </c>
      <c r="B23">
        <v>320</v>
      </c>
      <c r="D23">
        <v>0.28572750818781401</v>
      </c>
      <c r="E23">
        <v>9.7206471019714762</v>
      </c>
      <c r="F23">
        <v>2.0741967938760625E-2</v>
      </c>
      <c r="G23">
        <v>2.8139542694149886E-3</v>
      </c>
      <c r="H23">
        <v>3.3902448389335066E-2</v>
      </c>
      <c r="I23">
        <v>4.0838832228440834E-3</v>
      </c>
      <c r="J23" s="144">
        <f t="shared" si="0"/>
        <v>0.2988879886383885</v>
      </c>
      <c r="K23" s="144">
        <v>6.575050202324911E-3</v>
      </c>
      <c r="L23">
        <v>-20.433283586879945</v>
      </c>
      <c r="M23">
        <v>0.31182032969181128</v>
      </c>
      <c r="O23">
        <v>0.19266524672441601</v>
      </c>
      <c r="P23">
        <v>5.0845761497510589</v>
      </c>
      <c r="Q23">
        <v>1.6073493833209912E-2</v>
      </c>
      <c r="R23">
        <v>3.7078764641985079E-3</v>
      </c>
      <c r="S23">
        <v>2.0184088882439128E-2</v>
      </c>
      <c r="T23">
        <v>4.2637982051039677E-3</v>
      </c>
      <c r="U23">
        <v>0.19551621436671751</v>
      </c>
      <c r="V23">
        <v>8.9592633079907946E-3</v>
      </c>
      <c r="W23">
        <v>-21.917553155947662</v>
      </c>
      <c r="X23">
        <v>1.6540959218942057</v>
      </c>
      <c r="Y23">
        <v>654.14543842129444</v>
      </c>
      <c r="Z23">
        <v>33.250502136253751</v>
      </c>
      <c r="AA23" s="144">
        <v>6.9044545748799785E-2</v>
      </c>
      <c r="AB23">
        <v>0.65564305389034838</v>
      </c>
      <c r="AC23">
        <v>3.4055258350232077E-2</v>
      </c>
    </row>
    <row r="24" spans="1:29" x14ac:dyDescent="0.3">
      <c r="A24">
        <v>235</v>
      </c>
      <c r="B24">
        <v>370</v>
      </c>
      <c r="D24">
        <v>0.21993533317982999</v>
      </c>
      <c r="E24">
        <v>10.035706839866055</v>
      </c>
      <c r="F24">
        <v>1.6559059668874037E-2</v>
      </c>
      <c r="G24">
        <v>2.1985538636156432E-3</v>
      </c>
      <c r="H24">
        <v>2.7336589915814044E-2</v>
      </c>
      <c r="I24">
        <v>3.2876132512060282E-3</v>
      </c>
      <c r="J24" s="144">
        <f t="shared" si="0"/>
        <v>0.23071286342677003</v>
      </c>
      <c r="K24" s="144">
        <v>5.2303781003493607E-3</v>
      </c>
      <c r="L24">
        <v>-20.809550484815411</v>
      </c>
      <c r="M24">
        <v>0.40059204686299305</v>
      </c>
      <c r="O24">
        <v>0.151676470588235</v>
      </c>
      <c r="P24">
        <v>5.303111570911577</v>
      </c>
      <c r="Q24">
        <v>1.2714618462430277E-2</v>
      </c>
      <c r="R24">
        <v>2.869430892945884E-3</v>
      </c>
      <c r="S24">
        <v>1.8972865094554724E-2</v>
      </c>
      <c r="T24">
        <v>3.878062535777414E-3</v>
      </c>
      <c r="U24">
        <v>0.15482241159647916</v>
      </c>
      <c r="V24">
        <v>7.1134672958256271E-3</v>
      </c>
      <c r="W24">
        <v>-22.249104212262825</v>
      </c>
      <c r="X24">
        <v>2.0638036915649658</v>
      </c>
      <c r="Y24">
        <v>671.06102926775441</v>
      </c>
      <c r="Z24">
        <v>34.381548335819829</v>
      </c>
      <c r="AA24" s="144">
        <v>7.0623166895993225E-2</v>
      </c>
      <c r="AB24">
        <v>0.67259737167585265</v>
      </c>
      <c r="AC24">
        <v>3.520196398805802E-2</v>
      </c>
    </row>
    <row r="25" spans="1:29" x14ac:dyDescent="0.3">
      <c r="A25">
        <v>230</v>
      </c>
      <c r="B25">
        <v>420</v>
      </c>
      <c r="D25">
        <v>0.14002473498233201</v>
      </c>
      <c r="E25">
        <v>10.273567996054735</v>
      </c>
      <c r="F25">
        <v>1.3197895163904782E-2</v>
      </c>
      <c r="G25">
        <v>1.7550121870796289E-3</v>
      </c>
      <c r="H25">
        <v>2.5500928897779333E-2</v>
      </c>
      <c r="I25">
        <v>2.5310396172769215E-3</v>
      </c>
      <c r="J25" s="144">
        <f t="shared" si="0"/>
        <v>0.15232776871620654</v>
      </c>
      <c r="K25" s="144">
        <v>4.0007780626060427E-3</v>
      </c>
      <c r="L25">
        <v>-21.33174752965169</v>
      </c>
      <c r="M25">
        <v>0.60267444987881724</v>
      </c>
      <c r="O25">
        <v>9.9129484321787698E-2</v>
      </c>
      <c r="P25">
        <v>5.4714195120880476</v>
      </c>
      <c r="Q25">
        <v>1.0377688582776903E-2</v>
      </c>
      <c r="R25">
        <v>2.3454641445970646E-3</v>
      </c>
      <c r="S25">
        <v>8.8721360612358021E-3</v>
      </c>
      <c r="T25">
        <v>1.9775325485307193E-3</v>
      </c>
      <c r="U25">
        <v>0.10312757324124738</v>
      </c>
      <c r="V25">
        <v>6.7439479853555456E-3</v>
      </c>
      <c r="W25">
        <v>-22.748924826745803</v>
      </c>
      <c r="X25">
        <v>3.0713488166610667</v>
      </c>
      <c r="Y25">
        <v>677.01098828132035</v>
      </c>
      <c r="Z25">
        <v>47.709906365370152</v>
      </c>
      <c r="AA25" s="144">
        <v>7.1665448775852597E-2</v>
      </c>
      <c r="AB25">
        <v>0.67856095266113248</v>
      </c>
      <c r="AC25">
        <v>4.8365881789525715E-2</v>
      </c>
    </row>
    <row r="26" spans="1:29" x14ac:dyDescent="0.3">
      <c r="A26">
        <v>225</v>
      </c>
      <c r="B26">
        <v>652</v>
      </c>
      <c r="D26">
        <v>0.14936733471146901</v>
      </c>
      <c r="E26">
        <v>10.427938422059281</v>
      </c>
      <c r="F26">
        <v>1.2577059851797951E-2</v>
      </c>
      <c r="G26">
        <v>1.6223471435996715E-3</v>
      </c>
      <c r="H26">
        <v>1.3096268418770053E-2</v>
      </c>
      <c r="I26">
        <v>1.4655894926581716E-3</v>
      </c>
      <c r="J26" s="144">
        <f t="shared" si="0"/>
        <v>0.14988654327844111</v>
      </c>
      <c r="K26" s="144">
        <v>3.4235100287919569E-3</v>
      </c>
      <c r="L26">
        <v>-21.772392883147436</v>
      </c>
      <c r="M26">
        <v>0.74728525131574841</v>
      </c>
      <c r="O26">
        <v>9.9545904641576893E-2</v>
      </c>
      <c r="P26">
        <v>5.5835195846451295</v>
      </c>
      <c r="Q26">
        <v>9.7908825879003663E-3</v>
      </c>
      <c r="R26">
        <v>2.1462361824810417E-3</v>
      </c>
      <c r="S26">
        <v>9.15099003902488E-3</v>
      </c>
      <c r="T26">
        <v>1.8851920237034567E-3</v>
      </c>
      <c r="U26">
        <v>9.0900822186713331E-2</v>
      </c>
      <c r="V26">
        <v>8.7356884756033277E-3</v>
      </c>
      <c r="W26">
        <v>-23.29061585419025</v>
      </c>
      <c r="X26">
        <v>4.2427243756748565</v>
      </c>
      <c r="Y26">
        <v>606.46419750870336</v>
      </c>
      <c r="Z26">
        <v>59.905522520408006</v>
      </c>
      <c r="AA26" s="144">
        <v>7.2691026905241013E-2</v>
      </c>
      <c r="AB26">
        <v>0.60785265045856784</v>
      </c>
      <c r="AC26">
        <v>6.0393066325140438E-2</v>
      </c>
    </row>
    <row r="27" spans="1:29" x14ac:dyDescent="0.3">
      <c r="A27">
        <v>230</v>
      </c>
      <c r="B27">
        <v>500</v>
      </c>
      <c r="D27">
        <v>0.154978273856932</v>
      </c>
      <c r="E27">
        <v>10.590813349093992</v>
      </c>
      <c r="F27">
        <v>7.3438862175964192E-4</v>
      </c>
      <c r="G27">
        <v>1.6713368007602437E-3</v>
      </c>
      <c r="H27">
        <v>1.2823030111364956E-2</v>
      </c>
      <c r="I27">
        <v>1.3249437279511922E-3</v>
      </c>
      <c r="J27" s="144">
        <f t="shared" si="0"/>
        <v>0.16706691534653731</v>
      </c>
      <c r="K27" s="144">
        <v>3.3746552204053587E-3</v>
      </c>
      <c r="L27">
        <v>-21.382613042681932</v>
      </c>
      <c r="M27">
        <v>0.46091762898460148</v>
      </c>
      <c r="O27">
        <v>0.105088682432432</v>
      </c>
      <c r="P27">
        <v>5.6968567520636615</v>
      </c>
      <c r="Q27">
        <v>3.2167191243658521E-3</v>
      </c>
      <c r="R27">
        <v>8.1690308245854369E-4</v>
      </c>
      <c r="S27">
        <v>2.4166265734796705E-2</v>
      </c>
      <c r="T27">
        <v>4.6830371493226568E-3</v>
      </c>
      <c r="U27">
        <v>0.10629116942515963</v>
      </c>
      <c r="V27">
        <v>5.5814980976321253E-3</v>
      </c>
      <c r="W27">
        <v>-22.844663871033749</v>
      </c>
      <c r="X27">
        <v>2.4981782180466903</v>
      </c>
      <c r="Y27">
        <v>636.21914132242148</v>
      </c>
      <c r="Z27">
        <v>35.79525048728113</v>
      </c>
      <c r="AA27" s="144">
        <v>7.3834159375815764E-2</v>
      </c>
      <c r="AB27">
        <v>0.63767571591851158</v>
      </c>
      <c r="AC27">
        <v>3.6518708907975019E-2</v>
      </c>
    </row>
    <row r="28" spans="1:29" x14ac:dyDescent="0.3">
      <c r="A28">
        <v>235</v>
      </c>
      <c r="B28">
        <v>450</v>
      </c>
      <c r="D28">
        <v>0.19512871594315101</v>
      </c>
      <c r="E28">
        <v>10.758153502747934</v>
      </c>
      <c r="F28">
        <v>2.5731041472976221E-3</v>
      </c>
      <c r="G28">
        <v>4.1759369383014884E-4</v>
      </c>
      <c r="H28">
        <v>3.3393187413530645E-2</v>
      </c>
      <c r="I28">
        <v>1.8462032222345299E-3</v>
      </c>
      <c r="J28" s="144">
        <f t="shared" si="0"/>
        <v>0.22594879920938404</v>
      </c>
      <c r="K28" s="144">
        <v>3.2912931015893643E-3</v>
      </c>
      <c r="L28">
        <v>-20.9560140069859</v>
      </c>
      <c r="M28">
        <v>0.36398617779747816</v>
      </c>
      <c r="O28">
        <v>0.13692172231060101</v>
      </c>
      <c r="P28">
        <v>5.82512444228069</v>
      </c>
      <c r="Q28">
        <v>2.1096936603513523E-3</v>
      </c>
      <c r="R28">
        <v>5.7331420055595965E-4</v>
      </c>
      <c r="S28">
        <v>1.9283559112890661E-2</v>
      </c>
      <c r="T28">
        <v>4.353543352363657E-3</v>
      </c>
      <c r="U28">
        <v>0.15019277480888393</v>
      </c>
      <c r="V28">
        <v>1.0609747973554637E-2</v>
      </c>
      <c r="W28">
        <v>-22.363061261695801</v>
      </c>
      <c r="X28">
        <v>1.8864103133498615</v>
      </c>
      <c r="Y28">
        <v>664.72039388756434</v>
      </c>
      <c r="Z28">
        <v>47.94434451854611</v>
      </c>
      <c r="AA28" s="144">
        <v>7.5380183066549908E-2</v>
      </c>
      <c r="AB28">
        <v>0.66624221990057475</v>
      </c>
      <c r="AC28">
        <v>4.8578742660413704E-2</v>
      </c>
    </row>
    <row r="29" spans="1:29" x14ac:dyDescent="0.3">
      <c r="A29">
        <v>240</v>
      </c>
      <c r="B29">
        <v>400</v>
      </c>
      <c r="D29">
        <v>0.24245710220568201</v>
      </c>
      <c r="E29">
        <v>10.963814310649528</v>
      </c>
      <c r="F29">
        <v>6.9009118417574858E-3</v>
      </c>
      <c r="G29">
        <v>1.452861557421832E-3</v>
      </c>
      <c r="H29">
        <v>2.5100285404291631E-2</v>
      </c>
      <c r="I29">
        <v>3.1600918029747794E-3</v>
      </c>
      <c r="J29" s="144">
        <f t="shared" si="0"/>
        <v>0.26065647576821616</v>
      </c>
      <c r="K29" s="144">
        <v>1.2300621176561253E-2</v>
      </c>
      <c r="L29">
        <v>-20.671856944777279</v>
      </c>
      <c r="M29">
        <v>0.31769537306250462</v>
      </c>
      <c r="O29">
        <v>0.178097651218387</v>
      </c>
      <c r="P29">
        <v>5.976241516357085</v>
      </c>
      <c r="Q29">
        <v>4.7874997165521082E-3</v>
      </c>
      <c r="R29">
        <v>1.2653840973697772E-3</v>
      </c>
      <c r="S29">
        <v>3.0860697872829215E-2</v>
      </c>
      <c r="T29">
        <v>6.533067483972331E-3</v>
      </c>
      <c r="U29">
        <v>0.18351774764420811</v>
      </c>
      <c r="V29">
        <v>1.15449868195447E-2</v>
      </c>
      <c r="W29">
        <v>-22.006540873088831</v>
      </c>
      <c r="X29">
        <v>1.5385245171295137</v>
      </c>
      <c r="Y29">
        <v>704.05980554804171</v>
      </c>
      <c r="Z29">
        <v>55.368711805184788</v>
      </c>
      <c r="AA29" s="144">
        <v>7.7163689277209138E-2</v>
      </c>
      <c r="AB29">
        <v>0.70567169610631353</v>
      </c>
      <c r="AC29">
        <v>5.6005559516643807E-2</v>
      </c>
    </row>
    <row r="30" spans="1:29" x14ac:dyDescent="0.3">
      <c r="A30">
        <v>245</v>
      </c>
      <c r="B30">
        <v>350</v>
      </c>
      <c r="D30">
        <v>0.31499558349552398</v>
      </c>
      <c r="E30">
        <v>11.232763688426983</v>
      </c>
      <c r="F30">
        <v>5.7888532063113101E-3</v>
      </c>
      <c r="G30">
        <v>1.0496612167003583E-3</v>
      </c>
      <c r="H30">
        <v>3.9474655806621961E-2</v>
      </c>
      <c r="I30">
        <v>4.6389510287064319E-3</v>
      </c>
      <c r="J30" s="144">
        <f t="shared" si="0"/>
        <v>0.34868138609583466</v>
      </c>
      <c r="K30" s="144">
        <v>9.3889275064231986E-3</v>
      </c>
      <c r="L30">
        <v>-20.218633946201038</v>
      </c>
      <c r="M30">
        <v>0.23960562910683172</v>
      </c>
      <c r="O30">
        <v>0.230539629005059</v>
      </c>
      <c r="P30">
        <v>6.1806957263039592</v>
      </c>
      <c r="Q30">
        <v>5.0484901164503963E-3</v>
      </c>
      <c r="R30">
        <v>1.4728928612188095E-3</v>
      </c>
      <c r="S30">
        <v>3.7723452420518278E-2</v>
      </c>
      <c r="T30">
        <v>7.7808723339680896E-3</v>
      </c>
      <c r="U30">
        <v>0.24926760390178596</v>
      </c>
      <c r="V30">
        <v>1.1032022437709699E-2</v>
      </c>
      <c r="W30">
        <v>-21.519158056054</v>
      </c>
      <c r="X30">
        <v>1.1279906628858611</v>
      </c>
      <c r="Y30">
        <v>714.88646610253818</v>
      </c>
      <c r="Z30">
        <v>37.03504481888433</v>
      </c>
      <c r="AA30" s="144">
        <v>7.9549493872358282E-2</v>
      </c>
      <c r="AB30">
        <v>0.7165231434641296</v>
      </c>
      <c r="AC30">
        <v>3.7901447623112074E-2</v>
      </c>
    </row>
    <row r="31" spans="1:29" x14ac:dyDescent="0.3">
      <c r="A31">
        <v>250</v>
      </c>
      <c r="B31">
        <v>300</v>
      </c>
      <c r="D31">
        <v>0.37161531847225299</v>
      </c>
      <c r="E31">
        <v>11.568938563985556</v>
      </c>
      <c r="F31">
        <v>1.64712098282036E-2</v>
      </c>
      <c r="G31">
        <v>2.2372168116405562E-3</v>
      </c>
      <c r="H31">
        <v>4.6655735861732571E-2</v>
      </c>
      <c r="I31">
        <v>5.2406207989153051E-3</v>
      </c>
      <c r="J31" s="144">
        <f t="shared" si="0"/>
        <v>0.40179984450578193</v>
      </c>
      <c r="K31" s="144">
        <v>9.6187659471837182E-3</v>
      </c>
      <c r="L31">
        <v>-19.888260223383462</v>
      </c>
      <c r="M31">
        <v>0.20862649736028452</v>
      </c>
      <c r="O31">
        <v>0.27770578063308499</v>
      </c>
      <c r="P31">
        <v>6.4384632442205705</v>
      </c>
      <c r="Q31">
        <v>1.3887349475223777E-2</v>
      </c>
      <c r="R31">
        <v>3.2306131416486032E-3</v>
      </c>
      <c r="S31">
        <v>2.6601845961517316E-2</v>
      </c>
      <c r="T31">
        <v>5.4899071518885135E-3</v>
      </c>
      <c r="U31">
        <v>0.29648201326909129</v>
      </c>
      <c r="V31">
        <v>1.1046514180227084E-2</v>
      </c>
      <c r="W31">
        <v>-21.134542737168804</v>
      </c>
      <c r="X31">
        <v>0.94239284662923606</v>
      </c>
      <c r="Y31">
        <v>737.88483824270088</v>
      </c>
      <c r="Z31">
        <v>32.67830985569173</v>
      </c>
      <c r="AA31" s="144">
        <v>8.2298754238922925E-2</v>
      </c>
      <c r="AB31">
        <v>0.73957416860140457</v>
      </c>
      <c r="AC31">
        <v>3.369329821460007E-2</v>
      </c>
    </row>
    <row r="32" spans="1:29" x14ac:dyDescent="0.3">
      <c r="A32">
        <v>250</v>
      </c>
      <c r="B32">
        <v>300</v>
      </c>
      <c r="D32">
        <v>0.36397906669414698</v>
      </c>
      <c r="E32">
        <v>11.962657896853452</v>
      </c>
      <c r="F32">
        <v>2.4303972553038233E-2</v>
      </c>
      <c r="G32">
        <v>4.3734466959463279E-3</v>
      </c>
      <c r="H32">
        <v>3.3873660280900018E-2</v>
      </c>
      <c r="I32">
        <v>3.8238213473074977E-3</v>
      </c>
      <c r="J32" s="144">
        <f t="shared" si="0"/>
        <v>0.37354875442200874</v>
      </c>
      <c r="K32" s="144">
        <v>7.9898983109723994E-3</v>
      </c>
      <c r="L32">
        <v>-19.926651103099889</v>
      </c>
      <c r="M32">
        <v>0.24237546322223294</v>
      </c>
      <c r="O32">
        <v>0.26541780987726199</v>
      </c>
      <c r="P32">
        <v>6.737421723432611</v>
      </c>
      <c r="Q32">
        <v>2.4115544440645082E-2</v>
      </c>
      <c r="R32">
        <v>5.2071496541875803E-3</v>
      </c>
      <c r="S32">
        <v>3.0036670779490786E-2</v>
      </c>
      <c r="T32">
        <v>6.3829578350563191E-3</v>
      </c>
      <c r="U32">
        <v>0.2618594685409914</v>
      </c>
      <c r="V32">
        <v>1.0586121991026431E-2</v>
      </c>
      <c r="W32">
        <v>-21.203580650680848</v>
      </c>
      <c r="X32">
        <v>1.141671240600143</v>
      </c>
      <c r="Y32">
        <v>701.00479640513345</v>
      </c>
      <c r="Z32">
        <v>32.061426966090778</v>
      </c>
      <c r="AA32" s="144">
        <v>8.4854710393597946E-2</v>
      </c>
      <c r="AB32">
        <v>0.70260969275587615</v>
      </c>
      <c r="AC32">
        <v>3.300045117518266E-2</v>
      </c>
    </row>
    <row r="33" spans="1:29" x14ac:dyDescent="0.3">
      <c r="A33">
        <v>250</v>
      </c>
      <c r="B33">
        <v>300</v>
      </c>
      <c r="D33">
        <v>0.34519114717899502</v>
      </c>
      <c r="E33">
        <v>12.348988726856295</v>
      </c>
      <c r="F33">
        <v>1.134404080124915E-2</v>
      </c>
      <c r="G33">
        <v>1.6046454522322363E-3</v>
      </c>
      <c r="H33">
        <v>3.9483503338332539E-2</v>
      </c>
      <c r="I33">
        <v>4.4751984212448373E-3</v>
      </c>
      <c r="J33" s="144">
        <f t="shared" si="0"/>
        <v>0.37333060971607845</v>
      </c>
      <c r="K33" s="144">
        <v>7.912597026066984E-3</v>
      </c>
      <c r="L33">
        <v>-19.894934735605723</v>
      </c>
      <c r="M33">
        <v>0.24437761783161585</v>
      </c>
      <c r="O33">
        <v>0.248897802473871</v>
      </c>
      <c r="P33">
        <v>7.0230790145470259</v>
      </c>
      <c r="Q33">
        <v>9.7921409921269981E-3</v>
      </c>
      <c r="R33">
        <v>2.3411370619458105E-3</v>
      </c>
      <c r="S33">
        <v>0.10235003180905194</v>
      </c>
      <c r="T33">
        <v>1.8640148803027397E-2</v>
      </c>
      <c r="U33">
        <v>0.25852845994034662</v>
      </c>
      <c r="V33">
        <v>1.5042407445786179E-2</v>
      </c>
      <c r="W33">
        <v>-21.167591515143929</v>
      </c>
      <c r="X33">
        <v>1.1585696245320538</v>
      </c>
      <c r="Y33">
        <v>692.49199827723749</v>
      </c>
      <c r="Z33">
        <v>42.882389053721973</v>
      </c>
      <c r="AA33" s="144">
        <v>8.7409173923020889E-2</v>
      </c>
      <c r="AB33">
        <v>0.69407740523401296</v>
      </c>
      <c r="AC33">
        <v>4.3615942367313296E-2</v>
      </c>
    </row>
    <row r="34" spans="1:29" x14ac:dyDescent="0.3">
      <c r="A34">
        <v>250</v>
      </c>
      <c r="B34">
        <v>10250</v>
      </c>
      <c r="D34">
        <v>8.4829081066253593</v>
      </c>
      <c r="E34">
        <v>12.716739144357899</v>
      </c>
      <c r="F34">
        <v>1.9051816701553096E-2</v>
      </c>
      <c r="G34">
        <v>2.5334641758870003E-3</v>
      </c>
      <c r="H34">
        <v>0.11653021176560401</v>
      </c>
      <c r="I34">
        <v>7.3849892443793698E-3</v>
      </c>
      <c r="J34" s="144">
        <f t="shared" si="0"/>
        <v>8.580386501689409</v>
      </c>
      <c r="K34" s="144">
        <v>0.12782739057103734</v>
      </c>
      <c r="L34">
        <v>-19.958048822713263</v>
      </c>
      <c r="M34">
        <v>0.18886234169428351</v>
      </c>
      <c r="O34">
        <v>6.8042168674698704</v>
      </c>
      <c r="P34">
        <v>7.290110745592326</v>
      </c>
      <c r="Q34">
        <v>1.5441547211046597E-2</v>
      </c>
      <c r="R34">
        <v>3.6164447280083748E-3</v>
      </c>
      <c r="S34">
        <v>2.1535949646725158E-2</v>
      </c>
      <c r="T34">
        <v>5.3881893859735715E-3</v>
      </c>
      <c r="U34">
        <v>6.8476323797161793</v>
      </c>
      <c r="V34">
        <v>7.6681480428911264E-2</v>
      </c>
      <c r="W34">
        <v>-20.868676710457716</v>
      </c>
      <c r="X34">
        <v>0.64353222249494746</v>
      </c>
      <c r="Y34">
        <v>798.05640204761585</v>
      </c>
      <c r="Z34">
        <v>14.873425084113903</v>
      </c>
      <c r="AA34" s="144">
        <v>0.14611929255912087</v>
      </c>
      <c r="AB34">
        <v>0.7998834905552854</v>
      </c>
      <c r="AC34">
        <v>1.7184528569889428E-2</v>
      </c>
    </row>
    <row r="35" spans="1:29" x14ac:dyDescent="0.3">
      <c r="A35">
        <v>240</v>
      </c>
      <c r="B35">
        <v>785</v>
      </c>
      <c r="D35">
        <v>0.22612522923310299</v>
      </c>
      <c r="E35">
        <v>21.218729546930575</v>
      </c>
      <c r="F35">
        <v>2.8968250085060851E-9</v>
      </c>
      <c r="G35">
        <v>6.8481813665915245E-9</v>
      </c>
      <c r="H35">
        <v>2.633742581425454E-2</v>
      </c>
      <c r="I35">
        <v>2.9223984631273877E-3</v>
      </c>
      <c r="J35" s="144">
        <f t="shared" si="0"/>
        <v>0.25246265215053254</v>
      </c>
      <c r="K35" s="144">
        <v>2.2088877113003287E-2</v>
      </c>
      <c r="L35">
        <v>-20.659737239976117</v>
      </c>
      <c r="M35">
        <v>0.57969712403270901</v>
      </c>
      <c r="O35">
        <v>0.185283164139734</v>
      </c>
      <c r="P35">
        <v>14.115555357703972</v>
      </c>
      <c r="Q35">
        <v>1.0756464039028422E-8</v>
      </c>
      <c r="R35">
        <v>3.6142632965795698E-8</v>
      </c>
      <c r="S35">
        <f t="shared" ref="S35" si="1">O35+Q35</f>
        <v>0.18528317489619806</v>
      </c>
      <c r="T35">
        <v>2.1535949646725158E-2</v>
      </c>
      <c r="U35">
        <v>5.3881893859735715E-3</v>
      </c>
      <c r="V35">
        <v>1.9230067960907888E-2</v>
      </c>
      <c r="W35">
        <v>-21.540380884524211</v>
      </c>
      <c r="X35">
        <v>1.2085278323317845</v>
      </c>
      <c r="Y35">
        <v>749.87475058199152</v>
      </c>
      <c r="Z35">
        <v>100.53078278258221</v>
      </c>
      <c r="AA35" s="144">
        <v>0.14784673365469669</v>
      </c>
      <c r="AB35">
        <v>0.75159153091915143</v>
      </c>
      <c r="AC35">
        <v>0.10108058645404203</v>
      </c>
    </row>
    <row r="36" spans="1:29" x14ac:dyDescent="0.3">
      <c r="A36" t="s">
        <v>675</v>
      </c>
      <c r="E36">
        <v>146.14834207494607</v>
      </c>
      <c r="G36">
        <v>6.8481813665915245E-9</v>
      </c>
      <c r="P36">
        <v>145.81454203984794</v>
      </c>
      <c r="X36">
        <f>1000*P36/E36</f>
        <v>997.71601900945984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B8077-600D-4F60-B553-20B89B4E56E3}">
  <dimension ref="A1:AO81"/>
  <sheetViews>
    <sheetView zoomScale="85" workbookViewId="0">
      <selection activeCell="I4" sqref="I4:I37"/>
    </sheetView>
  </sheetViews>
  <sheetFormatPr defaultRowHeight="14.4" x14ac:dyDescent="0.3"/>
  <cols>
    <col min="1" max="1" width="9" bestFit="1" customWidth="1"/>
    <col min="2" max="4" width="9" style="7" bestFit="1" customWidth="1"/>
    <col min="5" max="5" width="9" style="7" customWidth="1"/>
    <col min="6" max="6" width="9" bestFit="1" customWidth="1"/>
    <col min="7" max="10" width="9" customWidth="1"/>
    <col min="11" max="11" width="3.33203125" style="69" customWidth="1"/>
    <col min="12" max="12" width="12" bestFit="1" customWidth="1"/>
    <col min="13" max="13" width="12" customWidth="1"/>
    <col min="14" max="14" width="12.21875" bestFit="1" customWidth="1"/>
    <col min="15" max="15" width="12.109375" customWidth="1"/>
    <col min="16" max="16" width="12.109375" bestFit="1" customWidth="1"/>
    <col min="17" max="17" width="12" customWidth="1"/>
    <col min="18" max="18" width="12.109375" bestFit="1" customWidth="1"/>
    <col min="19" max="19" width="12" customWidth="1"/>
    <col min="20" max="21" width="9.109375" bestFit="1" customWidth="1"/>
    <col min="22" max="22" width="9" customWidth="1"/>
    <col min="23" max="23" width="9.21875" bestFit="1" customWidth="1"/>
    <col min="24" max="24" width="10.6640625" customWidth="1"/>
    <col min="25" max="25" width="10.21875" customWidth="1"/>
    <col min="27" max="27" width="12.77734375" bestFit="1" customWidth="1"/>
    <col min="28" max="29" width="9.109375" bestFit="1" customWidth="1"/>
    <col min="32" max="32" width="9" bestFit="1" customWidth="1"/>
    <col min="33" max="33" width="12.77734375" bestFit="1" customWidth="1"/>
    <col min="34" max="36" width="9" bestFit="1" customWidth="1"/>
    <col min="37" max="37" width="11.33203125" bestFit="1" customWidth="1"/>
    <col min="40" max="41" width="9" bestFit="1" customWidth="1"/>
  </cols>
  <sheetData>
    <row r="1" spans="1:41" s="4" customFormat="1" ht="41.4" customHeight="1" thickBot="1" x14ac:dyDescent="0.35">
      <c r="A1" s="4" t="s">
        <v>351</v>
      </c>
      <c r="B1" s="127"/>
      <c r="C1" s="127"/>
      <c r="D1" s="127"/>
      <c r="E1" s="127"/>
      <c r="G1" s="127" t="s">
        <v>340</v>
      </c>
      <c r="H1" s="127" t="s">
        <v>325</v>
      </c>
      <c r="I1" s="127" t="s">
        <v>341</v>
      </c>
      <c r="J1" s="127" t="s">
        <v>325</v>
      </c>
      <c r="K1" s="68"/>
      <c r="L1" s="4" t="s">
        <v>290</v>
      </c>
      <c r="M1" s="4" t="s">
        <v>325</v>
      </c>
      <c r="N1" s="4" t="s">
        <v>291</v>
      </c>
      <c r="O1" s="4" t="s">
        <v>325</v>
      </c>
      <c r="P1" s="4" t="s">
        <v>292</v>
      </c>
      <c r="Q1" s="4" t="s">
        <v>325</v>
      </c>
      <c r="R1" s="4" t="s">
        <v>293</v>
      </c>
      <c r="S1" s="4" t="s">
        <v>325</v>
      </c>
      <c r="T1" s="4" t="s">
        <v>295</v>
      </c>
      <c r="U1" s="4" t="s">
        <v>294</v>
      </c>
      <c r="V1" s="4" t="s">
        <v>325</v>
      </c>
      <c r="W1" s="4" t="s">
        <v>296</v>
      </c>
      <c r="X1" s="4" t="s">
        <v>623</v>
      </c>
      <c r="Y1" s="4" t="s">
        <v>368</v>
      </c>
      <c r="AA1" s="145" t="s">
        <v>348</v>
      </c>
      <c r="AB1" s="145"/>
      <c r="AC1" s="145"/>
      <c r="AN1" s="4" t="s">
        <v>364</v>
      </c>
    </row>
    <row r="2" spans="1:41" x14ac:dyDescent="0.3">
      <c r="G2" s="7"/>
      <c r="H2" s="7"/>
      <c r="I2" s="7"/>
      <c r="J2" s="7"/>
      <c r="L2" t="s">
        <v>342</v>
      </c>
      <c r="N2" t="s">
        <v>343</v>
      </c>
      <c r="P2" t="s">
        <v>344</v>
      </c>
      <c r="AA2" t="s">
        <v>345</v>
      </c>
      <c r="AB2" t="s">
        <v>346</v>
      </c>
      <c r="AC2" t="s">
        <v>347</v>
      </c>
      <c r="AN2" s="13" cm="1">
        <f t="array" ref="AN2:AO6">LINEST(U27:U37,T27:T37,TRUE,TRUE)</f>
        <v>-1.9140715666885755</v>
      </c>
      <c r="AO2" s="14">
        <v>16.685050502723598</v>
      </c>
    </row>
    <row r="3" spans="1:41" x14ac:dyDescent="0.3">
      <c r="A3" t="s">
        <v>297</v>
      </c>
      <c r="B3" s="7" t="s">
        <v>300</v>
      </c>
      <c r="C3" s="7" t="s">
        <v>301</v>
      </c>
      <c r="D3" s="7" t="s">
        <v>299</v>
      </c>
      <c r="F3" t="s">
        <v>302</v>
      </c>
      <c r="G3">
        <v>0</v>
      </c>
      <c r="H3">
        <v>0</v>
      </c>
      <c r="I3">
        <v>0</v>
      </c>
      <c r="J3" s="7">
        <v>0</v>
      </c>
      <c r="AA3">
        <v>0</v>
      </c>
      <c r="AB3">
        <v>0</v>
      </c>
      <c r="AC3">
        <v>0</v>
      </c>
      <c r="AN3" s="15">
        <v>3.3242583922703899E-2</v>
      </c>
      <c r="AO3" s="16">
        <v>0.64774185388178473</v>
      </c>
    </row>
    <row r="4" spans="1:41" x14ac:dyDescent="0.3">
      <c r="A4" s="5">
        <v>1</v>
      </c>
      <c r="B4" s="7">
        <v>170</v>
      </c>
      <c r="C4" s="6">
        <v>300</v>
      </c>
      <c r="D4" s="11" cm="1">
        <f t="array" ref="D4:E4">_xlfn.ANCHORARRAY('Raw Data and Corrections'!AG5)</f>
        <v>1.1597312084282727</v>
      </c>
      <c r="E4" s="7">
        <v>2.6265117316231528E-2</v>
      </c>
      <c r="F4">
        <f t="shared" ref="F4:F37" si="0">60*C4</f>
        <v>18000</v>
      </c>
      <c r="G4" s="2" cm="1">
        <f t="array" ref="G4:H4">'Raw Data and Corrections'!AQ5:AR5</f>
        <v>1.1597312084282727</v>
      </c>
      <c r="H4">
        <v>2.6265117316231528E-2</v>
      </c>
      <c r="I4" s="2">
        <f>G4/$G$38</f>
        <v>7.9353018444338775E-3</v>
      </c>
      <c r="J4" s="2">
        <f>2*(((H4/(2*$G$38))^2+($H$38*G4/(2*($G$38^2)))^2)^0.5)</f>
        <v>1.7971546541911888E-4</v>
      </c>
      <c r="L4" s="2">
        <f t="shared" ref="L4:L37" si="1">((I4^2-I3^2)*PI())/(36*F4)</f>
        <v>3.0528240133627807E-10</v>
      </c>
      <c r="M4" s="2">
        <f t="shared" ref="M4:M37" si="2">2*((((J4/2)*AA4)^2+((J3/2)*AA3)^2)^0.5)</f>
        <v>1.382782152865404E-11</v>
      </c>
      <c r="N4" s="2">
        <f t="shared" ref="N4:N37" si="3">(1/(PI()*PI()*F4))*(-(I4-I3)*PI()*PI()/3-2*PI()*(SQRT(1-PI()/3*I4)-SQRT(1-PI()/3*I3)))</f>
        <v>3.0655744985171613E-10</v>
      </c>
      <c r="O4" s="2">
        <f t="shared" ref="O4:O37" si="4">2*((((J4/2)*AB4)^2+((J3/2)*AB3)^2)^0.5)</f>
        <v>1.3914602806398329E-11</v>
      </c>
      <c r="P4" s="2">
        <f t="shared" ref="P4:P37" si="5">(1/(PI()^2*F4))*LN((1-I3)/(1-I4))</f>
        <v>4.4845622227471898E-8</v>
      </c>
      <c r="Q4" s="2">
        <f t="shared" ref="Q4:Q37" si="6">2*((((J4/2)*AC4)^2+((J3/2)*AC3)^2)^0.5)</f>
        <v>1.0197018461123809E-9</v>
      </c>
      <c r="R4" s="2">
        <f>(I4&lt;0.05)*L4+((I4&gt;=0.05)*(I4&lt;0.9))*N4+(I4&gt;=0.9)*P4</f>
        <v>3.0528240133627807E-10</v>
      </c>
      <c r="S4" s="2">
        <f t="shared" ref="S4:S37" si="7">(I4&lt;0.05)*M4+((I4&gt;=0.05)*(I4&lt;0.9))*O4+(I4&gt;=0.9)*Q4</f>
        <v>1.382782152865404E-11</v>
      </c>
      <c r="T4">
        <f t="shared" ref="T4:T37" si="8">10000/(273+B4)</f>
        <v>22.573363431151243</v>
      </c>
      <c r="U4">
        <f t="shared" ref="U4:U37" si="9">LN(R4)</f>
        <v>-21.909783861687121</v>
      </c>
      <c r="V4" s="2">
        <f>S4/R4</f>
        <v>4.5295180685578612E-2</v>
      </c>
      <c r="W4">
        <f t="shared" ref="W4:W37" si="10">LOG10(R4)</f>
        <v>-9.5152982308236371</v>
      </c>
      <c r="X4">
        <f>$AO$2+$AN$2*T4</f>
        <v>-26.52198260537066</v>
      </c>
      <c r="Y4">
        <f>U4-X4</f>
        <v>4.612198743683539</v>
      </c>
      <c r="AA4" s="2">
        <f t="shared" ref="AA4:AA37" si="11" xml:space="preserve"> (I4 * PI()) / (18 * F4)</f>
        <v>7.6942857958305575E-8</v>
      </c>
      <c r="AB4" s="2">
        <f t="shared" ref="AB4:AB37" si="12" xml:space="preserve"> (1 / (PI()^2 * F4)) * (PI()^2 / 3 - PI()^2 / (3 * SQRT(1 - (PI() / 3) * I4)))</f>
        <v>-7.7425739481840026E-8</v>
      </c>
      <c r="AC4" s="2">
        <f t="shared" ref="AC4:AC37" si="13" xml:space="preserve"> (-1) / (PI()^2 * F4 * (1 - I4))</f>
        <v>-5.6739793858826171E-6</v>
      </c>
      <c r="AN4" s="15">
        <v>0.99729268775202107</v>
      </c>
      <c r="AO4" s="16">
        <v>3.7489754205136686E-2</v>
      </c>
    </row>
    <row r="5" spans="1:41" x14ac:dyDescent="0.3">
      <c r="A5" s="5">
        <v>2</v>
      </c>
      <c r="B5" s="7">
        <v>180</v>
      </c>
      <c r="C5" s="6">
        <v>463</v>
      </c>
      <c r="D5" s="11" cm="1">
        <f t="array" ref="D5:E5">'Raw Data and Corrections'!BP9:BQ9</f>
        <v>0.54972141210044234</v>
      </c>
      <c r="E5" s="7">
        <v>1.6048764198592941E-2</v>
      </c>
      <c r="F5">
        <f t="shared" si="0"/>
        <v>27780</v>
      </c>
      <c r="G5" s="2" cm="1">
        <f t="array" ref="G5:H5">'Raw Data and Corrections'!AQ9:AR9</f>
        <v>1.709452620528715</v>
      </c>
      <c r="H5">
        <v>3.0780175761964776E-2</v>
      </c>
      <c r="I5" s="2">
        <f>G5/$G$38</f>
        <v>1.1696695263584267E-2</v>
      </c>
      <c r="J5" s="2">
        <f t="shared" ref="J5:J36" si="14">2*(((H5/(2*$G$38))^2+($H$38*G5/(2*($G$38^2)))^2)^0.5)</f>
        <v>2.1060913401385319E-4</v>
      </c>
      <c r="L5" s="2">
        <f t="shared" si="1"/>
        <v>2.3196815716753718E-10</v>
      </c>
      <c r="M5" s="2">
        <f t="shared" si="2"/>
        <v>2.0754391503114162E-11</v>
      </c>
      <c r="N5" s="2">
        <f t="shared" si="3"/>
        <v>2.3379442160983029E-10</v>
      </c>
      <c r="O5" s="2">
        <f t="shared" si="4"/>
        <v>2.0919353738596502E-11</v>
      </c>
      <c r="P5" s="2">
        <f t="shared" si="5"/>
        <v>1.3854836043242244E-8</v>
      </c>
      <c r="Q5" s="2">
        <f t="shared" si="6"/>
        <v>1.2821440580123896E-9</v>
      </c>
      <c r="R5" s="2">
        <f t="shared" ref="R5:R37" si="15">(I5&lt;0.05)*L5+((I5&gt;=0.05)*(I5&lt;0.9))*N5+(I5&gt;=0.9)*P5</f>
        <v>2.3196815716753718E-10</v>
      </c>
      <c r="S5" s="2">
        <f t="shared" si="7"/>
        <v>2.0754391503114162E-11</v>
      </c>
      <c r="T5">
        <f t="shared" si="8"/>
        <v>22.075055187637968</v>
      </c>
      <c r="U5">
        <f t="shared" si="9"/>
        <v>-22.184421007270576</v>
      </c>
      <c r="V5" s="2">
        <f t="shared" ref="V5:V37" si="16">S5/R5</f>
        <v>8.9470864262306771E-2</v>
      </c>
      <c r="W5">
        <f t="shared" si="10"/>
        <v>-9.6345716276761912</v>
      </c>
      <c r="X5">
        <f t="shared" ref="X5:X37" si="17">$AO$2+$AN$2*T5</f>
        <v>-25.568184965015369</v>
      </c>
      <c r="Y5">
        <f t="shared" ref="Y5:Y37" si="18">U5-X5</f>
        <v>3.3837639577447938</v>
      </c>
      <c r="AA5">
        <f t="shared" si="11"/>
        <v>7.3486624892718305E-8</v>
      </c>
      <c r="AB5" s="2">
        <f t="shared" si="12"/>
        <v>-7.4168679913201527E-8</v>
      </c>
      <c r="AC5" s="2">
        <f t="shared" si="13"/>
        <v>-3.6904367434353007E-6</v>
      </c>
      <c r="AN5" s="15">
        <v>3315.3302492051803</v>
      </c>
      <c r="AO5" s="16">
        <v>9</v>
      </c>
    </row>
    <row r="6" spans="1:41" ht="15" thickBot="1" x14ac:dyDescent="0.35">
      <c r="A6" s="5">
        <v>3</v>
      </c>
      <c r="B6" s="7">
        <v>190</v>
      </c>
      <c r="C6" s="6">
        <v>550</v>
      </c>
      <c r="D6" s="11" cm="1">
        <f t="array" ref="D6:E6">_xlfn.ANCHORARRAY('Raw Data and Corrections'!AG13)</f>
        <v>0.57769844141977533</v>
      </c>
      <c r="E6" s="7">
        <v>1.2950250979173785E-2</v>
      </c>
      <c r="F6">
        <f t="shared" si="0"/>
        <v>33000</v>
      </c>
      <c r="G6" s="2" cm="1">
        <f t="array" ref="G6:H6">'Raw Data and Corrections'!AQ13:AR13</f>
        <v>2.2871510619484905</v>
      </c>
      <c r="H6">
        <v>3.3393535607375201E-2</v>
      </c>
      <c r="I6" s="2">
        <f t="shared" ref="I6:I37" si="19">G6/$G$38</f>
        <v>1.564951767140554E-2</v>
      </c>
      <c r="J6" s="2">
        <f t="shared" si="14"/>
        <v>2.2849069057691206E-4</v>
      </c>
      <c r="L6" s="2">
        <f t="shared" si="1"/>
        <v>2.8584982195341879E-10</v>
      </c>
      <c r="M6" s="2">
        <f t="shared" si="2"/>
        <v>2.4437519196853474E-11</v>
      </c>
      <c r="N6" s="2">
        <f t="shared" si="3"/>
        <v>2.8897877221273008E-10</v>
      </c>
      <c r="O6" s="2">
        <f t="shared" si="4"/>
        <v>2.4710903486718125E-11</v>
      </c>
      <c r="P6" s="2">
        <f t="shared" si="5"/>
        <v>1.2304765002301155E-8</v>
      </c>
      <c r="Q6" s="2">
        <f t="shared" si="6"/>
        <v>1.0545325325160731E-9</v>
      </c>
      <c r="R6" s="2">
        <f t="shared" si="15"/>
        <v>2.8584982195341879E-10</v>
      </c>
      <c r="S6" s="2">
        <f t="shared" si="7"/>
        <v>2.4437519196853474E-11</v>
      </c>
      <c r="T6">
        <f t="shared" si="8"/>
        <v>21.598272138228943</v>
      </c>
      <c r="U6">
        <f t="shared" si="9"/>
        <v>-21.975554541085934</v>
      </c>
      <c r="V6" s="2">
        <f t="shared" si="16"/>
        <v>8.5490762351553035E-2</v>
      </c>
      <c r="W6">
        <f t="shared" si="10"/>
        <v>-9.5438620739575679</v>
      </c>
      <c r="X6">
        <f t="shared" si="17"/>
        <v>-24.655588086662483</v>
      </c>
      <c r="Y6">
        <f t="shared" si="18"/>
        <v>2.6800335455765492</v>
      </c>
      <c r="AA6">
        <f t="shared" si="11"/>
        <v>8.276836658032204E-8</v>
      </c>
      <c r="AB6" s="2">
        <f t="shared" si="12"/>
        <v>-8.3799776499971246E-8</v>
      </c>
      <c r="AC6" s="2">
        <f t="shared" si="13"/>
        <v>-3.1191521245455372E-6</v>
      </c>
      <c r="AN6" s="17">
        <v>4.6596358964531168</v>
      </c>
      <c r="AO6" s="18">
        <v>1.2649335033254074E-2</v>
      </c>
    </row>
    <row r="7" spans="1:41" x14ac:dyDescent="0.3">
      <c r="A7" s="5">
        <v>4</v>
      </c>
      <c r="B7" s="7">
        <v>200</v>
      </c>
      <c r="C7" s="6">
        <v>500</v>
      </c>
      <c r="D7" s="11" cm="1">
        <f t="array" ref="D7:E7">_xlfn.ANCHORARRAY('Raw Data and Corrections'!AG17)</f>
        <v>0.53936148347300295</v>
      </c>
      <c r="E7" s="7">
        <v>1.1455177618815154E-2</v>
      </c>
      <c r="F7">
        <f t="shared" si="0"/>
        <v>30000</v>
      </c>
      <c r="G7" s="2" cm="1">
        <f t="array" ref="G7:H7">'Raw Data and Corrections'!AQ17:AR17</f>
        <v>2.8265125454214934</v>
      </c>
      <c r="H7">
        <v>3.5303672820821898E-2</v>
      </c>
      <c r="I7" s="2">
        <f t="shared" si="19"/>
        <v>1.9340024698823025E-2</v>
      </c>
      <c r="J7" s="2">
        <f>2*(((H7/(2*$G$38))^2+($H$38*G7/(2*($G$38^2)))^2)^0.5)</f>
        <v>2.4156054266231692E-4</v>
      </c>
      <c r="L7" s="2">
        <f t="shared" si="1"/>
        <v>3.7562147712807334E-10</v>
      </c>
      <c r="M7" s="2">
        <f t="shared" si="2"/>
        <v>3.3111531560390781E-11</v>
      </c>
      <c r="N7" s="2">
        <f t="shared" si="3"/>
        <v>3.8088277689068945E-10</v>
      </c>
      <c r="O7" s="2">
        <f t="shared" si="4"/>
        <v>3.3590868816937849E-11</v>
      </c>
      <c r="P7" s="2">
        <f t="shared" si="5"/>
        <v>1.2686174381672782E-8</v>
      </c>
      <c r="Q7" s="2">
        <f t="shared" si="6"/>
        <v>1.0954652405961965E-9</v>
      </c>
      <c r="R7" s="2">
        <f t="shared" si="15"/>
        <v>3.7562147712807334E-10</v>
      </c>
      <c r="S7" s="2">
        <f t="shared" si="7"/>
        <v>3.3111531560390781E-11</v>
      </c>
      <c r="T7">
        <f t="shared" si="8"/>
        <v>21.141649048625794</v>
      </c>
      <c r="U7">
        <f t="shared" si="9"/>
        <v>-21.702439189377039</v>
      </c>
      <c r="V7" s="2">
        <f t="shared" si="16"/>
        <v>8.8151326738702282E-2</v>
      </c>
      <c r="W7">
        <f t="shared" si="10"/>
        <v>-9.4252495837873287</v>
      </c>
      <c r="X7">
        <f t="shared" si="17"/>
        <v>-23.781578814159609</v>
      </c>
      <c r="Y7">
        <f t="shared" si="18"/>
        <v>2.0791396247825702</v>
      </c>
      <c r="AA7">
        <f t="shared" si="11"/>
        <v>1.1251570280382882E-7</v>
      </c>
      <c r="AB7" s="2">
        <f t="shared" si="12"/>
        <v>-1.1425413880937856E-7</v>
      </c>
      <c r="AC7" s="2">
        <f t="shared" si="13"/>
        <v>-3.4439794354212109E-6</v>
      </c>
    </row>
    <row r="8" spans="1:41" x14ac:dyDescent="0.3">
      <c r="A8" s="5">
        <v>5</v>
      </c>
      <c r="B8" s="7">
        <v>210</v>
      </c>
      <c r="C8" s="6">
        <v>475</v>
      </c>
      <c r="D8" s="11" cm="1">
        <f t="array" ref="D8:E8">_xlfn.ANCHORARRAY('Raw Data and Corrections'!AG21)</f>
        <v>0.61818170759940005</v>
      </c>
      <c r="E8" s="7">
        <v>1.1701238428196261E-2</v>
      </c>
      <c r="F8">
        <f t="shared" si="0"/>
        <v>28500</v>
      </c>
      <c r="G8" s="2" cm="1">
        <f t="array" ref="G8:H8">'Raw Data and Corrections'!AQ21:AR21</f>
        <v>3.4446942530208933</v>
      </c>
      <c r="H8">
        <v>3.7192315004488975E-2</v>
      </c>
      <c r="I8" s="2">
        <f t="shared" si="19"/>
        <v>2.3569848306964888E-2</v>
      </c>
      <c r="J8" s="2">
        <f t="shared" si="14"/>
        <v>2.5448331795249822E-4</v>
      </c>
      <c r="L8" s="2">
        <f t="shared" si="1"/>
        <v>5.5575323319242167E-10</v>
      </c>
      <c r="M8" s="2">
        <f t="shared" si="2"/>
        <v>4.5694443968914591E-11</v>
      </c>
      <c r="N8" s="2">
        <f t="shared" si="3"/>
        <v>5.6532900706908763E-10</v>
      </c>
      <c r="O8" s="2">
        <f t="shared" si="4"/>
        <v>4.6502391751132669E-11</v>
      </c>
      <c r="P8" s="2">
        <f t="shared" si="5"/>
        <v>1.5367297439261082E-8</v>
      </c>
      <c r="Q8" s="2">
        <f t="shared" si="6"/>
        <v>1.2452389854959594E-9</v>
      </c>
      <c r="R8" s="2">
        <f t="shared" si="15"/>
        <v>5.5575323319242167E-10</v>
      </c>
      <c r="S8" s="2">
        <f t="shared" si="7"/>
        <v>4.5694443968914591E-11</v>
      </c>
      <c r="T8">
        <f t="shared" si="8"/>
        <v>20.703933747412009</v>
      </c>
      <c r="U8">
        <f>LN(R8)</f>
        <v>-21.310696745391006</v>
      </c>
      <c r="V8" s="2">
        <f t="shared" si="16"/>
        <v>8.2220743379991343E-2</v>
      </c>
      <c r="W8">
        <f t="shared" si="10"/>
        <v>-9.2551180020369017</v>
      </c>
      <c r="X8">
        <f t="shared" si="17"/>
        <v>-22.943760401801775</v>
      </c>
      <c r="Y8">
        <f t="shared" si="18"/>
        <v>1.6330636564107692</v>
      </c>
      <c r="AA8">
        <f t="shared" si="11"/>
        <v>1.4434086215864857E-7</v>
      </c>
      <c r="AB8" s="2">
        <f t="shared" si="12"/>
        <v>-1.4706903223977027E-7</v>
      </c>
      <c r="AC8" s="2">
        <f t="shared" si="13"/>
        <v>-3.6409457905863455E-6</v>
      </c>
    </row>
    <row r="9" spans="1:41" x14ac:dyDescent="0.3">
      <c r="A9" s="5">
        <v>6</v>
      </c>
      <c r="B9" s="7">
        <v>220</v>
      </c>
      <c r="C9" s="6">
        <v>450</v>
      </c>
      <c r="D9" s="11" cm="1">
        <f t="array" ref="D9:E9">_xlfn.ANCHORARRAY('Raw Data and Corrections'!AG25)</f>
        <v>0.66921799917922808</v>
      </c>
      <c r="E9" s="7">
        <v>1.2436422611370885E-2</v>
      </c>
      <c r="F9">
        <f t="shared" si="0"/>
        <v>27000</v>
      </c>
      <c r="G9" s="2" cm="1">
        <f t="array" ref="G9:H9">'Raw Data and Corrections'!AQ25:AR25</f>
        <v>4.1139122522001212</v>
      </c>
      <c r="H9">
        <v>3.9216487639279388E-2</v>
      </c>
      <c r="I9" s="2">
        <f t="shared" si="19"/>
        <v>2.8148880745362634E-2</v>
      </c>
      <c r="J9" s="2">
        <f t="shared" si="14"/>
        <v>2.6833344177909903E-4</v>
      </c>
      <c r="L9" s="2">
        <f t="shared" si="1"/>
        <v>7.6542945712095723E-10</v>
      </c>
      <c r="M9" s="2">
        <f t="shared" si="2"/>
        <v>6.1100126859613598E-11</v>
      </c>
      <c r="N9" s="2">
        <f t="shared" si="3"/>
        <v>7.8137809235259546E-10</v>
      </c>
      <c r="O9" s="2">
        <f t="shared" si="4"/>
        <v>6.2401957894580527E-11</v>
      </c>
      <c r="P9" s="2">
        <f t="shared" si="5"/>
        <v>1.7639625082949954E-8</v>
      </c>
      <c r="Q9" s="2">
        <f t="shared" si="6"/>
        <v>1.3899875602276845E-9</v>
      </c>
      <c r="R9" s="2">
        <f t="shared" si="15"/>
        <v>7.6542945712095723E-10</v>
      </c>
      <c r="S9" s="2">
        <f t="shared" si="7"/>
        <v>6.1100126859613598E-11</v>
      </c>
      <c r="T9">
        <f t="shared" si="8"/>
        <v>20.28397565922921</v>
      </c>
      <c r="U9">
        <f t="shared" si="9"/>
        <v>-20.990584057760397</v>
      </c>
      <c r="V9" s="2">
        <f t="shared" si="16"/>
        <v>7.9824634773571601E-2</v>
      </c>
      <c r="W9">
        <f>LOG10(R9)</f>
        <v>-9.1160948282117094</v>
      </c>
      <c r="X9">
        <f t="shared" si="17"/>
        <v>-22.139930566010186</v>
      </c>
      <c r="Y9">
        <f t="shared" si="18"/>
        <v>1.1493465082497885</v>
      </c>
      <c r="AA9" s="2">
        <f t="shared" si="11"/>
        <v>1.8195949991030131E-7</v>
      </c>
      <c r="AB9" s="2">
        <f t="shared" si="12"/>
        <v>-1.8608371081594943E-7</v>
      </c>
      <c r="AC9" s="2">
        <f t="shared" si="13"/>
        <v>-3.8613285068558493E-6</v>
      </c>
    </row>
    <row r="10" spans="1:41" x14ac:dyDescent="0.3">
      <c r="A10" s="5">
        <v>7</v>
      </c>
      <c r="B10" s="7">
        <v>230</v>
      </c>
      <c r="C10" s="6">
        <v>425</v>
      </c>
      <c r="D10" s="11" cm="1">
        <f t="array" ref="D10:E10">_xlfn.ANCHORARRAY('Raw Data and Corrections'!AG29)</f>
        <v>0.84786085132689337</v>
      </c>
      <c r="E10" s="7">
        <v>1.2467122897981167E-2</v>
      </c>
      <c r="F10">
        <f t="shared" si="0"/>
        <v>25500</v>
      </c>
      <c r="G10" s="2" cm="1">
        <f t="array" ref="G10:H10">'Raw Data and Corrections'!AQ29:AR29</f>
        <v>4.9617731035270145</v>
      </c>
      <c r="H10">
        <v>4.1150480630426652E-2</v>
      </c>
      <c r="I10" s="2">
        <f t="shared" si="19"/>
        <v>3.3950252415334115E-2</v>
      </c>
      <c r="J10" s="2">
        <f t="shared" si="14"/>
        <v>2.8156652375381958E-4</v>
      </c>
      <c r="L10" s="2">
        <f t="shared" si="1"/>
        <v>1.2328874144091654E-9</v>
      </c>
      <c r="M10" s="2">
        <f t="shared" si="2"/>
        <v>8.1637833405754448E-11</v>
      </c>
      <c r="N10" s="2">
        <f t="shared" si="3"/>
        <v>1.2638864719227475E-9</v>
      </c>
      <c r="O10" s="2">
        <f t="shared" si="4"/>
        <v>8.3740854815666053E-11</v>
      </c>
      <c r="P10" s="2">
        <f t="shared" si="5"/>
        <v>2.3789784064361256E-8</v>
      </c>
      <c r="Q10" s="2">
        <f t="shared" si="6"/>
        <v>1.5539369720566482E-9</v>
      </c>
      <c r="R10" s="2">
        <f t="shared" si="15"/>
        <v>1.2328874144091654E-9</v>
      </c>
      <c r="S10" s="2">
        <f t="shared" si="7"/>
        <v>8.1637833405754448E-11</v>
      </c>
      <c r="T10">
        <f t="shared" si="8"/>
        <v>19.880715705765407</v>
      </c>
      <c r="U10">
        <f t="shared" si="9"/>
        <v>-20.513906927225889</v>
      </c>
      <c r="V10" s="2">
        <f t="shared" si="16"/>
        <v>6.6216778962641623E-2</v>
      </c>
      <c r="W10">
        <f t="shared" si="10"/>
        <v>-8.9090765807710959</v>
      </c>
      <c r="X10">
        <f t="shared" si="17"/>
        <v>-21.368062155100965</v>
      </c>
      <c r="Y10">
        <f t="shared" si="18"/>
        <v>0.8541552278750757</v>
      </c>
      <c r="AA10">
        <f t="shared" si="11"/>
        <v>2.3237007314930889E-7</v>
      </c>
      <c r="AB10" s="2">
        <f t="shared" si="12"/>
        <v>-2.3875556728292231E-7</v>
      </c>
      <c r="AC10" s="2">
        <f t="shared" si="13"/>
        <v>-4.1130177411817819E-6</v>
      </c>
    </row>
    <row r="11" spans="1:41" x14ac:dyDescent="0.3">
      <c r="A11" s="5">
        <v>8</v>
      </c>
      <c r="B11" s="7">
        <v>225</v>
      </c>
      <c r="C11" s="6">
        <v>908</v>
      </c>
      <c r="D11" s="11" cm="1">
        <f t="array" ref="D11:E11">_xlfn.ANCHORARRAY('Raw Data and Corrections'!AG33)</f>
        <v>0.77380778922117921</v>
      </c>
      <c r="E11" s="7">
        <v>1.4174904928116006E-2</v>
      </c>
      <c r="F11">
        <f t="shared" si="0"/>
        <v>54480</v>
      </c>
      <c r="G11" s="2" cm="1">
        <f t="array" ref="G11:H11">'Raw Data and Corrections'!AQ33:AR33</f>
        <v>5.7355808927481942</v>
      </c>
      <c r="H11">
        <v>4.3523441796763346E-2</v>
      </c>
      <c r="I11" s="2">
        <f t="shared" si="19"/>
        <v>3.9244926157334999E-2</v>
      </c>
      <c r="J11" s="2">
        <f>2*(((H11/(2*$G$38))^2+($H$38*G11/(2*($G$38^2)))^2)^0.5)</f>
        <v>2.9780318530362913E-4</v>
      </c>
      <c r="L11" s="2">
        <f t="shared" si="1"/>
        <v>6.2077175975690123E-10</v>
      </c>
      <c r="M11" s="2">
        <f t="shared" si="2"/>
        <v>7.5383290120663578E-11</v>
      </c>
      <c r="N11" s="2">
        <f t="shared" si="3"/>
        <v>6.3923900138713593E-10</v>
      </c>
      <c r="O11" s="2">
        <f t="shared" si="4"/>
        <v>7.7537478231674836E-11</v>
      </c>
      <c r="P11" s="2">
        <f t="shared" si="5"/>
        <v>1.0221054973790498E-8</v>
      </c>
      <c r="Q11" s="2">
        <f t="shared" si="6"/>
        <v>1.293634594681391E-9</v>
      </c>
      <c r="R11" s="2">
        <f t="shared" si="15"/>
        <v>6.2077175975690123E-10</v>
      </c>
      <c r="S11" s="2">
        <f t="shared" si="7"/>
        <v>7.5383290120663578E-11</v>
      </c>
      <c r="T11">
        <f t="shared" si="8"/>
        <v>20.080321285140563</v>
      </c>
      <c r="U11">
        <f t="shared" si="9"/>
        <v>-21.200057638176556</v>
      </c>
      <c r="V11" s="2">
        <f t="shared" si="16"/>
        <v>0.12143479295866201</v>
      </c>
      <c r="W11">
        <f t="shared" si="10"/>
        <v>-9.2070680482909637</v>
      </c>
      <c r="X11">
        <f t="shared" si="17"/>
        <v>-21.750121519135348</v>
      </c>
      <c r="Y11">
        <f t="shared" si="18"/>
        <v>0.55006388095879188</v>
      </c>
      <c r="AA11">
        <f t="shared" si="11"/>
        <v>1.2572561970402752E-7</v>
      </c>
      <c r="AB11" s="2">
        <f t="shared" si="12"/>
        <v>-1.2973852044434073E-7</v>
      </c>
      <c r="AC11" s="2">
        <f t="shared" si="13"/>
        <v>-1.935755353482018E-6</v>
      </c>
    </row>
    <row r="12" spans="1:41" x14ac:dyDescent="0.3">
      <c r="A12" s="5">
        <v>9</v>
      </c>
      <c r="B12" s="7">
        <v>215</v>
      </c>
      <c r="C12" s="6">
        <v>450</v>
      </c>
      <c r="D12" s="11" cm="1">
        <f t="array" ref="D12:E12">_xlfn.ANCHORARRAY('Raw Data and Corrections'!AG38)</f>
        <v>0.15625071646896596</v>
      </c>
      <c r="E12" s="7">
        <v>6.4784413975517447E-3</v>
      </c>
      <c r="F12">
        <f t="shared" si="0"/>
        <v>27000</v>
      </c>
      <c r="G12" s="2" cm="1">
        <f t="array" ref="G12:H12">'Raw Data and Corrections'!AQ38:AR38</f>
        <v>5.8918316092171601</v>
      </c>
      <c r="H12">
        <v>4.400295659132189E-2</v>
      </c>
      <c r="I12" s="2">
        <f t="shared" si="19"/>
        <v>4.031405026952533E-2</v>
      </c>
      <c r="J12" s="2">
        <f>2*(((H12/(2*$G$38))^2+($H$38*G12/(2*($G$38^2)))^2)^0.5)</f>
        <v>3.0108419956455484E-4</v>
      </c>
      <c r="L12" s="2">
        <f t="shared" si="1"/>
        <v>2.7491657152357238E-10</v>
      </c>
      <c r="M12" s="2">
        <f t="shared" si="2"/>
        <v>8.6937401059850748E-11</v>
      </c>
      <c r="N12" s="2">
        <f t="shared" si="3"/>
        <v>2.8381574934884259E-10</v>
      </c>
      <c r="O12" s="2">
        <f t="shared" si="4"/>
        <v>8.9776093701848247E-11</v>
      </c>
      <c r="P12" s="2">
        <f t="shared" si="5"/>
        <v>4.1782428703657789E-9</v>
      </c>
      <c r="Q12" s="2">
        <f t="shared" si="6"/>
        <v>1.3108813334439442E-9</v>
      </c>
      <c r="R12" s="2">
        <f t="shared" si="15"/>
        <v>2.7491657152357238E-10</v>
      </c>
      <c r="S12" s="2">
        <f t="shared" si="7"/>
        <v>8.6937401059850748E-11</v>
      </c>
      <c r="T12">
        <f t="shared" si="8"/>
        <v>20.491803278688526</v>
      </c>
      <c r="U12">
        <f t="shared" si="9"/>
        <v>-22.014553440567788</v>
      </c>
      <c r="V12" s="2">
        <f t="shared" si="16"/>
        <v>0.3162319411232597</v>
      </c>
      <c r="W12">
        <f t="shared" si="10"/>
        <v>-9.5607990808028376</v>
      </c>
      <c r="X12">
        <f t="shared" si="17"/>
        <v>-22.537727503189835</v>
      </c>
      <c r="Y12">
        <f t="shared" si="18"/>
        <v>0.52317406262204713</v>
      </c>
      <c r="AA12">
        <f t="shared" si="11"/>
        <v>2.6059737482137938E-7</v>
      </c>
      <c r="AB12" s="2">
        <f t="shared" si="12"/>
        <v>-2.6914998910699732E-7</v>
      </c>
      <c r="AC12" s="2">
        <f t="shared" si="13"/>
        <v>-3.9102754731916344E-6</v>
      </c>
    </row>
    <row r="13" spans="1:41" x14ac:dyDescent="0.3">
      <c r="A13" s="5">
        <v>10</v>
      </c>
      <c r="B13" s="7">
        <v>205</v>
      </c>
      <c r="C13" s="6">
        <v>520</v>
      </c>
      <c r="D13" s="11" cm="1">
        <f t="array" ref="D13:E13">_xlfn.ANCHORARRAY('Raw Data and Corrections'!AG43)</f>
        <v>8.1617858083723835E-2</v>
      </c>
      <c r="E13" s="7">
        <v>8.0957866822480781E-3</v>
      </c>
      <c r="F13">
        <f t="shared" si="0"/>
        <v>31200</v>
      </c>
      <c r="G13" s="2" cm="1">
        <f t="array" ref="G13:H13">'Raw Data and Corrections'!AQ43:AR43</f>
        <v>5.9734494673008838</v>
      </c>
      <c r="H13">
        <v>4.4741501436387048E-2</v>
      </c>
      <c r="I13" s="2">
        <f>G13/$G$38</f>
        <v>4.0872509277167506E-2</v>
      </c>
      <c r="J13" s="2">
        <f t="shared" si="14"/>
        <v>3.0613759144420015E-4</v>
      </c>
      <c r="L13" s="2">
        <f t="shared" si="1"/>
        <v>1.2681429621184077E-10</v>
      </c>
      <c r="M13" s="2">
        <f t="shared" si="2"/>
        <v>1.0514575804802153E-10</v>
      </c>
      <c r="N13" s="2">
        <f t="shared" si="3"/>
        <v>1.3100620908022142E-10</v>
      </c>
      <c r="O13" s="2">
        <f t="shared" si="4"/>
        <v>1.0861853807769889E-10</v>
      </c>
      <c r="P13" s="2">
        <f t="shared" si="5"/>
        <v>1.8903151583554608E-9</v>
      </c>
      <c r="Q13" s="2">
        <f t="shared" si="6"/>
        <v>1.5685988106995336E-9</v>
      </c>
      <c r="R13" s="2">
        <f t="shared" si="15"/>
        <v>1.2681429621184077E-10</v>
      </c>
      <c r="S13" s="2">
        <f t="shared" si="7"/>
        <v>1.0514575804802153E-10</v>
      </c>
      <c r="T13">
        <f t="shared" si="8"/>
        <v>20.92050209205021</v>
      </c>
      <c r="U13">
        <f t="shared" si="9"/>
        <v>-22.788297334130629</v>
      </c>
      <c r="V13" s="2">
        <f t="shared" si="16"/>
        <v>0.82913173978726828</v>
      </c>
      <c r="W13">
        <f t="shared" si="10"/>
        <v>-9.8968317841835152</v>
      </c>
      <c r="X13">
        <f t="shared" si="17"/>
        <v>-23.358287712518568</v>
      </c>
      <c r="Y13">
        <f t="shared" si="18"/>
        <v>0.56999037838793853</v>
      </c>
      <c r="AA13">
        <f t="shared" si="11"/>
        <v>2.286409809097758E-7</v>
      </c>
      <c r="AB13" s="2">
        <f t="shared" si="12"/>
        <v>-2.3625261739083519E-7</v>
      </c>
      <c r="AC13" s="2">
        <f t="shared" si="13"/>
        <v>-3.3858625324594773E-6</v>
      </c>
    </row>
    <row r="14" spans="1:41" x14ac:dyDescent="0.3">
      <c r="A14" s="5">
        <v>11</v>
      </c>
      <c r="B14" s="7">
        <v>195</v>
      </c>
      <c r="C14" s="6">
        <v>1106</v>
      </c>
      <c r="D14" s="11" cm="1">
        <f t="array" ref="D14:E14">_xlfn.ANCHORARRAY('Raw Data and Corrections'!AG47)</f>
        <v>9.5647148256692044E-2</v>
      </c>
      <c r="E14" s="7">
        <v>3.2294417173976387E-3</v>
      </c>
      <c r="F14">
        <f t="shared" si="0"/>
        <v>66360</v>
      </c>
      <c r="G14" s="2" cm="1">
        <f t="array" ref="G14:H14">'Raw Data and Corrections'!AQ47:AR47</f>
        <v>6.0690966155575756</v>
      </c>
      <c r="H14">
        <v>4.4857900581595347E-2</v>
      </c>
      <c r="I14" s="2">
        <f t="shared" si="19"/>
        <v>4.1526961780006325E-2</v>
      </c>
      <c r="J14" s="2">
        <f t="shared" si="14"/>
        <v>3.0693403664197469E-4</v>
      </c>
      <c r="L14" s="2">
        <f t="shared" si="1"/>
        <v>7.0915888966220875E-11</v>
      </c>
      <c r="M14" s="2">
        <f t="shared" si="2"/>
        <v>7.7609230320043816E-11</v>
      </c>
      <c r="N14" s="2">
        <f t="shared" si="3"/>
        <v>7.3296396615688982E-11</v>
      </c>
      <c r="O14" s="2">
        <f t="shared" si="4"/>
        <v>8.0200913982721053E-11</v>
      </c>
      <c r="P14" s="2">
        <f t="shared" si="5"/>
        <v>1.0421827532620668E-9</v>
      </c>
      <c r="Q14" s="2">
        <f t="shared" si="6"/>
        <v>1.1460719394941244E-9</v>
      </c>
      <c r="R14" s="2">
        <f t="shared" si="15"/>
        <v>7.0915888966220875E-11</v>
      </c>
      <c r="S14" s="2">
        <f t="shared" si="7"/>
        <v>7.7609230320043816E-11</v>
      </c>
      <c r="T14">
        <f t="shared" si="8"/>
        <v>21.367521367521366</v>
      </c>
      <c r="U14">
        <f t="shared" si="9"/>
        <v>-23.369526603602072</v>
      </c>
      <c r="V14" s="2">
        <f t="shared" si="16"/>
        <v>1.0943842268833597</v>
      </c>
      <c r="W14">
        <f t="shared" si="10"/>
        <v>-10.149256448635622</v>
      </c>
      <c r="X14">
        <f t="shared" si="17"/>
        <v>-24.213914597459635</v>
      </c>
      <c r="Y14">
        <f t="shared" si="18"/>
        <v>0.84438799385756269</v>
      </c>
      <c r="AA14">
        <f t="shared" si="11"/>
        <v>1.0921974252726876E-7</v>
      </c>
      <c r="AB14" s="2">
        <f t="shared" si="12"/>
        <v>-1.1291617035672909E-7</v>
      </c>
      <c r="AC14" s="2">
        <f t="shared" si="13"/>
        <v>-1.5929934003174798E-6</v>
      </c>
    </row>
    <row r="15" spans="1:41" x14ac:dyDescent="0.3">
      <c r="A15" s="5">
        <v>12</v>
      </c>
      <c r="B15" s="7">
        <v>185</v>
      </c>
      <c r="C15" s="6">
        <v>740</v>
      </c>
      <c r="D15" s="11" cm="1">
        <f t="array" ref="D15:E15">_xlfn.ANCHORARRAY('Raw Data and Corrections'!AG51)</f>
        <v>1.9150163564983974E-2</v>
      </c>
      <c r="E15" s="7">
        <v>1.996667060471457E-3</v>
      </c>
      <c r="F15">
        <f t="shared" si="0"/>
        <v>44400</v>
      </c>
      <c r="G15" s="2" cm="1">
        <f t="array" ref="G15:H15">'Raw Data and Corrections'!AQ51:AR51</f>
        <v>6.0882467791225592</v>
      </c>
      <c r="H15">
        <v>4.4902315351646002E-2</v>
      </c>
      <c r="I15" s="2">
        <f t="shared" si="19"/>
        <v>4.1657994149536477E-2</v>
      </c>
      <c r="J15" s="2">
        <f t="shared" si="14"/>
        <v>3.0723793861869283E-4</v>
      </c>
      <c r="L15" s="2">
        <f t="shared" si="1"/>
        <v>2.1423369943509105E-11</v>
      </c>
      <c r="M15" s="2">
        <f t="shared" si="2"/>
        <v>6.0457088840478552E-11</v>
      </c>
      <c r="N15" s="2">
        <f t="shared" si="3"/>
        <v>2.214960926267382E-11</v>
      </c>
      <c r="O15" s="2">
        <f t="shared" si="4"/>
        <v>6.2507836240859488E-11</v>
      </c>
      <c r="P15" s="2">
        <f t="shared" si="5"/>
        <v>3.1199358629383344E-10</v>
      </c>
      <c r="Q15" s="2">
        <f t="shared" si="6"/>
        <v>8.7994291309740531E-10</v>
      </c>
      <c r="R15" s="2">
        <f t="shared" si="15"/>
        <v>2.1423369943509105E-11</v>
      </c>
      <c r="S15" s="2">
        <f t="shared" si="7"/>
        <v>6.0457088840478552E-11</v>
      </c>
      <c r="T15">
        <f t="shared" si="8"/>
        <v>21.834061135371179</v>
      </c>
      <c r="U15">
        <f t="shared" si="9"/>
        <v>-24.566538736322325</v>
      </c>
      <c r="V15" s="2">
        <f t="shared" si="16"/>
        <v>2.8220158173012346</v>
      </c>
      <c r="W15">
        <f t="shared" si="10"/>
        <v>-10.669112212647271</v>
      </c>
      <c r="X15">
        <f t="shared" si="17"/>
        <v>-25.106905101830449</v>
      </c>
      <c r="Y15">
        <f t="shared" si="18"/>
        <v>0.54036636550812389</v>
      </c>
      <c r="AA15">
        <f t="shared" si="11"/>
        <v>1.6375431479413209E-7</v>
      </c>
      <c r="AB15" s="2">
        <f t="shared" si="12"/>
        <v>-1.6931455764185233E-7</v>
      </c>
      <c r="AC15" s="2">
        <f t="shared" si="13"/>
        <v>-2.3812048586642778E-6</v>
      </c>
    </row>
    <row r="16" spans="1:41" x14ac:dyDescent="0.3">
      <c r="A16" s="5">
        <v>13</v>
      </c>
      <c r="B16" s="7">
        <v>175</v>
      </c>
      <c r="C16" s="6">
        <v>920</v>
      </c>
      <c r="D16" s="11" cm="1">
        <f t="array" ref="D16:E16">_xlfn.ANCHORARRAY('Raw Data and Corrections'!AG55)</f>
        <v>1.8864768406653305E-2</v>
      </c>
      <c r="E16" s="7">
        <v>7.419842691148348E-4</v>
      </c>
      <c r="F16">
        <f t="shared" si="0"/>
        <v>55200</v>
      </c>
      <c r="G16" s="2" cm="1">
        <f t="array" ref="G16:H16">'Raw Data and Corrections'!AQ55:AR55</f>
        <v>6.1071115475292128</v>
      </c>
      <c r="H16">
        <v>4.4908445359356161E-2</v>
      </c>
      <c r="I16" s="2">
        <f t="shared" si="19"/>
        <v>4.1787073741811148E-2</v>
      </c>
      <c r="J16" s="2">
        <f t="shared" si="14"/>
        <v>3.0727988235628936E-4</v>
      </c>
      <c r="L16" s="2">
        <f t="shared" si="1"/>
        <v>1.7028114095159787E-11</v>
      </c>
      <c r="M16" s="2">
        <f t="shared" si="2"/>
        <v>6.4649225727804662E-11</v>
      </c>
      <c r="N16" s="2">
        <f t="shared" si="3"/>
        <v>1.7607230323998566E-11</v>
      </c>
      <c r="O16" s="2">
        <f t="shared" si="4"/>
        <v>6.6847160817136904E-11</v>
      </c>
      <c r="P16" s="2">
        <f t="shared" si="5"/>
        <v>2.4724498233334527E-10</v>
      </c>
      <c r="Q16" s="2">
        <f t="shared" si="6"/>
        <v>9.3899101943550783E-10</v>
      </c>
      <c r="R16" s="2">
        <f t="shared" si="15"/>
        <v>1.7028114095159787E-11</v>
      </c>
      <c r="S16" s="2">
        <f t="shared" si="7"/>
        <v>6.4649225727804662E-11</v>
      </c>
      <c r="T16">
        <f t="shared" si="8"/>
        <v>22.321428571428573</v>
      </c>
      <c r="U16">
        <f t="shared" si="9"/>
        <v>-24.796155367541129</v>
      </c>
      <c r="V16" s="2">
        <f t="shared" si="16"/>
        <v>3.7966168987663229</v>
      </c>
      <c r="W16">
        <f t="shared" si="10"/>
        <v>-10.76883344853881</v>
      </c>
      <c r="X16">
        <f t="shared" si="17"/>
        <v>-26.03976125371782</v>
      </c>
      <c r="Y16">
        <f t="shared" si="18"/>
        <v>1.2436058861766917</v>
      </c>
      <c r="AA16">
        <f t="shared" si="11"/>
        <v>1.3212355463193321E-7</v>
      </c>
      <c r="AB16" s="2">
        <f t="shared" si="12"/>
        <v>-1.3662421070415478E-7</v>
      </c>
      <c r="AC16" s="2">
        <f t="shared" si="13"/>
        <v>-1.915574961340279E-6</v>
      </c>
    </row>
    <row r="17" spans="1:37" x14ac:dyDescent="0.3">
      <c r="A17" s="5">
        <v>14</v>
      </c>
      <c r="B17" s="7">
        <v>200</v>
      </c>
      <c r="C17" s="6">
        <v>260</v>
      </c>
      <c r="D17" s="11" cm="1">
        <f t="array" ref="D17:E17">_xlfn.ANCHORARRAY('Raw Data and Corrections'!AG59)</f>
        <v>3.1311094664891286E-2</v>
      </c>
      <c r="E17" s="7">
        <v>1.6538991465150745E-3</v>
      </c>
      <c r="F17">
        <f t="shared" si="0"/>
        <v>15600</v>
      </c>
      <c r="G17" s="2" cm="1">
        <f t="array" ref="G17:H17">'Raw Data and Corrections'!AQ59:AR59</f>
        <v>6.1384226421941044</v>
      </c>
      <c r="H17">
        <v>4.4938890139623176E-2</v>
      </c>
      <c r="I17" s="2">
        <f t="shared" si="19"/>
        <v>4.2001315615652152E-2</v>
      </c>
      <c r="J17" s="2">
        <f t="shared" si="14"/>
        <v>3.0748819659259731E-4</v>
      </c>
      <c r="L17" s="2">
        <f t="shared" si="1"/>
        <v>1.0041786278003864E-10</v>
      </c>
      <c r="M17" s="2">
        <f t="shared" si="2"/>
        <v>1.5008743923034891E-10</v>
      </c>
      <c r="N17" s="2">
        <f t="shared" si="3"/>
        <v>1.0384760719442533E-10</v>
      </c>
      <c r="O17" s="2">
        <f t="shared" si="4"/>
        <v>1.5522523920499401E-10</v>
      </c>
      <c r="P17" s="2">
        <f t="shared" si="5"/>
        <v>1.4523341339309863E-9</v>
      </c>
      <c r="Q17" s="2">
        <f t="shared" si="6"/>
        <v>2.1661849638437762E-9</v>
      </c>
      <c r="R17" s="2">
        <f t="shared" si="15"/>
        <v>1.0041786278003864E-10</v>
      </c>
      <c r="S17" s="2">
        <f t="shared" si="7"/>
        <v>1.5008743923034891E-10</v>
      </c>
      <c r="T17">
        <f t="shared" si="8"/>
        <v>21.141649048625794</v>
      </c>
      <c r="U17">
        <f t="shared" si="9"/>
        <v>-23.021681008360275</v>
      </c>
      <c r="V17" s="2">
        <f t="shared" si="16"/>
        <v>1.4946288944538635</v>
      </c>
      <c r="W17">
        <f t="shared" si="10"/>
        <v>-9.9981890260677577</v>
      </c>
      <c r="X17">
        <f t="shared" si="17"/>
        <v>-23.781578814159609</v>
      </c>
      <c r="Y17">
        <f t="shared" si="18"/>
        <v>0.75989780579933353</v>
      </c>
      <c r="AA17">
        <f t="shared" si="11"/>
        <v>4.6991105619387125E-7</v>
      </c>
      <c r="AB17" s="2">
        <f t="shared" si="12"/>
        <v>-4.8600330648199448E-7</v>
      </c>
      <c r="AC17" s="2">
        <f t="shared" si="13"/>
        <v>-6.7797041637427357E-6</v>
      </c>
    </row>
    <row r="18" spans="1:37" x14ac:dyDescent="0.3">
      <c r="A18" s="5">
        <v>15</v>
      </c>
      <c r="B18" s="7">
        <v>209.99</v>
      </c>
      <c r="C18" s="6">
        <v>520</v>
      </c>
      <c r="D18" s="11" cm="1">
        <f t="array" ref="D18:E18">_xlfn.ANCHORARRAY('Raw Data and Corrections'!AG61)</f>
        <v>8.8202729246804099E-2</v>
      </c>
      <c r="E18" s="7">
        <v>3.8527112390901405E-3</v>
      </c>
      <c r="F18">
        <f t="shared" si="0"/>
        <v>31200</v>
      </c>
      <c r="G18" s="2" cm="1">
        <f t="array" ref="G18:H18">'Raw Data and Corrections'!AQ61:AR61</f>
        <v>6.2266253714409086</v>
      </c>
      <c r="H18">
        <v>4.5103738546521097E-2</v>
      </c>
      <c r="I18" s="2">
        <f t="shared" si="19"/>
        <v>4.2604830701725264E-2</v>
      </c>
      <c r="J18" s="2">
        <f t="shared" si="14"/>
        <v>3.086161492231744E-4</v>
      </c>
      <c r="L18" s="2">
        <f t="shared" si="1"/>
        <v>1.4281795908772028E-10</v>
      </c>
      <c r="M18" s="2">
        <f t="shared" si="2"/>
        <v>1.6213577205033617E-10</v>
      </c>
      <c r="N18" s="2">
        <f t="shared" si="3"/>
        <v>1.4774538497512019E-10</v>
      </c>
      <c r="O18" s="2">
        <f t="shared" si="4"/>
        <v>1.6770522090302125E-10</v>
      </c>
      <c r="P18" s="2">
        <f t="shared" si="5"/>
        <v>2.0464715514824838E-9</v>
      </c>
      <c r="Q18" s="2">
        <f t="shared" si="6"/>
        <v>2.332750318763226E-9</v>
      </c>
      <c r="R18" s="2">
        <f t="shared" si="15"/>
        <v>1.4281795908772028E-10</v>
      </c>
      <c r="S18" s="2">
        <f t="shared" si="7"/>
        <v>1.6213577205033617E-10</v>
      </c>
      <c r="T18">
        <f t="shared" si="8"/>
        <v>20.704362409159611</v>
      </c>
      <c r="U18">
        <f t="shared" si="9"/>
        <v>-22.669450310011072</v>
      </c>
      <c r="V18" s="2">
        <f t="shared" si="16"/>
        <v>1.1352617912061795</v>
      </c>
      <c r="W18">
        <f t="shared" si="10"/>
        <v>-9.845217177417771</v>
      </c>
      <c r="X18">
        <f t="shared" si="17"/>
        <v>-22.944580891064589</v>
      </c>
      <c r="Y18">
        <f t="shared" si="18"/>
        <v>0.27513058105351718</v>
      </c>
      <c r="AA18">
        <f t="shared" si="11"/>
        <v>2.3833159391021538E-7</v>
      </c>
      <c r="AB18" s="2">
        <f t="shared" si="12"/>
        <v>-2.4661515552096922E-7</v>
      </c>
      <c r="AC18" s="2">
        <f t="shared" si="13"/>
        <v>-3.3919889496314854E-6</v>
      </c>
    </row>
    <row r="19" spans="1:37" x14ac:dyDescent="0.3">
      <c r="A19" s="5">
        <v>16</v>
      </c>
      <c r="B19" s="7">
        <v>219.98</v>
      </c>
      <c r="C19" s="6">
        <v>1167</v>
      </c>
      <c r="D19" s="11" cm="1">
        <f t="array" ref="D19:E19">_xlfn.ANCHORARRAY('Raw Data and Corrections'!AG65)</f>
        <v>0.60142106796482531</v>
      </c>
      <c r="E19" s="7">
        <v>2.4482586064055643E-2</v>
      </c>
      <c r="F19">
        <f t="shared" si="0"/>
        <v>70020</v>
      </c>
      <c r="G19" s="2" cm="1">
        <f t="array" ref="G19:H19">'Raw Data and Corrections'!AQ65:AR65</f>
        <v>6.8280464394057336</v>
      </c>
      <c r="H19">
        <v>5.132001803640393E-2</v>
      </c>
      <c r="I19" s="2">
        <f t="shared" si="19"/>
        <v>4.6719971930329902E-2</v>
      </c>
      <c r="J19" s="2">
        <f t="shared" si="14"/>
        <v>3.5115018964831365E-4</v>
      </c>
      <c r="L19" s="2">
        <f t="shared" si="1"/>
        <v>4.5812297809034189E-10</v>
      </c>
      <c r="M19" s="2">
        <f t="shared" si="2"/>
        <v>8.4156353034749591E-11</v>
      </c>
      <c r="N19" s="2">
        <f t="shared" si="3"/>
        <v>4.7485881445367662E-10</v>
      </c>
      <c r="O19" s="2">
        <f t="shared" si="4"/>
        <v>8.7150974222409891E-11</v>
      </c>
      <c r="P19" s="2">
        <f t="shared" si="5"/>
        <v>6.233137306013437E-9</v>
      </c>
      <c r="Q19" s="2">
        <f t="shared" si="6"/>
        <v>1.1747157278597792E-9</v>
      </c>
      <c r="R19" s="2">
        <f t="shared" si="15"/>
        <v>4.5812297809034189E-10</v>
      </c>
      <c r="S19" s="2">
        <f t="shared" si="7"/>
        <v>8.4156353034749591E-11</v>
      </c>
      <c r="T19">
        <f t="shared" si="8"/>
        <v>20.28479857195018</v>
      </c>
      <c r="U19">
        <f t="shared" si="9"/>
        <v>-21.503883456742738</v>
      </c>
      <c r="V19" s="2">
        <f t="shared" si="16"/>
        <v>0.18369817070855143</v>
      </c>
      <c r="W19">
        <f t="shared" si="10"/>
        <v>-9.3390179247539944</v>
      </c>
      <c r="X19">
        <f t="shared" si="17"/>
        <v>-22.141505679851264</v>
      </c>
      <c r="Y19">
        <f t="shared" si="18"/>
        <v>0.63762222310852579</v>
      </c>
      <c r="AA19">
        <f t="shared" si="11"/>
        <v>1.1645491811248038E-7</v>
      </c>
      <c r="AB19" s="2">
        <f t="shared" si="12"/>
        <v>-1.2091011229819983E-7</v>
      </c>
      <c r="AC19" s="2">
        <f t="shared" si="13"/>
        <v>-1.5179506548652175E-6</v>
      </c>
    </row>
    <row r="20" spans="1:37" x14ac:dyDescent="0.3">
      <c r="A20" s="5">
        <v>17</v>
      </c>
      <c r="B20" s="7">
        <v>229.99</v>
      </c>
      <c r="C20" s="6">
        <v>370</v>
      </c>
      <c r="D20" s="11" cm="1">
        <f t="array" ref="D20:E20">_xlfn.ANCHORARRAY('Raw Data and Corrections'!AG69)</f>
        <v>0.39124801292181549</v>
      </c>
      <c r="E20" s="7">
        <v>1.4831403285235569E-2</v>
      </c>
      <c r="F20">
        <f t="shared" si="0"/>
        <v>22200</v>
      </c>
      <c r="G20" s="2" cm="1">
        <f t="array" ref="G20:H20">'Raw Data and Corrections'!AQ69:AR69</f>
        <v>7.2192944523275493</v>
      </c>
      <c r="H20">
        <v>5.342017198274563E-2</v>
      </c>
      <c r="I20" s="2">
        <f t="shared" si="19"/>
        <v>4.9397032835483252E-2</v>
      </c>
      <c r="J20" s="2">
        <f t="shared" si="14"/>
        <v>3.6552020518543639E-4</v>
      </c>
      <c r="L20" s="2">
        <f t="shared" si="1"/>
        <v>1.0114697013946219E-9</v>
      </c>
      <c r="M20" s="2">
        <f t="shared" si="2"/>
        <v>1.4772328644421153E-10</v>
      </c>
      <c r="N20" s="2">
        <f t="shared" si="3"/>
        <v>1.0513339186212275E-9</v>
      </c>
      <c r="O20" s="2">
        <f t="shared" si="4"/>
        <v>1.5368727786456963E-10</v>
      </c>
      <c r="P20" s="2">
        <f t="shared" si="5"/>
        <v>1.2834990718240875E-8</v>
      </c>
      <c r="Q20" s="2">
        <f t="shared" si="6"/>
        <v>1.8340923307541235E-9</v>
      </c>
      <c r="R20" s="2">
        <f t="shared" si="15"/>
        <v>1.0114697013946219E-9</v>
      </c>
      <c r="S20" s="2">
        <f t="shared" si="7"/>
        <v>1.4772328644421153E-10</v>
      </c>
      <c r="T20">
        <f t="shared" si="8"/>
        <v>19.881110956480249</v>
      </c>
      <c r="U20">
        <f t="shared" si="9"/>
        <v>-20.711861413902234</v>
      </c>
      <c r="V20" s="2">
        <f t="shared" si="16"/>
        <v>0.14604815768631485</v>
      </c>
      <c r="W20">
        <f t="shared" si="10"/>
        <v>-8.9950471220026227</v>
      </c>
      <c r="X20">
        <f t="shared" si="17"/>
        <v>-21.368818693255953</v>
      </c>
      <c r="Y20">
        <f t="shared" si="18"/>
        <v>0.65695727935371906</v>
      </c>
      <c r="AA20">
        <f t="shared" si="11"/>
        <v>3.8835174040312306E-7</v>
      </c>
      <c r="AB20" s="2">
        <f t="shared" si="12"/>
        <v>-4.0409867748729863E-7</v>
      </c>
      <c r="AC20" s="2">
        <f t="shared" si="13"/>
        <v>-4.8011813962668939E-6</v>
      </c>
    </row>
    <row r="21" spans="1:37" x14ac:dyDescent="0.3">
      <c r="A21" s="5">
        <v>18</v>
      </c>
      <c r="B21" s="7">
        <v>240</v>
      </c>
      <c r="C21" s="6">
        <v>320</v>
      </c>
      <c r="D21" s="11" cm="1">
        <f t="array" ref="D21:E21">_xlfn.ANCHORARRAY('Raw Data and Corrections'!AG73)</f>
        <v>0.7420418710030634</v>
      </c>
      <c r="E21" s="7">
        <v>1.5668893362883681E-2</v>
      </c>
      <c r="F21">
        <f t="shared" si="0"/>
        <v>19200</v>
      </c>
      <c r="G21" s="2" cm="1">
        <f t="array" ref="G21:H21">'Raw Data and Corrections'!AQ73:AR73</f>
        <v>7.9613363233306131</v>
      </c>
      <c r="H21">
        <v>5.5670719358416249E-2</v>
      </c>
      <c r="I21" s="2">
        <f t="shared" si="19"/>
        <v>5.4474352635816931E-2</v>
      </c>
      <c r="J21" s="2">
        <f t="shared" si="14"/>
        <v>3.8091926715027561E-4</v>
      </c>
      <c r="L21" s="2">
        <f t="shared" si="1"/>
        <v>2.3970472035611226E-9</v>
      </c>
      <c r="M21" s="2">
        <f t="shared" si="2"/>
        <v>2.3607121996277904E-10</v>
      </c>
      <c r="N21" s="2">
        <f t="shared" si="3"/>
        <v>2.4995659904250075E-9</v>
      </c>
      <c r="O21" s="2">
        <f t="shared" si="4"/>
        <v>2.4630362161746573E-10</v>
      </c>
      <c r="P21" s="2">
        <f t="shared" si="5"/>
        <v>2.8261602654271655E-8</v>
      </c>
      <c r="Q21" s="2">
        <f t="shared" si="6"/>
        <v>2.7567290793760654E-9</v>
      </c>
      <c r="R21" s="2">
        <f t="shared" si="15"/>
        <v>2.4995659904250075E-9</v>
      </c>
      <c r="S21" s="2">
        <f t="shared" si="7"/>
        <v>2.4630362161746573E-10</v>
      </c>
      <c r="T21">
        <f t="shared" si="8"/>
        <v>19.49317738791423</v>
      </c>
      <c r="U21">
        <f t="shared" si="9"/>
        <v>-19.807148723973143</v>
      </c>
      <c r="V21" s="2">
        <f t="shared" si="16"/>
        <v>9.85385553175918E-2</v>
      </c>
      <c r="W21">
        <f t="shared" si="10"/>
        <v>-8.6021353930585711</v>
      </c>
      <c r="X21">
        <f t="shared" si="17"/>
        <v>-20.626286079899707</v>
      </c>
      <c r="Y21">
        <f t="shared" si="18"/>
        <v>0.81913735592656423</v>
      </c>
      <c r="AA21">
        <f t="shared" si="11"/>
        <v>4.9518583926430045E-7</v>
      </c>
      <c r="AB21" s="2">
        <f t="shared" si="12"/>
        <v>-5.1743203226341873E-7</v>
      </c>
      <c r="AC21" s="2">
        <f t="shared" si="13"/>
        <v>-5.5811759269383305E-6</v>
      </c>
      <c r="AE21" s="2"/>
      <c r="AF21" s="2"/>
    </row>
    <row r="22" spans="1:37" x14ac:dyDescent="0.3">
      <c r="A22" s="5">
        <v>19</v>
      </c>
      <c r="B22" s="7">
        <v>245</v>
      </c>
      <c r="C22" s="6">
        <v>250</v>
      </c>
      <c r="D22" s="11" cm="1">
        <f t="array" ref="D22:E22">_xlfn.ANCHORARRAY('Raw Data and Corrections'!AG77)</f>
        <v>0.58519944470038965</v>
      </c>
      <c r="E22" s="7">
        <v>1.455981910345742E-2</v>
      </c>
      <c r="F22">
        <f t="shared" si="0"/>
        <v>15000</v>
      </c>
      <c r="G22" s="2" cm="1">
        <f t="array" ref="G22:H22">'Raw Data and Corrections'!AQ77:AR77</f>
        <v>8.5465357680310028</v>
      </c>
      <c r="H22">
        <v>5.7543177929350972E-2</v>
      </c>
      <c r="I22" s="2">
        <f t="shared" si="19"/>
        <v>5.8478499630521083E-2</v>
      </c>
      <c r="J22" s="2">
        <f t="shared" si="14"/>
        <v>3.9373130828841257E-4</v>
      </c>
      <c r="L22" s="2">
        <f t="shared" si="1"/>
        <v>2.6312573560632035E-9</v>
      </c>
      <c r="M22" s="2">
        <f t="shared" si="2"/>
        <v>3.2764809551730133E-10</v>
      </c>
      <c r="N22" s="2">
        <f t="shared" si="3"/>
        <v>2.7540942531143177E-9</v>
      </c>
      <c r="O22" s="2">
        <f t="shared" si="4"/>
        <v>3.4313056671122521E-10</v>
      </c>
      <c r="P22" s="2">
        <f t="shared" si="5"/>
        <v>2.8665987306627981E-8</v>
      </c>
      <c r="Q22" s="2">
        <f t="shared" si="6"/>
        <v>3.5353846155127985E-9</v>
      </c>
      <c r="R22" s="2">
        <f t="shared" si="15"/>
        <v>2.7540942531143177E-9</v>
      </c>
      <c r="S22" s="2">
        <f t="shared" si="7"/>
        <v>3.4313056671122521E-10</v>
      </c>
      <c r="T22">
        <f t="shared" si="8"/>
        <v>19.305019305019304</v>
      </c>
      <c r="U22">
        <f t="shared" si="9"/>
        <v>-19.710177213146306</v>
      </c>
      <c r="V22" s="2">
        <f t="shared" si="16"/>
        <v>0.12458926063376904</v>
      </c>
      <c r="W22">
        <f t="shared" si="10"/>
        <v>-8.5600212010046555</v>
      </c>
      <c r="X22">
        <f t="shared" si="17"/>
        <v>-20.266138043387897</v>
      </c>
      <c r="Y22">
        <f t="shared" si="18"/>
        <v>0.55596083024159171</v>
      </c>
      <c r="AA22">
        <f t="shared" si="11"/>
        <v>6.8042824011925359E-7</v>
      </c>
      <c r="AB22" s="2">
        <f t="shared" si="12"/>
        <v>-7.1336483295035184E-7</v>
      </c>
      <c r="AC22" s="2">
        <f t="shared" si="13"/>
        <v>-7.1742871230291651E-6</v>
      </c>
    </row>
    <row r="23" spans="1:37" x14ac:dyDescent="0.3">
      <c r="A23" s="5">
        <v>20</v>
      </c>
      <c r="B23" s="7">
        <v>249.99</v>
      </c>
      <c r="C23" s="6">
        <v>210</v>
      </c>
      <c r="D23" s="11" cm="1">
        <f t="array" ref="D23:E23">_xlfn.ANCHORARRAY('Raw Data and Corrections'!AG81)</f>
        <v>0.7544642316023219</v>
      </c>
      <c r="E23" s="7">
        <v>1.4115074525016393E-2</v>
      </c>
      <c r="F23">
        <f t="shared" si="0"/>
        <v>12600</v>
      </c>
      <c r="G23" s="2" cm="1">
        <f t="array" ref="G23:H23">'Raw Data and Corrections'!AQ81:AR81</f>
        <v>9.3009999996333246</v>
      </c>
      <c r="H23">
        <v>5.9249073031193589E-2</v>
      </c>
      <c r="I23" s="2">
        <f t="shared" si="19"/>
        <v>6.3640817730684182E-2</v>
      </c>
      <c r="J23" s="2">
        <f t="shared" si="14"/>
        <v>4.0540366171796995E-4</v>
      </c>
      <c r="L23" s="2">
        <f t="shared" si="1"/>
        <v>4.366223440520277E-9</v>
      </c>
      <c r="M23" s="2">
        <f t="shared" si="2"/>
        <v>4.4664755024205491E-10</v>
      </c>
      <c r="N23" s="2">
        <f t="shared" si="3"/>
        <v>4.5875773121363803E-9</v>
      </c>
      <c r="O23" s="2">
        <f t="shared" si="4"/>
        <v>4.6956301413878439E-10</v>
      </c>
      <c r="P23" s="2">
        <f t="shared" si="5"/>
        <v>4.4211735869628733E-8</v>
      </c>
      <c r="Q23" s="2">
        <f t="shared" si="6"/>
        <v>4.4833560187175071E-9</v>
      </c>
      <c r="R23" s="2">
        <f t="shared" si="15"/>
        <v>4.5875773121363803E-9</v>
      </c>
      <c r="S23" s="2">
        <f t="shared" si="7"/>
        <v>4.6956301413878439E-10</v>
      </c>
      <c r="T23">
        <f t="shared" si="8"/>
        <v>19.120824489952007</v>
      </c>
      <c r="U23">
        <f t="shared" si="9"/>
        <v>-19.199913770925956</v>
      </c>
      <c r="V23" s="2">
        <f t="shared" si="16"/>
        <v>0.10235533533060275</v>
      </c>
      <c r="W23">
        <f t="shared" si="10"/>
        <v>-8.3384166037313978</v>
      </c>
      <c r="X23">
        <f t="shared" si="17"/>
        <v>-19.91357598513612</v>
      </c>
      <c r="Y23">
        <f t="shared" si="18"/>
        <v>0.71366221421016363</v>
      </c>
      <c r="AA23">
        <f t="shared" si="11"/>
        <v>8.8154111750954349E-7</v>
      </c>
      <c r="AB23" s="2">
        <f t="shared" si="12"/>
        <v>-9.2820243766927695E-7</v>
      </c>
      <c r="AC23" s="2">
        <f t="shared" si="13"/>
        <v>-8.5879050832280512E-6</v>
      </c>
    </row>
    <row r="24" spans="1:37" x14ac:dyDescent="0.3">
      <c r="A24" s="5">
        <v>21</v>
      </c>
      <c r="B24" s="7">
        <v>244.909999999999</v>
      </c>
      <c r="C24" s="6">
        <v>270</v>
      </c>
      <c r="D24" s="11" cm="1">
        <f t="array" ref="D24:E24">_xlfn.ANCHORARRAY('Raw Data and Corrections'!AG85)</f>
        <v>0.49085790223314241</v>
      </c>
      <c r="E24" s="7">
        <v>1.0074319930729707E-2</v>
      </c>
      <c r="F24">
        <f t="shared" si="0"/>
        <v>16200</v>
      </c>
      <c r="G24" s="2" cm="1">
        <f t="array" ref="G24:H24">'Raw Data and Corrections'!AQ85:AR85</f>
        <v>9.7918579018664662</v>
      </c>
      <c r="H24">
        <v>6.0099455714027972E-2</v>
      </c>
      <c r="I24" s="2">
        <f t="shared" si="19"/>
        <v>6.6999445651221415E-2</v>
      </c>
      <c r="J24" s="2">
        <f t="shared" si="14"/>
        <v>4.1122228867439682E-4</v>
      </c>
      <c r="L24" s="2">
        <f t="shared" si="1"/>
        <v>2.3635854001038905E-9</v>
      </c>
      <c r="M24" s="2">
        <f t="shared" si="2"/>
        <v>4.6457452742838134E-10</v>
      </c>
      <c r="N24" s="2">
        <f t="shared" si="3"/>
        <v>2.4922275445003051E-9</v>
      </c>
      <c r="O24" s="2">
        <f t="shared" si="4"/>
        <v>4.8972853408102396E-10</v>
      </c>
      <c r="P24" s="2">
        <f t="shared" si="5"/>
        <v>2.2474224388730156E-8</v>
      </c>
      <c r="Q24" s="2">
        <f t="shared" si="6"/>
        <v>4.4407632856530474E-9</v>
      </c>
      <c r="R24" s="2">
        <f t="shared" si="15"/>
        <v>2.4922275445003051E-9</v>
      </c>
      <c r="S24" s="2">
        <f t="shared" si="7"/>
        <v>4.8972853408102396E-10</v>
      </c>
      <c r="T24">
        <f t="shared" si="8"/>
        <v>19.308374041821978</v>
      </c>
      <c r="U24">
        <f t="shared" si="9"/>
        <v>-19.810088930197612</v>
      </c>
      <c r="V24" s="2">
        <f t="shared" si="16"/>
        <v>0.19650233589694763</v>
      </c>
      <c r="W24">
        <f t="shared" si="10"/>
        <v>-8.603412308397516</v>
      </c>
      <c r="X24">
        <f t="shared" si="17"/>
        <v>-20.27255924971562</v>
      </c>
      <c r="Y24">
        <f t="shared" si="18"/>
        <v>0.46247031951800821</v>
      </c>
      <c r="AA24">
        <f t="shared" si="11"/>
        <v>7.2182773063259885E-7</v>
      </c>
      <c r="AB24" s="2">
        <f t="shared" si="12"/>
        <v>-7.6217756221736825E-7</v>
      </c>
      <c r="AC24" s="2">
        <f t="shared" si="13"/>
        <v>-6.7035266194044654E-6</v>
      </c>
    </row>
    <row r="25" spans="1:37" x14ac:dyDescent="0.3">
      <c r="A25" s="5">
        <v>22</v>
      </c>
      <c r="B25" s="7">
        <v>239.99</v>
      </c>
      <c r="C25" s="6">
        <v>320</v>
      </c>
      <c r="D25" s="11" cm="1">
        <f t="array" ref="D25:E25">_xlfn.ANCHORARRAY('Raw Data and Corrections'!AG89)</f>
        <v>0.2988879886383885</v>
      </c>
      <c r="E25" s="7">
        <v>6.5750502023248798E-3</v>
      </c>
      <c r="F25">
        <f t="shared" si="0"/>
        <v>19200</v>
      </c>
      <c r="G25" s="2" cm="1">
        <f t="array" ref="G25:H25">'Raw Data and Corrections'!AQ89:AR89</f>
        <v>10.090745890504854</v>
      </c>
      <c r="H25">
        <v>6.0458050434044779E-2</v>
      </c>
      <c r="I25" s="2">
        <f t="shared" si="19"/>
        <v>6.9044545748799785E-2</v>
      </c>
      <c r="J25" s="2">
        <f t="shared" si="14"/>
        <v>4.1367592389820882E-4</v>
      </c>
      <c r="L25" s="2">
        <f t="shared" si="1"/>
        <v>1.2645618565642274E-9</v>
      </c>
      <c r="M25" s="2">
        <f t="shared" si="2"/>
        <v>3.943604266290206E-10</v>
      </c>
      <c r="N25" s="2">
        <f t="shared" si="3"/>
        <v>1.3364037667369126E-9</v>
      </c>
      <c r="O25" s="2">
        <f t="shared" si="4"/>
        <v>4.1671563189232476E-10</v>
      </c>
      <c r="P25" s="2">
        <f t="shared" si="5"/>
        <v>1.1579987936591351E-8</v>
      </c>
      <c r="Q25" s="2">
        <f t="shared" si="6"/>
        <v>3.6190842371188163E-9</v>
      </c>
      <c r="R25" s="2">
        <f t="shared" si="15"/>
        <v>1.3364037667369126E-9</v>
      </c>
      <c r="S25" s="2">
        <f t="shared" si="7"/>
        <v>4.1671563189232476E-10</v>
      </c>
      <c r="T25">
        <f t="shared" si="8"/>
        <v>19.493557379286145</v>
      </c>
      <c r="U25">
        <f t="shared" si="9"/>
        <v>-20.433283586879945</v>
      </c>
      <c r="V25" s="2">
        <f t="shared" si="16"/>
        <v>0.31181866009687798</v>
      </c>
      <c r="W25">
        <f t="shared" si="10"/>
        <v>-8.8740623089462449</v>
      </c>
      <c r="X25">
        <f t="shared" si="17"/>
        <v>-20.627013410580275</v>
      </c>
      <c r="Y25">
        <f t="shared" si="18"/>
        <v>0.19372982370033043</v>
      </c>
      <c r="AA25">
        <f t="shared" si="11"/>
        <v>6.2763263221896356E-7</v>
      </c>
      <c r="AB25" s="2">
        <f t="shared" si="12"/>
        <v>-6.6385703284064113E-7</v>
      </c>
      <c r="AC25" s="2">
        <f t="shared" si="13"/>
        <v>-5.6685257680952636E-6</v>
      </c>
      <c r="AH25" t="s">
        <v>371</v>
      </c>
      <c r="AI25" t="s">
        <v>632</v>
      </c>
    </row>
    <row r="26" spans="1:37" x14ac:dyDescent="0.3">
      <c r="A26" s="5">
        <v>23</v>
      </c>
      <c r="B26" s="7">
        <v>235</v>
      </c>
      <c r="C26" s="6">
        <v>370</v>
      </c>
      <c r="D26" s="11" cm="1">
        <f t="array" ref="D26:E26">_xlfn.ANCHORARRAY('Raw Data and Corrections'!AG93)</f>
        <v>0.23071286342677</v>
      </c>
      <c r="E26" s="7">
        <v>5.2303781003493364E-3</v>
      </c>
      <c r="F26">
        <f t="shared" si="0"/>
        <v>22200</v>
      </c>
      <c r="G26" s="2" cm="1">
        <f t="array" ref="G26:H26">'Raw Data and Corrections'!AQ93:AR93</f>
        <v>10.321458753931624</v>
      </c>
      <c r="H26">
        <v>6.0683875266483403E-2</v>
      </c>
      <c r="I26" s="2">
        <f t="shared" si="19"/>
        <v>7.0623166895993225E-2</v>
      </c>
      <c r="J26" s="2">
        <f t="shared" si="14"/>
        <v>4.1522109936330455E-4</v>
      </c>
      <c r="L26" s="2">
        <f t="shared" si="1"/>
        <v>8.6669907788240424E-10</v>
      </c>
      <c r="M26" s="2">
        <f t="shared" si="2"/>
        <v>3.472188940936246E-10</v>
      </c>
      <c r="N26" s="2">
        <f t="shared" si="3"/>
        <v>9.1733307714786682E-10</v>
      </c>
      <c r="O26" s="2">
        <f t="shared" si="4"/>
        <v>3.674743870758262E-10</v>
      </c>
      <c r="P26" s="2">
        <f t="shared" si="5"/>
        <v>7.7457731336960153E-9</v>
      </c>
      <c r="Q26" s="2">
        <f t="shared" si="6"/>
        <v>3.1075018165325508E-9</v>
      </c>
      <c r="R26" s="2">
        <f t="shared" si="15"/>
        <v>9.1733307714786682E-10</v>
      </c>
      <c r="S26" s="2">
        <f t="shared" si="7"/>
        <v>3.674743870758262E-10</v>
      </c>
      <c r="T26">
        <f t="shared" si="8"/>
        <v>19.685039370078741</v>
      </c>
      <c r="U26">
        <f t="shared" si="9"/>
        <v>-20.809550484815411</v>
      </c>
      <c r="V26" s="2">
        <f t="shared" si="16"/>
        <v>0.40058992336607113</v>
      </c>
      <c r="W26">
        <f t="shared" si="10"/>
        <v>-9.0374729464424721</v>
      </c>
      <c r="X26">
        <f t="shared" si="17"/>
        <v>-20.993523644689304</v>
      </c>
      <c r="Y26">
        <f t="shared" si="18"/>
        <v>0.18397315987389362</v>
      </c>
      <c r="AA26">
        <f t="shared" si="11"/>
        <v>5.5522828401826372E-7</v>
      </c>
      <c r="AB26" s="2">
        <f t="shared" si="12"/>
        <v>-5.8805492706632036E-7</v>
      </c>
      <c r="AC26" s="2">
        <f t="shared" si="13"/>
        <v>-4.9108360770551147E-6</v>
      </c>
      <c r="AF26" t="s">
        <v>365</v>
      </c>
      <c r="AG26">
        <f>-10000*1.987046*AN2</f>
        <v>38033.482503022671</v>
      </c>
      <c r="AH26">
        <f>2*AN3*10000*1.987046</f>
        <v>1321.0908682654619</v>
      </c>
      <c r="AI26">
        <f>AG26*8.314/(1000*1.987)</f>
        <v>159.13959412689002</v>
      </c>
      <c r="AJ26">
        <f>AH26*8.314/(1000*1.987)</f>
        <v>5.5277048207141677</v>
      </c>
    </row>
    <row r="27" spans="1:37" x14ac:dyDescent="0.3">
      <c r="A27" s="5">
        <v>24</v>
      </c>
      <c r="B27" s="7">
        <v>230</v>
      </c>
      <c r="C27" s="6">
        <v>420</v>
      </c>
      <c r="D27" s="11" cm="1">
        <f t="array" ref="D27:E27">_xlfn.ANCHORARRAY('Raw Data and Corrections'!AG97)</f>
        <v>0.15232776871620657</v>
      </c>
      <c r="E27" s="7">
        <v>4.0007780626060228E-3</v>
      </c>
      <c r="F27">
        <f t="shared" si="0"/>
        <v>25200</v>
      </c>
      <c r="G27" s="2" cm="1">
        <f t="array" ref="G27:H27">'Raw Data and Corrections'!AQ97:AR97</f>
        <v>10.473786522647831</v>
      </c>
      <c r="H27">
        <v>6.0815614298174656E-2</v>
      </c>
      <c r="I27" s="2">
        <f t="shared" si="19"/>
        <v>7.1665448775852597E-2</v>
      </c>
      <c r="J27" s="2">
        <f t="shared" si="14"/>
        <v>4.1612250563190044E-4</v>
      </c>
      <c r="L27" s="2">
        <f t="shared" si="1"/>
        <v>5.1357298736299711E-10</v>
      </c>
      <c r="M27" s="2">
        <f t="shared" si="2"/>
        <v>3.0953083675568864E-10</v>
      </c>
      <c r="N27" s="2">
        <f t="shared" si="3"/>
        <v>5.4417646926140078E-10</v>
      </c>
      <c r="O27" s="2">
        <f t="shared" si="4"/>
        <v>3.2795952633625458E-10</v>
      </c>
      <c r="P27" s="2">
        <f t="shared" si="5"/>
        <v>4.5116634955174094E-9</v>
      </c>
      <c r="Q27" s="2">
        <f t="shared" si="6"/>
        <v>2.721393767016012E-9</v>
      </c>
      <c r="R27" s="2">
        <f t="shared" si="15"/>
        <v>5.4417646926140078E-10</v>
      </c>
      <c r="S27" s="2">
        <f t="shared" si="7"/>
        <v>3.2795952633625458E-10</v>
      </c>
      <c r="T27">
        <f t="shared" si="8"/>
        <v>19.880715705765407</v>
      </c>
      <c r="U27">
        <f t="shared" si="9"/>
        <v>-21.33174752965169</v>
      </c>
      <c r="V27" s="2">
        <f t="shared" si="16"/>
        <v>0.60267127459845349</v>
      </c>
      <c r="W27">
        <f t="shared" si="10"/>
        <v>-9.2642602414810522</v>
      </c>
      <c r="X27">
        <f t="shared" si="17"/>
        <v>-21.368062155100965</v>
      </c>
      <c r="Y27">
        <f t="shared" si="18"/>
        <v>3.6314625449275439E-2</v>
      </c>
      <c r="AA27">
        <f t="shared" si="11"/>
        <v>4.9634842899125697E-7</v>
      </c>
      <c r="AB27" s="2">
        <f t="shared" si="12"/>
        <v>-5.2615611264792417E-7</v>
      </c>
      <c r="AC27" s="2">
        <f t="shared" si="13"/>
        <v>-4.3310699631583159E-6</v>
      </c>
      <c r="AF27" t="s">
        <v>374</v>
      </c>
      <c r="AG27">
        <f>EXP(AO2)</f>
        <v>17628906.063343123</v>
      </c>
      <c r="AH27">
        <f>EXP(AO2)*AO3*2</f>
        <v>22837960.590755418</v>
      </c>
    </row>
    <row r="28" spans="1:37" x14ac:dyDescent="0.3">
      <c r="A28" s="5">
        <v>25</v>
      </c>
      <c r="B28" s="7">
        <v>225</v>
      </c>
      <c r="C28" s="6">
        <v>652</v>
      </c>
      <c r="D28" s="11" cm="1">
        <f t="array" ref="D28:E28">_xlfn.ANCHORARRAY('Raw Data and Corrections'!AG101)</f>
        <v>0.14987878198192986</v>
      </c>
      <c r="E28" s="7">
        <v>3.4228483100812138E-3</v>
      </c>
      <c r="F28">
        <f t="shared" si="0"/>
        <v>39120</v>
      </c>
      <c r="G28" s="2" cm="1">
        <f t="array" ref="G28:H28">'Raw Data and Corrections'!AQ101:AR101</f>
        <v>10.62366530462976</v>
      </c>
      <c r="H28">
        <v>6.0911861184979162E-2</v>
      </c>
      <c r="I28" s="2">
        <f t="shared" si="19"/>
        <v>7.2690973799633365E-2</v>
      </c>
      <c r="J28" s="2">
        <f t="shared" si="14"/>
        <v>4.1678106176355431E-4</v>
      </c>
      <c r="L28" s="2">
        <f t="shared" si="1"/>
        <v>3.3024093006435501E-10</v>
      </c>
      <c r="M28" s="2">
        <f t="shared" si="2"/>
        <v>2.4683861679207427E-10</v>
      </c>
      <c r="N28" s="2">
        <f t="shared" si="3"/>
        <v>3.5022508924105061E-10</v>
      </c>
      <c r="O28" s="2">
        <f t="shared" si="4"/>
        <v>2.6173021551881467E-10</v>
      </c>
      <c r="P28" s="2">
        <f t="shared" si="5"/>
        <v>2.8627481822997532E-9</v>
      </c>
      <c r="Q28" s="2">
        <f t="shared" si="6"/>
        <v>2.1455117620297188E-9</v>
      </c>
      <c r="R28" s="2">
        <f t="shared" si="15"/>
        <v>3.5022508924105061E-10</v>
      </c>
      <c r="S28" s="2">
        <f t="shared" si="7"/>
        <v>2.6173021551881467E-10</v>
      </c>
      <c r="T28">
        <f t="shared" si="8"/>
        <v>20.080321285140563</v>
      </c>
      <c r="U28">
        <f t="shared" si="9"/>
        <v>-21.772445056035778</v>
      </c>
      <c r="V28" s="2">
        <f t="shared" si="16"/>
        <v>0.74732000521719544</v>
      </c>
      <c r="W28">
        <f t="shared" si="10"/>
        <v>-9.4556527453780763</v>
      </c>
      <c r="X28">
        <f t="shared" si="17"/>
        <v>-21.750121519135348</v>
      </c>
      <c r="Y28">
        <f t="shared" si="18"/>
        <v>-2.2323536900429986E-2</v>
      </c>
      <c r="AA28">
        <f t="shared" si="11"/>
        <v>3.2430900544083206E-7</v>
      </c>
      <c r="AB28" s="2">
        <f t="shared" si="12"/>
        <v>-3.440827503075418E-7</v>
      </c>
      <c r="AC28" s="2">
        <f t="shared" si="13"/>
        <v>-2.793038494859419E-6</v>
      </c>
      <c r="AF28" t="s">
        <v>631</v>
      </c>
      <c r="AG28">
        <f>AJ32</f>
        <v>98.991090890523367</v>
      </c>
      <c r="AH28">
        <v>9.1999999999999993</v>
      </c>
    </row>
    <row r="29" spans="1:37" x14ac:dyDescent="0.3">
      <c r="A29" s="5">
        <v>26</v>
      </c>
      <c r="B29" s="7">
        <v>230</v>
      </c>
      <c r="C29" s="6">
        <v>500</v>
      </c>
      <c r="D29" s="11" cm="1">
        <f t="array" ref="D29:E29">_xlfn.ANCHORARRAY('Raw Data and Corrections'!AG105)</f>
        <v>0.16707467664304859</v>
      </c>
      <c r="E29" s="7">
        <v>3.373889618939929E-3</v>
      </c>
      <c r="F29">
        <f t="shared" si="0"/>
        <v>30000</v>
      </c>
      <c r="G29" s="2" cm="1">
        <f t="array" ref="G29:H29">'Raw Data and Corrections'!AQ105:AR105</f>
        <v>10.790739981272809</v>
      </c>
      <c r="H29">
        <v>6.1005228990464101E-2</v>
      </c>
      <c r="I29" s="2">
        <f t="shared" si="19"/>
        <v>7.3834159375815764E-2</v>
      </c>
      <c r="J29" s="2">
        <f t="shared" si="14"/>
        <v>4.1741991817587722E-4</v>
      </c>
      <c r="L29" s="2">
        <f t="shared" si="1"/>
        <v>4.8725351214898284E-10</v>
      </c>
      <c r="M29" s="2">
        <f t="shared" si="2"/>
        <v>2.2454227688022368E-10</v>
      </c>
      <c r="N29" s="2">
        <f t="shared" si="3"/>
        <v>5.1721266986942625E-10</v>
      </c>
      <c r="O29" s="2">
        <f t="shared" si="4"/>
        <v>2.3837989063143425E-10</v>
      </c>
      <c r="P29" s="2">
        <f t="shared" si="5"/>
        <v>4.1661901279820636E-9</v>
      </c>
      <c r="Q29" s="2">
        <f t="shared" si="6"/>
        <v>1.9162722549206401E-9</v>
      </c>
      <c r="R29" s="2">
        <f t="shared" si="15"/>
        <v>5.1721266986942625E-10</v>
      </c>
      <c r="S29" s="2">
        <f t="shared" si="7"/>
        <v>2.3837989063143425E-10</v>
      </c>
      <c r="T29">
        <f t="shared" si="8"/>
        <v>19.880715705765407</v>
      </c>
      <c r="U29">
        <f t="shared" si="9"/>
        <v>-21.382566972290238</v>
      </c>
      <c r="V29" s="2">
        <f t="shared" si="16"/>
        <v>0.46089337040334843</v>
      </c>
      <c r="W29">
        <f t="shared" si="10"/>
        <v>-9.2863308449923743</v>
      </c>
      <c r="X29">
        <f t="shared" si="17"/>
        <v>-21.368062155100965</v>
      </c>
      <c r="Y29">
        <f t="shared" si="18"/>
        <v>-1.4504817189273211E-2</v>
      </c>
      <c r="AA29">
        <f t="shared" si="11"/>
        <v>4.2954972718340883E-7</v>
      </c>
      <c r="AB29" s="2">
        <f t="shared" si="12"/>
        <v>-4.5618065745707899E-7</v>
      </c>
      <c r="AC29" s="2">
        <f t="shared" si="13"/>
        <v>-3.6466177437528518E-6</v>
      </c>
    </row>
    <row r="30" spans="1:37" x14ac:dyDescent="0.3">
      <c r="A30" s="5">
        <v>27</v>
      </c>
      <c r="B30" s="7">
        <v>234.89999999999901</v>
      </c>
      <c r="C30" s="6">
        <v>450</v>
      </c>
      <c r="D30" s="11" cm="1">
        <f t="array" ref="D30:E30">_xlfn.ANCHORARRAY('Raw Data and Corrections'!AG109)</f>
        <v>0.22594088451450875</v>
      </c>
      <c r="E30" s="7">
        <v>3.2904834076714256E-3</v>
      </c>
      <c r="F30">
        <f t="shared" si="0"/>
        <v>27000</v>
      </c>
      <c r="G30" s="2" cm="1">
        <f t="array" ref="G30:H30">'Raw Data and Corrections'!AQ109:AR109</f>
        <v>11.016680865787318</v>
      </c>
      <c r="H30">
        <v>6.1093905139834717E-2</v>
      </c>
      <c r="I30" s="2">
        <f t="shared" si="19"/>
        <v>7.5380128911334984E-2</v>
      </c>
      <c r="J30" s="2">
        <f t="shared" si="14"/>
        <v>4.1802667257426196E-4</v>
      </c>
      <c r="L30" s="2">
        <f t="shared" si="1"/>
        <v>7.45581204256345E-10</v>
      </c>
      <c r="M30" s="2">
        <f t="shared" si="2"/>
        <v>2.7136682381656643E-10</v>
      </c>
      <c r="N30" s="2">
        <f t="shared" si="3"/>
        <v>7.9232502569069112E-10</v>
      </c>
      <c r="O30" s="2">
        <f t="shared" si="4"/>
        <v>2.8840345191144019E-10</v>
      </c>
      <c r="P30" s="2">
        <f t="shared" si="5"/>
        <v>6.2691892563123738E-9</v>
      </c>
      <c r="Q30" s="2">
        <f t="shared" si="6"/>
        <v>2.2793478374385218E-9</v>
      </c>
      <c r="R30" s="2">
        <f t="shared" si="15"/>
        <v>7.9232502569069112E-10</v>
      </c>
      <c r="S30" s="2">
        <f t="shared" si="7"/>
        <v>2.8840345191144019E-10</v>
      </c>
      <c r="T30">
        <f t="shared" si="8"/>
        <v>19.68891514077578</v>
      </c>
      <c r="U30">
        <f t="shared" si="9"/>
        <v>-20.95604942232632</v>
      </c>
      <c r="V30" s="2">
        <f t="shared" si="16"/>
        <v>0.36399639360126373</v>
      </c>
      <c r="W30">
        <f t="shared" si="10"/>
        <v>-9.1010966266081486</v>
      </c>
      <c r="X30">
        <f t="shared" si="17"/>
        <v>-21.000942147179515</v>
      </c>
      <c r="Y30">
        <f t="shared" si="18"/>
        <v>4.4892724853195176E-2</v>
      </c>
      <c r="AA30">
        <f t="shared" si="11"/>
        <v>4.8727090373354227E-7</v>
      </c>
      <c r="AB30" s="2">
        <f t="shared" si="12"/>
        <v>-5.1815779132662973E-7</v>
      </c>
      <c r="AC30" s="2">
        <f t="shared" si="13"/>
        <v>-4.058572120864404E-6</v>
      </c>
      <c r="AF30" t="s">
        <v>363</v>
      </c>
    </row>
    <row r="31" spans="1:37" ht="15" thickBot="1" x14ac:dyDescent="0.35">
      <c r="A31" s="5">
        <v>28</v>
      </c>
      <c r="B31" s="7">
        <v>240</v>
      </c>
      <c r="C31" s="6">
        <v>400</v>
      </c>
      <c r="D31" s="11" cm="1">
        <f t="array" ref="D31:E31">_xlfn.ANCHORARRAY('Raw Data and Corrections'!AG113)</f>
        <v>0.26066439046309131</v>
      </c>
      <c r="E31" s="7">
        <v>1.2300450721968205E-2</v>
      </c>
      <c r="F31">
        <f t="shared" si="0"/>
        <v>24000</v>
      </c>
      <c r="G31" s="2" cm="1">
        <f t="array" ref="G31:H31">'Raw Data and Corrections'!AQ113:AR113</f>
        <v>11.27734525625041</v>
      </c>
      <c r="H31">
        <v>6.2319871094207911E-2</v>
      </c>
      <c r="I31" s="2">
        <f t="shared" si="19"/>
        <v>7.7163689277209138E-2</v>
      </c>
      <c r="J31" s="2">
        <f t="shared" si="14"/>
        <v>4.2641517658989091E-4</v>
      </c>
      <c r="L31" s="2">
        <f t="shared" si="1"/>
        <v>9.8927846610295354E-10</v>
      </c>
      <c r="M31" s="2">
        <f t="shared" si="2"/>
        <v>3.1424012920958648E-10</v>
      </c>
      <c r="N31" s="2">
        <f t="shared" si="3"/>
        <v>1.0527848364331401E-9</v>
      </c>
      <c r="O31" s="2">
        <f t="shared" si="4"/>
        <v>3.34452269629591E-10</v>
      </c>
      <c r="P31" s="2">
        <f t="shared" si="5"/>
        <v>8.151411351904662E-9</v>
      </c>
      <c r="Q31" s="2">
        <f t="shared" si="6"/>
        <v>2.5852982246598853E-9</v>
      </c>
      <c r="R31" s="2">
        <f t="shared" si="15"/>
        <v>1.0527848364331401E-9</v>
      </c>
      <c r="S31" s="2">
        <f t="shared" si="7"/>
        <v>3.34452269629591E-10</v>
      </c>
      <c r="T31">
        <f t="shared" si="8"/>
        <v>19.49317738791423</v>
      </c>
      <c r="U31">
        <f t="shared" si="9"/>
        <v>-20.671826958545243</v>
      </c>
      <c r="V31" s="2">
        <f t="shared" si="16"/>
        <v>0.31768340315645427</v>
      </c>
      <c r="W31">
        <f t="shared" si="10"/>
        <v>-8.9776603789550808</v>
      </c>
      <c r="X31">
        <f t="shared" si="17"/>
        <v>-20.626286079899707</v>
      </c>
      <c r="Y31">
        <f t="shared" si="18"/>
        <v>-4.5540878645535798E-2</v>
      </c>
      <c r="AA31">
        <f t="shared" si="11"/>
        <v>5.6115018369714289E-7</v>
      </c>
      <c r="AB31" s="2">
        <f t="shared" si="12"/>
        <v>-5.9762292417809984E-7</v>
      </c>
      <c r="AC31" s="2">
        <f t="shared" si="13"/>
        <v>-4.5747181120244861E-6</v>
      </c>
      <c r="AF31" t="s">
        <v>362</v>
      </c>
      <c r="AG31">
        <f>EXP(AO2)</f>
        <v>17628906.063343123</v>
      </c>
      <c r="AH31">
        <v>346</v>
      </c>
      <c r="AI31">
        <f>(AG32/1.987)/(LN((AG31*AH31^2*55*1.987)/(AG32*AG33)))</f>
        <v>373.0839620638742</v>
      </c>
      <c r="AJ31" t="s">
        <v>621</v>
      </c>
      <c r="AK31" t="s">
        <v>371</v>
      </c>
    </row>
    <row r="32" spans="1:37" ht="15" thickBot="1" x14ac:dyDescent="0.35">
      <c r="A32" s="5">
        <v>29</v>
      </c>
      <c r="B32" s="7">
        <v>245</v>
      </c>
      <c r="C32" s="6">
        <v>350</v>
      </c>
      <c r="D32" s="11" cm="1">
        <f t="array" ref="D32:E32">_xlfn.ANCHORARRAY('Raw Data and Corrections'!AG117)</f>
        <v>0.34868138609583449</v>
      </c>
      <c r="E32" s="7">
        <v>9.3889275064231829E-3</v>
      </c>
      <c r="F32">
        <f t="shared" si="0"/>
        <v>21000</v>
      </c>
      <c r="G32" s="2" cm="1">
        <f t="array" ref="G32:H32">'Raw Data and Corrections'!AQ117:AR117</f>
        <v>11.626026642346245</v>
      </c>
      <c r="H32">
        <v>6.3023156799065214E-2</v>
      </c>
      <c r="I32" s="2">
        <f t="shared" si="19"/>
        <v>7.9549493872358282E-2</v>
      </c>
      <c r="J32" s="2">
        <f t="shared" si="14"/>
        <v>4.3122731263517459E-4</v>
      </c>
      <c r="L32" s="2">
        <f t="shared" si="1"/>
        <v>1.5537047017295395E-9</v>
      </c>
      <c r="M32" s="2">
        <f t="shared" si="2"/>
        <v>3.7220967268557951E-10</v>
      </c>
      <c r="N32" s="2">
        <f t="shared" si="3"/>
        <v>1.6563756810066476E-9</v>
      </c>
      <c r="O32" s="2">
        <f t="shared" si="4"/>
        <v>3.9687400731205124E-10</v>
      </c>
      <c r="P32" s="2">
        <f t="shared" si="5"/>
        <v>1.2489732925987764E-8</v>
      </c>
      <c r="Q32" s="2">
        <f t="shared" si="6"/>
        <v>2.9857641445674991E-9</v>
      </c>
      <c r="R32" s="2">
        <f t="shared" si="15"/>
        <v>1.6563756810066476E-9</v>
      </c>
      <c r="S32" s="2">
        <f t="shared" si="7"/>
        <v>3.9687400731205124E-10</v>
      </c>
      <c r="T32">
        <f t="shared" si="8"/>
        <v>19.305019305019304</v>
      </c>
      <c r="U32">
        <f t="shared" si="9"/>
        <v>-20.218633946201038</v>
      </c>
      <c r="V32" s="2">
        <f t="shared" si="16"/>
        <v>0.23960386032162376</v>
      </c>
      <c r="W32">
        <f t="shared" si="10"/>
        <v>-8.7808411544568798</v>
      </c>
      <c r="X32">
        <f t="shared" si="17"/>
        <v>-20.266138043387897</v>
      </c>
      <c r="Y32">
        <f t="shared" si="18"/>
        <v>4.750409718685944E-2</v>
      </c>
      <c r="AA32">
        <f t="shared" si="11"/>
        <v>6.6114313636557412E-7</v>
      </c>
      <c r="AB32" s="2">
        <f t="shared" si="12"/>
        <v>-7.055435670292809E-7</v>
      </c>
      <c r="AC32" s="2">
        <f t="shared" si="13"/>
        <v>-5.2418008752919073E-6</v>
      </c>
      <c r="AF32" t="s">
        <v>361</v>
      </c>
      <c r="AG32">
        <f>AG26</f>
        <v>38033.482503022671</v>
      </c>
      <c r="AH32">
        <f>AI31</f>
        <v>373.0839620638742</v>
      </c>
      <c r="AI32">
        <f>(AG32/1.987)/(LN((AG31*AH32^2*55*1.987)/(AG32*AG33)))</f>
        <v>371.99109089052337</v>
      </c>
      <c r="AJ32" s="19">
        <f>AI32-273</f>
        <v>98.991090890523367</v>
      </c>
      <c r="AK32">
        <f>AK34-AJ32</f>
        <v>9.2195588499284327</v>
      </c>
    </row>
    <row r="33" spans="1:37" ht="15" thickBot="1" x14ac:dyDescent="0.35">
      <c r="A33" s="5">
        <v>30</v>
      </c>
      <c r="B33" s="7">
        <v>250</v>
      </c>
      <c r="C33" s="6">
        <v>300</v>
      </c>
      <c r="D33" s="11" cm="1">
        <f t="array" ref="D33:E33">_xlfn.ANCHORARRAY('Raw Data and Corrections'!AG121)</f>
        <v>0.40179984450578188</v>
      </c>
      <c r="E33" s="7">
        <v>9.6187659471836922E-3</v>
      </c>
      <c r="F33">
        <f t="shared" si="0"/>
        <v>18000</v>
      </c>
      <c r="G33" s="2" cm="1">
        <f t="array" ref="G33:H33">'Raw Data and Corrections'!AQ121:AR121</f>
        <v>12.027826486852026</v>
      </c>
      <c r="H33">
        <v>6.3752952490580869E-2</v>
      </c>
      <c r="I33" s="2">
        <f t="shared" si="19"/>
        <v>8.2298754238922925E-2</v>
      </c>
      <c r="J33" s="2">
        <f t="shared" si="14"/>
        <v>4.3622083963078988E-4</v>
      </c>
      <c r="L33" s="2">
        <f t="shared" si="1"/>
        <v>2.1572413734857895E-9</v>
      </c>
      <c r="M33" s="2">
        <f t="shared" si="2"/>
        <v>4.4995288926813245E-10</v>
      </c>
      <c r="N33" s="2">
        <f t="shared" si="3"/>
        <v>2.3048269865420743E-9</v>
      </c>
      <c r="O33" s="2">
        <f t="shared" si="4"/>
        <v>4.8084451248358063E-10</v>
      </c>
      <c r="P33" s="2">
        <f t="shared" si="5"/>
        <v>1.6838080359098298E-8</v>
      </c>
      <c r="Q33" s="2">
        <f t="shared" si="6"/>
        <v>3.5026650490708619E-9</v>
      </c>
      <c r="R33" s="2">
        <f t="shared" si="15"/>
        <v>2.3048269865420743E-9</v>
      </c>
      <c r="S33" s="2">
        <f t="shared" si="7"/>
        <v>4.8084451248358063E-10</v>
      </c>
      <c r="T33">
        <f t="shared" si="8"/>
        <v>19.120458891013385</v>
      </c>
      <c r="U33">
        <f t="shared" si="9"/>
        <v>-19.888260223383462</v>
      </c>
      <c r="V33" s="2">
        <f t="shared" si="16"/>
        <v>0.20862499237089824</v>
      </c>
      <c r="W33">
        <f t="shared" si="10"/>
        <v>-8.6373616696713711</v>
      </c>
      <c r="X33">
        <f t="shared" si="17"/>
        <v>-19.912876202602895</v>
      </c>
      <c r="Y33">
        <f t="shared" si="18"/>
        <v>2.461597921943337E-2</v>
      </c>
      <c r="AA33">
        <f t="shared" si="11"/>
        <v>7.9799123986602502E-7</v>
      </c>
      <c r="AB33" s="2">
        <f t="shared" si="12"/>
        <v>-8.5357854644803307E-7</v>
      </c>
      <c r="AC33" s="2">
        <f t="shared" si="13"/>
        <v>-6.1337550458791015E-6</v>
      </c>
      <c r="AF33" t="s">
        <v>360</v>
      </c>
      <c r="AG33">
        <f>AG35/(1000000*365*24*60*60)</f>
        <v>3.1709791983764587E-13</v>
      </c>
      <c r="AJ33" t="s">
        <v>619</v>
      </c>
      <c r="AK33" t="s">
        <v>620</v>
      </c>
    </row>
    <row r="34" spans="1:37" ht="15" thickBot="1" x14ac:dyDescent="0.35">
      <c r="A34" s="5">
        <v>31</v>
      </c>
      <c r="B34" s="7">
        <v>249.97</v>
      </c>
      <c r="C34" s="6">
        <v>300</v>
      </c>
      <c r="D34" s="11" cm="1">
        <f t="array" ref="D34:E34">_xlfn.ANCHORARRAY('Raw Data and Corrections'!AG126)</f>
        <v>0.37354875442200886</v>
      </c>
      <c r="E34" s="7">
        <v>7.9898983109723681E-3</v>
      </c>
      <c r="F34">
        <f t="shared" si="0"/>
        <v>18000</v>
      </c>
      <c r="G34" s="2" cm="1">
        <f t="array" ref="G34:H34">'Raw Data and Corrections'!AQ126:AR126</f>
        <v>12.401375241274035</v>
      </c>
      <c r="H34">
        <v>6.42516725563307E-2</v>
      </c>
      <c r="I34" s="2">
        <f t="shared" si="19"/>
        <v>8.4854710393597946E-2</v>
      </c>
      <c r="J34" s="2">
        <f t="shared" si="14"/>
        <v>4.396332633276258E-4</v>
      </c>
      <c r="L34" s="2">
        <f t="shared" si="1"/>
        <v>2.0713030714068281E-9</v>
      </c>
      <c r="M34" s="2">
        <f t="shared" si="2"/>
        <v>5.0201051196726701E-10</v>
      </c>
      <c r="N34" s="2">
        <f t="shared" si="3"/>
        <v>2.2180196181156492E-9</v>
      </c>
      <c r="O34" s="2">
        <f t="shared" si="4"/>
        <v>5.3758972102944953E-10</v>
      </c>
      <c r="P34" s="2">
        <f t="shared" si="5"/>
        <v>1.5699482005351516E-8</v>
      </c>
      <c r="Q34" s="2">
        <f t="shared" si="6"/>
        <v>3.8041505454879106E-9</v>
      </c>
      <c r="R34" s="2">
        <f t="shared" si="15"/>
        <v>2.2180196181156492E-9</v>
      </c>
      <c r="S34" s="2">
        <f t="shared" si="7"/>
        <v>5.3758972102944953E-10</v>
      </c>
      <c r="T34">
        <f t="shared" si="8"/>
        <v>19.121555729774173</v>
      </c>
      <c r="U34">
        <f t="shared" si="9"/>
        <v>-19.926651103099889</v>
      </c>
      <c r="V34" s="2">
        <f t="shared" si="16"/>
        <v>0.24237374486622743</v>
      </c>
      <c r="W34">
        <f t="shared" si="10"/>
        <v>-8.6540346168876283</v>
      </c>
      <c r="X34">
        <f t="shared" si="17"/>
        <v>-19.914975630488158</v>
      </c>
      <c r="Y34">
        <f t="shared" si="18"/>
        <v>-1.1675472611731408E-2</v>
      </c>
      <c r="AA34">
        <f t="shared" si="11"/>
        <v>8.2277449010807641E-7</v>
      </c>
      <c r="AB34" s="2">
        <f t="shared" si="12"/>
        <v>-8.8201168347151445E-7</v>
      </c>
      <c r="AC34" s="2">
        <f t="shared" si="13"/>
        <v>-6.1508863245283374E-6</v>
      </c>
      <c r="AF34" t="s">
        <v>359</v>
      </c>
      <c r="AH34">
        <f>0.97*AG32</f>
        <v>36892.478027931989</v>
      </c>
      <c r="AI34" t="s">
        <v>358</v>
      </c>
      <c r="AJ34" s="19">
        <v>90.19658763822008</v>
      </c>
      <c r="AK34">
        <v>108.2106497404518</v>
      </c>
    </row>
    <row r="35" spans="1:37" x14ac:dyDescent="0.3">
      <c r="A35" s="5">
        <v>32</v>
      </c>
      <c r="B35" s="6">
        <v>249.98</v>
      </c>
      <c r="C35" s="6">
        <v>300</v>
      </c>
      <c r="D35" s="12" cm="1">
        <f t="array" ref="D35:E35">_xlfn.ANCHORARRAY('Raw Data and Corrections'!AG130)</f>
        <v>0.37333060971607829</v>
      </c>
      <c r="E35" s="6">
        <v>7.9125970260669649E-3</v>
      </c>
      <c r="F35">
        <f t="shared" si="0"/>
        <v>18000</v>
      </c>
      <c r="G35" s="2" cm="1">
        <f t="array" ref="G35:H35">'Raw Data and Corrections'!AQ130:AR130</f>
        <v>12.774705850990113</v>
      </c>
      <c r="H35">
        <v>6.4737057532628595E-2</v>
      </c>
      <c r="I35" s="2">
        <f t="shared" si="19"/>
        <v>8.7409173923020889E-2</v>
      </c>
      <c r="J35" s="2">
        <f t="shared" si="14"/>
        <v>4.4295444350255371E-4</v>
      </c>
      <c r="L35" s="2">
        <f t="shared" si="1"/>
        <v>2.1333828971113211E-9</v>
      </c>
      <c r="M35" s="2">
        <f t="shared" si="2"/>
        <v>5.2132823716617643E-10</v>
      </c>
      <c r="N35" s="2">
        <f t="shared" si="3"/>
        <v>2.2894946156190166E-9</v>
      </c>
      <c r="O35" s="2">
        <f t="shared" si="4"/>
        <v>5.5949733376796111E-10</v>
      </c>
      <c r="P35" s="2">
        <f t="shared" si="5"/>
        <v>1.5734184593565133E-8</v>
      </c>
      <c r="Q35" s="2">
        <f t="shared" si="6"/>
        <v>3.8441120940510574E-9</v>
      </c>
      <c r="R35" s="2">
        <f t="shared" si="15"/>
        <v>2.2894946156190166E-9</v>
      </c>
      <c r="S35" s="2">
        <f t="shared" si="7"/>
        <v>5.5949733376796111E-10</v>
      </c>
      <c r="T35">
        <f t="shared" si="8"/>
        <v>19.121190102872003</v>
      </c>
      <c r="U35">
        <f t="shared" si="9"/>
        <v>-19.894934735605723</v>
      </c>
      <c r="V35" s="2">
        <f t="shared" si="16"/>
        <v>0.24437591158810756</v>
      </c>
      <c r="W35">
        <f t="shared" si="10"/>
        <v>-8.6402603734988954</v>
      </c>
      <c r="X35">
        <f t="shared" si="17"/>
        <v>-19.914275794430701</v>
      </c>
      <c r="Y35">
        <f t="shared" si="18"/>
        <v>1.9341058824977608E-2</v>
      </c>
      <c r="AA35">
        <f t="shared" si="11"/>
        <v>8.4754326744726841E-7</v>
      </c>
      <c r="AB35" s="2">
        <f t="shared" si="12"/>
        <v>-9.1055367169673033E-7</v>
      </c>
      <c r="AC35" s="2">
        <f t="shared" si="13"/>
        <v>-6.1681034763346701E-6</v>
      </c>
      <c r="AF35" t="s">
        <v>357</v>
      </c>
      <c r="AG35">
        <v>10</v>
      </c>
      <c r="AJ35">
        <v>64439823.670807518</v>
      </c>
      <c r="AK35">
        <v>4828742.7687072773</v>
      </c>
    </row>
    <row r="36" spans="1:37" x14ac:dyDescent="0.3">
      <c r="A36" s="5">
        <v>33</v>
      </c>
      <c r="B36" s="6">
        <v>250</v>
      </c>
      <c r="C36" s="6">
        <v>10250</v>
      </c>
      <c r="D36" s="12" cm="1">
        <f t="array" ref="D36:E36">_xlfn.ANCHORARRAY('Raw Data and Corrections'!AG133)</f>
        <v>8.580386501689409</v>
      </c>
      <c r="E36" s="6">
        <v>0.12782739057103734</v>
      </c>
      <c r="F36">
        <f t="shared" si="0"/>
        <v>615000</v>
      </c>
      <c r="G36" s="2" cm="1">
        <f t="array" ref="G36:H36">'Raw Data and Corrections'!AQ133:AR133</f>
        <v>21.35509235267952</v>
      </c>
      <c r="H36">
        <v>0.14328547867171812</v>
      </c>
      <c r="I36" s="2">
        <f t="shared" si="19"/>
        <v>0.14611929255912087</v>
      </c>
      <c r="J36" s="2">
        <f t="shared" si="14"/>
        <v>9.8041124953877445E-4</v>
      </c>
      <c r="L36" s="2">
        <f t="shared" si="1"/>
        <v>1.9454722549153241E-9</v>
      </c>
      <c r="M36" s="2">
        <f t="shared" si="2"/>
        <v>3.7761797063171865E-10</v>
      </c>
      <c r="N36" s="2">
        <f t="shared" si="3"/>
        <v>2.1494607876287719E-9</v>
      </c>
      <c r="O36" s="2">
        <f t="shared" si="4"/>
        <v>4.059494126380766E-10</v>
      </c>
      <c r="P36" s="2">
        <f t="shared" si="5"/>
        <v>1.0955228386927575E-8</v>
      </c>
      <c r="Q36" s="2">
        <f t="shared" si="6"/>
        <v>2.7387293620299638E-9</v>
      </c>
      <c r="R36" s="2">
        <f t="shared" si="15"/>
        <v>2.1494607876287719E-9</v>
      </c>
      <c r="S36" s="2">
        <f t="shared" si="7"/>
        <v>4.059494126380766E-10</v>
      </c>
      <c r="T36">
        <f t="shared" si="8"/>
        <v>19.120458891013385</v>
      </c>
      <c r="U36">
        <f t="shared" si="9"/>
        <v>-19.958048822713263</v>
      </c>
      <c r="V36" s="2">
        <f t="shared" si="16"/>
        <v>0.18886104597698161</v>
      </c>
      <c r="W36">
        <f t="shared" si="10"/>
        <v>-8.6676704732600616</v>
      </c>
      <c r="X36">
        <f t="shared" si="17"/>
        <v>-19.912876202602895</v>
      </c>
      <c r="Y36">
        <f t="shared" si="18"/>
        <v>-4.517262011036749E-2</v>
      </c>
      <c r="AA36">
        <f t="shared" si="11"/>
        <v>4.1467687086853826E-8</v>
      </c>
      <c r="AB36" s="2">
        <f t="shared" si="12"/>
        <v>-4.6927683164893449E-8</v>
      </c>
      <c r="AC36" s="2">
        <f t="shared" si="13"/>
        <v>-1.9294251605136442E-7</v>
      </c>
    </row>
    <row r="37" spans="1:37" x14ac:dyDescent="0.3">
      <c r="A37" s="5">
        <v>34</v>
      </c>
      <c r="B37" s="6">
        <v>240</v>
      </c>
      <c r="C37" s="6">
        <v>785</v>
      </c>
      <c r="D37" s="12" cm="1">
        <f t="array" ref="D37:E37">_xlfn.ANCHORARRAY('Raw Data and Corrections'!AG135)</f>
        <v>0.25246265215053254</v>
      </c>
      <c r="E37" s="6">
        <v>2.2088877113003287E-2</v>
      </c>
      <c r="F37">
        <f t="shared" si="0"/>
        <v>47100</v>
      </c>
      <c r="G37" s="2" cm="1">
        <f t="array" ref="G37:H37">'Raw Data and Corrections'!AQ135:AR135</f>
        <v>21.607555004830054</v>
      </c>
      <c r="H37">
        <v>0.1449780910699846</v>
      </c>
      <c r="I37" s="2">
        <f t="shared" si="19"/>
        <v>0.14784673365469669</v>
      </c>
      <c r="J37" s="2">
        <f>2*(((H37/(2*$G$38))^2+($H$38*G37/(2*($G$38^2)))^2)^0.5)</f>
        <v>9.9199271788959903E-4</v>
      </c>
      <c r="L37" s="2">
        <f t="shared" si="1"/>
        <v>9.408640045920748E-10</v>
      </c>
      <c r="M37" s="2">
        <f t="shared" si="2"/>
        <v>5.4498990975826754E-10</v>
      </c>
      <c r="N37" s="2">
        <f t="shared" si="3"/>
        <v>1.0655899580101348E-9</v>
      </c>
      <c r="O37" s="2">
        <f t="shared" si="4"/>
        <v>6.1771858020828087E-10</v>
      </c>
      <c r="P37" s="2">
        <f t="shared" si="5"/>
        <v>4.3563730565805875E-9</v>
      </c>
      <c r="Q37" s="2">
        <f t="shared" si="6"/>
        <v>2.5113407303885911E-9</v>
      </c>
      <c r="R37" s="2">
        <f t="shared" si="15"/>
        <v>1.0655899580101348E-9</v>
      </c>
      <c r="S37" s="2">
        <f t="shared" si="7"/>
        <v>6.1771858020828087E-10</v>
      </c>
      <c r="T37">
        <f t="shared" si="8"/>
        <v>19.49317738791423</v>
      </c>
      <c r="U37">
        <f t="shared" si="9"/>
        <v>-20.659737239976117</v>
      </c>
      <c r="V37" s="2">
        <f t="shared" si="16"/>
        <v>0.57969632274106486</v>
      </c>
      <c r="W37">
        <f t="shared" si="10"/>
        <v>-8.9724098808927444</v>
      </c>
      <c r="X37">
        <f t="shared" si="17"/>
        <v>-20.626286079899707</v>
      </c>
      <c r="Y37">
        <f t="shared" si="18"/>
        <v>-3.3451160076410247E-2</v>
      </c>
      <c r="AA37">
        <f t="shared" si="11"/>
        <v>5.478582357948124E-7</v>
      </c>
      <c r="AB37" s="2">
        <f t="shared" si="12"/>
        <v>-6.2097513873180532E-7</v>
      </c>
      <c r="AC37" s="2">
        <f t="shared" si="13"/>
        <v>-2.5244201291093447E-6</v>
      </c>
      <c r="AH37">
        <v>98.9</v>
      </c>
      <c r="AI37">
        <v>99.09</v>
      </c>
    </row>
    <row r="38" spans="1:37" x14ac:dyDescent="0.3">
      <c r="A38" t="s">
        <v>298</v>
      </c>
      <c r="D38" s="6" cm="1">
        <f t="array" ref="D38:E38">'Raw Data and Corrections'!AG138:AH138</f>
        <v>124.54078707011602</v>
      </c>
      <c r="E38" s="6">
        <v>1.0730577113002813</v>
      </c>
      <c r="F38">
        <f>3600*C38</f>
        <v>0</v>
      </c>
      <c r="G38" s="2">
        <f>'Raw Data and Corrections'!AQ138</f>
        <v>146.14834207494607</v>
      </c>
      <c r="H38">
        <v>0</v>
      </c>
      <c r="I38" s="2">
        <f>G38/$G$38</f>
        <v>1</v>
      </c>
      <c r="J38" s="2"/>
      <c r="AH38">
        <v>18003069.985226665</v>
      </c>
      <c r="AI38">
        <v>17354426.675797403</v>
      </c>
    </row>
    <row r="39" spans="1:37" x14ac:dyDescent="0.3">
      <c r="D39" s="7">
        <f>SUM(D4:D38)</f>
        <v>146.14834207494607</v>
      </c>
      <c r="E39" s="6">
        <v>1.0726345452392398</v>
      </c>
      <c r="H39">
        <v>1.073686271083476</v>
      </c>
      <c r="AH39">
        <v>38038.944164075619</v>
      </c>
      <c r="AI39">
        <v>38032.636907850479</v>
      </c>
    </row>
    <row r="43" spans="1:37" x14ac:dyDescent="0.3">
      <c r="A43" t="s">
        <v>622</v>
      </c>
      <c r="G43" s="7" t="s">
        <v>352</v>
      </c>
      <c r="H43" s="7" t="s">
        <v>325</v>
      </c>
      <c r="I43" s="7" t="s">
        <v>341</v>
      </c>
      <c r="J43" s="7" t="s">
        <v>325</v>
      </c>
      <c r="L43" t="s">
        <v>290</v>
      </c>
      <c r="M43" t="s">
        <v>325</v>
      </c>
      <c r="N43" t="s">
        <v>291</v>
      </c>
      <c r="O43" t="s">
        <v>325</v>
      </c>
      <c r="P43" t="s">
        <v>292</v>
      </c>
      <c r="Q43" t="s">
        <v>325</v>
      </c>
      <c r="R43" t="s">
        <v>293</v>
      </c>
      <c r="S43" t="s">
        <v>325</v>
      </c>
      <c r="T43" t="s">
        <v>295</v>
      </c>
      <c r="U43" t="s">
        <v>294</v>
      </c>
      <c r="V43" t="s">
        <v>325</v>
      </c>
      <c r="W43" t="s">
        <v>296</v>
      </c>
      <c r="X43" t="s">
        <v>366</v>
      </c>
      <c r="Y43" t="s">
        <v>368</v>
      </c>
      <c r="AA43" t="s">
        <v>348</v>
      </c>
    </row>
    <row r="44" spans="1:37" x14ac:dyDescent="0.3">
      <c r="G44" s="7"/>
      <c r="H44" s="7"/>
      <c r="I44" s="7"/>
      <c r="J44" s="7"/>
      <c r="L44" t="s">
        <v>342</v>
      </c>
      <c r="N44" t="s">
        <v>343</v>
      </c>
      <c r="P44" t="s">
        <v>344</v>
      </c>
      <c r="AA44" t="s">
        <v>345</v>
      </c>
      <c r="AB44" t="s">
        <v>346</v>
      </c>
      <c r="AC44" t="s">
        <v>347</v>
      </c>
    </row>
    <row r="45" spans="1:37" x14ac:dyDescent="0.3">
      <c r="A45" t="s">
        <v>297</v>
      </c>
      <c r="B45" s="7" t="s">
        <v>300</v>
      </c>
      <c r="C45" s="7" t="s">
        <v>301</v>
      </c>
      <c r="D45" s="7" t="s">
        <v>354</v>
      </c>
      <c r="E45" s="7" t="s">
        <v>325</v>
      </c>
      <c r="F45" t="s">
        <v>302</v>
      </c>
      <c r="G45">
        <v>0</v>
      </c>
      <c r="H45">
        <v>0</v>
      </c>
      <c r="I45">
        <v>0</v>
      </c>
      <c r="J45" s="7">
        <v>0</v>
      </c>
      <c r="AA45">
        <v>0</v>
      </c>
      <c r="AB45">
        <v>0</v>
      </c>
      <c r="AC45">
        <v>0</v>
      </c>
    </row>
    <row r="46" spans="1:37" x14ac:dyDescent="0.3">
      <c r="A46" s="5">
        <v>1</v>
      </c>
      <c r="B46" s="7">
        <v>170</v>
      </c>
      <c r="C46" s="6">
        <v>300</v>
      </c>
      <c r="D46" s="11" cm="1">
        <f t="array" ref="D46:E46">'Raw Data and Corrections'!BX5:BY5</f>
        <v>1.6870653658079233E-2</v>
      </c>
      <c r="E46" s="7">
        <v>5.6870596158773642E-3</v>
      </c>
      <c r="F46">
        <v>18000</v>
      </c>
      <c r="G46" s="2" cm="1">
        <f t="array" ref="G46:H46">'Raw Data and Corrections'!AS5:AT5</f>
        <v>1.6870653658079233E-2</v>
      </c>
      <c r="H46">
        <v>5.6870596158773642E-3</v>
      </c>
      <c r="I46" s="2">
        <f>G46/$G$80</f>
        <v>1.1569892900159537E-4</v>
      </c>
      <c r="J46" s="2">
        <f>2*(((H46/(2*$G$80))^2+($H$80*G46/(2*($G$80^2)))^2)^0.5)</f>
        <v>3.9001850198621698E-5</v>
      </c>
      <c r="L46" s="2">
        <f t="shared" ref="L46:L79" si="20">((I46^2-I45^2)*PI())/(36*F46)</f>
        <v>6.4898333436873678E-14</v>
      </c>
      <c r="M46" s="2">
        <f t="shared" ref="M46:M79" si="21">2*((((J46/2)*AA46)^2+((J45/2)*AA45)^2)^0.5)</f>
        <v>4.3754166104860785E-14</v>
      </c>
      <c r="N46" s="2">
        <f t="shared" ref="N46:N79" si="22">(1/(PI()*PI()*F46))*(-(I46-I45)*PI()*PI()/3-2*PI()*(SQRT(1-PI()/3*I46)-SQRT(1-PI()/3*I45)))</f>
        <v>6.4902264424288929E-14</v>
      </c>
      <c r="O46" s="2">
        <f t="shared" ref="O46:O79" si="23">2*((((J46/2)*AB46)^2+((J45/2)*AB45)^2)^0.5)</f>
        <v>4.3758142435403851E-14</v>
      </c>
      <c r="P46" s="2">
        <f t="shared" ref="P46:P79" si="24">(1/(PI()^2*F46))*LN((1-I45)/(1-I46))</f>
        <v>6.5130170221435592E-10</v>
      </c>
      <c r="Q46" s="2">
        <f t="shared" ref="Q46:Q79" si="25">2*((((J46/2)*AC46)^2+((J45/2)*AC45)^2)^0.5)</f>
        <v>2.1956504935025032E-10</v>
      </c>
      <c r="R46" s="2">
        <f>(I46&lt;0.05)*L46+((I46&gt;=0.05)*(I46&lt;0.9))*N46+(I46&gt;=0.9)*P46</f>
        <v>6.4898333436873678E-14</v>
      </c>
      <c r="S46" s="2">
        <f t="shared" ref="S46:S79" si="26">(I46&lt;0.05)*M46+((I46&gt;=0.05)*(I46&lt;0.9))*O46+(I46&gt;=0.9)*Q46</f>
        <v>4.3754166104860785E-14</v>
      </c>
      <c r="T46">
        <f t="shared" ref="T46:T79" si="27">10000/(273+B46)</f>
        <v>22.573363431151243</v>
      </c>
      <c r="U46">
        <f t="shared" ref="U46:U49" si="28">LN(R46)</f>
        <v>-30.365954450469122</v>
      </c>
      <c r="V46" s="2">
        <f>S46/R46</f>
        <v>0.67419552687620654</v>
      </c>
      <c r="W46">
        <f t="shared" ref="W46:W50" si="29">LOG10(R46)</f>
        <v>-13.187766455564232</v>
      </c>
      <c r="X46">
        <f>$AO$2+$AN$2*T46</f>
        <v>-26.52198260537066</v>
      </c>
      <c r="Y46">
        <f>U46-X46</f>
        <v>-3.8439718450984621</v>
      </c>
      <c r="AA46" s="2">
        <f t="shared" ref="AA46:AA79" si="30" xml:space="preserve"> (I46 * PI()) / (18 * F46)</f>
        <v>1.1218484733938861E-9</v>
      </c>
      <c r="AB46" s="2">
        <f t="shared" ref="AB46:AB79" si="31" xml:space="preserve"> (1 / (PI()^2 * F46)) * (PI()^2 / 3 - PI()^2 / (3 * SQRT(1 - (PI() / 3) * I46)))</f>
        <v>-1.1219504257505772E-9</v>
      </c>
      <c r="AC46" s="2">
        <f t="shared" ref="AC46:AC79" si="32" xml:space="preserve"> (-1) / (PI()^2 * F46 * (1 - I46))</f>
        <v>-5.629605986179846E-6</v>
      </c>
    </row>
    <row r="47" spans="1:37" x14ac:dyDescent="0.3">
      <c r="A47" s="5">
        <v>2</v>
      </c>
      <c r="B47" s="7">
        <v>180</v>
      </c>
      <c r="C47" s="6">
        <v>463</v>
      </c>
      <c r="D47" s="11" cm="1">
        <f t="array" ref="D47:E47">'Raw Data and Corrections'!BX9:BY9</f>
        <v>2.8060077868746737E-2</v>
      </c>
      <c r="E47" s="7">
        <v>5.5219516277044472E-3</v>
      </c>
      <c r="F47">
        <v>27780</v>
      </c>
      <c r="G47" s="2" cm="1">
        <f t="array" ref="G47:H47">'Raw Data and Corrections'!AS9:AT9</f>
        <v>4.4930731526825973E-2</v>
      </c>
      <c r="H47">
        <v>7.9268276664281653E-3</v>
      </c>
      <c r="I47" s="2">
        <f t="shared" ref="I47:I79" si="33">G47/$G$38</f>
        <v>3.074323724027271E-4</v>
      </c>
      <c r="J47" s="2">
        <f t="shared" ref="J47:J79" si="34">2*(((H47/(2*$G$80))^2+($H$80*G47/(2*($G$80^2)))^2)^0.5)</f>
        <v>5.4362177659118115E-5</v>
      </c>
      <c r="L47" s="2">
        <f t="shared" si="20"/>
        <v>2.5485206459368177E-13</v>
      </c>
      <c r="M47" s="2">
        <f t="shared" si="21"/>
        <v>1.13752108812838E-13</v>
      </c>
      <c r="N47" s="2">
        <f t="shared" si="22"/>
        <v>2.5489732103087604E-13</v>
      </c>
      <c r="O47" s="2">
        <f t="shared" si="23"/>
        <v>1.1377704727975002E-13</v>
      </c>
      <c r="P47" s="2">
        <f t="shared" si="24"/>
        <v>6.9945177726213698E-10</v>
      </c>
      <c r="Q47" s="2">
        <f t="shared" si="25"/>
        <v>2.9588073322778537E-10</v>
      </c>
      <c r="R47" s="2">
        <f t="shared" ref="R47:R79" si="35">(I47&lt;0.05)*L47+((I47&gt;=0.05)*(I47&lt;0.9))*N47+(I47&gt;=0.9)*P47</f>
        <v>2.5485206459368177E-13</v>
      </c>
      <c r="S47" s="2">
        <f t="shared" si="26"/>
        <v>1.13752108812838E-13</v>
      </c>
      <c r="T47">
        <f t="shared" si="27"/>
        <v>22.075055187637968</v>
      </c>
      <c r="U47">
        <f t="shared" si="28"/>
        <v>-28.998093156946219</v>
      </c>
      <c r="V47" s="2">
        <f t="shared" ref="V47:V79" si="36">S47/R47</f>
        <v>0.44634564367448376</v>
      </c>
      <c r="W47">
        <f t="shared" si="29"/>
        <v>-12.593711843778191</v>
      </c>
      <c r="X47">
        <f t="shared" ref="X47:X79" si="37">$AO$2+$AN$2*T47</f>
        <v>-25.568184965015369</v>
      </c>
      <c r="Y47">
        <f t="shared" ref="Y47:Y79" si="38">U47-X47</f>
        <v>-3.4299081919308492</v>
      </c>
      <c r="AA47">
        <f t="shared" si="30"/>
        <v>1.9315000452285594E-9</v>
      </c>
      <c r="AB47" s="2">
        <f t="shared" si="31"/>
        <v>-1.9319665442458302E-9</v>
      </c>
      <c r="AC47" s="2">
        <f t="shared" si="32"/>
        <v>-3.6483924634082859E-6</v>
      </c>
    </row>
    <row r="48" spans="1:37" x14ac:dyDescent="0.3">
      <c r="A48" s="5">
        <v>3</v>
      </c>
      <c r="B48" s="7">
        <v>190</v>
      </c>
      <c r="C48" s="6">
        <v>550</v>
      </c>
      <c r="D48" s="11" cm="1">
        <f t="array" ref="D48:E48">'Raw Data and Corrections'!BX13:BY13</f>
        <v>5.8647695838783022E-2</v>
      </c>
      <c r="E48" s="7">
        <v>3.947823203721809E-3</v>
      </c>
      <c r="F48">
        <v>33000</v>
      </c>
      <c r="G48" s="2" cm="1">
        <f t="array" ref="G48:H48">'Raw Data and Corrections'!AS13:AT13</f>
        <v>0.10357842736560899</v>
      </c>
      <c r="H48">
        <v>8.8555013918521462E-3</v>
      </c>
      <c r="I48" s="2">
        <f t="shared" si="33"/>
        <v>7.0872119310455887E-4</v>
      </c>
      <c r="J48" s="2">
        <f t="shared" si="34"/>
        <v>6.0731021309228902E-5</v>
      </c>
      <c r="L48" s="2">
        <f t="shared" si="20"/>
        <v>1.0783254083743772E-12</v>
      </c>
      <c r="M48" s="2">
        <f t="shared" si="21"/>
        <v>2.5068962664236524E-13</v>
      </c>
      <c r="N48" s="2">
        <f t="shared" si="22"/>
        <v>1.0787782953066253E-12</v>
      </c>
      <c r="O48" s="2">
        <f t="shared" si="23"/>
        <v>2.5081538247780744E-13</v>
      </c>
      <c r="P48" s="2">
        <f t="shared" si="24"/>
        <v>1.232719008093632E-9</v>
      </c>
      <c r="Q48" s="2">
        <f t="shared" si="25"/>
        <v>2.723142689550229E-10</v>
      </c>
      <c r="R48" s="2">
        <f t="shared" si="35"/>
        <v>1.0783254083743772E-12</v>
      </c>
      <c r="S48" s="2">
        <f t="shared" si="26"/>
        <v>2.5068962664236524E-13</v>
      </c>
      <c r="T48">
        <f t="shared" si="27"/>
        <v>21.598272138228943</v>
      </c>
      <c r="U48">
        <f t="shared" si="28"/>
        <v>-27.55561182593722</v>
      </c>
      <c r="V48" s="2">
        <f t="shared" si="36"/>
        <v>0.23248049679204985</v>
      </c>
      <c r="W48">
        <f t="shared" si="29"/>
        <v>-11.967250161472524</v>
      </c>
      <c r="X48">
        <f t="shared" si="37"/>
        <v>-24.655588086662483</v>
      </c>
      <c r="Y48">
        <f t="shared" si="38"/>
        <v>-2.9000237392747366</v>
      </c>
      <c r="AA48">
        <f t="shared" si="30"/>
        <v>3.7483388782839649E-9</v>
      </c>
      <c r="AB48" s="2">
        <f t="shared" si="31"/>
        <v>-3.7504266011156425E-9</v>
      </c>
      <c r="AC48" s="2">
        <f t="shared" si="32"/>
        <v>-3.0725164557810341E-6</v>
      </c>
    </row>
    <row r="49" spans="1:32" x14ac:dyDescent="0.3">
      <c r="A49" s="5">
        <v>4</v>
      </c>
      <c r="B49" s="7">
        <v>200</v>
      </c>
      <c r="C49" s="6">
        <v>500</v>
      </c>
      <c r="D49" s="11" cm="1">
        <f t="array" ref="D49:E49">'Raw Data and Corrections'!BX17:BY17</f>
        <v>0.10664756322649528</v>
      </c>
      <c r="E49" s="7">
        <v>4.4233749524480916E-3</v>
      </c>
      <c r="F49">
        <v>30000</v>
      </c>
      <c r="G49" s="2" cm="1">
        <f t="array" ref="G49:H49">'Raw Data and Corrections'!AS17:AT17</f>
        <v>0.21022599059210428</v>
      </c>
      <c r="H49">
        <v>9.8987954252545522E-3</v>
      </c>
      <c r="I49" s="2">
        <f t="shared" si="33"/>
        <v>1.4384425276907943E-3</v>
      </c>
      <c r="J49" s="2">
        <f t="shared" si="34"/>
        <v>6.788593093779608E-5</v>
      </c>
      <c r="L49" s="2">
        <f t="shared" si="20"/>
        <v>4.5577271404320978E-12</v>
      </c>
      <c r="M49" s="2">
        <f t="shared" si="21"/>
        <v>6.1201565194141053E-13</v>
      </c>
      <c r="N49" s="2">
        <f t="shared" si="22"/>
        <v>4.5617221432082192E-12</v>
      </c>
      <c r="O49" s="2">
        <f t="shared" si="23"/>
        <v>6.1265933974072238E-13</v>
      </c>
      <c r="P49" s="2">
        <f t="shared" si="24"/>
        <v>2.4671898181441844E-9</v>
      </c>
      <c r="Q49" s="2">
        <f t="shared" si="25"/>
        <v>2.9586745253613472E-10</v>
      </c>
      <c r="R49" s="2">
        <f t="shared" si="35"/>
        <v>4.5577271404320978E-12</v>
      </c>
      <c r="S49" s="2">
        <f t="shared" si="26"/>
        <v>6.1201565194141053E-13</v>
      </c>
      <c r="T49">
        <f t="shared" si="27"/>
        <v>21.141649048625794</v>
      </c>
      <c r="U49">
        <f t="shared" si="28"/>
        <v>-26.114197050777598</v>
      </c>
      <c r="V49" s="2">
        <f t="shared" si="36"/>
        <v>0.13428088893522222</v>
      </c>
      <c r="W49">
        <f t="shared" si="29"/>
        <v>-11.341251678486884</v>
      </c>
      <c r="X49">
        <f t="shared" si="37"/>
        <v>-23.781578814159609</v>
      </c>
      <c r="Y49">
        <f t="shared" si="38"/>
        <v>-2.3326182366179893</v>
      </c>
      <c r="AA49">
        <f t="shared" si="30"/>
        <v>8.3685194029713545E-9</v>
      </c>
      <c r="AB49" s="2">
        <f t="shared" si="31"/>
        <v>-8.3779856222476787E-9</v>
      </c>
      <c r="AC49" s="2">
        <f t="shared" si="32"/>
        <v>-3.3822379429738687E-6</v>
      </c>
    </row>
    <row r="50" spans="1:32" x14ac:dyDescent="0.3">
      <c r="A50" s="5">
        <v>5</v>
      </c>
      <c r="B50" s="7">
        <v>210</v>
      </c>
      <c r="C50" s="6">
        <v>475</v>
      </c>
      <c r="D50" s="11" cm="1">
        <f t="array" ref="D50:E50">'Raw Data and Corrections'!BX21:BY21</f>
        <v>0.15166157373403114</v>
      </c>
      <c r="E50" s="7">
        <v>7.1272338165366683E-3</v>
      </c>
      <c r="F50">
        <v>28500</v>
      </c>
      <c r="G50" s="2" cm="1">
        <f t="array" ref="G50:H50">'Raw Data and Corrections'!AS21:AT21</f>
        <v>0.36188756432613545</v>
      </c>
      <c r="H50">
        <v>1.2197688828078224E-2</v>
      </c>
      <c r="I50" s="2">
        <f t="shared" si="33"/>
        <v>2.4761660596913002E-3</v>
      </c>
      <c r="J50" s="2">
        <f>2*(((H50/(2*$G$80))^2+($H$80*G50/(2*($G$80^2)))^2)^0.5)</f>
        <v>8.3651740015866757E-5</v>
      </c>
      <c r="L50" s="2">
        <f t="shared" si="20"/>
        <v>1.2438629199984655E-11</v>
      </c>
      <c r="M50" s="2">
        <f t="shared" si="21"/>
        <v>1.3898961780106577E-12</v>
      </c>
      <c r="N50" s="2">
        <f t="shared" si="22"/>
        <v>1.2458233576324457E-11</v>
      </c>
      <c r="O50" s="2">
        <f t="shared" si="23"/>
        <v>1.3924152311515081E-12</v>
      </c>
      <c r="P50" s="2">
        <f t="shared" si="24"/>
        <v>3.6964767448332324E-9</v>
      </c>
      <c r="Q50" s="2">
        <f t="shared" si="25"/>
        <v>3.7629929686008879E-10</v>
      </c>
      <c r="R50" s="2">
        <f t="shared" si="35"/>
        <v>1.2438629199984655E-11</v>
      </c>
      <c r="S50" s="2">
        <f t="shared" si="26"/>
        <v>1.3898961780106577E-12</v>
      </c>
      <c r="T50">
        <f t="shared" si="27"/>
        <v>20.703933747412009</v>
      </c>
      <c r="U50">
        <f>LN(R50)</f>
        <v>-25.110214227616481</v>
      </c>
      <c r="V50" s="2">
        <f t="shared" si="36"/>
        <v>0.11174030157699148</v>
      </c>
      <c r="W50">
        <f t="shared" si="29"/>
        <v>-10.905227478462361</v>
      </c>
      <c r="X50">
        <f t="shared" si="37"/>
        <v>-22.943760401801775</v>
      </c>
      <c r="Y50">
        <f t="shared" si="38"/>
        <v>-2.1664538258147061</v>
      </c>
      <c r="AA50">
        <f t="shared" si="30"/>
        <v>1.5163947567630748E-8</v>
      </c>
      <c r="AB50" s="2">
        <f t="shared" si="31"/>
        <v>-1.5193501922911525E-8</v>
      </c>
      <c r="AC50" s="2">
        <f t="shared" si="32"/>
        <v>-3.5639541930193927E-6</v>
      </c>
    </row>
    <row r="51" spans="1:32" x14ac:dyDescent="0.3">
      <c r="A51" s="5">
        <v>6</v>
      </c>
      <c r="B51" s="7">
        <v>220</v>
      </c>
      <c r="C51" s="6">
        <v>450</v>
      </c>
      <c r="D51" s="11" cm="1">
        <f t="array" ref="D51:E51">'Raw Data and Corrections'!BX25:BY25</f>
        <v>0.21420487284735323</v>
      </c>
      <c r="E51" s="7">
        <v>9.4861651864119531E-3</v>
      </c>
      <c r="F51">
        <v>27000</v>
      </c>
      <c r="G51" s="2" cm="1">
        <f t="array" ref="G51:H51">'Raw Data and Corrections'!AS25:AT25</f>
        <v>0.57609243717348868</v>
      </c>
      <c r="H51">
        <v>1.5452214815052191E-2</v>
      </c>
      <c r="I51" s="2">
        <f t="shared" si="33"/>
        <v>3.9418335438801194E-3</v>
      </c>
      <c r="J51" s="2">
        <f t="shared" si="34"/>
        <v>1.0597127657516441E-4</v>
      </c>
      <c r="L51" s="2">
        <f t="shared" si="20"/>
        <v>3.040316152697613E-11</v>
      </c>
      <c r="M51" s="2">
        <f t="shared" si="21"/>
        <v>2.9833348275519579E-12</v>
      </c>
      <c r="N51" s="2">
        <f t="shared" si="22"/>
        <v>3.0481346456944079E-11</v>
      </c>
      <c r="O51" s="2">
        <f t="shared" si="23"/>
        <v>2.9919787829698255E-12</v>
      </c>
      <c r="P51" s="2">
        <f t="shared" si="24"/>
        <v>5.5178248871119526E-9</v>
      </c>
      <c r="Q51" s="2">
        <f t="shared" si="25"/>
        <v>4.9827601802181019E-10</v>
      </c>
      <c r="R51" s="2">
        <f t="shared" si="35"/>
        <v>3.040316152697613E-11</v>
      </c>
      <c r="S51" s="2">
        <f t="shared" si="26"/>
        <v>2.9833348275519579E-12</v>
      </c>
      <c r="T51">
        <f t="shared" si="27"/>
        <v>20.28397565922921</v>
      </c>
      <c r="U51">
        <f t="shared" ref="U51:U79" si="39">LN(R51)</f>
        <v>-24.216474515325849</v>
      </c>
      <c r="V51" s="2">
        <f t="shared" si="36"/>
        <v>9.8125809215758808E-2</v>
      </c>
      <c r="W51">
        <f>LOG10(R51)</f>
        <v>-10.517081253156741</v>
      </c>
      <c r="X51">
        <f t="shared" si="37"/>
        <v>-22.139930566010186</v>
      </c>
      <c r="Y51">
        <f t="shared" si="38"/>
        <v>-2.0765439493156634</v>
      </c>
      <c r="AA51">
        <f t="shared" si="30"/>
        <v>2.5480731076394241E-8</v>
      </c>
      <c r="AB51" s="2">
        <f t="shared" si="31"/>
        <v>-2.5559889440317157E-8</v>
      </c>
      <c r="AC51" s="2">
        <f t="shared" si="32"/>
        <v>-3.767487238771625E-6</v>
      </c>
    </row>
    <row r="52" spans="1:32" x14ac:dyDescent="0.3">
      <c r="A52" s="5">
        <v>7</v>
      </c>
      <c r="B52" s="7">
        <v>230</v>
      </c>
      <c r="C52" s="6">
        <v>425</v>
      </c>
      <c r="D52" s="11" cm="1">
        <f t="array" ref="D52:E52">'Raw Data and Corrections'!BX29:BY29</f>
        <v>0.34298986045903518</v>
      </c>
      <c r="E52" s="7">
        <v>9.6837695819786355E-3</v>
      </c>
      <c r="F52">
        <v>25500</v>
      </c>
      <c r="G52" s="2" cm="1">
        <f t="array" ref="G52:H52">'Raw Data and Corrections'!AS29:AT29</f>
        <v>0.91908229763252391</v>
      </c>
      <c r="H52">
        <v>1.8235853037556898E-2</v>
      </c>
      <c r="I52" s="2">
        <f t="shared" si="33"/>
        <v>6.2886946549226743E-3</v>
      </c>
      <c r="J52" s="2">
        <f t="shared" si="34"/>
        <v>1.2506146523050827E-4</v>
      </c>
      <c r="L52" s="2">
        <f t="shared" si="20"/>
        <v>8.2166093001709368E-11</v>
      </c>
      <c r="M52" s="2">
        <f t="shared" si="21"/>
        <v>6.0222490849102086E-12</v>
      </c>
      <c r="N52" s="2">
        <f t="shared" si="22"/>
        <v>8.250354600916293E-11</v>
      </c>
      <c r="O52" s="2">
        <f t="shared" si="23"/>
        <v>6.0499079205151726E-12</v>
      </c>
      <c r="P52" s="2">
        <f t="shared" si="24"/>
        <v>9.3729197000238508E-9</v>
      </c>
      <c r="Q52" s="2">
        <f t="shared" si="25"/>
        <v>6.3988932327856657E-10</v>
      </c>
      <c r="R52" s="2">
        <f t="shared" si="35"/>
        <v>8.2166093001709368E-11</v>
      </c>
      <c r="S52" s="2">
        <f t="shared" si="26"/>
        <v>6.0222490849102086E-12</v>
      </c>
      <c r="T52">
        <f t="shared" si="27"/>
        <v>19.880715705765407</v>
      </c>
      <c r="U52">
        <f t="shared" si="39"/>
        <v>-23.222278392861902</v>
      </c>
      <c r="V52" s="2">
        <f t="shared" si="36"/>
        <v>7.3293604026966733E-2</v>
      </c>
      <c r="W52">
        <f t="shared" ref="W52:W79" si="40">LOG10(R52)</f>
        <v>-10.085307363241039</v>
      </c>
      <c r="X52">
        <f t="shared" si="37"/>
        <v>-21.368062155100965</v>
      </c>
      <c r="Y52">
        <f t="shared" si="38"/>
        <v>-1.8542162377609372</v>
      </c>
      <c r="AA52">
        <f t="shared" si="30"/>
        <v>4.3042520541556586E-8</v>
      </c>
      <c r="AB52" s="2">
        <f t="shared" si="31"/>
        <v>-4.325628656723735E-8</v>
      </c>
      <c r="AC52" s="2">
        <f t="shared" si="32"/>
        <v>-3.9985252550791024E-6</v>
      </c>
    </row>
    <row r="53" spans="1:32" x14ac:dyDescent="0.3">
      <c r="A53" s="5">
        <v>8</v>
      </c>
      <c r="B53" s="7">
        <v>225</v>
      </c>
      <c r="C53" s="6">
        <v>908</v>
      </c>
      <c r="D53" s="11" cm="1">
        <f t="array" ref="D53:E53">'Raw Data and Corrections'!BX33:BY33</f>
        <v>0.35175809131140301</v>
      </c>
      <c r="E53" s="7">
        <v>7.5779924100981338E-3</v>
      </c>
      <c r="F53">
        <v>54480</v>
      </c>
      <c r="G53" s="2" cm="1">
        <f t="array" ref="G53:H53">'Raw Data and Corrections'!AS33:AT33</f>
        <v>1.270840388943927</v>
      </c>
      <c r="H53">
        <v>1.9747716449627233E-2</v>
      </c>
      <c r="I53" s="2">
        <f t="shared" si="33"/>
        <v>8.6955511838254698E-3</v>
      </c>
      <c r="J53" s="2">
        <f t="shared" si="34"/>
        <v>1.3542982327509814E-4</v>
      </c>
      <c r="L53" s="2">
        <f t="shared" si="20"/>
        <v>5.7769068625089774E-11</v>
      </c>
      <c r="M53" s="2">
        <f t="shared" si="21"/>
        <v>6.5733928297019847E-12</v>
      </c>
      <c r="N53" s="2">
        <f t="shared" si="22"/>
        <v>5.8114218617453439E-11</v>
      </c>
      <c r="O53" s="2">
        <f t="shared" si="23"/>
        <v>6.6101887213815964E-12</v>
      </c>
      <c r="P53" s="2">
        <f t="shared" si="24"/>
        <v>4.510031854638999E-9</v>
      </c>
      <c r="Q53" s="2">
        <f t="shared" si="25"/>
        <v>5.6090824290957751E-10</v>
      </c>
      <c r="R53" s="2">
        <f t="shared" si="35"/>
        <v>5.7769068625089774E-11</v>
      </c>
      <c r="S53" s="2">
        <f t="shared" si="26"/>
        <v>6.5733928297019847E-12</v>
      </c>
      <c r="T53">
        <f t="shared" si="27"/>
        <v>20.080321285140563</v>
      </c>
      <c r="U53">
        <f t="shared" si="39"/>
        <v>-23.574567628385992</v>
      </c>
      <c r="V53" s="2">
        <f t="shared" si="36"/>
        <v>0.11378741229778255</v>
      </c>
      <c r="W53">
        <f t="shared" si="40"/>
        <v>-10.238304634263066</v>
      </c>
      <c r="X53">
        <f t="shared" si="37"/>
        <v>-21.750121519135348</v>
      </c>
      <c r="Y53">
        <f t="shared" si="38"/>
        <v>-1.8244461092506441</v>
      </c>
      <c r="AA53">
        <f t="shared" si="30"/>
        <v>2.785719501348112E-8</v>
      </c>
      <c r="AB53" s="2">
        <f t="shared" si="31"/>
        <v>-2.8048900160101089E-8</v>
      </c>
      <c r="AC53" s="2">
        <f t="shared" si="32"/>
        <v>-1.8761005055479432E-6</v>
      </c>
    </row>
    <row r="54" spans="1:32" x14ac:dyDescent="0.3">
      <c r="A54" s="5">
        <v>9</v>
      </c>
      <c r="B54" s="7">
        <v>215</v>
      </c>
      <c r="C54" s="6">
        <v>450</v>
      </c>
      <c r="D54" s="11" cm="1">
        <f t="array" ref="D54:E54">'Raw Data and Corrections'!BX38:BY38</f>
        <v>7.4672983949395463E-2</v>
      </c>
      <c r="E54" s="7">
        <v>7.4798385123084508E-3</v>
      </c>
      <c r="F54">
        <v>27000</v>
      </c>
      <c r="G54" s="2" cm="1">
        <f t="array" ref="G54:H54">'Raw Data and Corrections'!AS38:AT38</f>
        <v>1.3455133728933224</v>
      </c>
      <c r="H54">
        <v>2.1116824788426188E-2</v>
      </c>
      <c r="I54" s="2">
        <f t="shared" si="33"/>
        <v>9.2064908420468571E-3</v>
      </c>
      <c r="J54" s="2">
        <f t="shared" si="34"/>
        <v>1.448191671438423E-4</v>
      </c>
      <c r="L54" s="2">
        <f t="shared" si="20"/>
        <v>2.9563496234403878E-11</v>
      </c>
      <c r="M54" s="2">
        <f t="shared" si="21"/>
        <v>9.4081073652033851E-12</v>
      </c>
      <c r="N54" s="2">
        <f t="shared" si="22"/>
        <v>2.9773025680680812E-11</v>
      </c>
      <c r="O54" s="2">
        <f t="shared" si="23"/>
        <v>9.4760697410295513E-12</v>
      </c>
      <c r="P54" s="2">
        <f t="shared" si="24"/>
        <v>1.9346882532624209E-9</v>
      </c>
      <c r="Q54" s="2">
        <f t="shared" si="25"/>
        <v>6.0449374510555071E-10</v>
      </c>
      <c r="R54" s="2">
        <f t="shared" si="35"/>
        <v>2.9563496234403878E-11</v>
      </c>
      <c r="S54" s="2">
        <f t="shared" si="26"/>
        <v>9.4081073652033851E-12</v>
      </c>
      <c r="T54">
        <f t="shared" si="27"/>
        <v>20.491803278688526</v>
      </c>
      <c r="U54">
        <f t="shared" si="39"/>
        <v>-24.244480750983186</v>
      </c>
      <c r="V54" s="2">
        <f t="shared" si="36"/>
        <v>0.31823392235505976</v>
      </c>
      <c r="W54">
        <f t="shared" si="40"/>
        <v>-10.529244206761604</v>
      </c>
      <c r="X54">
        <f t="shared" si="37"/>
        <v>-22.537727503189835</v>
      </c>
      <c r="Y54">
        <f t="shared" si="38"/>
        <v>-1.7067532477933511</v>
      </c>
      <c r="AA54">
        <f t="shared" si="30"/>
        <v>5.9512436203119577E-8</v>
      </c>
      <c r="AB54" s="2">
        <f t="shared" si="31"/>
        <v>-5.9946243095696334E-8</v>
      </c>
      <c r="AC54" s="2">
        <f t="shared" si="32"/>
        <v>-3.7875060711559894E-6</v>
      </c>
    </row>
    <row r="55" spans="1:32" x14ac:dyDescent="0.3">
      <c r="A55" s="5">
        <v>10</v>
      </c>
      <c r="B55" s="7">
        <v>205</v>
      </c>
      <c r="C55" s="6">
        <v>520</v>
      </c>
      <c r="D55" s="11" cm="1">
        <f t="array" ref="D55:E55">'Raw Data and Corrections'!BX43:BY43</f>
        <v>3.377815969550093E-2</v>
      </c>
      <c r="E55" s="7">
        <v>1.2008433830876741E-2</v>
      </c>
      <c r="F55">
        <v>31200</v>
      </c>
      <c r="G55" s="2" cm="1">
        <f t="array" ref="G55:H55">'Raw Data and Corrections'!AS43:AT43</f>
        <v>1.3792915325888233</v>
      </c>
      <c r="H55">
        <v>2.4292442697588807E-2</v>
      </c>
      <c r="I55" s="2">
        <f t="shared" si="33"/>
        <v>9.4376132702313608E-3</v>
      </c>
      <c r="J55" s="2">
        <f t="shared" si="34"/>
        <v>1.6659755216998784E-4</v>
      </c>
      <c r="L55" s="2">
        <f t="shared" si="20"/>
        <v>1.2052479152395456E-11</v>
      </c>
      <c r="M55" s="2">
        <f t="shared" si="21"/>
        <v>1.2314121776512628E-11</v>
      </c>
      <c r="N55" s="2">
        <f t="shared" si="22"/>
        <v>1.2141450323300621E-11</v>
      </c>
      <c r="O55" s="2">
        <f t="shared" si="23"/>
        <v>1.2405042892064992E-11</v>
      </c>
      <c r="P55" s="2">
        <f t="shared" si="24"/>
        <v>7.5762667686440241E-10</v>
      </c>
      <c r="Q55" s="2">
        <f t="shared" si="25"/>
        <v>7.7405687946342455E-10</v>
      </c>
      <c r="R55" s="2">
        <f t="shared" si="35"/>
        <v>1.2052479152395456E-11</v>
      </c>
      <c r="S55" s="2">
        <f t="shared" si="26"/>
        <v>1.2314121776512628E-11</v>
      </c>
      <c r="T55">
        <f t="shared" si="27"/>
        <v>20.92050209205021</v>
      </c>
      <c r="U55">
        <f t="shared" si="39"/>
        <v>-25.1417507383652</v>
      </c>
      <c r="V55" s="2">
        <f t="shared" si="36"/>
        <v>1.0217086145355556</v>
      </c>
      <c r="W55">
        <f t="shared" si="40"/>
        <v>-10.918923611059014</v>
      </c>
      <c r="X55">
        <f t="shared" si="37"/>
        <v>-23.358287712518568</v>
      </c>
      <c r="Y55">
        <f t="shared" si="38"/>
        <v>-1.7834630258466326</v>
      </c>
      <c r="AA55">
        <f t="shared" si="30"/>
        <v>5.2794046504950828E-8</v>
      </c>
      <c r="AB55" s="2">
        <f t="shared" si="31"/>
        <v>-5.3188621996668083E-8</v>
      </c>
      <c r="AC55" s="2">
        <f t="shared" si="32"/>
        <v>-3.2784142404311218E-6</v>
      </c>
    </row>
    <row r="56" spans="1:32" x14ac:dyDescent="0.3">
      <c r="A56" s="5">
        <v>11</v>
      </c>
      <c r="B56" s="7">
        <v>195</v>
      </c>
      <c r="C56" s="6">
        <v>1106</v>
      </c>
      <c r="D56" s="11" cm="1">
        <f t="array" ref="D56:E56">'Raw Data and Corrections'!BX47:BY47</f>
        <v>2.5821966501222947E-2</v>
      </c>
      <c r="E56" s="7">
        <v>1.7984588756625664E-2</v>
      </c>
      <c r="F56">
        <v>66360</v>
      </c>
      <c r="G56" s="2" cm="1">
        <f t="array" ref="G56:H56">'Raw Data and Corrections'!AS47:AT47</f>
        <v>1.4051134990900462</v>
      </c>
      <c r="H56">
        <v>3.0225290816807408E-2</v>
      </c>
      <c r="I56" s="2">
        <f t="shared" si="33"/>
        <v>9.6142965369356882E-3</v>
      </c>
      <c r="J56" s="2">
        <f t="shared" si="34"/>
        <v>2.0728501972368268E-4</v>
      </c>
      <c r="L56" s="2">
        <f t="shared" si="20"/>
        <v>4.4266474174572288E-12</v>
      </c>
      <c r="M56" s="2">
        <f t="shared" si="21"/>
        <v>1.0238738486208035E-11</v>
      </c>
      <c r="N56" s="2">
        <f t="shared" si="22"/>
        <v>4.4600448337089194E-12</v>
      </c>
      <c r="O56" s="2">
        <f t="shared" si="23"/>
        <v>1.0315640061562896E-11</v>
      </c>
      <c r="P56" s="2">
        <f t="shared" si="24"/>
        <v>2.7236180220288054E-10</v>
      </c>
      <c r="Q56" s="2">
        <f t="shared" si="25"/>
        <v>6.327945519204508E-10</v>
      </c>
      <c r="R56" s="2">
        <f t="shared" si="35"/>
        <v>4.4266474174572288E-12</v>
      </c>
      <c r="S56" s="2">
        <f t="shared" si="26"/>
        <v>1.0238738486208035E-11</v>
      </c>
      <c r="T56">
        <f t="shared" si="27"/>
        <v>21.367521367521366</v>
      </c>
      <c r="U56">
        <f t="shared" si="39"/>
        <v>-26.143378609023813</v>
      </c>
      <c r="V56" s="2">
        <f t="shared" si="36"/>
        <v>2.3129780894294512</v>
      </c>
      <c r="W56">
        <f t="shared" si="40"/>
        <v>-11.353925068206554</v>
      </c>
      <c r="X56">
        <f t="shared" si="37"/>
        <v>-24.213914597459635</v>
      </c>
      <c r="Y56">
        <f t="shared" si="38"/>
        <v>-1.9294640115641783</v>
      </c>
      <c r="AA56">
        <f t="shared" si="30"/>
        <v>2.5286487316548582E-8</v>
      </c>
      <c r="AB56" s="2">
        <f t="shared" si="31"/>
        <v>-2.547904310345442E-8</v>
      </c>
      <c r="AC56" s="2">
        <f t="shared" si="32"/>
        <v>-1.5416632317367005E-6</v>
      </c>
    </row>
    <row r="57" spans="1:32" x14ac:dyDescent="0.3">
      <c r="A57" s="5">
        <v>12</v>
      </c>
      <c r="B57" s="7">
        <v>185</v>
      </c>
      <c r="C57" s="6">
        <v>740</v>
      </c>
      <c r="D57" s="11"/>
      <c r="F57">
        <v>44400</v>
      </c>
      <c r="G57" s="2" cm="1">
        <f t="array" ref="G57:H57">'Raw Data and Corrections'!AS51:AT51</f>
        <v>1.403021387225365</v>
      </c>
      <c r="H57">
        <v>3.1261978843483355E-2</v>
      </c>
      <c r="I57" s="2">
        <f t="shared" si="33"/>
        <v>9.5999815482401031E-3</v>
      </c>
      <c r="J57" s="2">
        <f t="shared" si="34"/>
        <v>2.1439462536351775E-4</v>
      </c>
      <c r="L57" s="2">
        <f t="shared" si="20"/>
        <v>-5.4060428421084674E-13</v>
      </c>
      <c r="M57" s="2">
        <f t="shared" si="21"/>
        <v>9.6400529344812161E-12</v>
      </c>
      <c r="N57" s="2">
        <f t="shared" si="22"/>
        <v>-5.4471787828439505E-13</v>
      </c>
      <c r="O57" s="2">
        <f t="shared" si="23"/>
        <v>9.7133839890340584E-12</v>
      </c>
      <c r="P57" s="2">
        <f t="shared" si="24"/>
        <v>-3.2983807922578641E-11</v>
      </c>
      <c r="Q57" s="2">
        <f t="shared" si="25"/>
        <v>5.8834492447217106E-10</v>
      </c>
      <c r="R57" s="2">
        <f t="shared" si="35"/>
        <v>-5.4060428421084674E-13</v>
      </c>
      <c r="S57" s="2">
        <f t="shared" si="26"/>
        <v>9.6400529344812161E-12</v>
      </c>
      <c r="T57">
        <f t="shared" si="27"/>
        <v>21.834061135371179</v>
      </c>
      <c r="V57" s="2"/>
      <c r="AA57">
        <f t="shared" si="30"/>
        <v>3.7736776159345192E-8</v>
      </c>
      <c r="AB57" s="2">
        <f t="shared" si="31"/>
        <v>-3.8023709012572762E-8</v>
      </c>
      <c r="AC57" s="2">
        <f t="shared" si="32"/>
        <v>-2.3041282290771125E-6</v>
      </c>
    </row>
    <row r="58" spans="1:32" x14ac:dyDescent="0.3">
      <c r="A58" s="5">
        <v>13</v>
      </c>
      <c r="B58" s="7">
        <v>175</v>
      </c>
      <c r="C58" s="6">
        <v>920</v>
      </c>
      <c r="D58" s="11" cm="1">
        <f t="array" ref="D58:E58">'Raw Data and Corrections'!BX55:BY55</f>
        <v>1.5233595932043658E-2</v>
      </c>
      <c r="E58" s="7">
        <v>3.4152721933003961E-3</v>
      </c>
      <c r="F58">
        <v>55200</v>
      </c>
      <c r="G58" s="2" cm="1">
        <f t="array" ref="G58:H58">'Raw Data and Corrections'!AS55:AT55</f>
        <v>1.4182549831574087</v>
      </c>
      <c r="H58">
        <v>3.1447979352650493E-2</v>
      </c>
      <c r="I58" s="2">
        <f t="shared" si="33"/>
        <v>9.7042153405347276E-3</v>
      </c>
      <c r="J58" s="2">
        <f t="shared" si="34"/>
        <v>2.1567021670339945E-4</v>
      </c>
      <c r="L58" s="2">
        <f t="shared" si="20"/>
        <v>3.1810359072904076E-12</v>
      </c>
      <c r="M58" s="2">
        <f t="shared" si="21"/>
        <v>1.0452151885776319E-11</v>
      </c>
      <c r="N58" s="2">
        <f t="shared" si="22"/>
        <v>3.2053556872201556E-12</v>
      </c>
      <c r="O58" s="2">
        <f t="shared" si="23"/>
        <v>1.053197402143552E-11</v>
      </c>
      <c r="P58" s="2">
        <f t="shared" si="24"/>
        <v>1.9318879356852478E-10</v>
      </c>
      <c r="Q58" s="2">
        <f t="shared" si="25"/>
        <v>6.3547411355389236E-10</v>
      </c>
      <c r="R58" s="2">
        <f t="shared" si="35"/>
        <v>3.1810359072904076E-12</v>
      </c>
      <c r="S58" s="2">
        <f t="shared" si="26"/>
        <v>1.0452151885776319E-11</v>
      </c>
      <c r="T58">
        <f t="shared" si="27"/>
        <v>22.321428571428573</v>
      </c>
      <c r="U58">
        <f t="shared" si="39"/>
        <v>-26.473814215174194</v>
      </c>
      <c r="V58" s="2">
        <f t="shared" si="36"/>
        <v>3.2857698530914781</v>
      </c>
      <c r="W58">
        <f t="shared" si="40"/>
        <v>-11.49743142858202</v>
      </c>
      <c r="X58">
        <f t="shared" si="37"/>
        <v>-26.03976125371782</v>
      </c>
      <c r="Y58">
        <f t="shared" si="38"/>
        <v>-0.43405296145637351</v>
      </c>
      <c r="AA58">
        <f t="shared" si="30"/>
        <v>3.0683063227332203E-8</v>
      </c>
      <c r="AB58" s="2">
        <f t="shared" si="31"/>
        <v>-3.0918917689136851E-8</v>
      </c>
      <c r="AC58" s="2">
        <f t="shared" si="32"/>
        <v>-1.8535156037284073E-6</v>
      </c>
    </row>
    <row r="59" spans="1:32" x14ac:dyDescent="0.3">
      <c r="A59" s="5">
        <v>14</v>
      </c>
      <c r="B59" s="7">
        <v>200</v>
      </c>
      <c r="C59" s="6">
        <v>260</v>
      </c>
      <c r="D59" s="11" cm="1">
        <f t="array" ref="D59:E59">'Raw Data and Corrections'!BX59:BY59</f>
        <v>1.4870744250674086E-2</v>
      </c>
      <c r="E59" s="7">
        <v>1.1240999959807906E-3</v>
      </c>
      <c r="F59">
        <v>15600</v>
      </c>
      <c r="G59" s="2" cm="1">
        <f t="array" ref="G59:H59">'Raw Data and Corrections'!AS59:AT59</f>
        <v>1.4331257274080829</v>
      </c>
      <c r="H59">
        <v>3.1468063273193278E-2</v>
      </c>
      <c r="I59" s="2">
        <f t="shared" si="33"/>
        <v>9.8059663699309307E-3</v>
      </c>
      <c r="J59" s="2">
        <f t="shared" si="34"/>
        <v>2.1580795221407068E-4</v>
      </c>
      <c r="L59" s="2">
        <f t="shared" si="20"/>
        <v>1.1105110887085182E-11</v>
      </c>
      <c r="M59" s="2">
        <f t="shared" si="21"/>
        <v>2.4583513795930821E-11</v>
      </c>
      <c r="N59" s="2">
        <f t="shared" si="22"/>
        <v>1.1190925776372084E-11</v>
      </c>
      <c r="O59" s="2">
        <f t="shared" si="23"/>
        <v>2.4774335956136086E-11</v>
      </c>
      <c r="P59" s="2">
        <f t="shared" si="24"/>
        <v>6.6737794429743546E-10</v>
      </c>
      <c r="Q59" s="2">
        <f t="shared" si="25"/>
        <v>1.4709038144272588E-9</v>
      </c>
      <c r="R59" s="2">
        <f t="shared" si="35"/>
        <v>1.1105110887085182E-11</v>
      </c>
      <c r="S59" s="2">
        <f t="shared" si="26"/>
        <v>2.4583513795930821E-11</v>
      </c>
      <c r="T59">
        <f t="shared" si="27"/>
        <v>21.141649048625794</v>
      </c>
      <c r="U59">
        <f t="shared" si="39"/>
        <v>-25.223615673302412</v>
      </c>
      <c r="V59" s="2">
        <f t="shared" si="36"/>
        <v>2.2137116905802809</v>
      </c>
      <c r="W59">
        <f t="shared" si="40"/>
        <v>-10.954477100563613</v>
      </c>
      <c r="X59">
        <f t="shared" si="37"/>
        <v>-23.781578814159609</v>
      </c>
      <c r="Y59">
        <f t="shared" si="38"/>
        <v>-1.442036859142803</v>
      </c>
      <c r="AA59">
        <f t="shared" si="30"/>
        <v>1.0970923044559682E-7</v>
      </c>
      <c r="AB59" s="2">
        <f t="shared" si="31"/>
        <v>-1.1056146168987241E-7</v>
      </c>
      <c r="AC59" s="2">
        <f t="shared" si="32"/>
        <v>-6.5592676271437758E-6</v>
      </c>
    </row>
    <row r="60" spans="1:32" x14ac:dyDescent="0.3">
      <c r="A60" s="5">
        <v>15</v>
      </c>
      <c r="B60" s="7">
        <v>209.99</v>
      </c>
      <c r="C60" s="6">
        <v>520</v>
      </c>
      <c r="D60" s="11" cm="1">
        <f t="array" ref="D60:E60">'Raw Data and Corrections'!BX61:BY61</f>
        <v>6.1164996876131687E-2</v>
      </c>
      <c r="E60" s="7">
        <v>0.16664174183316091</v>
      </c>
      <c r="F60">
        <v>31200</v>
      </c>
      <c r="G60" s="2" cm="1">
        <f t="array" ref="G60:H60">'Raw Data and Corrections'!AS61:AT61</f>
        <v>1.4942907242842145</v>
      </c>
      <c r="H60">
        <v>0.1695868778159311</v>
      </c>
      <c r="I60" s="2">
        <f t="shared" si="33"/>
        <v>1.0224479477967187E-2</v>
      </c>
      <c r="J60" s="2">
        <f t="shared" si="34"/>
        <v>1.1630266694871824E-3</v>
      </c>
      <c r="L60" s="2">
        <f t="shared" si="20"/>
        <v>2.3447279419263967E-11</v>
      </c>
      <c r="M60" s="2">
        <f t="shared" si="21"/>
        <v>7.0608059629230682E-11</v>
      </c>
      <c r="N60" s="2">
        <f t="shared" si="22"/>
        <v>2.3633368694961352E-11</v>
      </c>
      <c r="O60" s="2">
        <f t="shared" si="23"/>
        <v>7.1177514196261531E-11</v>
      </c>
      <c r="P60" s="2">
        <f t="shared" si="24"/>
        <v>1.3728598858642935E-9</v>
      </c>
      <c r="Q60" s="2">
        <f t="shared" si="25"/>
        <v>4.0700076554041241E-9</v>
      </c>
      <c r="R60" s="2">
        <f t="shared" si="35"/>
        <v>2.3447279419263967E-11</v>
      </c>
      <c r="S60" s="2">
        <f t="shared" si="26"/>
        <v>7.0608059629230682E-11</v>
      </c>
      <c r="T60">
        <f t="shared" si="27"/>
        <v>20.704362409159611</v>
      </c>
      <c r="U60">
        <f t="shared" si="39"/>
        <v>-24.476266644002742</v>
      </c>
      <c r="V60" s="2">
        <f t="shared" si="36"/>
        <v>3.0113540409818316</v>
      </c>
      <c r="W60">
        <f t="shared" si="40"/>
        <v>-10.629907541083016</v>
      </c>
      <c r="X60">
        <f t="shared" si="37"/>
        <v>-22.944580891064589</v>
      </c>
      <c r="Y60">
        <f t="shared" si="38"/>
        <v>-1.5316857529381522</v>
      </c>
      <c r="AA60">
        <f t="shared" si="30"/>
        <v>5.7195779228563593E-8</v>
      </c>
      <c r="AB60" s="2">
        <f t="shared" si="31"/>
        <v>-5.765921465188982E-8</v>
      </c>
      <c r="AC60" s="2">
        <f t="shared" si="32"/>
        <v>-3.2810205620942344E-6</v>
      </c>
    </row>
    <row r="61" spans="1:32" x14ac:dyDescent="0.3">
      <c r="A61" s="5">
        <v>16</v>
      </c>
      <c r="B61" s="7">
        <v>219.98</v>
      </c>
      <c r="C61" s="6">
        <v>1167</v>
      </c>
      <c r="D61" s="11" cm="1">
        <f t="array" ref="D61:E61">'Raw Data and Corrections'!BX65:BY65</f>
        <v>0.23649992265076658</v>
      </c>
      <c r="E61" s="7">
        <v>9.3962121285052394E-2</v>
      </c>
      <c r="F61">
        <v>70020</v>
      </c>
      <c r="G61" s="2" cm="1">
        <f t="array" ref="G61:H61">'Raw Data and Corrections'!AS65:AT65</f>
        <v>1.730790646934981</v>
      </c>
      <c r="H61">
        <v>0.19387776913236454</v>
      </c>
      <c r="I61" s="2">
        <f t="shared" si="33"/>
        <v>1.1842697784744061E-2</v>
      </c>
      <c r="J61" s="2">
        <f t="shared" si="34"/>
        <v>1.3296135822864746E-3</v>
      </c>
      <c r="L61" s="2">
        <f t="shared" si="20"/>
        <v>4.4505036254497458E-11</v>
      </c>
      <c r="M61" s="2">
        <f t="shared" si="21"/>
        <v>7.7236278795072388E-11</v>
      </c>
      <c r="N61" s="2">
        <f t="shared" si="22"/>
        <v>4.4895169330144841E-11</v>
      </c>
      <c r="O61" s="2">
        <f t="shared" si="23"/>
        <v>7.7887952123448017E-11</v>
      </c>
      <c r="P61" s="2">
        <f t="shared" si="24"/>
        <v>2.3677389219806539E-9</v>
      </c>
      <c r="Q61" s="2">
        <f t="shared" si="25"/>
        <v>4.2839483616611528E-9</v>
      </c>
      <c r="R61" s="2">
        <f t="shared" si="35"/>
        <v>4.4505036254497458E-11</v>
      </c>
      <c r="S61" s="2">
        <f t="shared" si="26"/>
        <v>7.7236278795072388E-11</v>
      </c>
      <c r="T61">
        <f t="shared" si="27"/>
        <v>20.28479857195018</v>
      </c>
      <c r="U61">
        <f t="shared" si="39"/>
        <v>-23.835418758901707</v>
      </c>
      <c r="V61" s="2">
        <f t="shared" si="36"/>
        <v>1.7354503061946676</v>
      </c>
      <c r="W61">
        <f t="shared" si="40"/>
        <v>-10.351590840844267</v>
      </c>
      <c r="X61">
        <f t="shared" si="37"/>
        <v>-22.141505679851264</v>
      </c>
      <c r="Y61">
        <f t="shared" si="38"/>
        <v>-1.6939130790504429</v>
      </c>
      <c r="AA61">
        <f t="shared" si="30"/>
        <v>2.9519290011771287E-8</v>
      </c>
      <c r="AB61" s="2">
        <f t="shared" si="31"/>
        <v>-2.9796724504099297E-8</v>
      </c>
      <c r="AC61" s="2">
        <f t="shared" si="32"/>
        <v>-1.4643741837805836E-6</v>
      </c>
    </row>
    <row r="62" spans="1:32" x14ac:dyDescent="0.3">
      <c r="A62" s="5">
        <v>17</v>
      </c>
      <c r="B62" s="7">
        <v>229.99</v>
      </c>
      <c r="C62" s="6">
        <v>370</v>
      </c>
      <c r="D62" s="11" cm="1">
        <f t="array" ref="D62:E62">'Raw Data and Corrections'!BX69:BY69</f>
        <v>0.21463930016323987</v>
      </c>
      <c r="E62" s="7">
        <v>1.9908308230063655E-2</v>
      </c>
      <c r="F62">
        <v>22200</v>
      </c>
      <c r="G62" s="2" cm="1">
        <f t="array" ref="G62:H62">'Raw Data and Corrections'!AS69:AT69</f>
        <v>1.9454299470982208</v>
      </c>
      <c r="H62">
        <v>0.19489722958607097</v>
      </c>
      <c r="I62" s="2">
        <f t="shared" si="33"/>
        <v>1.3311337778300545E-2</v>
      </c>
      <c r="J62" s="2">
        <f t="shared" si="34"/>
        <v>1.3366050412449619E-3</v>
      </c>
      <c r="L62" s="2">
        <f t="shared" si="20"/>
        <v>1.4521698600223041E-10</v>
      </c>
      <c r="M62" s="2">
        <f t="shared" si="21"/>
        <v>1.4528020651126808E-10</v>
      </c>
      <c r="N62" s="2">
        <f t="shared" si="22"/>
        <v>1.4666904688172278E-10</v>
      </c>
      <c r="O62" s="2">
        <f t="shared" si="23"/>
        <v>1.4680443162742875E-10</v>
      </c>
      <c r="P62" s="2">
        <f t="shared" si="24"/>
        <v>6.7882758117016067E-9</v>
      </c>
      <c r="Q62" s="2">
        <f t="shared" si="25"/>
        <v>6.4819281753068547E-9</v>
      </c>
      <c r="R62" s="2">
        <f t="shared" si="35"/>
        <v>1.4521698600223041E-10</v>
      </c>
      <c r="S62" s="2">
        <f t="shared" si="26"/>
        <v>1.4528020651126808E-10</v>
      </c>
      <c r="T62">
        <f t="shared" si="27"/>
        <v>19.881110956480249</v>
      </c>
      <c r="U62">
        <f t="shared" si="39"/>
        <v>-22.652792036893452</v>
      </c>
      <c r="V62" s="2">
        <f t="shared" si="36"/>
        <v>1.0004353520258071</v>
      </c>
      <c r="W62">
        <f t="shared" si="40"/>
        <v>-9.8379825813247503</v>
      </c>
      <c r="X62">
        <f t="shared" si="37"/>
        <v>-21.368818693255953</v>
      </c>
      <c r="Y62">
        <f t="shared" si="38"/>
        <v>-1.2839733436374985</v>
      </c>
      <c r="AA62">
        <f t="shared" si="30"/>
        <v>1.0465165408849167E-7</v>
      </c>
      <c r="AB62" s="2">
        <f t="shared" si="31"/>
        <v>-1.0575862220106481E-7</v>
      </c>
      <c r="AC62" s="2">
        <f t="shared" si="32"/>
        <v>-4.6255900730730152E-6</v>
      </c>
    </row>
    <row r="63" spans="1:32" x14ac:dyDescent="0.3">
      <c r="A63" s="5">
        <v>18</v>
      </c>
      <c r="B63" s="7">
        <v>240</v>
      </c>
      <c r="C63" s="6">
        <v>320</v>
      </c>
      <c r="D63" s="11" cm="1">
        <f t="array" ref="D63:E63">'Raw Data and Corrections'!BX73:BY73</f>
        <v>0.40179776275997514</v>
      </c>
      <c r="E63" s="7">
        <v>6.8308437086863835E-2</v>
      </c>
      <c r="F63">
        <v>19200</v>
      </c>
      <c r="G63" s="2" cm="1">
        <f t="array" ref="G63:H63">'Raw Data and Corrections'!AS73:AT73</f>
        <v>2.347227709858196</v>
      </c>
      <c r="H63">
        <v>0.2065211192047334</v>
      </c>
      <c r="I63" s="2">
        <f t="shared" si="33"/>
        <v>1.606058390080483E-2</v>
      </c>
      <c r="J63" s="2">
        <f t="shared" si="34"/>
        <v>1.4163216667515235E-3</v>
      </c>
      <c r="L63" s="2">
        <f t="shared" si="20"/>
        <v>3.6702202403068423E-10</v>
      </c>
      <c r="M63" s="2">
        <f t="shared" si="21"/>
        <v>2.4964374438741926E-10</v>
      </c>
      <c r="N63" s="2">
        <f t="shared" si="22"/>
        <v>3.7132322206604497E-10</v>
      </c>
      <c r="O63" s="2">
        <f t="shared" si="23"/>
        <v>2.5266400482646122E-10</v>
      </c>
      <c r="P63" s="2">
        <f t="shared" si="24"/>
        <v>1.4724422076534766E-8</v>
      </c>
      <c r="Q63" s="2">
        <f t="shared" si="25"/>
        <v>9.794162564922581E-9</v>
      </c>
      <c r="R63" s="2">
        <f t="shared" si="35"/>
        <v>3.6702202403068423E-10</v>
      </c>
      <c r="S63" s="2">
        <f t="shared" si="26"/>
        <v>2.4964374438741926E-10</v>
      </c>
      <c r="T63">
        <f t="shared" si="27"/>
        <v>19.49317738791423</v>
      </c>
      <c r="U63">
        <f t="shared" si="39"/>
        <v>-21.725599258691773</v>
      </c>
      <c r="V63" s="2">
        <f t="shared" si="36"/>
        <v>0.68018736762932852</v>
      </c>
      <c r="W63">
        <f t="shared" si="40"/>
        <v>-9.4353078740912153</v>
      </c>
      <c r="X63">
        <f t="shared" si="37"/>
        <v>-20.626286079899707</v>
      </c>
      <c r="Y63">
        <f t="shared" si="38"/>
        <v>-1.099313178792066</v>
      </c>
      <c r="AA63">
        <f t="shared" si="30"/>
        <v>1.4599482753220762E-7</v>
      </c>
      <c r="AB63" s="2">
        <f t="shared" si="31"/>
        <v>-1.4786259567163838E-7</v>
      </c>
      <c r="AC63" s="2">
        <f t="shared" si="32"/>
        <v>-5.3632824288032669E-6</v>
      </c>
      <c r="AE63" s="2"/>
      <c r="AF63" s="2"/>
    </row>
    <row r="64" spans="1:32" x14ac:dyDescent="0.3">
      <c r="A64" s="5">
        <v>19</v>
      </c>
      <c r="B64" s="7">
        <v>245</v>
      </c>
      <c r="C64" s="6">
        <v>250</v>
      </c>
      <c r="D64" s="11" cm="1">
        <f t="array" ref="D64:E64">'Raw Data and Corrections'!BX77:BY77</f>
        <v>0.40872389493630351</v>
      </c>
      <c r="E64" s="7">
        <v>1.9519201928402698E-2</v>
      </c>
      <c r="F64">
        <v>15000</v>
      </c>
      <c r="G64" s="2" cm="1">
        <f t="array" ref="G64:H64">'Raw Data and Corrections'!AS77:AT77</f>
        <v>2.7559516047944994</v>
      </c>
      <c r="H64">
        <v>0.20744149035691356</v>
      </c>
      <c r="I64" s="2">
        <f t="shared" si="33"/>
        <v>1.8857221133451004E-2</v>
      </c>
      <c r="J64" s="2">
        <f t="shared" si="34"/>
        <v>1.4226335713611123E-3</v>
      </c>
      <c r="L64" s="2">
        <f t="shared" si="20"/>
        <v>5.6811882987403968E-10</v>
      </c>
      <c r="M64" s="2">
        <f t="shared" si="21"/>
        <v>3.7442072245424735E-10</v>
      </c>
      <c r="N64" s="2">
        <f t="shared" si="22"/>
        <v>5.760470463282567E-10</v>
      </c>
      <c r="O64" s="2">
        <f t="shared" si="23"/>
        <v>3.798004608972469E-10</v>
      </c>
      <c r="P64" s="2">
        <f t="shared" si="24"/>
        <v>1.9226255041541611E-8</v>
      </c>
      <c r="Q64" s="2">
        <f t="shared" si="25"/>
        <v>1.2394675289404865E-8</v>
      </c>
      <c r="R64" s="2">
        <f t="shared" si="35"/>
        <v>5.6811882987403968E-10</v>
      </c>
      <c r="S64" s="2">
        <f t="shared" si="26"/>
        <v>3.7442072245424735E-10</v>
      </c>
      <c r="T64">
        <f t="shared" si="27"/>
        <v>19.305019305019304</v>
      </c>
      <c r="U64">
        <f t="shared" si="39"/>
        <v>-21.288690511563523</v>
      </c>
      <c r="V64" s="2">
        <f t="shared" si="36"/>
        <v>0.65905353381309673</v>
      </c>
      <c r="W64">
        <f t="shared" si="40"/>
        <v>-9.2455608161181519</v>
      </c>
      <c r="X64">
        <f t="shared" si="37"/>
        <v>-20.266138043387897</v>
      </c>
      <c r="Y64">
        <f t="shared" si="38"/>
        <v>-1.0225524681756255</v>
      </c>
      <c r="AA64">
        <f t="shared" si="30"/>
        <v>2.1941373103691802E-7</v>
      </c>
      <c r="AB64" s="2">
        <f t="shared" si="31"/>
        <v>-2.2271775846707098E-7</v>
      </c>
      <c r="AC64" s="2">
        <f t="shared" si="32"/>
        <v>-6.8845694241965211E-6</v>
      </c>
    </row>
    <row r="65" spans="1:29" x14ac:dyDescent="0.3">
      <c r="A65" s="5">
        <v>20</v>
      </c>
      <c r="B65" s="7">
        <v>249.99</v>
      </c>
      <c r="C65" s="6">
        <v>210</v>
      </c>
      <c r="D65" s="11" cm="1">
        <f t="array" ref="D65:E65">'Raw Data and Corrections'!BX81:BY81</f>
        <v>0.46632660852643026</v>
      </c>
      <c r="E65" s="7">
        <v>2.0354405470029157E-2</v>
      </c>
      <c r="F65">
        <v>12600</v>
      </c>
      <c r="G65" s="2" cm="1">
        <f t="array" ref="G65:H65">'Raw Data and Corrections'!AS81:AT81</f>
        <v>3.2222782133209296</v>
      </c>
      <c r="H65">
        <v>0.20843769751063701</v>
      </c>
      <c r="I65" s="2">
        <f t="shared" si="33"/>
        <v>2.2047997038984669E-2</v>
      </c>
      <c r="J65" s="2">
        <f t="shared" si="34"/>
        <v>1.4294655592073174E-3</v>
      </c>
      <c r="L65" s="2">
        <f t="shared" si="20"/>
        <v>9.0396547546229019E-10</v>
      </c>
      <c r="M65" s="2">
        <f t="shared" si="21"/>
        <v>5.3667901664344472E-10</v>
      </c>
      <c r="N65" s="2">
        <f t="shared" si="22"/>
        <v>9.1878148507650863E-10</v>
      </c>
      <c r="O65" s="2">
        <f t="shared" si="23"/>
        <v>5.4568360943195271E-10</v>
      </c>
      <c r="P65" s="2">
        <f t="shared" si="24"/>
        <v>2.6193947047398031E-8</v>
      </c>
      <c r="Q65" s="2">
        <f t="shared" si="25"/>
        <v>1.529978323558774E-8</v>
      </c>
      <c r="R65" s="2">
        <f t="shared" si="35"/>
        <v>9.0396547546229019E-10</v>
      </c>
      <c r="S65" s="2">
        <f t="shared" si="26"/>
        <v>5.3667901664344472E-10</v>
      </c>
      <c r="T65">
        <f t="shared" si="27"/>
        <v>19.120824489952007</v>
      </c>
      <c r="U65">
        <f t="shared" si="39"/>
        <v>-20.824229947125961</v>
      </c>
      <c r="V65" s="2">
        <f t="shared" si="36"/>
        <v>0.59369415227831102</v>
      </c>
      <c r="W65">
        <f t="shared" si="40"/>
        <v>-9.0438481559212498</v>
      </c>
      <c r="X65">
        <f t="shared" si="37"/>
        <v>-19.91357598513612</v>
      </c>
      <c r="Y65">
        <f t="shared" si="38"/>
        <v>-0.91065396198984061</v>
      </c>
      <c r="AA65">
        <f t="shared" si="30"/>
        <v>3.0540487444463731E-7</v>
      </c>
      <c r="AB65" s="2">
        <f t="shared" si="31"/>
        <v>-3.1079725796318171E-7</v>
      </c>
      <c r="AC65" s="2">
        <f t="shared" si="32"/>
        <v>-8.2226568960342688E-6</v>
      </c>
    </row>
    <row r="66" spans="1:29" x14ac:dyDescent="0.3">
      <c r="A66" s="5">
        <v>21</v>
      </c>
      <c r="B66" s="7">
        <v>244.909999999999</v>
      </c>
      <c r="C66" s="6">
        <v>270</v>
      </c>
      <c r="D66" s="11" cm="1">
        <f t="array" ref="D66:E66">'Raw Data and Corrections'!BX85:BY85</f>
        <v>0.32096109341314327</v>
      </c>
      <c r="E66" s="7">
        <v>1.3213212622658673E-2</v>
      </c>
      <c r="F66">
        <v>16200</v>
      </c>
      <c r="G66" s="2" cm="1">
        <f t="array" ref="G66:H66">'Raw Data and Corrections'!AS85:AT85</f>
        <v>3.5432393067340726</v>
      </c>
      <c r="H66">
        <v>0.20885608138464007</v>
      </c>
      <c r="I66" s="2">
        <f t="shared" si="33"/>
        <v>2.4244129330711604E-2</v>
      </c>
      <c r="J66" s="2">
        <f t="shared" si="34"/>
        <v>1.4323348354733565E-3</v>
      </c>
      <c r="L66" s="2">
        <f t="shared" si="20"/>
        <v>5.4764356030656825E-10</v>
      </c>
      <c r="M66" s="2">
        <f t="shared" si="21"/>
        <v>5.7494094236502397E-10</v>
      </c>
      <c r="N66" s="2">
        <f t="shared" si="22"/>
        <v>5.578124951903139E-10</v>
      </c>
      <c r="O66" s="2">
        <f t="shared" si="23"/>
        <v>5.855300394797487E-10</v>
      </c>
      <c r="P66" s="2">
        <f t="shared" si="24"/>
        <v>1.4060937884721537E-8</v>
      </c>
      <c r="Q66" s="2">
        <f t="shared" si="25"/>
        <v>1.4914652545897537E-8</v>
      </c>
      <c r="R66" s="2">
        <f t="shared" si="35"/>
        <v>5.4764356030656825E-10</v>
      </c>
      <c r="S66" s="2">
        <f t="shared" si="26"/>
        <v>5.7494094236502397E-10</v>
      </c>
      <c r="T66">
        <f t="shared" si="27"/>
        <v>19.308374041821978</v>
      </c>
      <c r="U66">
        <f t="shared" si="39"/>
        <v>-21.32539647800348</v>
      </c>
      <c r="V66" s="2">
        <f t="shared" si="36"/>
        <v>1.0498451621400875</v>
      </c>
      <c r="W66">
        <f t="shared" si="40"/>
        <v>-9.261502014795953</v>
      </c>
      <c r="X66">
        <f t="shared" si="37"/>
        <v>-20.27255924971562</v>
      </c>
      <c r="Y66">
        <f t="shared" si="38"/>
        <v>-1.05283722828786</v>
      </c>
      <c r="AA66">
        <f t="shared" si="30"/>
        <v>2.6119745746928809E-7</v>
      </c>
      <c r="AB66" s="2">
        <f t="shared" si="31"/>
        <v>-2.6627861257185976E-7</v>
      </c>
      <c r="AC66" s="2">
        <f t="shared" si="32"/>
        <v>-6.4097939248945121E-6</v>
      </c>
    </row>
    <row r="67" spans="1:29" x14ac:dyDescent="0.3">
      <c r="A67" s="5">
        <v>22</v>
      </c>
      <c r="B67" s="7">
        <v>239.99</v>
      </c>
      <c r="C67" s="6">
        <v>320</v>
      </c>
      <c r="D67" s="11" cm="1">
        <f t="array" ref="D67:E67">'Raw Data and Corrections'!BX89:BY89</f>
        <v>0.19551621436671829</v>
      </c>
      <c r="E67" s="7">
        <v>8.959263307990694E-3</v>
      </c>
      <c r="F67">
        <v>19200</v>
      </c>
      <c r="G67" s="2" cm="1">
        <f t="array" ref="G67:H67">'Raw Data and Corrections'!AS89:AT89</f>
        <v>3.7387555211007908</v>
      </c>
      <c r="H67">
        <v>0.2090481550513405</v>
      </c>
      <c r="I67" s="2">
        <f t="shared" si="33"/>
        <v>2.5581922230657438E-2</v>
      </c>
      <c r="J67" s="2">
        <f t="shared" si="34"/>
        <v>1.4336520765226388E-3</v>
      </c>
      <c r="L67" s="2">
        <f t="shared" si="20"/>
        <v>3.0296433270626542E-10</v>
      </c>
      <c r="M67" s="2">
        <f t="shared" si="21"/>
        <v>5.0111534376061147E-10</v>
      </c>
      <c r="N67" s="2">
        <f t="shared" si="22"/>
        <v>3.0902574159935854E-10</v>
      </c>
      <c r="O67" s="2">
        <f t="shared" si="23"/>
        <v>5.1110730950516992E-10</v>
      </c>
      <c r="P67" s="2">
        <f t="shared" si="24"/>
        <v>7.2401010187823705E-9</v>
      </c>
      <c r="Q67" s="2">
        <f t="shared" si="25"/>
        <v>1.2023861275785303E-8</v>
      </c>
      <c r="R67" s="2">
        <f t="shared" si="35"/>
        <v>3.0296433270626542E-10</v>
      </c>
      <c r="S67" s="2">
        <f t="shared" si="26"/>
        <v>5.0111534376061147E-10</v>
      </c>
      <c r="T67">
        <f t="shared" si="27"/>
        <v>19.493557379286145</v>
      </c>
      <c r="U67">
        <f t="shared" si="39"/>
        <v>-21.917406031188705</v>
      </c>
      <c r="V67" s="2">
        <f t="shared" si="36"/>
        <v>1.654040722498052</v>
      </c>
      <c r="W67">
        <f t="shared" si="40"/>
        <v>-9.518608496978306</v>
      </c>
      <c r="X67">
        <f t="shared" si="37"/>
        <v>-20.627013410580275</v>
      </c>
      <c r="Y67">
        <f t="shared" si="38"/>
        <v>-1.2903926206084293</v>
      </c>
      <c r="AA67">
        <f t="shared" si="30"/>
        <v>2.3254623537192944E-7</v>
      </c>
      <c r="AB67" s="2">
        <f t="shared" si="31"/>
        <v>-2.3732536543630992E-7</v>
      </c>
      <c r="AC67" s="2">
        <f t="shared" si="32"/>
        <v>-5.4156887087443063E-6</v>
      </c>
    </row>
    <row r="68" spans="1:29" x14ac:dyDescent="0.3">
      <c r="A68" s="5">
        <v>23</v>
      </c>
      <c r="B68" s="7">
        <v>235</v>
      </c>
      <c r="C68" s="6">
        <v>370</v>
      </c>
      <c r="D68" s="11" cm="1">
        <f t="array" ref="D68:E68">'Raw Data and Corrections'!BX93:BY93</f>
        <v>0.15482241159647978</v>
      </c>
      <c r="E68" s="7">
        <v>7.113467295825549E-3</v>
      </c>
      <c r="F68">
        <v>22200</v>
      </c>
      <c r="G68" s="2" cm="1">
        <f t="array" ref="G68:H68">'Raw Data and Corrections'!AS93:AT93</f>
        <v>3.8935779326972706</v>
      </c>
      <c r="H68">
        <v>0.20916914817280793</v>
      </c>
      <c r="I68" s="2">
        <f t="shared" si="33"/>
        <v>2.6641273362516912E-2</v>
      </c>
      <c r="J68" s="2">
        <f t="shared" si="34"/>
        <v>1.4344818472507954E-3</v>
      </c>
      <c r="L68" s="2">
        <f t="shared" si="20"/>
        <v>2.1746920942479496E-10</v>
      </c>
      <c r="M68" s="2">
        <f t="shared" si="21"/>
        <v>4.4879870748680928E-10</v>
      </c>
      <c r="N68" s="2">
        <f t="shared" si="22"/>
        <v>2.2203384198552174E-10</v>
      </c>
      <c r="O68" s="2">
        <f t="shared" si="23"/>
        <v>4.5819741096002227E-10</v>
      </c>
      <c r="P68" s="2">
        <f t="shared" si="24"/>
        <v>4.9645291374624125E-9</v>
      </c>
      <c r="Q68" s="2">
        <f t="shared" si="25"/>
        <v>1.0272521560222003E-8</v>
      </c>
      <c r="R68" s="2">
        <f t="shared" si="35"/>
        <v>2.1746920942479496E-10</v>
      </c>
      <c r="S68" s="2">
        <f t="shared" si="26"/>
        <v>4.4879870748680928E-10</v>
      </c>
      <c r="T68">
        <f t="shared" si="27"/>
        <v>19.685039370078741</v>
      </c>
      <c r="U68">
        <f t="shared" si="39"/>
        <v>-22.248963841284215</v>
      </c>
      <c r="V68" s="2">
        <f t="shared" si="36"/>
        <v>2.0637344876264541</v>
      </c>
      <c r="W68">
        <f t="shared" si="40"/>
        <v>-9.6626022243347105</v>
      </c>
      <c r="X68">
        <f t="shared" si="37"/>
        <v>-20.993523644689304</v>
      </c>
      <c r="Y68">
        <f t="shared" si="38"/>
        <v>-1.2554401965949111</v>
      </c>
      <c r="AA68">
        <f t="shared" si="30"/>
        <v>2.0944952121611757E-7</v>
      </c>
      <c r="AB68" s="2">
        <f t="shared" si="31"/>
        <v>-2.139364846658854E-7</v>
      </c>
      <c r="AC68" s="2">
        <f t="shared" si="32"/>
        <v>-4.6889365208169603E-6</v>
      </c>
    </row>
    <row r="69" spans="1:29" x14ac:dyDescent="0.3">
      <c r="A69" s="5">
        <v>24</v>
      </c>
      <c r="B69" s="7">
        <v>230</v>
      </c>
      <c r="C69" s="6">
        <v>420</v>
      </c>
      <c r="D69" s="11" cm="1">
        <f t="array" ref="D69:E69">'Raw Data and Corrections'!BX97:BY97</f>
        <v>0.1031275732412479</v>
      </c>
      <c r="E69" s="7">
        <v>6.7439479853554892E-3</v>
      </c>
      <c r="F69">
        <v>25200</v>
      </c>
      <c r="G69" s="2" cm="1">
        <f t="array" ref="G69:H69">'Raw Data and Corrections'!AS97:AT97</f>
        <v>3.9967055059385186</v>
      </c>
      <c r="H69">
        <v>0.2092778377701931</v>
      </c>
      <c r="I69" s="2">
        <f t="shared" si="33"/>
        <v>2.734690964806823E-2</v>
      </c>
      <c r="J69" s="2">
        <f t="shared" si="34"/>
        <v>1.4352272404208493E-3</v>
      </c>
      <c r="L69" s="2">
        <f t="shared" si="20"/>
        <v>1.3192480099591933E-10</v>
      </c>
      <c r="M69" s="2">
        <f t="shared" si="21"/>
        <v>4.0517344599027767E-10</v>
      </c>
      <c r="N69" s="2">
        <f t="shared" si="22"/>
        <v>1.3478948377708177E-10</v>
      </c>
      <c r="O69" s="2">
        <f t="shared" si="23"/>
        <v>4.139593701430088E-10</v>
      </c>
      <c r="P69" s="2">
        <f t="shared" si="24"/>
        <v>2.9158498773966139E-9</v>
      </c>
      <c r="Q69" s="2">
        <f t="shared" si="25"/>
        <v>8.9688485378158575E-9</v>
      </c>
      <c r="R69" s="2">
        <f t="shared" si="35"/>
        <v>1.3192480099591933E-10</v>
      </c>
      <c r="S69" s="2">
        <f t="shared" si="26"/>
        <v>4.0517344599027767E-10</v>
      </c>
      <c r="T69">
        <f t="shared" si="27"/>
        <v>19.880715705765407</v>
      </c>
      <c r="U69">
        <f t="shared" si="39"/>
        <v>-22.748789045101709</v>
      </c>
      <c r="V69" s="2">
        <f t="shared" si="36"/>
        <v>3.0712454590157798</v>
      </c>
      <c r="W69">
        <f t="shared" si="40"/>
        <v>-9.8796735522688177</v>
      </c>
      <c r="X69">
        <f t="shared" si="37"/>
        <v>-21.368062155100965</v>
      </c>
      <c r="Y69">
        <f t="shared" si="38"/>
        <v>-1.3807268900007443</v>
      </c>
      <c r="AA69">
        <f t="shared" si="30"/>
        <v>1.8940222762071206E-7</v>
      </c>
      <c r="AB69" s="2">
        <f t="shared" si="31"/>
        <v>-1.9356982802792473E-7</v>
      </c>
      <c r="AC69" s="2">
        <f t="shared" si="32"/>
        <v>-4.1337265366772956E-6</v>
      </c>
    </row>
    <row r="70" spans="1:29" x14ac:dyDescent="0.3">
      <c r="A70" s="5">
        <v>25</v>
      </c>
      <c r="B70" s="7">
        <v>225</v>
      </c>
      <c r="C70" s="6">
        <v>652</v>
      </c>
      <c r="D70" s="11" cm="1">
        <f t="array" ref="D70:E70">'Raw Data and Corrections'!BX101:BY101</f>
        <v>9.0902007785455874E-2</v>
      </c>
      <c r="E70" s="7">
        <v>8.7350665513181245E-3</v>
      </c>
      <c r="F70">
        <v>39120</v>
      </c>
      <c r="G70" s="2" cm="1">
        <f t="array" ref="G70:H70">'Raw Data and Corrections'!AS101:AT101</f>
        <v>4.0876075137239747</v>
      </c>
      <c r="H70">
        <v>0.20946005530750539</v>
      </c>
      <c r="I70" s="2">
        <f t="shared" si="33"/>
        <v>2.7968894177587154E-2</v>
      </c>
      <c r="J70" s="2">
        <f t="shared" si="34"/>
        <v>1.4364768881428417E-3</v>
      </c>
      <c r="L70" s="2">
        <f t="shared" si="20"/>
        <v>7.674981481773681E-11</v>
      </c>
      <c r="M70" s="2">
        <f t="shared" si="21"/>
        <v>3.2561321580600756E-10</v>
      </c>
      <c r="N70" s="2">
        <f t="shared" si="22"/>
        <v>7.8458372269782808E-11</v>
      </c>
      <c r="O70" s="2">
        <f t="shared" si="23"/>
        <v>3.3282862848653351E-10</v>
      </c>
      <c r="P70" s="2">
        <f t="shared" si="24"/>
        <v>1.6567688360279834E-9</v>
      </c>
      <c r="Q70" s="2">
        <f t="shared" si="25"/>
        <v>7.0603559851982698E-9</v>
      </c>
      <c r="R70" s="2">
        <f t="shared" si="35"/>
        <v>7.674981481773681E-11</v>
      </c>
      <c r="S70" s="2">
        <f t="shared" si="26"/>
        <v>3.2561321580600756E-10</v>
      </c>
      <c r="T70">
        <f t="shared" si="27"/>
        <v>20.080321285140563</v>
      </c>
      <c r="U70">
        <f t="shared" si="39"/>
        <v>-23.290470142262372</v>
      </c>
      <c r="V70" s="2">
        <f t="shared" si="36"/>
        <v>4.2425277061484019</v>
      </c>
      <c r="W70">
        <f t="shared" si="40"/>
        <v>-10.114922663716992</v>
      </c>
      <c r="X70">
        <f t="shared" si="37"/>
        <v>-21.750121519135348</v>
      </c>
      <c r="Y70">
        <f t="shared" si="38"/>
        <v>-1.5403486231270236</v>
      </c>
      <c r="AA70">
        <f t="shared" si="30"/>
        <v>1.24782538737415E-7</v>
      </c>
      <c r="AB70" s="2">
        <f t="shared" si="31"/>
        <v>-1.275922649936903E-7</v>
      </c>
      <c r="AC70" s="2">
        <f t="shared" si="32"/>
        <v>-2.6645338727271271E-6</v>
      </c>
    </row>
    <row r="71" spans="1:29" x14ac:dyDescent="0.3">
      <c r="A71" s="5">
        <v>26</v>
      </c>
      <c r="B71" s="7">
        <v>230</v>
      </c>
      <c r="C71" s="6">
        <v>500</v>
      </c>
      <c r="D71" s="11" cm="1">
        <f t="array" ref="D71:E71">'Raw Data and Corrections'!BX105:BY105</f>
        <v>0.10629552541387223</v>
      </c>
      <c r="E71" s="7">
        <v>5.5813379305753776E-3</v>
      </c>
      <c r="F71">
        <v>30000</v>
      </c>
      <c r="G71" s="2" cm="1">
        <f t="array" ref="G71:H71">'Raw Data and Corrections'!AS105:AT105</f>
        <v>4.1939030391378473</v>
      </c>
      <c r="H71">
        <v>0.20953440314783273</v>
      </c>
      <c r="I71" s="2">
        <f t="shared" si="33"/>
        <v>2.869620674168975E-2</v>
      </c>
      <c r="J71" s="2">
        <f t="shared" si="34"/>
        <v>1.4369867655710548E-3</v>
      </c>
      <c r="L71" s="2">
        <f t="shared" si="20"/>
        <v>1.1988445511744734E-10</v>
      </c>
      <c r="M71" s="2">
        <f t="shared" si="21"/>
        <v>2.9947021384514143E-10</v>
      </c>
      <c r="N71" s="2">
        <f t="shared" si="22"/>
        <v>1.226200398629207E-10</v>
      </c>
      <c r="O71" s="2">
        <f t="shared" si="23"/>
        <v>3.0632881959714984E-10</v>
      </c>
      <c r="P71" s="2">
        <f t="shared" si="24"/>
        <v>2.5280313529889241E-9</v>
      </c>
      <c r="Q71" s="2">
        <f t="shared" si="25"/>
        <v>6.2941501082147396E-9</v>
      </c>
      <c r="R71" s="2">
        <f t="shared" si="35"/>
        <v>1.1988445511744734E-10</v>
      </c>
      <c r="S71" s="2">
        <f t="shared" si="26"/>
        <v>2.9947021384514143E-10</v>
      </c>
      <c r="T71">
        <f t="shared" si="27"/>
        <v>19.880715705765407</v>
      </c>
      <c r="U71">
        <f t="shared" si="39"/>
        <v>-22.844492711028749</v>
      </c>
      <c r="V71" s="2">
        <f t="shared" si="36"/>
        <v>2.4979903654044149</v>
      </c>
      <c r="W71">
        <f t="shared" si="40"/>
        <v>-9.921237126278843</v>
      </c>
      <c r="X71">
        <f t="shared" si="37"/>
        <v>-21.368062155100965</v>
      </c>
      <c r="Y71">
        <f t="shared" si="38"/>
        <v>-1.4764305559277844</v>
      </c>
      <c r="AA71">
        <f t="shared" si="30"/>
        <v>1.669477634918267E-7</v>
      </c>
      <c r="AB71" s="2">
        <f t="shared" si="31"/>
        <v>-1.7080719515559042E-7</v>
      </c>
      <c r="AC71" s="2">
        <f t="shared" si="32"/>
        <v>-3.4771539157159878E-6</v>
      </c>
    </row>
    <row r="72" spans="1:29" x14ac:dyDescent="0.3">
      <c r="A72" s="5">
        <v>27</v>
      </c>
      <c r="B72" s="7">
        <v>234.89999999999901</v>
      </c>
      <c r="C72" s="6">
        <v>450</v>
      </c>
      <c r="D72" s="11" cm="1">
        <f t="array" ref="D72:E72">'Raw Data and Corrections'!BX109:BY109</f>
        <v>0.15018704703521579</v>
      </c>
      <c r="E72" s="7">
        <v>1.0609166435274903E-2</v>
      </c>
      <c r="F72">
        <v>27000</v>
      </c>
      <c r="G72" s="2" cm="1">
        <f t="array" ref="G72:H72">'Raw Data and Corrections'!AS109:AT109</f>
        <v>4.3440900861730629</v>
      </c>
      <c r="H72">
        <v>0.20980281341052093</v>
      </c>
      <c r="I72" s="2">
        <f t="shared" si="33"/>
        <v>2.9723841026847761E-2</v>
      </c>
      <c r="J72" s="2">
        <f t="shared" si="34"/>
        <v>1.4388275229332444E-3</v>
      </c>
      <c r="L72" s="2">
        <f t="shared" si="20"/>
        <v>1.9403679868230206E-10</v>
      </c>
      <c r="M72" s="2">
        <f t="shared" si="21"/>
        <v>3.6603442239014936E-10</v>
      </c>
      <c r="N72" s="2">
        <f t="shared" si="22"/>
        <v>1.9860538410083011E-10</v>
      </c>
      <c r="O72" s="2">
        <f t="shared" si="23"/>
        <v>3.746737648590514E-10</v>
      </c>
      <c r="P72" s="2">
        <f t="shared" si="24"/>
        <v>3.9723712763899922E-9</v>
      </c>
      <c r="Q72" s="2">
        <f t="shared" si="25"/>
        <v>7.4788565798237936E-9</v>
      </c>
      <c r="R72" s="2">
        <f t="shared" si="35"/>
        <v>1.9403679868230206E-10</v>
      </c>
      <c r="S72" s="2">
        <f t="shared" si="26"/>
        <v>3.6603442239014936E-10</v>
      </c>
      <c r="T72">
        <f t="shared" si="27"/>
        <v>19.68891514077578</v>
      </c>
      <c r="U72">
        <f t="shared" si="39"/>
        <v>-22.362973290923549</v>
      </c>
      <c r="V72" s="2">
        <f t="shared" si="36"/>
        <v>1.886417550051732</v>
      </c>
      <c r="W72">
        <f t="shared" si="40"/>
        <v>-9.7121158991979009</v>
      </c>
      <c r="X72">
        <f t="shared" si="37"/>
        <v>-21.000942147179515</v>
      </c>
      <c r="Y72">
        <f t="shared" si="38"/>
        <v>-1.3620311437440336</v>
      </c>
      <c r="AA72">
        <f t="shared" si="30"/>
        <v>1.9214033046587617E-7</v>
      </c>
      <c r="AB72" s="2">
        <f t="shared" si="31"/>
        <v>-1.9674546619063686E-7</v>
      </c>
      <c r="AC72" s="2">
        <f t="shared" si="32"/>
        <v>-3.8675962472056694E-6</v>
      </c>
    </row>
    <row r="73" spans="1:29" x14ac:dyDescent="0.3">
      <c r="A73" s="5">
        <v>28</v>
      </c>
      <c r="B73" s="7">
        <v>240</v>
      </c>
      <c r="C73" s="6">
        <v>400</v>
      </c>
      <c r="D73" s="11" cm="1">
        <f t="array" ref="D73:E73">'Raw Data and Corrections'!BX113:BY113</f>
        <v>0.18360581417126934</v>
      </c>
      <c r="E73" s="7">
        <v>1.1543033903832742E-2</v>
      </c>
      <c r="F73">
        <v>24000</v>
      </c>
      <c r="G73" s="2" cm="1">
        <f t="array" ref="G73:H73">'Raw Data and Corrections'!AS113:AT113</f>
        <v>4.527695900344332</v>
      </c>
      <c r="H73">
        <v>0.21012011361760419</v>
      </c>
      <c r="I73" s="2">
        <f t="shared" si="33"/>
        <v>3.0980138645859509E-2</v>
      </c>
      <c r="J73" s="2">
        <f t="shared" si="34"/>
        <v>1.441003567494146E-3</v>
      </c>
      <c r="L73" s="2">
        <f t="shared" si="20"/>
        <v>2.7729742114610004E-10</v>
      </c>
      <c r="M73" s="2">
        <f t="shared" si="21"/>
        <v>4.2641008543630023E-10</v>
      </c>
      <c r="N73" s="2">
        <f t="shared" si="22"/>
        <v>2.8408887165216804E-10</v>
      </c>
      <c r="O73" s="2">
        <f t="shared" si="23"/>
        <v>4.3688751592302977E-10</v>
      </c>
      <c r="P73" s="2">
        <f t="shared" si="24"/>
        <v>5.4697502872687178E-9</v>
      </c>
      <c r="Q73" s="2">
        <f t="shared" si="25"/>
        <v>8.389299201208358E-9</v>
      </c>
      <c r="R73" s="2">
        <f t="shared" si="35"/>
        <v>2.7729742114610004E-10</v>
      </c>
      <c r="S73" s="2">
        <f t="shared" si="26"/>
        <v>4.2641008543630023E-10</v>
      </c>
      <c r="T73">
        <f t="shared" si="27"/>
        <v>19.49317738791423</v>
      </c>
      <c r="U73">
        <f t="shared" si="39"/>
        <v>-22.005930463219876</v>
      </c>
      <c r="V73" s="2">
        <f t="shared" si="36"/>
        <v>1.5377354887539219</v>
      </c>
      <c r="W73">
        <f t="shared" si="40"/>
        <v>-9.5570541693230631</v>
      </c>
      <c r="X73">
        <f t="shared" si="37"/>
        <v>-20.626286079899707</v>
      </c>
      <c r="Y73">
        <f t="shared" si="38"/>
        <v>-1.3796443833201693</v>
      </c>
      <c r="AA73">
        <f t="shared" si="30"/>
        <v>2.2529392587274415E-7</v>
      </c>
      <c r="AB73" s="2">
        <f t="shared" si="31"/>
        <v>-2.3092825540344964E-7</v>
      </c>
      <c r="AC73" s="2">
        <f t="shared" si="32"/>
        <v>-4.3566867444779107E-6</v>
      </c>
    </row>
    <row r="74" spans="1:29" x14ac:dyDescent="0.3">
      <c r="A74" s="5">
        <v>29</v>
      </c>
      <c r="B74" s="7">
        <v>245</v>
      </c>
      <c r="C74" s="6">
        <v>350</v>
      </c>
      <c r="D74" s="11" cm="1">
        <f t="array" ref="D74:E74">'Raw Data and Corrections'!BX117:BY117</f>
        <v>0.24926760390178637</v>
      </c>
      <c r="E74" s="7">
        <v>1.1032022437709654E-2</v>
      </c>
      <c r="F74">
        <v>21000</v>
      </c>
      <c r="G74" s="2" cm="1">
        <f t="array" ref="G74:H74">'Raw Data and Corrections'!AS117:AT117</f>
        <v>4.776963504246118</v>
      </c>
      <c r="H74">
        <v>0.21040952370494312</v>
      </c>
      <c r="I74" s="2">
        <f t="shared" si="33"/>
        <v>3.2685718061696872E-2</v>
      </c>
      <c r="J74" s="2">
        <f t="shared" si="34"/>
        <v>1.442988341636631E-3</v>
      </c>
      <c r="L74" s="2">
        <f t="shared" si="20"/>
        <v>4.5123898186064181E-10</v>
      </c>
      <c r="M74" s="2">
        <f t="shared" si="21"/>
        <v>5.0897558625351768E-10</v>
      </c>
      <c r="N74" s="2">
        <f t="shared" si="22"/>
        <v>4.6284640431068276E-10</v>
      </c>
      <c r="O74" s="2">
        <f t="shared" si="23"/>
        <v>5.2213247607788127E-10</v>
      </c>
      <c r="P74" s="2">
        <f t="shared" si="24"/>
        <v>8.4996826409743666E-9</v>
      </c>
      <c r="Q74" s="2">
        <f t="shared" si="25"/>
        <v>9.5507064946602263E-9</v>
      </c>
      <c r="R74" s="2">
        <f t="shared" si="35"/>
        <v>4.5123898186064181E-10</v>
      </c>
      <c r="S74" s="2">
        <f t="shared" si="26"/>
        <v>5.0897558625351768E-10</v>
      </c>
      <c r="T74">
        <f t="shared" si="27"/>
        <v>19.305019305019304</v>
      </c>
      <c r="U74">
        <f t="shared" si="39"/>
        <v>-21.51902402350888</v>
      </c>
      <c r="V74" s="2">
        <f t="shared" si="36"/>
        <v>1.1279512779565373</v>
      </c>
      <c r="W74">
        <f t="shared" si="40"/>
        <v>-9.3455933893534198</v>
      </c>
      <c r="X74">
        <f t="shared" si="37"/>
        <v>-20.266138043387897</v>
      </c>
      <c r="Y74">
        <f t="shared" si="38"/>
        <v>-1.2528859801209826</v>
      </c>
      <c r="AA74">
        <f t="shared" si="30"/>
        <v>2.7165399931199503E-7</v>
      </c>
      <c r="AB74" s="2">
        <f t="shared" si="31"/>
        <v>-2.7883277425666874E-7</v>
      </c>
      <c r="AC74" s="2">
        <f t="shared" si="32"/>
        <v>-4.9878497183095305E-6</v>
      </c>
    </row>
    <row r="75" spans="1:29" x14ac:dyDescent="0.3">
      <c r="A75" s="5">
        <v>30</v>
      </c>
      <c r="B75" s="7">
        <v>250</v>
      </c>
      <c r="C75" s="6">
        <v>300</v>
      </c>
      <c r="D75" s="11" cm="1">
        <f t="array" ref="D75:E75">'Raw Data and Corrections'!BX121:BY121</f>
        <v>0.29648201326908941</v>
      </c>
      <c r="E75" s="7">
        <v>1.104651418022715E-2</v>
      </c>
      <c r="F75">
        <v>18000</v>
      </c>
      <c r="G75" s="2" cm="1">
        <f t="array" ref="G75:H75">'Raw Data and Corrections'!AS121:AT121</f>
        <v>5.0734455175152071</v>
      </c>
      <c r="H75">
        <v>0.21069929554052852</v>
      </c>
      <c r="I75" s="2">
        <f t="shared" si="33"/>
        <v>3.4714355602566485E-2</v>
      </c>
      <c r="J75" s="2">
        <f t="shared" si="34"/>
        <v>1.4449755966482944E-3</v>
      </c>
      <c r="L75" s="2">
        <f t="shared" si="20"/>
        <v>6.6288729609502451E-10</v>
      </c>
      <c r="M75" s="2">
        <f t="shared" si="21"/>
        <v>6.2467840990451731E-10</v>
      </c>
      <c r="N75" s="2">
        <f t="shared" si="22"/>
        <v>6.8097080003283072E-10</v>
      </c>
      <c r="O75" s="2">
        <f t="shared" si="23"/>
        <v>6.4182705609670496E-10</v>
      </c>
      <c r="P75" s="2">
        <f t="shared" si="24"/>
        <v>1.1817358316959768E-8</v>
      </c>
      <c r="Q75" s="2">
        <f t="shared" si="25"/>
        <v>1.1081685598030382E-8</v>
      </c>
      <c r="R75" s="2">
        <f t="shared" si="35"/>
        <v>6.6288729609502451E-10</v>
      </c>
      <c r="S75" s="2">
        <f t="shared" si="26"/>
        <v>6.2467840990451731E-10</v>
      </c>
      <c r="T75">
        <f t="shared" si="27"/>
        <v>19.120458891013385</v>
      </c>
      <c r="U75">
        <f t="shared" si="39"/>
        <v>-21.134416130999661</v>
      </c>
      <c r="V75" s="2">
        <f t="shared" si="36"/>
        <v>0.94235990580059337</v>
      </c>
      <c r="W75">
        <f t="shared" si="40"/>
        <v>-9.1785603039402268</v>
      </c>
      <c r="X75">
        <f t="shared" si="37"/>
        <v>-19.912876202602895</v>
      </c>
      <c r="Y75">
        <f t="shared" si="38"/>
        <v>-1.2215399283967656</v>
      </c>
      <c r="AA75">
        <f t="shared" si="30"/>
        <v>3.3659989054051402E-7</v>
      </c>
      <c r="AB75" s="2">
        <f t="shared" si="31"/>
        <v>-3.4606430733435918E-7</v>
      </c>
      <c r="AC75" s="2">
        <f t="shared" si="32"/>
        <v>-5.8313875063482813E-6</v>
      </c>
    </row>
    <row r="76" spans="1:29" x14ac:dyDescent="0.3">
      <c r="A76" s="5">
        <v>31</v>
      </c>
      <c r="B76" s="7">
        <v>249.97</v>
      </c>
      <c r="C76" s="6">
        <v>300</v>
      </c>
      <c r="D76" s="11" cm="1">
        <f t="array" ref="D76:E76">'Raw Data and Corrections'!BX126:BY126</f>
        <v>0.26184902151937578</v>
      </c>
      <c r="E76" s="7">
        <v>1.0587229224221038E-2</v>
      </c>
      <c r="F76">
        <v>18000</v>
      </c>
      <c r="G76" s="2" cm="1">
        <f t="array" ref="G76:H76">'Raw Data and Corrections'!AS126:AT126</f>
        <v>5.3352945390345825</v>
      </c>
      <c r="H76">
        <v>0.21096512167635953</v>
      </c>
      <c r="I76" s="2">
        <f t="shared" si="33"/>
        <v>3.6506021644081323E-2</v>
      </c>
      <c r="J76" s="2">
        <f t="shared" si="34"/>
        <v>1.446798632070609E-3</v>
      </c>
      <c r="L76" s="2">
        <f t="shared" si="20"/>
        <v>6.1863743843839179E-10</v>
      </c>
      <c r="M76" s="2">
        <f t="shared" si="21"/>
        <v>7.062846274620792E-10</v>
      </c>
      <c r="N76" s="2">
        <f t="shared" si="22"/>
        <v>6.3649944488565255E-10</v>
      </c>
      <c r="O76" s="2">
        <f t="shared" si="23"/>
        <v>7.2670060752763595E-10</v>
      </c>
      <c r="P76" s="2">
        <f t="shared" si="24"/>
        <v>1.0457607153959612E-8</v>
      </c>
      <c r="Q76" s="2">
        <f t="shared" si="25"/>
        <v>1.1935089450042256E-8</v>
      </c>
      <c r="R76" s="2">
        <f t="shared" si="35"/>
        <v>6.1863743843839179E-10</v>
      </c>
      <c r="S76" s="2">
        <f t="shared" si="26"/>
        <v>7.062846274620792E-10</v>
      </c>
      <c r="T76">
        <f t="shared" si="27"/>
        <v>19.121555729774173</v>
      </c>
      <c r="U76">
        <f t="shared" si="39"/>
        <v>-21.203501736270002</v>
      </c>
      <c r="V76" s="2">
        <f t="shared" si="36"/>
        <v>1.1416777963599045</v>
      </c>
      <c r="W76">
        <f t="shared" si="40"/>
        <v>-9.208563801088081</v>
      </c>
      <c r="X76">
        <f t="shared" si="37"/>
        <v>-19.914975630488158</v>
      </c>
      <c r="Y76">
        <f t="shared" si="38"/>
        <v>-1.2885261057818447</v>
      </c>
      <c r="AA76">
        <f t="shared" si="30"/>
        <v>3.5397237471862923E-7</v>
      </c>
      <c r="AB76" s="2">
        <f t="shared" si="31"/>
        <v>-3.6445590969605875E-7</v>
      </c>
      <c r="AC76" s="2">
        <f t="shared" si="32"/>
        <v>-5.842231267912693E-6</v>
      </c>
    </row>
    <row r="77" spans="1:29" x14ac:dyDescent="0.3">
      <c r="A77" s="5">
        <v>32</v>
      </c>
      <c r="B77" s="6">
        <v>249.98</v>
      </c>
      <c r="C77" s="6">
        <v>300</v>
      </c>
      <c r="D77" s="12" cm="1">
        <f t="array" ref="D77:E77">'Raw Data and Corrections'!BX130:BY130</f>
        <v>0.25852845994034707</v>
      </c>
      <c r="E77" s="6">
        <v>1.5042407445786145E-2</v>
      </c>
      <c r="F77">
        <v>18000</v>
      </c>
      <c r="G77" s="2" cm="1">
        <f t="array" ref="G77:H77">'Raw Data and Corrections'!AS130:AT130</f>
        <v>5.5938229989749297</v>
      </c>
      <c r="H77">
        <v>0.21150072478761442</v>
      </c>
      <c r="I77" s="2">
        <f t="shared" si="33"/>
        <v>3.8274967198097747E-2</v>
      </c>
      <c r="J77" s="2">
        <f t="shared" si="34"/>
        <v>1.4504717977699378E-3</v>
      </c>
      <c r="L77" s="2">
        <f t="shared" si="20"/>
        <v>6.4132849488077227E-10</v>
      </c>
      <c r="M77" s="2">
        <f t="shared" si="21"/>
        <v>7.4299854135530506E-10</v>
      </c>
      <c r="N77" s="2">
        <f t="shared" si="22"/>
        <v>6.6080225182347037E-10</v>
      </c>
      <c r="O77" s="2">
        <f t="shared" si="23"/>
        <v>7.6558310241189996E-10</v>
      </c>
      <c r="P77" s="2">
        <f t="shared" si="24"/>
        <v>1.0344087649916018E-8</v>
      </c>
      <c r="Q77" s="2">
        <f t="shared" si="25"/>
        <v>1.1979909864624706E-8</v>
      </c>
      <c r="R77" s="2">
        <f t="shared" si="35"/>
        <v>6.4132849488077227E-10</v>
      </c>
      <c r="S77" s="2">
        <f t="shared" si="26"/>
        <v>7.4299854135530506E-10</v>
      </c>
      <c r="T77">
        <f t="shared" si="27"/>
        <v>19.121190102872003</v>
      </c>
      <c r="U77">
        <f t="shared" si="39"/>
        <v>-21.167479317764165</v>
      </c>
      <c r="V77" s="2">
        <f t="shared" si="36"/>
        <v>1.1585303745055551</v>
      </c>
      <c r="W77">
        <f t="shared" si="40"/>
        <v>-9.1929194635061862</v>
      </c>
      <c r="X77">
        <f t="shared" si="37"/>
        <v>-19.914275794430701</v>
      </c>
      <c r="Y77">
        <f t="shared" si="38"/>
        <v>-1.2532035233334646</v>
      </c>
      <c r="AA77">
        <f t="shared" si="30"/>
        <v>3.7112455483313023E-7</v>
      </c>
      <c r="AB77" s="2">
        <f t="shared" si="31"/>
        <v>-3.8266715891869234E-7</v>
      </c>
      <c r="AC77" s="2">
        <f t="shared" si="32"/>
        <v>-5.8529771554319156E-6</v>
      </c>
    </row>
    <row r="78" spans="1:29" x14ac:dyDescent="0.3">
      <c r="A78" s="5">
        <v>33</v>
      </c>
      <c r="B78" s="6">
        <v>250</v>
      </c>
      <c r="C78" s="6">
        <v>10250</v>
      </c>
      <c r="D78" s="12" cm="1">
        <f t="array" ref="D78:E78">'Raw Data and Corrections'!BX133:BY133</f>
        <v>6.8476321121963766</v>
      </c>
      <c r="E78" s="6">
        <v>7.6681482925613401E-2</v>
      </c>
      <c r="F78">
        <v>615000</v>
      </c>
      <c r="G78" s="2" cm="1">
        <f t="array" ref="G78:H78">'Raw Data and Corrections'!AS133:AT133</f>
        <v>12.441455111171306</v>
      </c>
      <c r="H78">
        <v>0.22497245700164578</v>
      </c>
      <c r="I78" s="2">
        <f t="shared" si="33"/>
        <v>8.5128951410144815E-2</v>
      </c>
      <c r="J78" s="2">
        <f t="shared" si="34"/>
        <v>1.5428609262856125E-3</v>
      </c>
      <c r="L78" s="2">
        <f t="shared" si="20"/>
        <v>8.2044171480707708E-10</v>
      </c>
      <c r="M78" s="2">
        <f t="shared" si="21"/>
        <v>5.3959464416375174E-10</v>
      </c>
      <c r="N78" s="2">
        <f t="shared" si="22"/>
        <v>8.6472858722322592E-10</v>
      </c>
      <c r="O78" s="2">
        <f t="shared" si="23"/>
        <v>5.564850024821868E-10</v>
      </c>
      <c r="P78" s="2">
        <f t="shared" si="24"/>
        <v>8.2285085330265865E-9</v>
      </c>
      <c r="Q78" s="2">
        <f t="shared" si="25"/>
        <v>8.4941234835117058E-9</v>
      </c>
      <c r="R78" s="2">
        <f t="shared" si="35"/>
        <v>8.6472858722322592E-10</v>
      </c>
      <c r="S78" s="2">
        <f t="shared" si="26"/>
        <v>5.564850024821868E-10</v>
      </c>
      <c r="T78">
        <f t="shared" si="27"/>
        <v>19.120458891013385</v>
      </c>
      <c r="U78">
        <f t="shared" si="39"/>
        <v>-20.868605430229671</v>
      </c>
      <c r="V78" s="2">
        <f t="shared" si="36"/>
        <v>0.64353718693300543</v>
      </c>
      <c r="W78">
        <f t="shared" si="40"/>
        <v>-9.0631201833649833</v>
      </c>
      <c r="X78">
        <f t="shared" si="37"/>
        <v>-19.912876202602895</v>
      </c>
      <c r="Y78">
        <f t="shared" si="38"/>
        <v>-0.95572922762677592</v>
      </c>
      <c r="AA78">
        <f t="shared" si="30"/>
        <v>2.4159032371988563E-8</v>
      </c>
      <c r="AB78" s="2">
        <f t="shared" si="31"/>
        <v>-2.5904483599721323E-8</v>
      </c>
      <c r="AC78" s="2">
        <f t="shared" si="32"/>
        <v>-1.8007990563839678E-7</v>
      </c>
    </row>
    <row r="79" spans="1:29" x14ac:dyDescent="0.3">
      <c r="A79" s="5">
        <v>34</v>
      </c>
      <c r="B79" s="6">
        <v>240</v>
      </c>
      <c r="C79" s="6">
        <v>785</v>
      </c>
      <c r="D79" s="12" cm="1">
        <f t="array" ref="D79:E79">'Raw Data and Corrections'!BX135:BY135</f>
        <v>0.18931536834743984</v>
      </c>
      <c r="E79" s="6">
        <v>1.9230067960907676E-2</v>
      </c>
      <c r="F79">
        <v>47100</v>
      </c>
      <c r="G79" s="2" cm="1">
        <f t="array" ref="G79:H79">'Raw Data and Corrections'!AS135:AT135</f>
        <v>12.630770479518747</v>
      </c>
      <c r="H79">
        <v>0.22579282965395178</v>
      </c>
      <c r="I79" s="2">
        <f t="shared" si="33"/>
        <v>8.6424315871072854E-2</v>
      </c>
      <c r="J79" s="2">
        <f t="shared" si="34"/>
        <v>1.5484870412647762E-3</v>
      </c>
      <c r="L79" s="2">
        <f t="shared" si="20"/>
        <v>4.1173466821165697E-10</v>
      </c>
      <c r="M79" s="2">
        <f t="shared" si="21"/>
        <v>4.9730555972473392E-10</v>
      </c>
      <c r="N79" s="2">
        <f t="shared" si="22"/>
        <v>4.417272922998236E-10</v>
      </c>
      <c r="O79" s="2">
        <f t="shared" si="23"/>
        <v>5.3382345883395082E-10</v>
      </c>
      <c r="P79" s="2">
        <f t="shared" si="24"/>
        <v>3.0480289023777546E-9</v>
      </c>
      <c r="Q79" s="2">
        <f t="shared" si="25"/>
        <v>3.6567861733508853E-9</v>
      </c>
      <c r="R79" s="2">
        <f t="shared" si="35"/>
        <v>4.417272922998236E-10</v>
      </c>
      <c r="S79" s="2">
        <f t="shared" si="26"/>
        <v>5.3382345883395082E-10</v>
      </c>
      <c r="T79">
        <f t="shared" si="27"/>
        <v>19.49317738791423</v>
      </c>
      <c r="U79">
        <f t="shared" si="39"/>
        <v>-21.540328410011888</v>
      </c>
      <c r="V79" s="2">
        <f t="shared" si="36"/>
        <v>1.2084910037019327</v>
      </c>
      <c r="W79">
        <f t="shared" si="40"/>
        <v>-9.3548457668520086</v>
      </c>
      <c r="X79">
        <f t="shared" si="37"/>
        <v>-20.626286079899707</v>
      </c>
      <c r="Y79">
        <f t="shared" si="38"/>
        <v>-0.91404233011218139</v>
      </c>
      <c r="AA79">
        <f t="shared" si="30"/>
        <v>3.2025241310696654E-7</v>
      </c>
      <c r="AB79" s="2">
        <f t="shared" si="31"/>
        <v>-3.4377117138595578E-7</v>
      </c>
      <c r="AC79" s="2">
        <f t="shared" si="32"/>
        <v>-2.3546958352984977E-6</v>
      </c>
    </row>
    <row r="80" spans="1:29" x14ac:dyDescent="0.3">
      <c r="A80" t="s">
        <v>298</v>
      </c>
      <c r="D80" s="6">
        <f>'Raw Data and Corrections'!AI138</f>
        <v>133.18435333935949</v>
      </c>
      <c r="E80" s="6">
        <v>0</v>
      </c>
      <c r="F80">
        <f>3600*C80</f>
        <v>0</v>
      </c>
      <c r="G80" s="2">
        <f>'Raw Data and Corrections'!AS138</f>
        <v>145.81512381887825</v>
      </c>
      <c r="H80">
        <v>0</v>
      </c>
      <c r="I80" s="2"/>
      <c r="J80" s="2"/>
    </row>
    <row r="81" spans="5:8" x14ac:dyDescent="0.3">
      <c r="E81" s="7">
        <v>1.1024229619583501</v>
      </c>
      <c r="H81">
        <v>1.1048652999650481</v>
      </c>
    </row>
  </sheetData>
  <mergeCells count="1">
    <mergeCell ref="AA1:AC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3A0A1-1C8D-4F2D-A56A-EEF6EF1AA231}">
  <dimension ref="A1:AB82"/>
  <sheetViews>
    <sheetView topLeftCell="A23" zoomScale="55" zoomScaleNormal="55" workbookViewId="0">
      <selection activeCell="E40" sqref="E40:P81"/>
    </sheetView>
  </sheetViews>
  <sheetFormatPr defaultRowHeight="14.4" x14ac:dyDescent="0.3"/>
  <cols>
    <col min="1" max="1" width="9" bestFit="1" customWidth="1"/>
    <col min="2" max="3" width="9.21875" bestFit="1" customWidth="1"/>
    <col min="4" max="4" width="13.6640625" bestFit="1" customWidth="1"/>
    <col min="5" max="5" width="9.33203125" bestFit="1" customWidth="1"/>
    <col min="6" max="6" width="9.44140625" style="2" bestFit="1" customWidth="1"/>
    <col min="7" max="7" width="9.21875" style="2" bestFit="1" customWidth="1"/>
    <col min="8" max="8" width="13.109375" style="2" bestFit="1" customWidth="1"/>
    <col min="9" max="9" width="13.6640625" bestFit="1" customWidth="1"/>
    <col min="10" max="10" width="9.33203125" bestFit="1" customWidth="1"/>
    <col min="11" max="11" width="11.21875" bestFit="1" customWidth="1"/>
    <col min="12" max="12" width="10.44140625" customWidth="1"/>
    <col min="13" max="13" width="9.6640625" customWidth="1"/>
    <col min="14" max="14" width="9.21875" bestFit="1" customWidth="1"/>
    <col min="15" max="15" width="9.21875" customWidth="1"/>
    <col min="16" max="16" width="9.21875" bestFit="1" customWidth="1"/>
    <col min="17" max="17" width="10.77734375" customWidth="1"/>
    <col min="18" max="18" width="10.5546875" customWidth="1"/>
    <col min="19" max="19" width="9.21875" bestFit="1" customWidth="1"/>
    <col min="20" max="20" width="9.109375" bestFit="1" customWidth="1"/>
    <col min="21" max="21" width="13.21875" bestFit="1" customWidth="1"/>
    <col min="22" max="22" width="9" bestFit="1" customWidth="1"/>
    <col min="25" max="25" width="11.5546875" customWidth="1"/>
    <col min="26" max="26" width="10.21875" customWidth="1"/>
  </cols>
  <sheetData>
    <row r="1" spans="1:25" s="4" customFormat="1" ht="94.2" customHeight="1" x14ac:dyDescent="0.3">
      <c r="B1" s="4" t="s">
        <v>272</v>
      </c>
      <c r="C1" s="4" t="s">
        <v>274</v>
      </c>
      <c r="D1" s="4" t="s">
        <v>278</v>
      </c>
      <c r="E1" s="4" t="s">
        <v>282</v>
      </c>
      <c r="F1" s="2" t="s">
        <v>283</v>
      </c>
      <c r="G1" s="2" t="s">
        <v>326</v>
      </c>
      <c r="H1" s="2" t="s">
        <v>325</v>
      </c>
      <c r="I1" s="4" t="s">
        <v>281</v>
      </c>
      <c r="J1" s="4" t="s">
        <v>327</v>
      </c>
      <c r="K1" s="4" t="s">
        <v>325</v>
      </c>
      <c r="M1" s="4" t="s">
        <v>634</v>
      </c>
      <c r="N1" s="4" t="s">
        <v>329</v>
      </c>
      <c r="P1" t="s">
        <v>284</v>
      </c>
      <c r="Q1" t="s">
        <v>407</v>
      </c>
      <c r="R1" s="20"/>
      <c r="U1" s="4" t="s">
        <v>635</v>
      </c>
      <c r="W1" s="4" t="s">
        <v>613</v>
      </c>
      <c r="X1" s="4" t="s">
        <v>614</v>
      </c>
    </row>
    <row r="2" spans="1:25" x14ac:dyDescent="0.3">
      <c r="B2">
        <v>105</v>
      </c>
      <c r="C2">
        <v>150</v>
      </c>
      <c r="D2">
        <v>1560</v>
      </c>
      <c r="E2">
        <f t="shared" ref="E2:E11" si="0">10000/(B2+273)</f>
        <v>26.455026455026456</v>
      </c>
      <c r="F2" s="2" cm="1">
        <f t="array" ref="F2:G2">T42:U42</f>
        <v>4.8656592845699998E-5</v>
      </c>
      <c r="G2" s="2">
        <v>4.5764970058312102E-11</v>
      </c>
      <c r="H2" s="2">
        <f>(G2^0.5)*2</f>
        <v>1.3529962314553888E-5</v>
      </c>
      <c r="I2" s="2">
        <f>F2/($D$13*(B2+273)*1.3621E-22)</f>
        <v>135079813710.00893</v>
      </c>
      <c r="J2">
        <f>LN(I2)</f>
        <v>25.629131653354218</v>
      </c>
      <c r="K2" s="2">
        <f>((H2/2)*(1/F2))*2</f>
        <v>0.2780704838388533</v>
      </c>
      <c r="L2" s="10"/>
      <c r="M2">
        <v>102727544652.81799</v>
      </c>
      <c r="N2">
        <f t="shared" ref="N2:N11" si="1">LN(M2)</f>
        <v>25.355346122913755</v>
      </c>
      <c r="P2">
        <v>27.548209366391184</v>
      </c>
      <c r="Q2" s="20">
        <v>25.018107203522302</v>
      </c>
      <c r="R2" s="20"/>
      <c r="U2" cm="1">
        <f t="array" ref="U2:V6">LINEST(J2:J11,E2:E11,TRUE,TRUE)</f>
        <v>-0.51295242483587999</v>
      </c>
      <c r="V2">
        <v>39.211840300339205</v>
      </c>
      <c r="W2">
        <f>U2*-10000*1.987</f>
        <v>10192.364681488936</v>
      </c>
      <c r="X2">
        <f>U3*10000*1.987*2</f>
        <v>1881.6684905319303</v>
      </c>
    </row>
    <row r="3" spans="1:25" x14ac:dyDescent="0.3">
      <c r="B3">
        <v>109.99</v>
      </c>
      <c r="C3">
        <v>150</v>
      </c>
      <c r="D3">
        <v>1560</v>
      </c>
      <c r="E3">
        <f t="shared" si="0"/>
        <v>26.11034230658764</v>
      </c>
      <c r="F3" s="2" cm="1">
        <f t="array" ref="F3:G3">T46:U46</f>
        <v>6.28365594731547E-5</v>
      </c>
      <c r="G3" s="2">
        <v>8.3310292177955496E-11</v>
      </c>
      <c r="H3" s="2">
        <f t="shared" ref="H3:H11" si="2">(G3^0.5)*2</f>
        <v>1.825489437690128E-5</v>
      </c>
      <c r="I3" s="2">
        <f t="shared" ref="I3:I11" si="3">F3/($D$13*(B3+273)*1.3621E-22)</f>
        <v>172173188285.58456</v>
      </c>
      <c r="J3">
        <f t="shared" ref="J3:J11" si="4">LN(I3)</f>
        <v>25.871766715804515</v>
      </c>
      <c r="K3" s="2">
        <f t="shared" ref="K3:K11" si="5">((H3/2)*(1/F3))*2</f>
        <v>0.2905139067122256</v>
      </c>
      <c r="L3" s="10"/>
      <c r="M3">
        <v>111620335527.40601</v>
      </c>
      <c r="N3">
        <f t="shared" si="1"/>
        <v>25.438369088281451</v>
      </c>
      <c r="P3">
        <v>27.173913043478262</v>
      </c>
      <c r="Q3" s="20">
        <v>25.111483493038101</v>
      </c>
      <c r="U3">
        <v>4.7349483908704838E-2</v>
      </c>
      <c r="V3">
        <v>1.2734304804814598</v>
      </c>
    </row>
    <row r="4" spans="1:25" x14ac:dyDescent="0.3">
      <c r="B4">
        <v>99.86</v>
      </c>
      <c r="C4">
        <v>120</v>
      </c>
      <c r="D4">
        <v>1560</v>
      </c>
      <c r="E4">
        <f t="shared" si="0"/>
        <v>26.819717856568147</v>
      </c>
      <c r="F4" s="2" cm="1">
        <f t="array" ref="F4:G4">T50:U50</f>
        <v>4.3435369436099002E-5</v>
      </c>
      <c r="G4" s="2">
        <v>4.0154165900872303E-11</v>
      </c>
      <c r="H4" s="2">
        <f t="shared" si="2"/>
        <v>1.2673462968087658E-5</v>
      </c>
      <c r="I4" s="2">
        <f>F4/($D$13*(B4+273)*1.3621E-22)</f>
        <v>122247020495.95349</v>
      </c>
      <c r="J4">
        <f t="shared" si="4"/>
        <v>25.529309592783147</v>
      </c>
      <c r="K4" s="2">
        <f t="shared" si="5"/>
        <v>0.29177748762405553</v>
      </c>
      <c r="L4" s="10"/>
      <c r="M4">
        <v>95413904948.667099</v>
      </c>
      <c r="N4">
        <f t="shared" si="1"/>
        <v>25.281490158958444</v>
      </c>
      <c r="P4">
        <v>26.809651474530831</v>
      </c>
      <c r="Q4" s="20">
        <v>25.2023563967761</v>
      </c>
      <c r="R4" s="20"/>
      <c r="U4">
        <v>0.93618428234402939</v>
      </c>
      <c r="V4" s="3">
        <v>6.7480704157997479E-2</v>
      </c>
      <c r="W4" t="s">
        <v>328</v>
      </c>
      <c r="Y4">
        <f>V4*2</f>
        <v>0.13496140831599496</v>
      </c>
    </row>
    <row r="5" spans="1:25" x14ac:dyDescent="0.3">
      <c r="B5">
        <v>95</v>
      </c>
      <c r="C5">
        <v>150</v>
      </c>
      <c r="D5">
        <v>1560</v>
      </c>
      <c r="E5">
        <f t="shared" si="0"/>
        <v>27.173913043478262</v>
      </c>
      <c r="F5" s="2" cm="1">
        <f t="array" ref="F5:G5">T55:U55</f>
        <v>3.1035067212313599E-5</v>
      </c>
      <c r="G5" s="2">
        <v>1.6403942739413701E-12</v>
      </c>
      <c r="H5" s="2">
        <f t="shared" si="2"/>
        <v>2.5615575526943526E-6</v>
      </c>
      <c r="I5" s="2">
        <f t="shared" si="3"/>
        <v>88500440032.7901</v>
      </c>
      <c r="J5">
        <f t="shared" si="4"/>
        <v>25.206273361069854</v>
      </c>
      <c r="K5" s="2">
        <f t="shared" si="5"/>
        <v>8.2537522318560291E-2</v>
      </c>
      <c r="L5" s="10"/>
      <c r="M5">
        <v>86535010500.320801</v>
      </c>
      <c r="N5">
        <f t="shared" si="1"/>
        <v>25.183814914665259</v>
      </c>
      <c r="P5">
        <v>26.455026455026456</v>
      </c>
      <c r="Q5" s="20">
        <v>25.290825255441501</v>
      </c>
      <c r="R5" s="20"/>
      <c r="U5">
        <v>117.36096582236756</v>
      </c>
      <c r="V5">
        <v>8</v>
      </c>
    </row>
    <row r="6" spans="1:25" x14ac:dyDescent="0.3">
      <c r="B6">
        <v>104.99</v>
      </c>
      <c r="C6">
        <v>120</v>
      </c>
      <c r="D6">
        <v>1560</v>
      </c>
      <c r="E6">
        <f t="shared" si="0"/>
        <v>26.455726341966717</v>
      </c>
      <c r="F6" s="2" cm="1">
        <f t="array" ref="F6:G6">T59:U59</f>
        <v>5.0419981402233297E-5</v>
      </c>
      <c r="G6" s="2">
        <v>9.47011468340536E-12</v>
      </c>
      <c r="H6" s="2">
        <f t="shared" si="2"/>
        <v>6.1547102883581321E-6</v>
      </c>
      <c r="I6" s="2">
        <f t="shared" si="3"/>
        <v>139979013723.05099</v>
      </c>
      <c r="J6">
        <f t="shared" si="4"/>
        <v>25.664758346341085</v>
      </c>
      <c r="K6" s="2">
        <f t="shared" si="5"/>
        <v>0.12206887264114533</v>
      </c>
      <c r="L6" s="10"/>
      <c r="M6">
        <v>104555110906.25301</v>
      </c>
      <c r="N6">
        <f t="shared" si="1"/>
        <v>25.37298014643018</v>
      </c>
      <c r="P6">
        <v>26.109660574412533</v>
      </c>
      <c r="Q6">
        <v>25.376984222235901</v>
      </c>
      <c r="R6" s="20"/>
      <c r="U6">
        <v>0.5344202261068548</v>
      </c>
      <c r="V6">
        <v>3.6429163469273419E-2</v>
      </c>
    </row>
    <row r="7" spans="1:25" x14ac:dyDescent="0.3">
      <c r="B7">
        <v>100</v>
      </c>
      <c r="C7">
        <v>120</v>
      </c>
      <c r="D7">
        <v>1560</v>
      </c>
      <c r="E7">
        <f t="shared" si="0"/>
        <v>26.809651474530831</v>
      </c>
      <c r="F7" s="2" cm="1">
        <f t="array" ref="F7:G7">T63:U63</f>
        <v>3.6812402359058797E-5</v>
      </c>
      <c r="G7" s="2">
        <v>4.25267907887892E-12</v>
      </c>
      <c r="H7" s="2">
        <f t="shared" si="2"/>
        <v>4.1244049650241285E-6</v>
      </c>
      <c r="I7" s="2">
        <f t="shared" si="3"/>
        <v>103568070872.73692</v>
      </c>
      <c r="J7">
        <f t="shared" si="4"/>
        <v>25.363494923060479</v>
      </c>
      <c r="K7" s="2">
        <f t="shared" si="5"/>
        <v>0.11203846260278623</v>
      </c>
      <c r="L7" s="10"/>
      <c r="M7">
        <v>96115832182.949997</v>
      </c>
      <c r="N7">
        <f t="shared" si="1"/>
        <v>25.288819886314347</v>
      </c>
      <c r="P7">
        <f>10000/(273+26)</f>
        <v>33.444816053511708</v>
      </c>
      <c r="Q7" s="20">
        <v>23.486009099755101</v>
      </c>
      <c r="R7" s="20"/>
    </row>
    <row r="8" spans="1:25" x14ac:dyDescent="0.3">
      <c r="B8">
        <v>95</v>
      </c>
      <c r="C8">
        <v>120</v>
      </c>
      <c r="D8">
        <v>1560</v>
      </c>
      <c r="E8">
        <f t="shared" si="0"/>
        <v>27.173913043478262</v>
      </c>
      <c r="F8" s="2" cm="1">
        <f t="array" ref="F8:G8">T67:U67</f>
        <v>3.3275569285366801E-5</v>
      </c>
      <c r="G8" s="2">
        <v>5.7816789024607003E-11</v>
      </c>
      <c r="H8" s="2">
        <f t="shared" si="2"/>
        <v>1.5207470404325237E-5</v>
      </c>
      <c r="I8" s="2">
        <f t="shared" si="3"/>
        <v>94889516557.197128</v>
      </c>
      <c r="J8">
        <f t="shared" si="4"/>
        <v>25.275979068148281</v>
      </c>
      <c r="K8" s="2">
        <f t="shared" si="5"/>
        <v>0.45701608510159564</v>
      </c>
      <c r="L8" s="10"/>
      <c r="M8">
        <v>88162803875.337097</v>
      </c>
      <c r="N8">
        <f t="shared" si="1"/>
        <v>25.202450986238837</v>
      </c>
      <c r="R8" s="20"/>
    </row>
    <row r="9" spans="1:25" x14ac:dyDescent="0.3">
      <c r="B9">
        <v>90</v>
      </c>
      <c r="C9">
        <v>150</v>
      </c>
      <c r="D9">
        <v>1560</v>
      </c>
      <c r="E9">
        <f t="shared" si="0"/>
        <v>27.548209366391184</v>
      </c>
      <c r="F9" s="2" cm="1">
        <f t="array" ref="F9:G9">T71:U71</f>
        <v>2.6736751739871801E-5</v>
      </c>
      <c r="G9" s="2">
        <v>5.8073564601810096E-12</v>
      </c>
      <c r="H9" s="2">
        <f t="shared" si="2"/>
        <v>4.8196914673788027E-6</v>
      </c>
      <c r="I9" s="2">
        <f t="shared" si="3"/>
        <v>77293429429.505157</v>
      </c>
      <c r="J9">
        <f t="shared" si="4"/>
        <v>25.07087478801504</v>
      </c>
      <c r="K9" s="2">
        <f>((H9/2)*(1/F9))*2</f>
        <v>0.18026466020520085</v>
      </c>
      <c r="L9" s="10"/>
      <c r="M9">
        <v>79198525303.939896</v>
      </c>
      <c r="N9">
        <f t="shared" si="1"/>
        <v>25.095223515693689</v>
      </c>
      <c r="R9" s="20"/>
    </row>
    <row r="10" spans="1:25" x14ac:dyDescent="0.3">
      <c r="B10">
        <v>90</v>
      </c>
      <c r="C10">
        <v>180</v>
      </c>
      <c r="D10">
        <v>1560</v>
      </c>
      <c r="E10">
        <f t="shared" si="0"/>
        <v>27.548209366391184</v>
      </c>
      <c r="F10" s="2" cm="1">
        <f t="array" ref="F10:G10">T75:U75</f>
        <v>2.9731426367891301E-5</v>
      </c>
      <c r="G10" s="2">
        <v>2.0072552363581999E-11</v>
      </c>
      <c r="H10" s="2">
        <f t="shared" si="2"/>
        <v>8.9604804254196096E-6</v>
      </c>
      <c r="I10" s="2">
        <f>F10/($D$13*(B10+273)*1.3621E-22)</f>
        <v>85950751540.925735</v>
      </c>
      <c r="J10">
        <f t="shared" si="4"/>
        <v>25.177040312668698</v>
      </c>
      <c r="K10" s="2">
        <f t="shared" si="5"/>
        <v>0.30138077852519563</v>
      </c>
      <c r="L10" s="10"/>
      <c r="M10">
        <v>78203949962.354706</v>
      </c>
      <c r="N10">
        <f t="shared" si="1"/>
        <v>25.082585994249591</v>
      </c>
      <c r="R10" s="20"/>
    </row>
    <row r="11" spans="1:25" x14ac:dyDescent="0.3">
      <c r="B11">
        <v>99.99</v>
      </c>
      <c r="C11">
        <v>150</v>
      </c>
      <c r="D11">
        <v>1560</v>
      </c>
      <c r="E11">
        <f t="shared" si="0"/>
        <v>26.810370251213168</v>
      </c>
      <c r="F11" s="2" cm="1">
        <f t="array" ref="F11:G11">T79:U79</f>
        <v>3.7961585290435602E-5</v>
      </c>
      <c r="G11" s="2">
        <v>3.49401225970751E-11</v>
      </c>
      <c r="H11" s="2">
        <f t="shared" si="2"/>
        <v>1.1822034105360227E-5</v>
      </c>
      <c r="I11" s="2">
        <f t="shared" si="3"/>
        <v>106804047324.12433</v>
      </c>
      <c r="J11">
        <f t="shared" si="4"/>
        <v>25.394261659047757</v>
      </c>
      <c r="K11" s="2">
        <f t="shared" si="5"/>
        <v>0.31142098031239968</v>
      </c>
      <c r="L11" s="10"/>
      <c r="M11">
        <v>94446618609.783493</v>
      </c>
      <c r="N11">
        <f t="shared" si="1"/>
        <v>25.271300629403761</v>
      </c>
      <c r="R11" s="20"/>
    </row>
    <row r="12" spans="1:25" s="9" customFormat="1" x14ac:dyDescent="0.3">
      <c r="F12"/>
      <c r="G12" s="2"/>
      <c r="H12" s="51" t="s">
        <v>331</v>
      </c>
      <c r="I12" s="51"/>
      <c r="K12" s="51"/>
      <c r="L12" s="77"/>
    </row>
    <row r="13" spans="1:25" x14ac:dyDescent="0.3">
      <c r="A13" t="s">
        <v>636</v>
      </c>
      <c r="B13">
        <v>26</v>
      </c>
      <c r="D13" s="20">
        <f>'Raw Data and Corrections'!F144</f>
        <v>6996.0104353363404</v>
      </c>
      <c r="E13" s="9">
        <f>10000/(B13+273)</f>
        <v>33.444816053511708</v>
      </c>
      <c r="H13">
        <f>'Raw Data and Corrections'!CX126</f>
        <v>3813683488.5958118</v>
      </c>
      <c r="I13" s="2">
        <f>'Raw Data and Corrections'!CW126</f>
        <v>25648886548.066235</v>
      </c>
      <c r="J13">
        <f>LN(I13)</f>
        <v>23.967765998188856</v>
      </c>
      <c r="K13" s="2">
        <f>2*H13/I13</f>
        <v>0.29737614390776274</v>
      </c>
    </row>
    <row r="14" spans="1:25" x14ac:dyDescent="0.3">
      <c r="D14" s="20"/>
      <c r="E14" s="9"/>
      <c r="H14"/>
      <c r="K14" s="2"/>
    </row>
    <row r="15" spans="1:25" x14ac:dyDescent="0.3">
      <c r="A15" t="s">
        <v>367</v>
      </c>
      <c r="H15" s="2" t="s">
        <v>332</v>
      </c>
    </row>
    <row r="16" spans="1:25" x14ac:dyDescent="0.3">
      <c r="A16" t="s">
        <v>330</v>
      </c>
      <c r="B16">
        <v>100</v>
      </c>
      <c r="C16">
        <v>60</v>
      </c>
      <c r="D16">
        <v>1560</v>
      </c>
      <c r="E16">
        <f t="shared" ref="E16" si="6">10000/(B16+273)</f>
        <v>26.809651474530831</v>
      </c>
      <c r="H16" s="2">
        <v>10457070529.018175</v>
      </c>
      <c r="I16" s="2">
        <v>128160688583.06351</v>
      </c>
      <c r="J16">
        <f>LN(I16)</f>
        <v>25.576550693091161</v>
      </c>
      <c r="K16" s="2">
        <f>((H16)*(1/I16))*2</f>
        <v>0.16318686556120893</v>
      </c>
    </row>
    <row r="17" spans="6:21" x14ac:dyDescent="0.3">
      <c r="F17"/>
      <c r="G17"/>
      <c r="H17"/>
    </row>
    <row r="18" spans="6:21" x14ac:dyDescent="0.3">
      <c r="F18"/>
      <c r="G18"/>
      <c r="H18"/>
    </row>
    <row r="19" spans="6:21" x14ac:dyDescent="0.3">
      <c r="F19"/>
      <c r="G19"/>
      <c r="H19"/>
    </row>
    <row r="20" spans="6:21" x14ac:dyDescent="0.3">
      <c r="F20"/>
      <c r="G20"/>
      <c r="H20"/>
    </row>
    <row r="21" spans="6:21" x14ac:dyDescent="0.3">
      <c r="F21"/>
      <c r="G21"/>
      <c r="H21"/>
    </row>
    <row r="22" spans="6:21" x14ac:dyDescent="0.3">
      <c r="F22"/>
      <c r="G22"/>
      <c r="H22"/>
    </row>
    <row r="23" spans="6:21" x14ac:dyDescent="0.3">
      <c r="F23"/>
      <c r="G23"/>
      <c r="H23"/>
    </row>
    <row r="24" spans="6:21" x14ac:dyDescent="0.3">
      <c r="F24"/>
      <c r="G24"/>
      <c r="H24"/>
      <c r="S24">
        <v>27.6</v>
      </c>
      <c r="T24">
        <f>V2+(U2*S24)+(1.96*V4)</f>
        <v>25.186615555018591</v>
      </c>
      <c r="U24">
        <f>V2+(U2*S24)-(V4*1.96)</f>
        <v>24.922091194719243</v>
      </c>
    </row>
    <row r="25" spans="6:21" x14ac:dyDescent="0.3">
      <c r="F25"/>
      <c r="G25"/>
      <c r="H25"/>
      <c r="S25">
        <v>26.1</v>
      </c>
      <c r="T25">
        <f>V2+(U2*S25)+(V4*1.96)</f>
        <v>25.956044192272408</v>
      </c>
      <c r="U25">
        <f>V2+(U2*S25)-(V4*1.96)</f>
        <v>25.691519831973061</v>
      </c>
    </row>
    <row r="26" spans="6:21" x14ac:dyDescent="0.3">
      <c r="F26"/>
      <c r="G26"/>
      <c r="H26"/>
    </row>
    <row r="27" spans="6:21" x14ac:dyDescent="0.3">
      <c r="F27"/>
      <c r="G27"/>
      <c r="H27"/>
    </row>
    <row r="28" spans="6:21" x14ac:dyDescent="0.3">
      <c r="F28"/>
      <c r="G28"/>
      <c r="H28"/>
    </row>
    <row r="29" spans="6:21" x14ac:dyDescent="0.3">
      <c r="F29"/>
      <c r="G29"/>
      <c r="H29"/>
      <c r="T29">
        <v>26</v>
      </c>
      <c r="U29">
        <f>V2+U2*T29</f>
        <v>25.875077254606325</v>
      </c>
    </row>
    <row r="30" spans="6:21" x14ac:dyDescent="0.3">
      <c r="F30"/>
      <c r="G30"/>
      <c r="H30"/>
      <c r="T30">
        <v>33.5</v>
      </c>
      <c r="U30">
        <f>V2+U2*T30</f>
        <v>22.027934068337224</v>
      </c>
    </row>
    <row r="31" spans="6:21" x14ac:dyDescent="0.3">
      <c r="F31"/>
      <c r="G31"/>
      <c r="H31"/>
    </row>
    <row r="32" spans="6:21" x14ac:dyDescent="0.3">
      <c r="F32"/>
      <c r="G32"/>
      <c r="H32"/>
    </row>
    <row r="33" spans="1:28" x14ac:dyDescent="0.3">
      <c r="F33"/>
      <c r="G33"/>
      <c r="H33"/>
    </row>
    <row r="34" spans="1:28" x14ac:dyDescent="0.3">
      <c r="F34"/>
      <c r="G34"/>
      <c r="H34"/>
    </row>
    <row r="35" spans="1:28" x14ac:dyDescent="0.3">
      <c r="F35"/>
      <c r="G35"/>
      <c r="H35"/>
    </row>
    <row r="36" spans="1:28" x14ac:dyDescent="0.3">
      <c r="F36"/>
      <c r="G36"/>
      <c r="H36"/>
    </row>
    <row r="37" spans="1:28" x14ac:dyDescent="0.3">
      <c r="F37"/>
      <c r="G37"/>
      <c r="H37"/>
    </row>
    <row r="40" spans="1:28" ht="82.2" customHeight="1" x14ac:dyDescent="0.3">
      <c r="A40" t="s">
        <v>404</v>
      </c>
      <c r="B40" s="4" t="s">
        <v>266</v>
      </c>
      <c r="C40" s="4" t="s">
        <v>267</v>
      </c>
      <c r="D40" s="4" t="s">
        <v>370</v>
      </c>
      <c r="E40" s="4" t="s">
        <v>272</v>
      </c>
      <c r="F40" s="4" t="s">
        <v>369</v>
      </c>
      <c r="G40" s="4" t="s">
        <v>271</v>
      </c>
      <c r="H40" s="4" t="s">
        <v>268</v>
      </c>
      <c r="I40" s="4" t="s">
        <v>275</v>
      </c>
      <c r="J40" s="4" t="s">
        <v>276</v>
      </c>
      <c r="K40" s="4" t="s">
        <v>277</v>
      </c>
      <c r="L40" s="4" t="s">
        <v>278</v>
      </c>
      <c r="M40" s="4" t="s">
        <v>264</v>
      </c>
      <c r="N40" s="4"/>
      <c r="O40" s="4" t="s">
        <v>288</v>
      </c>
      <c r="P40" s="4" t="s">
        <v>371</v>
      </c>
      <c r="Q40" s="4" t="s">
        <v>399</v>
      </c>
      <c r="R40" s="4" t="s">
        <v>400</v>
      </c>
      <c r="S40" s="4" t="s">
        <v>371</v>
      </c>
      <c r="T40" s="4" t="s">
        <v>406</v>
      </c>
      <c r="U40" s="4" t="s">
        <v>401</v>
      </c>
      <c r="V40" s="4" t="s">
        <v>405</v>
      </c>
      <c r="W40" s="4" t="s">
        <v>401</v>
      </c>
      <c r="X40" s="4" t="s">
        <v>371</v>
      </c>
      <c r="Y40" s="4" t="s">
        <v>403</v>
      </c>
      <c r="Z40" s="4" t="s">
        <v>402</v>
      </c>
      <c r="AA40" s="4" t="s">
        <v>392</v>
      </c>
      <c r="AB40" s="4" t="s">
        <v>371</v>
      </c>
    </row>
    <row r="41" spans="1:28" x14ac:dyDescent="0.3">
      <c r="B41" s="4"/>
      <c r="C41" s="4"/>
      <c r="D41" s="1"/>
      <c r="E41" s="4"/>
      <c r="F41" s="4"/>
      <c r="G41" s="4"/>
      <c r="H41" s="4"/>
      <c r="I41" s="4"/>
      <c r="J41" s="4"/>
      <c r="K41" s="4"/>
      <c r="L41" s="4"/>
      <c r="M41" s="4"/>
      <c r="N41" s="4"/>
      <c r="O41" s="4"/>
      <c r="P41" s="4"/>
      <c r="Q41">
        <v>0</v>
      </c>
      <c r="Y41">
        <v>0</v>
      </c>
    </row>
    <row r="42" spans="1:28" x14ac:dyDescent="0.3">
      <c r="A42" s="148">
        <v>1</v>
      </c>
      <c r="B42" t="s">
        <v>27</v>
      </c>
      <c r="C42" t="s">
        <v>28</v>
      </c>
      <c r="D42" s="1">
        <v>45326.121527777781</v>
      </c>
      <c r="E42">
        <v>105</v>
      </c>
      <c r="F42">
        <v>150</v>
      </c>
      <c r="G42" t="s">
        <v>375</v>
      </c>
      <c r="H42" s="2">
        <v>3.06</v>
      </c>
      <c r="I42">
        <v>9000</v>
      </c>
      <c r="J42">
        <v>9129.0259999999998</v>
      </c>
      <c r="K42">
        <v>10560.000000474975</v>
      </c>
      <c r="L42">
        <v>1560.0000004749745</v>
      </c>
      <c r="M42">
        <v>6.22508308337288E-3</v>
      </c>
      <c r="O42">
        <v>1.9048754235121E-2</v>
      </c>
      <c r="P42">
        <v>1.0843772036823799E-4</v>
      </c>
      <c r="Q42">
        <f>Q41+I42</f>
        <v>9000</v>
      </c>
      <c r="R42">
        <f>O42+R41</f>
        <v>1.9048754235121E-2</v>
      </c>
      <c r="S42" cm="1">
        <f t="array" ref="S42">2*SQRT(SUM(($P$42:P42/2)^2))</f>
        <v>1.0843772036823799E-4</v>
      </c>
      <c r="T42" s="2">
        <v>4.8656592845699998E-5</v>
      </c>
      <c r="U42" s="2">
        <v>4.5764970058312102E-11</v>
      </c>
      <c r="V42">
        <v>5.2141689927696001E-2</v>
      </c>
      <c r="W42" s="2">
        <v>1.5187890449130901E-5</v>
      </c>
      <c r="X42" s="2">
        <f>SQRT(W42)*2</f>
        <v>7.7943288227097273E-3</v>
      </c>
      <c r="Y42" s="2">
        <f>V42*(1-EXP(-T42*Q42))</f>
        <v>1.8490262207783874E-2</v>
      </c>
      <c r="Z42" s="2">
        <v>-1.9959455359566899E-8</v>
      </c>
      <c r="AA42" s="2" cm="1">
        <f t="array" ref="AA42:AB42">'Raw Data and Corrections'!BJ18:BK18</f>
        <v>5.3183279588532632E-2</v>
      </c>
      <c r="AB42">
        <v>5.7734014494848695E-3</v>
      </c>
    </row>
    <row r="43" spans="1:28" x14ac:dyDescent="0.3">
      <c r="A43" s="148"/>
      <c r="B43" t="s">
        <v>29</v>
      </c>
      <c r="C43" t="s">
        <v>30</v>
      </c>
      <c r="D43" s="1">
        <v>45326.243750000001</v>
      </c>
      <c r="E43">
        <v>105</v>
      </c>
      <c r="F43">
        <v>150</v>
      </c>
      <c r="G43" t="s">
        <v>287</v>
      </c>
      <c r="H43" s="2">
        <v>1.79</v>
      </c>
      <c r="I43">
        <v>9000</v>
      </c>
      <c r="J43">
        <v>9127.5550000000003</v>
      </c>
      <c r="K43">
        <v>10559.999999846332</v>
      </c>
      <c r="L43">
        <v>1559.9999998463318</v>
      </c>
      <c r="M43">
        <v>6.2200776141821497E-3</v>
      </c>
      <c r="O43">
        <v>1.1133938929386E-2</v>
      </c>
      <c r="P43" s="2">
        <v>7.3696124467455094E-5</v>
      </c>
      <c r="Q43">
        <f>Q42+I43</f>
        <v>18000</v>
      </c>
      <c r="R43">
        <f t="shared" ref="R43:R81" si="7">O43+R42</f>
        <v>3.0182693164507002E-2</v>
      </c>
      <c r="S43" cm="1">
        <f t="array" ref="S43">2*SQRT(SUM(($P$42:P43/2)^2))</f>
        <v>1.311100986201399E-4</v>
      </c>
      <c r="T43" s="2">
        <v>4.8656592845699998E-5</v>
      </c>
      <c r="U43" s="2">
        <v>4.5764970058312102E-11</v>
      </c>
      <c r="V43">
        <v>5.2141689927696001E-2</v>
      </c>
      <c r="W43" s="2">
        <v>1.5187890449130901E-5</v>
      </c>
      <c r="X43" s="2">
        <f>SQRT(W43)*2</f>
        <v>7.7943288227097273E-3</v>
      </c>
      <c r="Y43" s="2">
        <f>V43*(1-EXP(-T43*Q43))</f>
        <v>3.0423587020813315E-2</v>
      </c>
    </row>
    <row r="44" spans="1:28" x14ac:dyDescent="0.3">
      <c r="A44" s="148"/>
      <c r="B44" t="s">
        <v>31</v>
      </c>
      <c r="C44" t="s">
        <v>32</v>
      </c>
      <c r="D44" s="1">
        <v>45326.365972222222</v>
      </c>
      <c r="E44">
        <v>105</v>
      </c>
      <c r="F44">
        <v>150</v>
      </c>
      <c r="G44" t="s">
        <v>287</v>
      </c>
      <c r="H44" s="2">
        <v>1.29</v>
      </c>
      <c r="I44">
        <v>9000</v>
      </c>
      <c r="J44">
        <v>9129.5280000000002</v>
      </c>
      <c r="K44">
        <v>10559.999999846332</v>
      </c>
      <c r="L44">
        <v>1559.9999998463318</v>
      </c>
      <c r="M44">
        <v>6.2228369847062001E-3</v>
      </c>
      <c r="O44">
        <v>8.0274597102710007E-3</v>
      </c>
      <c r="P44" s="2">
        <v>5.3458813146813503E-5</v>
      </c>
      <c r="Q44">
        <f>Q43+I44</f>
        <v>27000</v>
      </c>
      <c r="R44">
        <f t="shared" si="7"/>
        <v>3.8210152874778004E-2</v>
      </c>
      <c r="S44" cm="1">
        <f t="array" ref="S44">2*SQRT(SUM(($P$42:P44/2)^2))</f>
        <v>1.4158991017459093E-4</v>
      </c>
      <c r="T44" s="2">
        <v>4.8656592845699998E-5</v>
      </c>
      <c r="U44" s="2">
        <v>4.5764970058312102E-11</v>
      </c>
      <c r="V44">
        <v>5.2141689927696001E-2</v>
      </c>
      <c r="W44" s="2">
        <v>1.5187890449130901E-5</v>
      </c>
      <c r="X44" s="2">
        <f>SQRT(W44)*2</f>
        <v>7.7943288227097273E-3</v>
      </c>
      <c r="Y44" s="2">
        <f>V44*(1-EXP(-T44*Q44))</f>
        <v>3.8125167425298652E-2</v>
      </c>
    </row>
    <row r="45" spans="1:28" x14ac:dyDescent="0.3">
      <c r="D45" s="1"/>
      <c r="F45"/>
      <c r="G45"/>
      <c r="Q45">
        <v>0</v>
      </c>
      <c r="Y45">
        <v>0</v>
      </c>
    </row>
    <row r="46" spans="1:28" x14ac:dyDescent="0.3">
      <c r="A46" s="148">
        <v>2</v>
      </c>
      <c r="B46" t="s">
        <v>35</v>
      </c>
      <c r="C46" t="s">
        <v>36</v>
      </c>
      <c r="D46" s="1">
        <v>45326.836111111108</v>
      </c>
      <c r="E46">
        <v>109.99</v>
      </c>
      <c r="F46">
        <v>150</v>
      </c>
      <c r="G46" t="s">
        <v>375</v>
      </c>
      <c r="H46" s="2">
        <v>3.71</v>
      </c>
      <c r="I46">
        <v>9000</v>
      </c>
      <c r="J46">
        <v>9128.3590000000004</v>
      </c>
      <c r="K46">
        <v>10559.999999846332</v>
      </c>
      <c r="L46">
        <v>1559.9999998463318</v>
      </c>
      <c r="M46">
        <v>6.1766665928778596E-3</v>
      </c>
      <c r="O46">
        <v>2.2915433059576801E-2</v>
      </c>
      <c r="P46">
        <v>1.3755030980340001E-4</v>
      </c>
      <c r="Q46">
        <f>Q45+I46</f>
        <v>9000</v>
      </c>
      <c r="R46">
        <f t="shared" si="7"/>
        <v>2.2915433059576801E-2</v>
      </c>
      <c r="S46" cm="1">
        <f t="array" ref="S46">2*SQRT(SUM(($P$46:P46/2)^2))</f>
        <v>1.3755030980340001E-4</v>
      </c>
      <c r="T46" s="2">
        <v>6.28365594731547E-5</v>
      </c>
      <c r="U46" s="2">
        <v>8.3310292177955496E-11</v>
      </c>
      <c r="V46">
        <v>5.0814971730320901E-2</v>
      </c>
      <c r="W46" s="2">
        <v>1.3260131993946601E-5</v>
      </c>
      <c r="X46" s="2">
        <f>SQRT(W46)*2</f>
        <v>7.2828928301730761E-3</v>
      </c>
      <c r="Y46" s="2">
        <f>V46*(1-EXP(-T46*Q46))</f>
        <v>2.1949042074935577E-2</v>
      </c>
      <c r="Z46" s="2">
        <v>-1.57694328814813E-8</v>
      </c>
      <c r="AA46" s="2" cm="1">
        <f t="array" ref="AA46:AB46">'Raw Data and Corrections'!BJ22:BK22</f>
        <v>5.5214985605355503E-2</v>
      </c>
      <c r="AB46">
        <v>5.7108534338673354E-3</v>
      </c>
    </row>
    <row r="47" spans="1:28" x14ac:dyDescent="0.3">
      <c r="A47" s="148"/>
      <c r="B47" t="s">
        <v>37</v>
      </c>
      <c r="C47" t="s">
        <v>38</v>
      </c>
      <c r="D47" s="1">
        <v>45326.958333333336</v>
      </c>
      <c r="E47">
        <v>110</v>
      </c>
      <c r="F47">
        <v>150</v>
      </c>
      <c r="G47" t="s">
        <v>287</v>
      </c>
      <c r="H47" s="2">
        <v>1.86</v>
      </c>
      <c r="I47">
        <v>9000</v>
      </c>
      <c r="J47">
        <v>9129.1620000000003</v>
      </c>
      <c r="K47">
        <v>10560.000000474975</v>
      </c>
      <c r="L47">
        <v>1560.0000004749745</v>
      </c>
      <c r="M47">
        <v>6.18899770477654E-3</v>
      </c>
      <c r="O47">
        <v>1.1511535730884301E-2</v>
      </c>
      <c r="P47" s="2">
        <v>7.2943301410205994E-5</v>
      </c>
      <c r="Q47">
        <f>Q46+I47</f>
        <v>18000</v>
      </c>
      <c r="R47">
        <f t="shared" si="7"/>
        <v>3.4426968790461102E-2</v>
      </c>
      <c r="S47" cm="1">
        <f t="array" ref="S47">2*SQRT(SUM(($P$46:P47/2)^2))</f>
        <v>1.5569461438223059E-4</v>
      </c>
      <c r="T47" s="2">
        <v>6.28365594731547E-5</v>
      </c>
      <c r="U47" s="2">
        <v>8.3310292177955496E-11</v>
      </c>
      <c r="V47">
        <v>5.0814971730320901E-2</v>
      </c>
      <c r="W47" s="2">
        <v>1.3260131993946601E-5</v>
      </c>
      <c r="X47" s="2">
        <f>SQRT(W47)*2</f>
        <v>7.2828928301730761E-3</v>
      </c>
      <c r="Y47" s="2">
        <f>V47*(1-EXP(-T47*Q47))</f>
        <v>3.4417404901164038E-2</v>
      </c>
    </row>
    <row r="48" spans="1:28" x14ac:dyDescent="0.3">
      <c r="A48" s="148"/>
      <c r="B48" t="s">
        <v>39</v>
      </c>
      <c r="C48" t="s">
        <v>40</v>
      </c>
      <c r="D48" s="1">
        <v>45327.080555555556</v>
      </c>
      <c r="E48">
        <v>110</v>
      </c>
      <c r="F48">
        <v>150</v>
      </c>
      <c r="G48" t="s">
        <v>287</v>
      </c>
      <c r="H48" s="2">
        <v>1.21</v>
      </c>
      <c r="I48">
        <v>9000</v>
      </c>
      <c r="J48">
        <v>9128.9069999999992</v>
      </c>
      <c r="K48">
        <v>10559.999999846332</v>
      </c>
      <c r="L48">
        <v>1559.9999998463318</v>
      </c>
      <c r="M48">
        <v>6.2128988695499196E-3</v>
      </c>
      <c r="O48">
        <v>7.5176076321554E-3</v>
      </c>
      <c r="P48" s="2">
        <v>5.24136689946779E-5</v>
      </c>
      <c r="Q48">
        <f>Q47+I48</f>
        <v>27000</v>
      </c>
      <c r="R48">
        <f t="shared" si="7"/>
        <v>4.1944576422616502E-2</v>
      </c>
      <c r="S48" cm="1">
        <f t="array" ref="S48">2*SQRT(SUM(($P$46:P48/2)^2))</f>
        <v>1.6428026553763278E-4</v>
      </c>
      <c r="T48" s="2">
        <v>6.28365594731547E-5</v>
      </c>
      <c r="U48" s="2">
        <v>8.3310292177955496E-11</v>
      </c>
      <c r="V48">
        <v>5.0814971730320901E-2</v>
      </c>
      <c r="W48" s="2">
        <v>1.3260131993946601E-5</v>
      </c>
      <c r="X48" s="2">
        <f>SQRT(W48)*2</f>
        <v>7.2828928301730761E-3</v>
      </c>
      <c r="Y48" s="2">
        <f>V48*(1-EXP(-T48*Q48))</f>
        <v>4.1500177399194885E-2</v>
      </c>
    </row>
    <row r="49" spans="1:28" x14ac:dyDescent="0.3">
      <c r="D49" s="1"/>
      <c r="F49"/>
      <c r="G49"/>
      <c r="Q49">
        <v>0</v>
      </c>
      <c r="Y49">
        <v>0</v>
      </c>
    </row>
    <row r="50" spans="1:28" x14ac:dyDescent="0.3">
      <c r="A50" s="148">
        <v>3</v>
      </c>
      <c r="B50" t="s">
        <v>59</v>
      </c>
      <c r="C50" t="s">
        <v>60</v>
      </c>
      <c r="D50" s="1">
        <v>45329.518055555556</v>
      </c>
      <c r="E50">
        <v>99.86</v>
      </c>
      <c r="F50">
        <v>120</v>
      </c>
      <c r="G50" t="s">
        <v>375</v>
      </c>
      <c r="H50" s="2">
        <v>1.69</v>
      </c>
      <c r="I50">
        <v>7200</v>
      </c>
      <c r="J50">
        <v>7326.3419999999996</v>
      </c>
      <c r="K50">
        <v>8760.0000002654269</v>
      </c>
      <c r="L50">
        <v>1560.0000002654269</v>
      </c>
      <c r="M50">
        <v>6.2625738048337001E-3</v>
      </c>
      <c r="O50">
        <v>1.0583749730168899E-2</v>
      </c>
      <c r="P50" s="2">
        <v>6.1179662231932694E-5</v>
      </c>
      <c r="Q50">
        <f>Q49+I50</f>
        <v>7200</v>
      </c>
      <c r="R50">
        <f t="shared" si="7"/>
        <v>1.0583749730168899E-2</v>
      </c>
      <c r="S50" s="2" cm="1">
        <f t="array" ref="S50">2*SQRT(SUM(($P$50:P50/2)^2))</f>
        <v>6.1179662231932694E-5</v>
      </c>
      <c r="T50" s="2">
        <v>4.3435369436099002E-5</v>
      </c>
      <c r="U50" s="2">
        <v>4.0154165900872303E-11</v>
      </c>
      <c r="V50">
        <v>3.7655167500817599E-2</v>
      </c>
      <c r="W50" s="2">
        <v>6.7740604210377603E-6</v>
      </c>
      <c r="X50" s="2">
        <f>SQRT(W50)*2</f>
        <v>5.2054050451574895E-3</v>
      </c>
      <c r="Y50" s="2">
        <f>V50*(1-EXP(-T50*Q50))</f>
        <v>1.0112522360450618E-2</v>
      </c>
      <c r="Z50" s="2">
        <v>-1.18765930930622E-8</v>
      </c>
      <c r="AA50" s="2" cm="1">
        <f t="array" ref="AA50:AB50">'Raw Data and Corrections'!BJ34:BK34</f>
        <v>4.2015245291307901E-2</v>
      </c>
      <c r="AB50">
        <v>4.9388402064205091E-3</v>
      </c>
    </row>
    <row r="51" spans="1:28" x14ac:dyDescent="0.3">
      <c r="A51" s="148"/>
      <c r="B51" t="s">
        <v>61</v>
      </c>
      <c r="C51" t="s">
        <v>62</v>
      </c>
      <c r="D51" s="1">
        <v>45329.619444444441</v>
      </c>
      <c r="E51">
        <v>100</v>
      </c>
      <c r="F51">
        <v>120</v>
      </c>
      <c r="G51" t="s">
        <v>287</v>
      </c>
      <c r="H51" s="2">
        <v>1.19</v>
      </c>
      <c r="I51">
        <v>7200</v>
      </c>
      <c r="J51">
        <v>7324.7139999999999</v>
      </c>
      <c r="K51">
        <v>8759.9999996367842</v>
      </c>
      <c r="L51">
        <v>1559.9999996367842</v>
      </c>
      <c r="M51">
        <v>6.25857059078333E-3</v>
      </c>
      <c r="O51">
        <v>7.4476990030321599E-3</v>
      </c>
      <c r="P51" s="2">
        <v>3.9635740604645498E-5</v>
      </c>
      <c r="Q51">
        <f>Q50+I51</f>
        <v>14400</v>
      </c>
      <c r="R51">
        <f t="shared" si="7"/>
        <v>1.8031448733201061E-2</v>
      </c>
      <c r="S51" s="2" cm="1">
        <f t="array" ref="S51">2*SQRT(SUM(($P$50:P51/2)^2))</f>
        <v>7.2896796939866395E-5</v>
      </c>
      <c r="T51" s="2">
        <v>4.3435369436099002E-5</v>
      </c>
      <c r="U51" s="2">
        <v>4.0154165900872303E-11</v>
      </c>
      <c r="V51">
        <v>3.7655167500817599E-2</v>
      </c>
      <c r="W51" s="2">
        <v>6.7740604210377603E-6</v>
      </c>
      <c r="X51" s="2">
        <f>SQRT(W51)*2</f>
        <v>5.2054050451574895E-3</v>
      </c>
      <c r="Y51" s="2">
        <f>V51*(1-EXP(-T51*Q51))</f>
        <v>1.7509265844379354E-2</v>
      </c>
    </row>
    <row r="52" spans="1:28" x14ac:dyDescent="0.3">
      <c r="A52" s="148"/>
      <c r="B52" t="s">
        <v>63</v>
      </c>
      <c r="C52" t="s">
        <v>64</v>
      </c>
      <c r="D52" s="1">
        <v>45329.720833333333</v>
      </c>
      <c r="E52">
        <v>100</v>
      </c>
      <c r="F52">
        <v>120</v>
      </c>
      <c r="G52" t="s">
        <v>287</v>
      </c>
      <c r="H52" s="2">
        <v>0.78600000000000003</v>
      </c>
      <c r="I52">
        <v>7200</v>
      </c>
      <c r="J52">
        <v>7324.4070000000002</v>
      </c>
      <c r="K52">
        <v>8760.0000002654269</v>
      </c>
      <c r="L52">
        <v>1560.0000002654269</v>
      </c>
      <c r="M52">
        <v>6.2550481403230301E-3</v>
      </c>
      <c r="O52">
        <v>4.9164678382939003E-3</v>
      </c>
      <c r="P52" s="2">
        <v>2.49290264110073E-5</v>
      </c>
      <c r="Q52">
        <f>Q51+I52</f>
        <v>21600</v>
      </c>
      <c r="R52">
        <f t="shared" si="7"/>
        <v>2.2947916571494961E-2</v>
      </c>
      <c r="S52" s="2" cm="1">
        <f t="array" ref="S52">2*SQRT(SUM(($P$50:P52/2)^2))</f>
        <v>7.7041543091327128E-5</v>
      </c>
      <c r="T52" s="2">
        <v>4.3435369436099002E-5</v>
      </c>
      <c r="U52" s="2">
        <v>4.0154165900872303E-11</v>
      </c>
      <c r="V52">
        <v>3.7655167500817599E-2</v>
      </c>
      <c r="W52" s="2">
        <v>6.7740604210377603E-6</v>
      </c>
      <c r="X52" s="2">
        <f>SQRT(W52)*2</f>
        <v>5.2054050451574895E-3</v>
      </c>
      <c r="Y52" s="2">
        <f>V52*(1-EXP(-T52*Q52))</f>
        <v>2.291956925008715E-2</v>
      </c>
    </row>
    <row r="53" spans="1:28" x14ac:dyDescent="0.3">
      <c r="A53" s="148"/>
      <c r="B53" t="s">
        <v>65</v>
      </c>
      <c r="C53" t="s">
        <v>66</v>
      </c>
      <c r="D53" s="1">
        <v>45329.822222222225</v>
      </c>
      <c r="E53">
        <v>99.99</v>
      </c>
      <c r="F53">
        <v>120</v>
      </c>
      <c r="G53" t="s">
        <v>287</v>
      </c>
      <c r="H53" s="2">
        <v>0.68200000000000005</v>
      </c>
      <c r="I53">
        <v>7200</v>
      </c>
      <c r="J53">
        <v>7329.0789999999997</v>
      </c>
      <c r="K53">
        <v>8760.0000002654269</v>
      </c>
      <c r="L53">
        <v>1560.0000002654269</v>
      </c>
      <c r="M53">
        <v>6.2505943530833498E-3</v>
      </c>
      <c r="O53">
        <v>4.2629053488028399E-3</v>
      </c>
      <c r="P53" s="2">
        <v>2.08329846518396E-5</v>
      </c>
      <c r="Q53">
        <f>Q52+I53</f>
        <v>28800</v>
      </c>
      <c r="R53">
        <f t="shared" si="7"/>
        <v>2.7210821920297799E-2</v>
      </c>
      <c r="S53" s="2" cm="1">
        <f t="array" ref="S53">2*SQRT(SUM(($P$50:P53/2)^2))</f>
        <v>7.9808599858640535E-5</v>
      </c>
      <c r="T53" s="2">
        <v>4.3435369436099002E-5</v>
      </c>
      <c r="U53" s="2">
        <v>4.0154165900872303E-11</v>
      </c>
      <c r="V53">
        <v>3.7655167500817599E-2</v>
      </c>
      <c r="W53" s="2">
        <v>6.7740604210377603E-6</v>
      </c>
      <c r="X53" s="2">
        <f>SQRT(W53)*2</f>
        <v>5.2054050451574895E-3</v>
      </c>
      <c r="Y53" s="2">
        <f>V53*(1-EXP(-T53*Q53))</f>
        <v>2.6876903042371919E-2</v>
      </c>
    </row>
    <row r="54" spans="1:28" x14ac:dyDescent="0.3">
      <c r="D54" s="1"/>
      <c r="F54"/>
      <c r="G54"/>
      <c r="Q54">
        <v>0</v>
      </c>
      <c r="Y54">
        <v>0</v>
      </c>
    </row>
    <row r="55" spans="1:28" x14ac:dyDescent="0.3">
      <c r="A55" s="148">
        <v>4</v>
      </c>
      <c r="B55" t="s">
        <v>131</v>
      </c>
      <c r="C55" t="s">
        <v>132</v>
      </c>
      <c r="D55" s="1">
        <v>45338.244444444441</v>
      </c>
      <c r="E55">
        <v>95</v>
      </c>
      <c r="F55">
        <v>150</v>
      </c>
      <c r="G55" t="s">
        <v>375</v>
      </c>
      <c r="H55" s="2">
        <v>1.73</v>
      </c>
      <c r="I55">
        <v>9000</v>
      </c>
      <c r="J55">
        <v>9127.6110000000008</v>
      </c>
      <c r="K55">
        <v>10559.999999846332</v>
      </c>
      <c r="L55">
        <v>1559.9999998463318</v>
      </c>
      <c r="M55">
        <v>6.3009891986499696E-3</v>
      </c>
      <c r="O55">
        <v>1.09007113136644E-2</v>
      </c>
      <c r="P55">
        <v>2.7931925738612201E-4</v>
      </c>
      <c r="Q55">
        <f>Q54+I55</f>
        <v>9000</v>
      </c>
      <c r="R55">
        <f t="shared" si="7"/>
        <v>1.09007113136644E-2</v>
      </c>
      <c r="S55" s="2" cm="1">
        <f t="array" ref="S55">2*SQRT(SUM(($P$55:P55/2)^2))</f>
        <v>2.7931925738612201E-4</v>
      </c>
      <c r="T55" s="2">
        <v>3.1035067212313599E-5</v>
      </c>
      <c r="U55" s="2">
        <v>1.6403942739413701E-12</v>
      </c>
      <c r="V55">
        <v>4.4394575768924097E-2</v>
      </c>
      <c r="W55" s="2">
        <v>1.2304539646741101E-6</v>
      </c>
      <c r="X55" s="2">
        <f>SQRT(W55)*2</f>
        <v>2.2185165896824932E-3</v>
      </c>
      <c r="Y55" s="2">
        <f>V55*(1-EXP(-T55*Q55))</f>
        <v>1.0818906032035015E-2</v>
      </c>
      <c r="Z55" s="2">
        <v>-1.31599654268952E-9</v>
      </c>
      <c r="AA55" s="2" cm="1">
        <f t="array" ref="AA55:AB55">'Raw Data and Corrections'!BJ70:BK70</f>
        <v>4.223162098878816E-2</v>
      </c>
      <c r="AB55">
        <v>5.1323413557861587E-3</v>
      </c>
    </row>
    <row r="56" spans="1:28" x14ac:dyDescent="0.3">
      <c r="A56" s="148"/>
      <c r="B56" t="s">
        <v>133</v>
      </c>
      <c r="C56" t="s">
        <v>134</v>
      </c>
      <c r="D56" s="1">
        <v>45338.366666666669</v>
      </c>
      <c r="E56">
        <v>95</v>
      </c>
      <c r="F56">
        <v>150</v>
      </c>
      <c r="G56" t="s">
        <v>287</v>
      </c>
      <c r="H56" s="2">
        <v>1.28</v>
      </c>
      <c r="I56">
        <v>9000</v>
      </c>
      <c r="J56">
        <v>9124.4429999999993</v>
      </c>
      <c r="K56">
        <v>10560.000000474975</v>
      </c>
      <c r="L56">
        <v>1560.0000004749745</v>
      </c>
      <c r="M56">
        <v>6.3057618476632703E-3</v>
      </c>
      <c r="O56">
        <v>8.0713751650089895E-3</v>
      </c>
      <c r="P56">
        <v>2.00058661458459E-4</v>
      </c>
      <c r="Q56">
        <f>Q55+I56</f>
        <v>18000</v>
      </c>
      <c r="R56">
        <f t="shared" si="7"/>
        <v>1.8972086478673392E-2</v>
      </c>
      <c r="S56" s="2" cm="1">
        <f t="array" ref="S56">2*SQRT(SUM(($P$55:P56/2)^2))</f>
        <v>3.4357345003839426E-4</v>
      </c>
      <c r="T56" s="2">
        <v>3.1035067212313599E-5</v>
      </c>
      <c r="U56" s="2">
        <v>1.6403942739413701E-12</v>
      </c>
      <c r="V56">
        <v>4.4394575768924097E-2</v>
      </c>
      <c r="W56" s="2">
        <v>1.2304539646741101E-6</v>
      </c>
      <c r="X56" s="2">
        <f>SQRT(W56)*2</f>
        <v>2.2185165896824932E-3</v>
      </c>
      <c r="Y56" s="2">
        <f>V56*(1-EXP(-T56*Q56))</f>
        <v>1.9001257356592974E-2</v>
      </c>
    </row>
    <row r="57" spans="1:28" x14ac:dyDescent="0.3">
      <c r="A57" s="148"/>
      <c r="B57" t="s">
        <v>135</v>
      </c>
      <c r="C57" t="s">
        <v>136</v>
      </c>
      <c r="D57" s="1">
        <v>45338.488888888889</v>
      </c>
      <c r="E57">
        <v>95</v>
      </c>
      <c r="F57">
        <v>150</v>
      </c>
      <c r="G57" t="s">
        <v>287</v>
      </c>
      <c r="H57" s="2">
        <v>0.98699999999999999</v>
      </c>
      <c r="I57">
        <v>9000</v>
      </c>
      <c r="J57">
        <v>9127.0869999999995</v>
      </c>
      <c r="K57">
        <v>10559.999999846332</v>
      </c>
      <c r="L57">
        <v>1559.9999998463318</v>
      </c>
      <c r="M57">
        <v>6.3054984576007599E-3</v>
      </c>
      <c r="O57">
        <v>6.2235269776519499E-3</v>
      </c>
      <c r="P57">
        <v>1.3858219534272899E-4</v>
      </c>
      <c r="Q57">
        <f>Q56+I57</f>
        <v>27000</v>
      </c>
      <c r="R57">
        <f t="shared" si="7"/>
        <v>2.5195613456325341E-2</v>
      </c>
      <c r="S57" s="2" cm="1">
        <f t="array" ref="S57">2*SQRT(SUM(($P$55:P57/2)^2))</f>
        <v>3.7046962147697791E-4</v>
      </c>
      <c r="T57" s="2">
        <v>3.1035067212313599E-5</v>
      </c>
      <c r="U57" s="2">
        <v>1.6403942739413701E-12</v>
      </c>
      <c r="V57">
        <v>4.4394575768924097E-2</v>
      </c>
      <c r="W57" s="2">
        <v>1.2304539646741101E-6</v>
      </c>
      <c r="X57" s="2">
        <f>SQRT(W57)*2</f>
        <v>2.2185165896824932E-3</v>
      </c>
      <c r="Y57" s="2">
        <f>V57*(1-EXP(-T57*Q57))</f>
        <v>2.5189579262731396E-2</v>
      </c>
    </row>
    <row r="58" spans="1:28" x14ac:dyDescent="0.3">
      <c r="D58" s="1"/>
      <c r="F58"/>
      <c r="G58"/>
      <c r="Q58">
        <v>0</v>
      </c>
      <c r="Y58">
        <v>0</v>
      </c>
    </row>
    <row r="59" spans="1:28" x14ac:dyDescent="0.3">
      <c r="A59" s="148">
        <v>5</v>
      </c>
      <c r="B59" t="s">
        <v>155</v>
      </c>
      <c r="C59" t="s">
        <v>156</v>
      </c>
      <c r="D59" s="1">
        <v>45341.236111111109</v>
      </c>
      <c r="E59">
        <v>104.99</v>
      </c>
      <c r="F59">
        <v>120</v>
      </c>
      <c r="G59" t="s">
        <v>375</v>
      </c>
      <c r="H59" s="2">
        <v>3.38</v>
      </c>
      <c r="I59">
        <v>7200</v>
      </c>
      <c r="J59">
        <v>7329.5259999999998</v>
      </c>
      <c r="K59">
        <v>8759.9999996367842</v>
      </c>
      <c r="L59">
        <v>1559.9999996367842</v>
      </c>
      <c r="M59">
        <v>6.3462757172787401E-3</v>
      </c>
      <c r="O59">
        <v>2.1450411924402099E-2</v>
      </c>
      <c r="P59" s="2">
        <v>8.8921420460834997E-5</v>
      </c>
      <c r="Q59">
        <f>Q58+I59</f>
        <v>7200</v>
      </c>
      <c r="R59">
        <f t="shared" si="7"/>
        <v>2.1450411924402099E-2</v>
      </c>
      <c r="S59" s="2" cm="1">
        <f t="array" ref="S59">2*SQRT(SUM(($P$59:P59/2)^2))</f>
        <v>8.8921420460834997E-5</v>
      </c>
      <c r="T59" s="2">
        <v>5.0419981402233297E-5</v>
      </c>
      <c r="U59" s="2">
        <v>9.47011468340536E-12</v>
      </c>
      <c r="V59">
        <v>6.9556590424275797E-2</v>
      </c>
      <c r="W59" s="2">
        <v>5.5020795264518902E-6</v>
      </c>
      <c r="X59" s="2">
        <f>SQRT(W59)*2</f>
        <v>4.6913023890821151E-3</v>
      </c>
      <c r="Y59" s="2">
        <f>V59*(1-EXP(-T59*Q59))</f>
        <v>2.1175124455190708E-2</v>
      </c>
      <c r="Z59" s="2">
        <v>-6.1251811404206596E-9</v>
      </c>
      <c r="AA59" s="2" cm="1">
        <f t="array" ref="AA59:AB59">'Raw Data and Corrections'!BJ82:BK82</f>
        <v>7.1847731275520202E-2</v>
      </c>
      <c r="AB59">
        <v>8.1531835353759775E-3</v>
      </c>
    </row>
    <row r="60" spans="1:28" x14ac:dyDescent="0.3">
      <c r="A60" s="148"/>
      <c r="B60" t="s">
        <v>157</v>
      </c>
      <c r="C60" t="s">
        <v>158</v>
      </c>
      <c r="D60" s="1">
        <v>45341.337500000001</v>
      </c>
      <c r="E60">
        <v>104.99</v>
      </c>
      <c r="F60">
        <v>120</v>
      </c>
      <c r="G60" t="s">
        <v>287</v>
      </c>
      <c r="H60" s="2">
        <v>2.27</v>
      </c>
      <c r="I60">
        <v>7200</v>
      </c>
      <c r="J60">
        <v>7328.2079999999996</v>
      </c>
      <c r="K60">
        <v>8760.0000002654269</v>
      </c>
      <c r="L60">
        <v>1560.0000002654269</v>
      </c>
      <c r="M60">
        <v>6.3311702791372798E-3</v>
      </c>
      <c r="O60">
        <v>1.4371756533641601E-2</v>
      </c>
      <c r="P60" s="2">
        <v>5.9719415516596298E-5</v>
      </c>
      <c r="Q60">
        <f>Q59+I60</f>
        <v>14400</v>
      </c>
      <c r="R60">
        <f t="shared" si="7"/>
        <v>3.5822168458043702E-2</v>
      </c>
      <c r="S60" s="2" cm="1">
        <f t="array" ref="S60">2*SQRT(SUM(($P$59:P60/2)^2))</f>
        <v>1.0711408687197257E-4</v>
      </c>
      <c r="T60" s="2">
        <v>5.0419981402233297E-5</v>
      </c>
      <c r="U60" s="2">
        <v>9.47011468340536E-12</v>
      </c>
      <c r="V60">
        <v>6.9556590424275797E-2</v>
      </c>
      <c r="W60" s="2">
        <v>5.5020795264518902E-6</v>
      </c>
      <c r="X60" s="2">
        <f>SQRT(W60)*2</f>
        <v>4.6913023890821151E-3</v>
      </c>
      <c r="Y60" s="2">
        <f>V60*(1-EXP(-T60*Q60))</f>
        <v>3.5903902231256016E-2</v>
      </c>
    </row>
    <row r="61" spans="1:28" x14ac:dyDescent="0.3">
      <c r="A61" s="148"/>
      <c r="B61" t="s">
        <v>159</v>
      </c>
      <c r="C61" t="s">
        <v>160</v>
      </c>
      <c r="D61" s="1">
        <v>45341.438888888886</v>
      </c>
      <c r="E61">
        <v>104.99</v>
      </c>
      <c r="F61">
        <v>120</v>
      </c>
      <c r="G61" t="s">
        <v>287</v>
      </c>
      <c r="H61" s="2">
        <v>1.64</v>
      </c>
      <c r="I61">
        <v>7200</v>
      </c>
      <c r="J61">
        <v>7329.22</v>
      </c>
      <c r="K61">
        <v>8759.9999996367842</v>
      </c>
      <c r="L61">
        <v>1559.9999996367842</v>
      </c>
      <c r="M61">
        <v>6.32978723404255E-3</v>
      </c>
      <c r="O61">
        <v>1.03808510638297E-2</v>
      </c>
      <c r="P61" s="2">
        <v>4.34665881199926E-5</v>
      </c>
      <c r="Q61">
        <f>Q60+I61</f>
        <v>21600</v>
      </c>
      <c r="R61">
        <f t="shared" si="7"/>
        <v>4.6203019521873404E-2</v>
      </c>
      <c r="S61" s="2" cm="1">
        <f t="array" ref="S61">2*SQRT(SUM(($P$59:P61/2)^2))</f>
        <v>1.1559745624021996E-4</v>
      </c>
      <c r="T61" s="2">
        <v>5.0419981402233297E-5</v>
      </c>
      <c r="U61" s="2">
        <v>9.47011468340536E-12</v>
      </c>
      <c r="V61">
        <v>6.9556590424275797E-2</v>
      </c>
      <c r="W61" s="2">
        <v>5.5020795264518902E-6</v>
      </c>
      <c r="X61" s="2">
        <f>SQRT(W61)*2</f>
        <v>4.6913023890821151E-3</v>
      </c>
      <c r="Y61" s="2">
        <f>V61*(1-EXP(-T61*Q61))</f>
        <v>4.6148795725779838E-2</v>
      </c>
    </row>
    <row r="62" spans="1:28" x14ac:dyDescent="0.3">
      <c r="D62" s="1"/>
      <c r="F62"/>
      <c r="G62"/>
      <c r="Q62">
        <v>0</v>
      </c>
      <c r="Y62">
        <v>0</v>
      </c>
    </row>
    <row r="63" spans="1:28" x14ac:dyDescent="0.3">
      <c r="A63" s="148">
        <v>6</v>
      </c>
      <c r="B63" t="s">
        <v>163</v>
      </c>
      <c r="C63" t="s">
        <v>164</v>
      </c>
      <c r="D63" s="1">
        <v>45341.745833333334</v>
      </c>
      <c r="E63">
        <v>100</v>
      </c>
      <c r="F63">
        <v>120</v>
      </c>
      <c r="G63" t="s">
        <v>375</v>
      </c>
      <c r="H63" s="2">
        <v>1.99</v>
      </c>
      <c r="I63">
        <v>7200</v>
      </c>
      <c r="J63">
        <v>7328.5330000000004</v>
      </c>
      <c r="K63">
        <v>8760.0000002654269</v>
      </c>
      <c r="L63">
        <v>1560.0000002654269</v>
      </c>
      <c r="M63">
        <v>6.3318091695029801E-3</v>
      </c>
      <c r="O63">
        <v>1.2600300247310899E-2</v>
      </c>
      <c r="P63" s="2">
        <v>5.59001078957548E-5</v>
      </c>
      <c r="Q63">
        <f>Q62+I63</f>
        <v>7200</v>
      </c>
      <c r="R63">
        <f t="shared" si="7"/>
        <v>1.2600300247310899E-2</v>
      </c>
      <c r="S63" s="2" cm="1">
        <f t="array" ref="S63">2*SQRT(SUM(($P$63:P63/2)^2))</f>
        <v>5.59001078957548E-5</v>
      </c>
      <c r="T63" s="2">
        <v>3.6812402359058797E-5</v>
      </c>
      <c r="U63" s="2">
        <v>4.25267907887892E-12</v>
      </c>
      <c r="V63">
        <v>5.3411741497896598E-2</v>
      </c>
      <c r="W63" s="2">
        <v>2.8238498880393998E-6</v>
      </c>
      <c r="X63" s="2">
        <f>SQRT(W63)*2</f>
        <v>3.3608629177872755E-3</v>
      </c>
      <c r="Y63" s="2">
        <f>V63*(1-EXP(-T63*Q63))</f>
        <v>1.2435955654637581E-2</v>
      </c>
      <c r="Z63" s="2">
        <v>-3.2250949838394899E-9</v>
      </c>
      <c r="AA63" s="2" cm="1">
        <f t="array" ref="AA63:AB63">'Raw Data and Corrections'!BJ86:BK86</f>
        <v>4.9782393388959088E-2</v>
      </c>
      <c r="AB63">
        <v>5.8377318434053192E-3</v>
      </c>
    </row>
    <row r="64" spans="1:28" x14ac:dyDescent="0.3">
      <c r="A64" s="148"/>
      <c r="B64" t="s">
        <v>165</v>
      </c>
      <c r="C64" t="s">
        <v>166</v>
      </c>
      <c r="D64" s="1">
        <v>45341.847222222219</v>
      </c>
      <c r="E64">
        <v>100</v>
      </c>
      <c r="F64">
        <v>120</v>
      </c>
      <c r="G64" t="s">
        <v>287</v>
      </c>
      <c r="H64" s="2">
        <v>1.48</v>
      </c>
      <c r="I64">
        <v>7200</v>
      </c>
      <c r="J64">
        <v>7328.0680000000002</v>
      </c>
      <c r="K64">
        <v>8759.9999996367842</v>
      </c>
      <c r="L64">
        <v>1559.9999996367842</v>
      </c>
      <c r="M64">
        <v>6.3356834113348203E-3</v>
      </c>
      <c r="O64">
        <v>9.3768114487755398E-3</v>
      </c>
      <c r="P64" s="2">
        <v>3.454879751305E-5</v>
      </c>
      <c r="Q64">
        <f>Q63+I64</f>
        <v>14400</v>
      </c>
      <c r="R64">
        <f t="shared" si="7"/>
        <v>2.1977111696086439E-2</v>
      </c>
      <c r="S64" s="2" cm="1">
        <f t="array" ref="S64">2*SQRT(SUM(($P$63:P64/2)^2))</f>
        <v>6.5714849709595764E-5</v>
      </c>
      <c r="T64" s="2">
        <v>3.6812402359058797E-5</v>
      </c>
      <c r="U64" s="2">
        <v>4.25267907887892E-12</v>
      </c>
      <c r="V64">
        <v>5.3411741497896598E-2</v>
      </c>
      <c r="W64" s="2">
        <v>2.8238498880393998E-6</v>
      </c>
      <c r="X64" s="2">
        <f>SQRT(W64)*2</f>
        <v>3.3608629177872755E-3</v>
      </c>
      <c r="Y64" s="2">
        <f>V64*(1-EXP(-T64*Q64))</f>
        <v>2.1976424498567019E-2</v>
      </c>
    </row>
    <row r="65" spans="1:28" x14ac:dyDescent="0.3">
      <c r="A65" s="148"/>
      <c r="B65" t="s">
        <v>167</v>
      </c>
      <c r="C65" t="s">
        <v>168</v>
      </c>
      <c r="D65" s="1">
        <v>45341.948611111111</v>
      </c>
      <c r="E65">
        <v>100</v>
      </c>
      <c r="F65">
        <v>120</v>
      </c>
      <c r="G65" t="s">
        <v>287</v>
      </c>
      <c r="H65" s="2">
        <v>1.1599999999999999</v>
      </c>
      <c r="I65">
        <v>7200</v>
      </c>
      <c r="J65">
        <v>7326.6490000000003</v>
      </c>
      <c r="K65">
        <v>8760.0000002654269</v>
      </c>
      <c r="L65">
        <v>1560.0000002654269</v>
      </c>
      <c r="M65">
        <v>6.3406189747238504E-3</v>
      </c>
      <c r="O65">
        <v>7.3551180106796697E-3</v>
      </c>
      <c r="P65" s="2">
        <v>2.0064201759700601E-5</v>
      </c>
      <c r="Q65">
        <f>Q64+I65</f>
        <v>21600</v>
      </c>
      <c r="R65">
        <f t="shared" si="7"/>
        <v>2.9332229706766109E-2</v>
      </c>
      <c r="S65" s="2" cm="1">
        <f t="array" ref="S65">2*SQRT(SUM(($P$63:P65/2)^2))</f>
        <v>6.8709632982637384E-5</v>
      </c>
      <c r="T65" s="2">
        <v>3.6812402359058797E-5</v>
      </c>
      <c r="U65" s="2">
        <v>4.25267907887892E-12</v>
      </c>
      <c r="V65">
        <v>5.3411741497896598E-2</v>
      </c>
      <c r="W65" s="2">
        <v>2.8238498880393998E-6</v>
      </c>
      <c r="X65" s="2">
        <f>SQRT(W65)*2</f>
        <v>3.3608629177872755E-3</v>
      </c>
      <c r="Y65" s="2">
        <f>V65*(1-EXP(-T65*Q65))</f>
        <v>2.9295568140579376E-2</v>
      </c>
    </row>
    <row r="66" spans="1:28" x14ac:dyDescent="0.3">
      <c r="D66" s="1"/>
      <c r="F66"/>
      <c r="G66"/>
      <c r="Q66">
        <v>0</v>
      </c>
      <c r="Y66">
        <v>0</v>
      </c>
    </row>
    <row r="67" spans="1:28" x14ac:dyDescent="0.3">
      <c r="A67" s="148">
        <v>7</v>
      </c>
      <c r="B67" t="s">
        <v>171</v>
      </c>
      <c r="C67" t="s">
        <v>172</v>
      </c>
      <c r="D67" s="1">
        <v>45342.290277777778</v>
      </c>
      <c r="E67">
        <v>95</v>
      </c>
      <c r="F67">
        <v>120</v>
      </c>
      <c r="G67" t="s">
        <v>375</v>
      </c>
      <c r="H67" s="2">
        <v>1.1399999999999999</v>
      </c>
      <c r="I67">
        <v>7200</v>
      </c>
      <c r="J67">
        <v>7324.3819999999996</v>
      </c>
      <c r="K67">
        <v>8760.0000002654269</v>
      </c>
      <c r="L67">
        <v>1560.0000002654269</v>
      </c>
      <c r="M67">
        <v>6.3185840707964602E-3</v>
      </c>
      <c r="O67">
        <v>7.2031858407079598E-3</v>
      </c>
      <c r="P67" s="2">
        <v>2.9884912286546701E-5</v>
      </c>
      <c r="Q67">
        <f>Q66+I67</f>
        <v>7200</v>
      </c>
      <c r="R67">
        <f t="shared" si="7"/>
        <v>7.2031858407079598E-3</v>
      </c>
      <c r="S67" s="2" cm="1">
        <f t="array" ref="S67">2*SQRT(SUM(($P$67:P67/2)^2))</f>
        <v>2.9884912286546701E-5</v>
      </c>
      <c r="T67" s="2">
        <v>3.3275569285366801E-5</v>
      </c>
      <c r="U67" s="2">
        <v>5.7816789024607003E-11</v>
      </c>
      <c r="V67">
        <v>3.4838937591381999E-2</v>
      </c>
      <c r="W67" s="2">
        <v>2.8978950845637801E-5</v>
      </c>
      <c r="X67" s="2">
        <f>SQRT(W67)*2</f>
        <v>1.0766420174902668E-2</v>
      </c>
      <c r="Y67" s="2">
        <f>V67*(1-EXP(-T67*Q67))</f>
        <v>7.4222583746082265E-3</v>
      </c>
      <c r="Z67" s="2">
        <v>-3.9067578208663702E-8</v>
      </c>
      <c r="AA67" s="2" cm="1">
        <f t="array" ref="AA67:AB67">'Raw Data and Corrections'!BJ90:BK90</f>
        <v>3.3902448389334851E-2</v>
      </c>
      <c r="AB67">
        <v>4.0838832228440531E-3</v>
      </c>
    </row>
    <row r="68" spans="1:28" x14ac:dyDescent="0.3">
      <c r="A68" s="148"/>
      <c r="B68" t="s">
        <v>173</v>
      </c>
      <c r="C68" t="s">
        <v>174</v>
      </c>
      <c r="D68" s="1">
        <v>45342.39166666667</v>
      </c>
      <c r="E68">
        <v>95</v>
      </c>
      <c r="F68">
        <v>120</v>
      </c>
      <c r="G68" t="s">
        <v>287</v>
      </c>
      <c r="H68" s="2">
        <v>0.99099999999999999</v>
      </c>
      <c r="I68">
        <v>7200</v>
      </c>
      <c r="J68">
        <v>7324.5929999999998</v>
      </c>
      <c r="K68">
        <v>8760.0000002654269</v>
      </c>
      <c r="L68">
        <v>1560.0000002654269</v>
      </c>
      <c r="M68">
        <v>6.3185840707964602E-3</v>
      </c>
      <c r="O68">
        <v>6.26171681415929E-3</v>
      </c>
      <c r="P68" s="2">
        <v>2.59789018210244E-5</v>
      </c>
      <c r="Q68">
        <f>Q67+I68</f>
        <v>14400</v>
      </c>
      <c r="R68">
        <f t="shared" si="7"/>
        <v>1.346490265486725E-2</v>
      </c>
      <c r="S68" s="2" cm="1">
        <f t="array" ref="S68">2*SQRT(SUM(($P$67:P68/2)^2))</f>
        <v>3.9598122710565649E-5</v>
      </c>
      <c r="T68" s="2">
        <v>3.3275569285366801E-5</v>
      </c>
      <c r="U68" s="2">
        <v>5.7816789024607003E-11</v>
      </c>
      <c r="V68">
        <v>3.4838937591381999E-2</v>
      </c>
      <c r="W68" s="2">
        <v>2.8978950845637801E-5</v>
      </c>
      <c r="X68" s="2">
        <f>SQRT(W68)*2</f>
        <v>1.0766420174902668E-2</v>
      </c>
      <c r="Y68" s="2">
        <f>V68*(1-EXP(-T68*Q68))</f>
        <v>1.326324237094525E-2</v>
      </c>
    </row>
    <row r="69" spans="1:28" x14ac:dyDescent="0.3">
      <c r="A69" s="148"/>
      <c r="B69" t="s">
        <v>175</v>
      </c>
      <c r="C69" t="s">
        <v>176</v>
      </c>
      <c r="D69" s="1">
        <v>45342.493055555555</v>
      </c>
      <c r="E69">
        <v>95</v>
      </c>
      <c r="F69">
        <v>120</v>
      </c>
      <c r="G69" t="s">
        <v>287</v>
      </c>
      <c r="H69" s="2">
        <v>0.70599999999999996</v>
      </c>
      <c r="I69">
        <v>7200</v>
      </c>
      <c r="J69">
        <v>7329.5959999999995</v>
      </c>
      <c r="K69">
        <v>8759.9999996367842</v>
      </c>
      <c r="L69">
        <v>1559.9999996367842</v>
      </c>
      <c r="M69">
        <v>6.3185840707964602E-3</v>
      </c>
      <c r="O69">
        <v>4.4609203539823002E-3</v>
      </c>
      <c r="P69" s="2">
        <v>1.8507673749387699E-5</v>
      </c>
      <c r="Q69">
        <f>Q68+I69</f>
        <v>21600</v>
      </c>
      <c r="R69">
        <f t="shared" si="7"/>
        <v>1.792582300884955E-2</v>
      </c>
      <c r="S69" s="2" cm="1">
        <f t="array" ref="S69">2*SQRT(SUM(($P$67:P69/2)^2))</f>
        <v>4.3709785057979749E-5</v>
      </c>
      <c r="T69" s="2">
        <v>3.3275569285366801E-5</v>
      </c>
      <c r="U69" s="2">
        <v>5.7816789024607003E-11</v>
      </c>
      <c r="V69">
        <v>3.4838937591381999E-2</v>
      </c>
      <c r="W69" s="2">
        <v>2.8978950845637801E-5</v>
      </c>
      <c r="X69" s="2">
        <f>SQRT(W69)*2</f>
        <v>1.0766420174902668E-2</v>
      </c>
      <c r="Y69" s="2">
        <f>V69*(1-EXP(-T69*Q69))</f>
        <v>1.7859834448927983E-2</v>
      </c>
    </row>
    <row r="70" spans="1:28" x14ac:dyDescent="0.3">
      <c r="D70" s="1"/>
      <c r="F70"/>
      <c r="G70"/>
      <c r="Q70">
        <v>0</v>
      </c>
      <c r="Y70">
        <v>0</v>
      </c>
    </row>
    <row r="71" spans="1:28" x14ac:dyDescent="0.3">
      <c r="A71" s="148">
        <v>8</v>
      </c>
      <c r="B71" t="s">
        <v>179</v>
      </c>
      <c r="C71" t="s">
        <v>180</v>
      </c>
      <c r="D71" s="1">
        <v>45342.908333333333</v>
      </c>
      <c r="E71">
        <v>90</v>
      </c>
      <c r="F71">
        <v>150</v>
      </c>
      <c r="G71" t="s">
        <v>375</v>
      </c>
      <c r="H71" s="2">
        <v>0.92900000000000005</v>
      </c>
      <c r="I71">
        <v>9000</v>
      </c>
      <c r="J71">
        <v>9125.866</v>
      </c>
      <c r="K71">
        <v>10559.999999846332</v>
      </c>
      <c r="L71">
        <v>1559.9999998463318</v>
      </c>
      <c r="M71">
        <v>6.34937328355411E-3</v>
      </c>
      <c r="O71">
        <v>5.8985677804217701E-3</v>
      </c>
      <c r="P71" s="2">
        <v>2.7371568871143001E-5</v>
      </c>
      <c r="Q71">
        <f>Q70+I71</f>
        <v>9000</v>
      </c>
      <c r="R71">
        <f t="shared" si="7"/>
        <v>5.8985677804217701E-3</v>
      </c>
      <c r="S71" s="2" cm="1">
        <f t="array" ref="S71">2*SQRT(SUM(($P$71:P71/2)^2))</f>
        <v>2.7371568871143001E-5</v>
      </c>
      <c r="T71" s="2">
        <v>2.6736751739871801E-5</v>
      </c>
      <c r="U71" s="2">
        <v>5.8073564601810096E-12</v>
      </c>
      <c r="V71">
        <v>2.7883299930702501E-2</v>
      </c>
      <c r="W71" s="2">
        <v>3.0188286098138802E-6</v>
      </c>
      <c r="X71" s="2">
        <f>SQRT(W71)*2</f>
        <v>3.4749553147134888E-3</v>
      </c>
      <c r="Y71" s="2">
        <f>V71*(1-EXP(-T71*Q71))</f>
        <v>5.9633500598698453E-3</v>
      </c>
      <c r="Z71" s="2">
        <v>-4.0107479099404604E-9</v>
      </c>
      <c r="AA71" s="2" cm="1">
        <f t="array" ref="AA71:AB71">'Raw Data and Corrections'!BJ94:BK94</f>
        <v>2.7336589915813874E-2</v>
      </c>
      <c r="AB71">
        <v>3.2876132512060052E-3</v>
      </c>
    </row>
    <row r="72" spans="1:28" x14ac:dyDescent="0.3">
      <c r="A72" s="148"/>
      <c r="B72" t="s">
        <v>181</v>
      </c>
      <c r="C72" t="s">
        <v>182</v>
      </c>
      <c r="D72" s="1">
        <v>45343.030555555553</v>
      </c>
      <c r="E72">
        <v>89.899999999999906</v>
      </c>
      <c r="F72">
        <v>150</v>
      </c>
      <c r="G72" t="s">
        <v>287</v>
      </c>
      <c r="H72" s="2">
        <v>0.75800000000000001</v>
      </c>
      <c r="I72">
        <v>9000</v>
      </c>
      <c r="J72">
        <v>9124.6630000000005</v>
      </c>
      <c r="K72">
        <v>10559.999999846332</v>
      </c>
      <c r="L72">
        <v>1559.9999998463318</v>
      </c>
      <c r="M72">
        <v>6.34803141083304E-3</v>
      </c>
      <c r="O72">
        <v>4.8118078094114402E-3</v>
      </c>
      <c r="P72" s="2">
        <v>2.3725436010008501E-5</v>
      </c>
      <c r="Q72">
        <f>Q71+I72</f>
        <v>18000</v>
      </c>
      <c r="R72">
        <f t="shared" si="7"/>
        <v>1.0710375589833211E-2</v>
      </c>
      <c r="S72" s="2" cm="1">
        <f t="array" ref="S72">2*SQRT(SUM(($P$71:P72/2)^2))</f>
        <v>3.6222908446627148E-5</v>
      </c>
      <c r="T72" s="2">
        <v>2.6736751739871801E-5</v>
      </c>
      <c r="U72" s="2">
        <v>5.8073564601810096E-12</v>
      </c>
      <c r="V72">
        <v>2.7883299930702501E-2</v>
      </c>
      <c r="W72" s="2">
        <v>3.0188286098138802E-6</v>
      </c>
      <c r="X72" s="2">
        <f>SQRT(W72)*2</f>
        <v>3.4749553147134888E-3</v>
      </c>
      <c r="Y72" s="2">
        <f>V72*(1-EXP(-T72*Q72))</f>
        <v>1.065132941308267E-2</v>
      </c>
    </row>
    <row r="73" spans="1:28" x14ac:dyDescent="0.3">
      <c r="A73" s="148"/>
      <c r="B73" t="s">
        <v>183</v>
      </c>
      <c r="C73" t="s">
        <v>184</v>
      </c>
      <c r="D73" s="1">
        <v>45343.152777777781</v>
      </c>
      <c r="E73">
        <v>90</v>
      </c>
      <c r="F73">
        <v>150</v>
      </c>
      <c r="G73" t="s">
        <v>287</v>
      </c>
      <c r="H73" s="2">
        <v>0.57399999999999995</v>
      </c>
      <c r="I73">
        <v>9000</v>
      </c>
      <c r="J73">
        <v>9128.6740000000009</v>
      </c>
      <c r="K73">
        <v>10560.000000474975</v>
      </c>
      <c r="L73">
        <v>1560.0000004749745</v>
      </c>
      <c r="M73">
        <v>6.3333021470058102E-3</v>
      </c>
      <c r="O73">
        <v>3.63531543238133E-3</v>
      </c>
      <c r="P73" s="2">
        <v>1.89141790296807E-5</v>
      </c>
      <c r="Q73">
        <f>Q72+I73</f>
        <v>27000</v>
      </c>
      <c r="R73">
        <f t="shared" si="7"/>
        <v>1.4345691022214542E-2</v>
      </c>
      <c r="S73" s="2" cm="1">
        <f t="array" ref="S73">2*SQRT(SUM(($P$71:P73/2)^2))</f>
        <v>4.0863740219166742E-5</v>
      </c>
      <c r="T73" s="2">
        <v>2.6736751739871801E-5</v>
      </c>
      <c r="U73" s="2">
        <v>5.8073564601810096E-12</v>
      </c>
      <c r="V73">
        <v>2.7883299930702501E-2</v>
      </c>
      <c r="W73" s="2">
        <v>3.0188286098138802E-6</v>
      </c>
      <c r="X73" s="2">
        <f>SQRT(W73)*2</f>
        <v>3.4749553147134888E-3</v>
      </c>
      <c r="Y73" s="2">
        <f>V73*(1-EXP(-T73*Q73))</f>
        <v>1.4336699246399047E-2</v>
      </c>
    </row>
    <row r="74" spans="1:28" x14ac:dyDescent="0.3">
      <c r="D74" s="1"/>
      <c r="F74"/>
      <c r="G74"/>
      <c r="Q74">
        <v>0</v>
      </c>
      <c r="Y74">
        <v>0</v>
      </c>
    </row>
    <row r="75" spans="1:28" x14ac:dyDescent="0.3">
      <c r="A75" s="148">
        <v>9</v>
      </c>
      <c r="B75" t="s">
        <v>226</v>
      </c>
      <c r="C75" t="s">
        <v>227</v>
      </c>
      <c r="D75" s="1">
        <v>45348.242361111108</v>
      </c>
      <c r="E75">
        <v>90</v>
      </c>
      <c r="F75">
        <v>180</v>
      </c>
      <c r="G75" t="s">
        <v>375</v>
      </c>
      <c r="H75" s="2">
        <v>1.6</v>
      </c>
      <c r="I75">
        <v>10800</v>
      </c>
      <c r="J75">
        <v>10929.633</v>
      </c>
      <c r="K75">
        <v>12359.999999427237</v>
      </c>
      <c r="L75">
        <v>1559.9999994272366</v>
      </c>
      <c r="M75">
        <v>6.2415967904154998E-3</v>
      </c>
      <c r="O75">
        <v>9.9865548646648102E-3</v>
      </c>
      <c r="P75" s="2">
        <v>6.1586589907512598E-5</v>
      </c>
      <c r="Q75">
        <f>Q74+I75</f>
        <v>10800</v>
      </c>
      <c r="R75">
        <f t="shared" si="7"/>
        <v>9.9865548646648102E-3</v>
      </c>
      <c r="S75" s="2" cm="1">
        <f t="array" ref="S75">2*SQRT(SUM(($P$75:P75/2)^2))</f>
        <v>6.1586589907512598E-5</v>
      </c>
      <c r="T75" s="2">
        <v>2.9731426367891301E-5</v>
      </c>
      <c r="U75" s="2">
        <v>2.0072552363581999E-11</v>
      </c>
      <c r="V75">
        <v>3.5673678341071699E-2</v>
      </c>
      <c r="W75" s="2">
        <v>1.2341854887739599E-5</v>
      </c>
      <c r="X75" s="2">
        <f>SQRT(W75)*2</f>
        <v>7.0261952400255999E-3</v>
      </c>
      <c r="Y75" s="2">
        <f>V75*(1-EXP(-T75*Q75))</f>
        <v>9.7977349442485862E-3</v>
      </c>
      <c r="Z75" s="2">
        <v>-1.45573090811468E-8</v>
      </c>
      <c r="AA75" s="2" cm="1">
        <f t="array" ref="AA75:AB75">'Raw Data and Corrections'!BJ118:BK118</f>
        <v>3.9474655806621739E-2</v>
      </c>
      <c r="AB75">
        <v>4.6389510287064032E-3</v>
      </c>
    </row>
    <row r="76" spans="1:28" x14ac:dyDescent="0.3">
      <c r="A76" s="148"/>
      <c r="B76" t="s">
        <v>228</v>
      </c>
      <c r="C76" t="s">
        <v>229</v>
      </c>
      <c r="D76" s="1">
        <v>45348.385416666664</v>
      </c>
      <c r="E76">
        <v>89.92</v>
      </c>
      <c r="F76">
        <v>180</v>
      </c>
      <c r="G76" t="s">
        <v>287</v>
      </c>
      <c r="H76" s="2">
        <v>1.08</v>
      </c>
      <c r="I76">
        <v>10800</v>
      </c>
      <c r="J76">
        <v>10928.4</v>
      </c>
      <c r="K76">
        <v>12360.000000055879</v>
      </c>
      <c r="L76">
        <v>1560.0000000558794</v>
      </c>
      <c r="M76">
        <v>6.2479930097031899E-3</v>
      </c>
      <c r="O76">
        <v>6.7478324504794502E-3</v>
      </c>
      <c r="P76" s="2">
        <v>5.1138436008534402E-5</v>
      </c>
      <c r="Q76">
        <f>Q75+I76</f>
        <v>21600</v>
      </c>
      <c r="R76">
        <f t="shared" si="7"/>
        <v>1.6734387315144261E-2</v>
      </c>
      <c r="S76" s="2" cm="1">
        <f t="array" ref="S76">2*SQRT(SUM(($P$75:P76/2)^2))</f>
        <v>8.0050282284543513E-5</v>
      </c>
      <c r="T76" s="2">
        <v>2.9731426367891301E-5</v>
      </c>
      <c r="U76" s="2">
        <v>2.0072552363581999E-11</v>
      </c>
      <c r="V76">
        <v>3.5673678341071699E-2</v>
      </c>
      <c r="W76" s="2">
        <v>1.2341854887739599E-5</v>
      </c>
      <c r="X76" s="2">
        <f>SQRT(W76)*2</f>
        <v>7.0261952400255999E-3</v>
      </c>
      <c r="Y76" s="2">
        <f>V76*(1-EXP(-T76*Q76))</f>
        <v>1.6904533195063218E-2</v>
      </c>
    </row>
    <row r="77" spans="1:28" x14ac:dyDescent="0.3">
      <c r="A77" s="148"/>
      <c r="B77" t="s">
        <v>230</v>
      </c>
      <c r="C77" t="s">
        <v>231</v>
      </c>
      <c r="D77" s="1">
        <v>45348.52847222222</v>
      </c>
      <c r="E77">
        <v>90</v>
      </c>
      <c r="F77">
        <v>180</v>
      </c>
      <c r="G77" t="s">
        <v>287</v>
      </c>
      <c r="H77" s="2">
        <v>0.85699999999999998</v>
      </c>
      <c r="I77">
        <v>10800</v>
      </c>
      <c r="J77">
        <v>10926.404</v>
      </c>
      <c r="K77">
        <v>12360.000000055879</v>
      </c>
      <c r="L77">
        <v>1560.0000000558794</v>
      </c>
      <c r="M77">
        <v>6.2656091954486097E-3</v>
      </c>
      <c r="O77">
        <v>5.3696270804994501E-3</v>
      </c>
      <c r="P77" s="2">
        <v>4.76352505532111E-5</v>
      </c>
      <c r="Q77">
        <f>Q76+I77</f>
        <v>32400</v>
      </c>
      <c r="R77">
        <f t="shared" si="7"/>
        <v>2.210401439564371E-2</v>
      </c>
      <c r="S77" s="2" cm="1">
        <f t="array" ref="S77">2*SQRT(SUM(($P$75:P77/2)^2))</f>
        <v>9.3151300522871389E-5</v>
      </c>
      <c r="T77" s="2">
        <v>2.9731426367891301E-5</v>
      </c>
      <c r="U77" s="2">
        <v>2.0072552363581999E-11</v>
      </c>
      <c r="V77">
        <v>3.5673678341071699E-2</v>
      </c>
      <c r="W77" s="2">
        <v>1.2341854887739599E-5</v>
      </c>
      <c r="X77" s="2">
        <f>SQRT(W77)*2</f>
        <v>7.0261952400255999E-3</v>
      </c>
      <c r="Y77" s="2">
        <f>V77*(1-EXP(-T77*Q77))</f>
        <v>2.2059457436755428E-2</v>
      </c>
    </row>
    <row r="78" spans="1:28" x14ac:dyDescent="0.3">
      <c r="D78" s="1"/>
      <c r="F78"/>
      <c r="G78"/>
      <c r="Q78">
        <v>0</v>
      </c>
      <c r="Y78">
        <v>0</v>
      </c>
    </row>
    <row r="79" spans="1:28" x14ac:dyDescent="0.3">
      <c r="A79" s="148">
        <v>10</v>
      </c>
      <c r="B79" t="s">
        <v>243</v>
      </c>
      <c r="C79" t="s">
        <v>244</v>
      </c>
      <c r="D79" s="1">
        <v>45349.704861111109</v>
      </c>
      <c r="E79">
        <v>99.99</v>
      </c>
      <c r="F79">
        <v>150</v>
      </c>
      <c r="G79" t="s">
        <v>375</v>
      </c>
      <c r="H79" s="2">
        <v>1.64</v>
      </c>
      <c r="I79">
        <v>9000</v>
      </c>
      <c r="J79">
        <v>9124.2659999999996</v>
      </c>
      <c r="K79">
        <v>10559.999999846332</v>
      </c>
      <c r="L79">
        <v>1559.9999998463318</v>
      </c>
      <c r="M79">
        <v>6.31122485425823E-3</v>
      </c>
      <c r="O79">
        <v>1.03504087609835E-2</v>
      </c>
      <c r="P79" s="2">
        <v>4.2676659856159103E-5</v>
      </c>
      <c r="Q79">
        <f>Q78+I79</f>
        <v>9000</v>
      </c>
      <c r="R79">
        <f t="shared" si="7"/>
        <v>1.03504087609835E-2</v>
      </c>
      <c r="S79" s="2" cm="1">
        <f t="array" ref="S79">2*SQRT(SUM(($P$79:P79/2)^2))</f>
        <v>4.2676659856159103E-5</v>
      </c>
      <c r="T79" s="2">
        <v>3.7961585290435602E-5</v>
      </c>
      <c r="U79" s="2">
        <v>3.49401225970751E-11</v>
      </c>
      <c r="V79">
        <v>3.5056085560588E-2</v>
      </c>
      <c r="W79" s="2">
        <v>1.2366952637435201E-5</v>
      </c>
      <c r="X79" s="2">
        <f>SQRT(W79)*2</f>
        <v>7.0333356630933519E-3</v>
      </c>
      <c r="Y79" s="2">
        <f>V79*(1-EXP(-T79*Q79))</f>
        <v>1.0145447192675038E-2</v>
      </c>
      <c r="Z79" s="2">
        <v>-1.90424518358722E-8</v>
      </c>
      <c r="AA79" s="2" cm="1">
        <f t="array" ref="AA79:AB79">'Raw Data and Corrections'!BJ127:BK127</f>
        <v>3.3873660280899824E-2</v>
      </c>
      <c r="AB79">
        <v>3.8238213473074708E-3</v>
      </c>
    </row>
    <row r="80" spans="1:28" x14ac:dyDescent="0.3">
      <c r="A80" s="148"/>
      <c r="B80" t="s">
        <v>245</v>
      </c>
      <c r="C80" t="s">
        <v>246</v>
      </c>
      <c r="D80" s="1">
        <v>45349.82708333333</v>
      </c>
      <c r="E80">
        <v>99.98</v>
      </c>
      <c r="F80">
        <v>150</v>
      </c>
      <c r="G80" t="s">
        <v>287</v>
      </c>
      <c r="H80" s="2">
        <v>1.08</v>
      </c>
      <c r="I80">
        <v>9000</v>
      </c>
      <c r="J80">
        <v>9124.2849999999999</v>
      </c>
      <c r="K80">
        <v>10559.999999846332</v>
      </c>
      <c r="L80">
        <v>1559.9999998463318</v>
      </c>
      <c r="M80">
        <v>6.32575275047136E-3</v>
      </c>
      <c r="O80">
        <v>6.8318129705090703E-3</v>
      </c>
      <c r="P80" s="2">
        <v>3.4521996161035602E-5</v>
      </c>
      <c r="Q80">
        <f>Q79+I80</f>
        <v>18000</v>
      </c>
      <c r="R80">
        <f t="shared" si="7"/>
        <v>1.7182221731492572E-2</v>
      </c>
      <c r="S80" s="2" cm="1">
        <f t="array" ref="S80">2*SQRT(SUM(($P$79:P80/2)^2))</f>
        <v>5.4891397462816146E-5</v>
      </c>
      <c r="T80" s="2">
        <v>3.7961585290435602E-5</v>
      </c>
      <c r="U80" s="2">
        <v>3.49401225970751E-11</v>
      </c>
      <c r="V80">
        <v>3.5056085560588E-2</v>
      </c>
      <c r="W80" s="2">
        <v>1.2366952637435201E-5</v>
      </c>
      <c r="X80" s="2">
        <f>SQRT(W80)*2</f>
        <v>7.0333356630933519E-3</v>
      </c>
      <c r="Y80" s="2">
        <f>V80*(1-EXP(-T80*Q80))</f>
        <v>1.7354739446959644E-2</v>
      </c>
    </row>
    <row r="81" spans="1:25" x14ac:dyDescent="0.3">
      <c r="A81" s="148"/>
      <c r="B81" t="s">
        <v>247</v>
      </c>
      <c r="C81" t="s">
        <v>248</v>
      </c>
      <c r="D81" s="1">
        <v>45349.949305555558</v>
      </c>
      <c r="E81">
        <v>100</v>
      </c>
      <c r="F81">
        <v>150</v>
      </c>
      <c r="G81" t="s">
        <v>287</v>
      </c>
      <c r="H81" s="2">
        <v>0.84799999999999998</v>
      </c>
      <c r="I81">
        <v>9000</v>
      </c>
      <c r="J81">
        <v>9124.2870000000003</v>
      </c>
      <c r="K81">
        <v>10560.000000474975</v>
      </c>
      <c r="L81">
        <v>1560.0000004749745</v>
      </c>
      <c r="M81">
        <v>6.3408591876399998E-3</v>
      </c>
      <c r="O81">
        <v>5.3770485911187197E-3</v>
      </c>
      <c r="P81" s="2">
        <v>3.3770428274898201E-5</v>
      </c>
      <c r="Q81">
        <f>Q80+I81</f>
        <v>27000</v>
      </c>
      <c r="R81">
        <f t="shared" si="7"/>
        <v>2.2559270322611291E-2</v>
      </c>
      <c r="S81" s="2" cm="1">
        <f t="array" ref="S81">2*SQRT(SUM(($P$79:P81/2)^2))</f>
        <v>6.444771013225297E-5</v>
      </c>
      <c r="T81" s="2">
        <v>3.7961585290435602E-5</v>
      </c>
      <c r="U81" s="2">
        <v>3.49401225970751E-11</v>
      </c>
      <c r="V81">
        <v>3.5056085560588E-2</v>
      </c>
      <c r="W81" s="2">
        <v>1.2366952637435201E-5</v>
      </c>
      <c r="X81" s="2">
        <f>SQRT(W81)*2</f>
        <v>7.0333356630933519E-3</v>
      </c>
      <c r="Y81" s="2">
        <f>V81*(1-EXP(-T81*Q81))</f>
        <v>2.2477618095937579E-2</v>
      </c>
    </row>
    <row r="82" spans="1:25" x14ac:dyDescent="0.3">
      <c r="C82" s="1"/>
      <c r="F82"/>
      <c r="H82"/>
      <c r="L82" s="57"/>
    </row>
  </sheetData>
  <mergeCells count="10">
    <mergeCell ref="A42:A44"/>
    <mergeCell ref="A46:A48"/>
    <mergeCell ref="A50:A53"/>
    <mergeCell ref="A55:A57"/>
    <mergeCell ref="A59:A61"/>
    <mergeCell ref="A63:A65"/>
    <mergeCell ref="A67:A69"/>
    <mergeCell ref="A71:A73"/>
    <mergeCell ref="A75:A77"/>
    <mergeCell ref="A79:A8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6AC83-5A4A-422A-9024-03A41A10116A}">
  <dimension ref="A1:E42"/>
  <sheetViews>
    <sheetView workbookViewId="0">
      <selection activeCell="C2" sqref="C2"/>
    </sheetView>
  </sheetViews>
  <sheetFormatPr defaultRowHeight="14.4" x14ac:dyDescent="0.3"/>
  <cols>
    <col min="1" max="1" width="12.5546875" customWidth="1"/>
    <col min="4" max="4" width="10.6640625" customWidth="1"/>
  </cols>
  <sheetData>
    <row r="1" spans="1:5" s="4" customFormat="1" ht="79.2" customHeight="1" x14ac:dyDescent="0.3">
      <c r="A1" s="4" t="s">
        <v>272</v>
      </c>
      <c r="B1" s="4" t="s">
        <v>369</v>
      </c>
      <c r="C1" s="4" t="s">
        <v>707</v>
      </c>
      <c r="D1" s="4" t="s">
        <v>288</v>
      </c>
      <c r="E1" s="4" t="s">
        <v>706</v>
      </c>
    </row>
    <row r="3" spans="1:5" x14ac:dyDescent="0.3">
      <c r="A3">
        <v>105</v>
      </c>
      <c r="B3">
        <v>150</v>
      </c>
      <c r="C3">
        <v>26</v>
      </c>
      <c r="D3">
        <v>1.9048754235121E-2</v>
      </c>
      <c r="E3">
        <v>1.0843772036823799E-4</v>
      </c>
    </row>
    <row r="4" spans="1:5" x14ac:dyDescent="0.3">
      <c r="A4">
        <v>105</v>
      </c>
      <c r="B4">
        <v>150</v>
      </c>
      <c r="C4">
        <v>26</v>
      </c>
      <c r="D4">
        <v>1.1133938929386E-2</v>
      </c>
      <c r="E4">
        <v>7.3696124467455094E-5</v>
      </c>
    </row>
    <row r="5" spans="1:5" x14ac:dyDescent="0.3">
      <c r="A5">
        <v>105</v>
      </c>
      <c r="B5">
        <v>150</v>
      </c>
      <c r="C5">
        <v>26</v>
      </c>
      <c r="D5">
        <v>8.0274597102710007E-3</v>
      </c>
      <c r="E5">
        <v>5.3458813146813503E-5</v>
      </c>
    </row>
    <row r="7" spans="1:5" x14ac:dyDescent="0.3">
      <c r="A7">
        <v>109.99</v>
      </c>
      <c r="B7">
        <v>150</v>
      </c>
      <c r="C7">
        <v>26</v>
      </c>
      <c r="D7">
        <v>2.2915433059576801E-2</v>
      </c>
      <c r="E7">
        <v>1.3755030980340001E-4</v>
      </c>
    </row>
    <row r="8" spans="1:5" x14ac:dyDescent="0.3">
      <c r="A8">
        <v>110</v>
      </c>
      <c r="B8">
        <v>150</v>
      </c>
      <c r="C8">
        <v>26</v>
      </c>
      <c r="D8">
        <v>1.1511535730884301E-2</v>
      </c>
      <c r="E8">
        <v>7.2943301410205994E-5</v>
      </c>
    </row>
    <row r="9" spans="1:5" x14ac:dyDescent="0.3">
      <c r="A9">
        <v>110</v>
      </c>
      <c r="B9">
        <v>150</v>
      </c>
      <c r="C9">
        <v>26</v>
      </c>
      <c r="D9">
        <v>7.5176076321554E-3</v>
      </c>
      <c r="E9">
        <v>5.24136689946779E-5</v>
      </c>
    </row>
    <row r="11" spans="1:5" x14ac:dyDescent="0.3">
      <c r="A11">
        <v>99.86</v>
      </c>
      <c r="B11">
        <v>120</v>
      </c>
      <c r="C11">
        <v>26</v>
      </c>
      <c r="D11">
        <v>1.0583749730168899E-2</v>
      </c>
      <c r="E11">
        <v>6.1179662231932694E-5</v>
      </c>
    </row>
    <row r="12" spans="1:5" x14ac:dyDescent="0.3">
      <c r="A12">
        <v>100</v>
      </c>
      <c r="B12">
        <v>120</v>
      </c>
      <c r="C12">
        <v>26</v>
      </c>
      <c r="D12">
        <v>7.4476990030321599E-3</v>
      </c>
      <c r="E12">
        <v>3.9635740604645498E-5</v>
      </c>
    </row>
    <row r="13" spans="1:5" x14ac:dyDescent="0.3">
      <c r="A13">
        <v>100</v>
      </c>
      <c r="B13">
        <v>120</v>
      </c>
      <c r="C13">
        <v>26</v>
      </c>
      <c r="D13">
        <v>4.9164678382939003E-3</v>
      </c>
      <c r="E13">
        <v>2.49290264110073E-5</v>
      </c>
    </row>
    <row r="14" spans="1:5" x14ac:dyDescent="0.3">
      <c r="A14">
        <v>99.99</v>
      </c>
      <c r="B14">
        <v>120</v>
      </c>
      <c r="C14">
        <v>26</v>
      </c>
      <c r="D14">
        <v>4.2629053488028399E-3</v>
      </c>
      <c r="E14">
        <v>2.08329846518396E-5</v>
      </c>
    </row>
    <row r="16" spans="1:5" x14ac:dyDescent="0.3">
      <c r="A16">
        <v>95</v>
      </c>
      <c r="B16">
        <v>150</v>
      </c>
      <c r="C16">
        <v>26</v>
      </c>
      <c r="D16">
        <v>1.09007113136644E-2</v>
      </c>
      <c r="E16">
        <v>2.7931925738612201E-4</v>
      </c>
    </row>
    <row r="17" spans="1:5" x14ac:dyDescent="0.3">
      <c r="A17">
        <v>95</v>
      </c>
      <c r="B17">
        <v>150</v>
      </c>
      <c r="C17">
        <v>26</v>
      </c>
      <c r="D17">
        <v>8.0713751650089895E-3</v>
      </c>
      <c r="E17">
        <v>2.00058661458459E-4</v>
      </c>
    </row>
    <row r="18" spans="1:5" x14ac:dyDescent="0.3">
      <c r="A18">
        <v>95</v>
      </c>
      <c r="B18">
        <v>150</v>
      </c>
      <c r="C18">
        <v>26</v>
      </c>
      <c r="D18">
        <v>6.2235269776519499E-3</v>
      </c>
      <c r="E18">
        <v>1.3858219534272899E-4</v>
      </c>
    </row>
    <row r="20" spans="1:5" x14ac:dyDescent="0.3">
      <c r="A20">
        <v>104.99</v>
      </c>
      <c r="B20">
        <v>120</v>
      </c>
      <c r="C20">
        <v>26</v>
      </c>
      <c r="D20">
        <v>2.1450411924402099E-2</v>
      </c>
      <c r="E20">
        <v>8.8921420460834997E-5</v>
      </c>
    </row>
    <row r="21" spans="1:5" x14ac:dyDescent="0.3">
      <c r="A21">
        <v>104.99</v>
      </c>
      <c r="B21">
        <v>120</v>
      </c>
      <c r="C21">
        <v>26</v>
      </c>
      <c r="D21">
        <v>1.4371756533641601E-2</v>
      </c>
      <c r="E21">
        <v>5.9719415516596298E-5</v>
      </c>
    </row>
    <row r="22" spans="1:5" x14ac:dyDescent="0.3">
      <c r="A22">
        <v>104.99</v>
      </c>
      <c r="B22">
        <v>120</v>
      </c>
      <c r="C22">
        <v>26</v>
      </c>
      <c r="D22">
        <v>1.03808510638297E-2</v>
      </c>
      <c r="E22">
        <v>4.34665881199926E-5</v>
      </c>
    </row>
    <row r="24" spans="1:5" x14ac:dyDescent="0.3">
      <c r="A24">
        <v>100</v>
      </c>
      <c r="B24">
        <v>120</v>
      </c>
      <c r="C24">
        <v>26</v>
      </c>
      <c r="D24">
        <v>1.2600300247310899E-2</v>
      </c>
      <c r="E24">
        <v>5.59001078957548E-5</v>
      </c>
    </row>
    <row r="25" spans="1:5" x14ac:dyDescent="0.3">
      <c r="A25">
        <v>100</v>
      </c>
      <c r="B25">
        <v>120</v>
      </c>
      <c r="C25">
        <v>26</v>
      </c>
      <c r="D25">
        <v>9.3768114487755398E-3</v>
      </c>
      <c r="E25">
        <v>3.454879751305E-5</v>
      </c>
    </row>
    <row r="26" spans="1:5" x14ac:dyDescent="0.3">
      <c r="A26">
        <v>100</v>
      </c>
      <c r="B26">
        <v>120</v>
      </c>
      <c r="C26">
        <v>26</v>
      </c>
      <c r="D26">
        <v>7.3551180106796697E-3</v>
      </c>
      <c r="E26">
        <v>2.0064201759700601E-5</v>
      </c>
    </row>
    <row r="28" spans="1:5" x14ac:dyDescent="0.3">
      <c r="A28">
        <v>95</v>
      </c>
      <c r="B28">
        <v>120</v>
      </c>
      <c r="C28">
        <v>26</v>
      </c>
      <c r="D28">
        <v>7.2031858407079598E-3</v>
      </c>
      <c r="E28">
        <v>2.9884912286546701E-5</v>
      </c>
    </row>
    <row r="29" spans="1:5" x14ac:dyDescent="0.3">
      <c r="A29">
        <v>95</v>
      </c>
      <c r="B29">
        <v>120</v>
      </c>
      <c r="C29">
        <v>26</v>
      </c>
      <c r="D29">
        <v>6.26171681415929E-3</v>
      </c>
      <c r="E29">
        <v>2.59789018210244E-5</v>
      </c>
    </row>
    <row r="30" spans="1:5" x14ac:dyDescent="0.3">
      <c r="A30">
        <v>95</v>
      </c>
      <c r="B30">
        <v>120</v>
      </c>
      <c r="C30">
        <v>26</v>
      </c>
      <c r="D30">
        <v>4.4609203539823002E-3</v>
      </c>
      <c r="E30">
        <v>1.8507673749387699E-5</v>
      </c>
    </row>
    <row r="32" spans="1:5" x14ac:dyDescent="0.3">
      <c r="A32">
        <v>90</v>
      </c>
      <c r="B32">
        <v>150</v>
      </c>
      <c r="C32">
        <v>26</v>
      </c>
      <c r="D32">
        <v>5.8985677804217701E-3</v>
      </c>
      <c r="E32">
        <v>2.7371568871143001E-5</v>
      </c>
    </row>
    <row r="33" spans="1:5" x14ac:dyDescent="0.3">
      <c r="A33">
        <v>89.899999999999906</v>
      </c>
      <c r="B33">
        <v>150</v>
      </c>
      <c r="C33">
        <v>26</v>
      </c>
      <c r="D33">
        <v>4.8118078094114402E-3</v>
      </c>
      <c r="E33">
        <v>2.3725436010008501E-5</v>
      </c>
    </row>
    <row r="34" spans="1:5" x14ac:dyDescent="0.3">
      <c r="A34">
        <v>90</v>
      </c>
      <c r="B34">
        <v>150</v>
      </c>
      <c r="C34">
        <v>26</v>
      </c>
      <c r="D34">
        <v>3.63531543238133E-3</v>
      </c>
      <c r="E34">
        <v>1.89141790296807E-5</v>
      </c>
    </row>
    <row r="36" spans="1:5" x14ac:dyDescent="0.3">
      <c r="A36">
        <v>90</v>
      </c>
      <c r="B36">
        <v>180</v>
      </c>
      <c r="C36">
        <v>26</v>
      </c>
      <c r="D36">
        <v>9.9865548646648102E-3</v>
      </c>
      <c r="E36">
        <v>6.1586589907512598E-5</v>
      </c>
    </row>
    <row r="37" spans="1:5" x14ac:dyDescent="0.3">
      <c r="A37">
        <v>89.92</v>
      </c>
      <c r="B37">
        <v>180</v>
      </c>
      <c r="C37">
        <v>26</v>
      </c>
      <c r="D37">
        <v>6.7478324504794502E-3</v>
      </c>
      <c r="E37">
        <v>5.1138436008534402E-5</v>
      </c>
    </row>
    <row r="38" spans="1:5" x14ac:dyDescent="0.3">
      <c r="A38">
        <v>90</v>
      </c>
      <c r="B38">
        <v>180</v>
      </c>
      <c r="C38">
        <v>26</v>
      </c>
      <c r="D38">
        <v>5.3696270804994501E-3</v>
      </c>
      <c r="E38">
        <v>4.76352505532111E-5</v>
      </c>
    </row>
    <row r="40" spans="1:5" x14ac:dyDescent="0.3">
      <c r="A40">
        <v>99.99</v>
      </c>
      <c r="B40">
        <v>150</v>
      </c>
      <c r="C40">
        <v>26</v>
      </c>
      <c r="D40">
        <v>1.03504087609835E-2</v>
      </c>
      <c r="E40">
        <v>4.2676659856159103E-5</v>
      </c>
    </row>
    <row r="41" spans="1:5" x14ac:dyDescent="0.3">
      <c r="A41">
        <v>99.98</v>
      </c>
      <c r="B41">
        <v>150</v>
      </c>
      <c r="C41">
        <v>26</v>
      </c>
      <c r="D41">
        <v>6.8318129705090703E-3</v>
      </c>
      <c r="E41">
        <v>3.4521996161035602E-5</v>
      </c>
    </row>
    <row r="42" spans="1:5" x14ac:dyDescent="0.3">
      <c r="A42">
        <v>100</v>
      </c>
      <c r="B42">
        <v>150</v>
      </c>
      <c r="C42">
        <v>26</v>
      </c>
      <c r="D42">
        <v>5.3770485911187197E-3</v>
      </c>
      <c r="E42">
        <v>3.3770428274898201E-5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5E123-7D46-43F2-BFF0-40AEE2E73532}">
  <dimension ref="A1:AI81"/>
  <sheetViews>
    <sheetView zoomScale="85" workbookViewId="0">
      <selection activeCell="I8" sqref="I8"/>
    </sheetView>
  </sheetViews>
  <sheetFormatPr defaultRowHeight="14.4" x14ac:dyDescent="0.3"/>
  <cols>
    <col min="1" max="1" width="9" bestFit="1" customWidth="1"/>
    <col min="2" max="4" width="9" style="7" bestFit="1" customWidth="1"/>
    <col min="5" max="5" width="9" style="7" customWidth="1"/>
    <col min="6" max="6" width="9" bestFit="1" customWidth="1"/>
    <col min="7" max="9" width="9" customWidth="1"/>
    <col min="10" max="10" width="3.33203125" style="69" customWidth="1"/>
    <col min="11" max="11" width="12" bestFit="1" customWidth="1"/>
    <col min="12" max="12" width="12.21875" bestFit="1" customWidth="1"/>
    <col min="13" max="14" width="12.109375" bestFit="1" customWidth="1"/>
    <col min="15" max="16" width="9.109375" bestFit="1" customWidth="1"/>
    <col min="17" max="17" width="9.21875" bestFit="1" customWidth="1"/>
    <col min="18" max="18" width="10.6640625" customWidth="1"/>
    <col min="19" max="19" width="10.21875" customWidth="1"/>
    <col min="21" max="21" width="12.77734375" bestFit="1" customWidth="1"/>
    <col min="22" max="23" width="9.109375" bestFit="1" customWidth="1"/>
    <col min="26" max="26" width="9" bestFit="1" customWidth="1"/>
    <col min="27" max="27" width="12.77734375" bestFit="1" customWidth="1"/>
    <col min="28" max="30" width="9" bestFit="1" customWidth="1"/>
    <col min="31" max="31" width="11.33203125" bestFit="1" customWidth="1"/>
    <col min="34" max="35" width="9" bestFit="1" customWidth="1"/>
  </cols>
  <sheetData>
    <row r="1" spans="1:35" s="4" customFormat="1" ht="41.4" customHeight="1" thickBot="1" x14ac:dyDescent="0.35">
      <c r="A1" s="4" t="s">
        <v>351</v>
      </c>
      <c r="B1" s="127"/>
      <c r="C1" s="127"/>
      <c r="D1" s="127"/>
      <c r="E1" s="127"/>
      <c r="G1" s="127" t="s">
        <v>340</v>
      </c>
      <c r="H1" s="127" t="s">
        <v>647</v>
      </c>
      <c r="I1" s="127" t="s">
        <v>341</v>
      </c>
      <c r="J1" s="68"/>
      <c r="K1" s="4" t="s">
        <v>290</v>
      </c>
      <c r="L1" s="4" t="s">
        <v>291</v>
      </c>
      <c r="M1" s="4" t="s">
        <v>292</v>
      </c>
      <c r="N1" s="4" t="s">
        <v>293</v>
      </c>
      <c r="O1" s="4" t="s">
        <v>295</v>
      </c>
      <c r="P1" s="4" t="s">
        <v>294</v>
      </c>
      <c r="Q1" s="4" t="s">
        <v>296</v>
      </c>
      <c r="R1" s="4" t="s">
        <v>623</v>
      </c>
      <c r="S1" s="4" t="s">
        <v>368</v>
      </c>
      <c r="U1" s="145" t="s">
        <v>348</v>
      </c>
      <c r="V1" s="145"/>
      <c r="W1" s="145"/>
      <c r="AH1" s="4" t="s">
        <v>364</v>
      </c>
    </row>
    <row r="2" spans="1:35" x14ac:dyDescent="0.3">
      <c r="G2" s="7"/>
      <c r="H2" s="7"/>
      <c r="I2" s="7"/>
      <c r="K2" t="s">
        <v>342</v>
      </c>
      <c r="L2" t="s">
        <v>343</v>
      </c>
      <c r="M2" t="s">
        <v>344</v>
      </c>
      <c r="U2" t="s">
        <v>345</v>
      </c>
      <c r="V2" t="s">
        <v>346</v>
      </c>
      <c r="W2" t="s">
        <v>347</v>
      </c>
      <c r="AH2" s="13" cm="1">
        <f t="array" ref="AH2:AI6">LINEST(P27:P37,O27:O37,TRUE,TRUE)</f>
        <v>-1.919721435025739</v>
      </c>
      <c r="AI2" s="14">
        <v>16.717751935745486</v>
      </c>
    </row>
    <row r="3" spans="1:35" x14ac:dyDescent="0.3">
      <c r="A3" t="s">
        <v>297</v>
      </c>
      <c r="B3" s="7" t="s">
        <v>300</v>
      </c>
      <c r="C3" s="7" t="s">
        <v>301</v>
      </c>
      <c r="D3" s="7" t="s">
        <v>288</v>
      </c>
      <c r="F3" t="s">
        <v>302</v>
      </c>
      <c r="I3">
        <v>0</v>
      </c>
      <c r="U3">
        <v>0</v>
      </c>
      <c r="V3">
        <v>0</v>
      </c>
      <c r="W3">
        <v>0</v>
      </c>
      <c r="AH3" s="15">
        <v>3.4466808174392238E-2</v>
      </c>
      <c r="AI3" s="16">
        <v>0.67159623560492332</v>
      </c>
    </row>
    <row r="4" spans="1:35" x14ac:dyDescent="0.3">
      <c r="A4" s="5">
        <v>1</v>
      </c>
      <c r="B4" s="7">
        <v>170</v>
      </c>
      <c r="C4" s="6">
        <v>300</v>
      </c>
      <c r="D4" s="11">
        <f>'Raw Data and Corrections'!R5</f>
        <v>0.96295641608282601</v>
      </c>
      <c r="F4">
        <f t="shared" ref="F4:F37" si="0">60*C4</f>
        <v>18000</v>
      </c>
      <c r="G4">
        <v>0</v>
      </c>
      <c r="H4" s="2">
        <f t="shared" ref="H4:H37" si="1">(G4)/$G$38</f>
        <v>0</v>
      </c>
      <c r="I4" s="2">
        <f>(G4+D4)/$G$38</f>
        <v>6.5888972971654648E-3</v>
      </c>
      <c r="K4" s="2">
        <f t="shared" ref="K4:K37" si="2">((I4^2-H4^2)*PI())/(36*F4)</f>
        <v>2.1047491514663332E-10</v>
      </c>
      <c r="L4" s="2">
        <f t="shared" ref="L4:L37" si="3">(1/(PI()*PI()*F4))*(-(I4-H4)*PI()*PI()/3-2*PI()*(SQRT(1-PI()/3*I4)-SQRT(1-PI()/3*H4)))</f>
        <v>2.1120418723450084E-10</v>
      </c>
      <c r="M4" s="2">
        <f t="shared" ref="M4:M37" si="4">(1/(PI()^2*F4))*LN((1-H4)/(1-I4))</f>
        <v>3.7211329942202079E-8</v>
      </c>
      <c r="N4" s="2">
        <f t="shared" ref="N4:N37" si="5">(I4&lt;0.05)*K4+((I4&gt;=0.05)*(I4&lt;0.9))*L4+(I4&gt;=0.9)*M4</f>
        <v>2.1047491514663332E-10</v>
      </c>
      <c r="O4">
        <f t="shared" ref="O4:O37" si="6">10000/(273+B4)</f>
        <v>22.573363431151243</v>
      </c>
      <c r="P4">
        <f t="shared" ref="P4:P37" si="7">LN(N4)</f>
        <v>-22.281654637856661</v>
      </c>
      <c r="Q4">
        <f t="shared" ref="Q4:Q37" si="8">LOG10(N4)</f>
        <v>-9.6767996568951471</v>
      </c>
      <c r="R4">
        <f t="shared" ref="R4:R37" si="9">$AI$2+$AH$2*O4</f>
        <v>-26.61681770366172</v>
      </c>
      <c r="S4">
        <f t="shared" ref="S4:S37" si="10">P4-R4</f>
        <v>4.3351630658050588</v>
      </c>
      <c r="U4" s="2">
        <f t="shared" ref="U4:U37" si="11" xml:space="preserve"> (I4 * PI()) / (18 * F4)</f>
        <v>6.3887751061829216E-8</v>
      </c>
      <c r="V4" s="2">
        <f t="shared" ref="V4:V37" si="12" xml:space="preserve"> (1 / (PI()^2 * F4)) * (PI()^2 / 3 - PI()^2 / (3 * SQRT(1 - (PI() / 3) * I4)))</f>
        <v>-6.4220276826362495E-8</v>
      </c>
      <c r="W4" s="2">
        <f t="shared" ref="W4:W37" si="13" xml:space="preserve"> (-1) / (PI()^2 * F4 * (1 - I4))</f>
        <v>-5.6662892446858119E-6</v>
      </c>
      <c r="AH4" s="15">
        <v>0.99710725539843748</v>
      </c>
      <c r="AI4" s="16">
        <v>3.8870388947444358E-2</v>
      </c>
    </row>
    <row r="5" spans="1:35" x14ac:dyDescent="0.3">
      <c r="A5" s="5">
        <v>2</v>
      </c>
      <c r="B5" s="7">
        <v>180</v>
      </c>
      <c r="C5" s="6">
        <v>463</v>
      </c>
      <c r="D5" s="11">
        <f>'Raw Data and Corrections'!R9</f>
        <v>0.544184151846411</v>
      </c>
      <c r="F5">
        <f t="shared" si="0"/>
        <v>27780</v>
      </c>
      <c r="G5" s="11">
        <f>'Raw Data and Corrections'!AU5</f>
        <v>0.96295641608282601</v>
      </c>
      <c r="H5" s="2">
        <f t="shared" si="1"/>
        <v>6.5888972971654648E-3</v>
      </c>
      <c r="I5" s="2">
        <f t="shared" ref="I5:I37" si="14">(G5+D5)/$G$38</f>
        <v>1.0312402771947718E-2</v>
      </c>
      <c r="K5" s="2">
        <f t="shared" si="2"/>
        <v>1.976911553982111E-10</v>
      </c>
      <c r="L5" s="2">
        <f t="shared" si="3"/>
        <v>1.9903471311936768E-10</v>
      </c>
      <c r="M5" s="2">
        <f t="shared" si="4"/>
        <v>1.3696392278726208E-8</v>
      </c>
      <c r="N5" s="2">
        <f t="shared" si="5"/>
        <v>1.976911553982111E-10</v>
      </c>
      <c r="O5">
        <f t="shared" si="6"/>
        <v>22.075055187637968</v>
      </c>
      <c r="P5">
        <f t="shared" si="7"/>
        <v>-22.344315124242808</v>
      </c>
      <c r="Q5">
        <f t="shared" si="8"/>
        <v>-9.7040127603660249</v>
      </c>
      <c r="R5">
        <f t="shared" si="9"/>
        <v>-25.660204687339256</v>
      </c>
      <c r="S5">
        <f t="shared" si="10"/>
        <v>3.315889563096448</v>
      </c>
      <c r="U5">
        <f t="shared" si="11"/>
        <v>6.4789554414066812E-8</v>
      </c>
      <c r="V5" s="2">
        <f t="shared" si="12"/>
        <v>-6.5319074638498182E-8</v>
      </c>
      <c r="W5" s="2">
        <f t="shared" si="13"/>
        <v>-3.6852748682242689E-6</v>
      </c>
      <c r="AH5" s="15">
        <v>3102.2321478844033</v>
      </c>
      <c r="AI5" s="16">
        <v>9</v>
      </c>
    </row>
    <row r="6" spans="1:35" ht="15" thickBot="1" x14ac:dyDescent="0.35">
      <c r="A6" s="5">
        <v>3</v>
      </c>
      <c r="B6" s="7">
        <v>190</v>
      </c>
      <c r="C6" s="6">
        <v>550</v>
      </c>
      <c r="D6" s="11">
        <f>'Raw Data and Corrections'!R13</f>
        <v>0.52920163854343805</v>
      </c>
      <c r="F6">
        <f t="shared" si="0"/>
        <v>33000</v>
      </c>
      <c r="G6" s="11">
        <f>'Raw Data and Corrections'!AU9</f>
        <v>1.624118796026139</v>
      </c>
      <c r="H6" s="2">
        <f t="shared" si="1"/>
        <v>1.1112810265020163E-2</v>
      </c>
      <c r="I6" s="2">
        <f t="shared" si="14"/>
        <v>1.4733799945984585E-2</v>
      </c>
      <c r="K6" s="2">
        <f t="shared" si="2"/>
        <v>2.4749379357569568E-10</v>
      </c>
      <c r="L6" s="2">
        <f t="shared" si="3"/>
        <v>2.5005151440593347E-10</v>
      </c>
      <c r="M6" s="2">
        <f t="shared" si="4"/>
        <v>1.1263236172864263E-8</v>
      </c>
      <c r="N6" s="2">
        <f t="shared" si="5"/>
        <v>2.4749379357569568E-10</v>
      </c>
      <c r="O6">
        <f t="shared" si="6"/>
        <v>21.598272138228943</v>
      </c>
      <c r="P6">
        <f t="shared" si="7"/>
        <v>-22.119635610696058</v>
      </c>
      <c r="Q6">
        <f t="shared" si="8"/>
        <v>-9.6064356874359635</v>
      </c>
      <c r="R6">
        <f t="shared" si="9"/>
        <v>-24.744914047531818</v>
      </c>
      <c r="S6">
        <f t="shared" si="10"/>
        <v>2.6252784368357602</v>
      </c>
      <c r="U6">
        <f t="shared" si="11"/>
        <v>7.7925248602301112E-8</v>
      </c>
      <c r="V6" s="2">
        <f t="shared" si="12"/>
        <v>-7.8838744787705668E-8</v>
      </c>
      <c r="W6" s="2">
        <f t="shared" si="13"/>
        <v>-3.1162531487270486E-6</v>
      </c>
      <c r="AH6" s="17">
        <v>4.6871846926385929</v>
      </c>
      <c r="AI6" s="18">
        <v>1.3598164232330442E-2</v>
      </c>
    </row>
    <row r="7" spans="1:35" x14ac:dyDescent="0.3">
      <c r="A7" s="5">
        <v>4</v>
      </c>
      <c r="B7" s="7">
        <v>200</v>
      </c>
      <c r="C7" s="6">
        <v>500</v>
      </c>
      <c r="D7" s="11">
        <f>'Raw Data and Corrections'!R17</f>
        <v>0.51895322426698798</v>
      </c>
      <c r="F7">
        <f t="shared" si="0"/>
        <v>30000</v>
      </c>
      <c r="G7" s="11">
        <f>'Raw Data and Corrections'!AU13</f>
        <v>2.2112310169217499</v>
      </c>
      <c r="H7" s="2">
        <f t="shared" si="1"/>
        <v>1.5130045168680823E-2</v>
      </c>
      <c r="I7" s="2">
        <f t="shared" si="14"/>
        <v>1.8680911479575162E-2</v>
      </c>
      <c r="K7" s="2">
        <f t="shared" si="2"/>
        <v>3.4923510923402983E-10</v>
      </c>
      <c r="L7" s="2">
        <f t="shared" si="3"/>
        <v>3.5395940110797214E-10</v>
      </c>
      <c r="M7" s="2">
        <f t="shared" si="4"/>
        <v>1.2198839507390328E-8</v>
      </c>
      <c r="N7" s="2">
        <f t="shared" si="5"/>
        <v>3.4923510923402983E-10</v>
      </c>
      <c r="O7">
        <f t="shared" si="6"/>
        <v>21.141649048625794</v>
      </c>
      <c r="P7">
        <f t="shared" si="7"/>
        <v>-21.775275755109799</v>
      </c>
      <c r="Q7">
        <f t="shared" si="8"/>
        <v>-9.4568821023658511</v>
      </c>
      <c r="R7">
        <f t="shared" si="9"/>
        <v>-23.868324914692973</v>
      </c>
      <c r="S7">
        <f t="shared" si="10"/>
        <v>2.0930491595831739</v>
      </c>
      <c r="U7">
        <f t="shared" si="11"/>
        <v>1.0868113753073067E-7</v>
      </c>
      <c r="V7" s="2">
        <f t="shared" si="12"/>
        <v>-1.1030214993697124E-7</v>
      </c>
      <c r="W7" s="2">
        <f t="shared" si="13"/>
        <v>-3.4416662506485331E-6</v>
      </c>
    </row>
    <row r="8" spans="1:35" x14ac:dyDescent="0.3">
      <c r="A8" s="5">
        <v>5</v>
      </c>
      <c r="B8" s="7">
        <v>210</v>
      </c>
      <c r="C8" s="6">
        <v>475</v>
      </c>
      <c r="D8" s="11">
        <f>'Raw Data and Corrections'!R21</f>
        <v>0.57702821305164198</v>
      </c>
      <c r="F8">
        <f t="shared" si="0"/>
        <v>28500</v>
      </c>
      <c r="G8" s="11">
        <f>'Raw Data and Corrections'!AU17</f>
        <v>2.7646138270456992</v>
      </c>
      <c r="H8" s="2">
        <f t="shared" si="1"/>
        <v>1.8916491201986969E-2</v>
      </c>
      <c r="I8" s="2">
        <f t="shared" si="14"/>
        <v>2.2864727664058754E-2</v>
      </c>
      <c r="K8" s="2">
        <f t="shared" si="2"/>
        <v>5.0511093688833645E-10</v>
      </c>
      <c r="L8" s="2">
        <f t="shared" si="3"/>
        <v>5.1357862594558653E-10</v>
      </c>
      <c r="M8" s="2">
        <f t="shared" si="4"/>
        <v>1.4335997683583517E-8</v>
      </c>
      <c r="N8" s="2">
        <f t="shared" si="5"/>
        <v>5.0511093688833645E-10</v>
      </c>
      <c r="O8">
        <f t="shared" si="6"/>
        <v>20.703933747412009</v>
      </c>
      <c r="P8">
        <f t="shared" si="7"/>
        <v>-21.406243033772043</v>
      </c>
      <c r="Q8">
        <f t="shared" si="8"/>
        <v>-9.2966132278471232</v>
      </c>
      <c r="R8">
        <f t="shared" si="9"/>
        <v>-23.028033468514121</v>
      </c>
      <c r="S8">
        <f t="shared" si="10"/>
        <v>1.6217904347420777</v>
      </c>
      <c r="U8">
        <f t="shared" si="11"/>
        <v>1.4002272993321302E-7</v>
      </c>
      <c r="V8" s="2">
        <f t="shared" si="12"/>
        <v>-1.4258849330083383E-7</v>
      </c>
      <c r="W8" s="2">
        <f t="shared" si="13"/>
        <v>-3.6383184102129949E-6</v>
      </c>
    </row>
    <row r="9" spans="1:35" x14ac:dyDescent="0.3">
      <c r="A9" s="5">
        <v>6</v>
      </c>
      <c r="B9" s="7">
        <v>220</v>
      </c>
      <c r="C9" s="6">
        <v>450</v>
      </c>
      <c r="D9" s="11">
        <f>'Raw Data and Corrections'!R25</f>
        <v>0.63333256423751405</v>
      </c>
      <c r="F9">
        <f t="shared" si="0"/>
        <v>27000</v>
      </c>
      <c r="G9" s="11">
        <f>'Raw Data and Corrections'!AU21</f>
        <v>3.3798521929721193</v>
      </c>
      <c r="H9" s="2">
        <f t="shared" si="1"/>
        <v>2.3126175398136935E-2</v>
      </c>
      <c r="I9" s="2">
        <f t="shared" si="14"/>
        <v>2.7459666666294711E-2</v>
      </c>
      <c r="K9" s="2">
        <f t="shared" si="2"/>
        <v>7.0851739524261407E-10</v>
      </c>
      <c r="L9" s="2">
        <f t="shared" si="3"/>
        <v>7.2294695890809158E-10</v>
      </c>
      <c r="M9" s="2">
        <f t="shared" si="4"/>
        <v>1.668403189526868E-8</v>
      </c>
      <c r="N9" s="2">
        <f t="shared" si="5"/>
        <v>7.0851739524261407E-10</v>
      </c>
      <c r="O9">
        <f t="shared" si="6"/>
        <v>20.28397565922921</v>
      </c>
      <c r="P9">
        <f t="shared" si="7"/>
        <v>-21.067846504886631</v>
      </c>
      <c r="Q9">
        <f t="shared" si="8"/>
        <v>-9.1496494826569741</v>
      </c>
      <c r="R9">
        <f t="shared" si="9"/>
        <v>-22.221830924817173</v>
      </c>
      <c r="S9">
        <f t="shared" si="10"/>
        <v>1.1539844199305413</v>
      </c>
      <c r="U9" s="2">
        <f t="shared" si="11"/>
        <v>1.7750429438036211E-7</v>
      </c>
      <c r="V9" s="2">
        <f t="shared" si="12"/>
        <v>-1.8142659384533026E-7</v>
      </c>
      <c r="W9" s="2">
        <f t="shared" si="13"/>
        <v>-3.8585920836149662E-6</v>
      </c>
    </row>
    <row r="10" spans="1:35" x14ac:dyDescent="0.3">
      <c r="A10" s="5">
        <v>7</v>
      </c>
      <c r="B10" s="7">
        <v>230</v>
      </c>
      <c r="C10" s="6">
        <v>425</v>
      </c>
      <c r="D10" s="11">
        <f>'Raw Data and Corrections'!R29</f>
        <v>0.78987804878048695</v>
      </c>
      <c r="F10">
        <f t="shared" si="0"/>
        <v>25500</v>
      </c>
      <c r="G10" s="11">
        <f>'Raw Data and Corrections'!AU25</f>
        <v>4.0551293336322498</v>
      </c>
      <c r="H10" s="2">
        <f t="shared" si="1"/>
        <v>2.774666668167023E-2</v>
      </c>
      <c r="I10" s="2">
        <f t="shared" si="14"/>
        <v>3.3151298972164712E-2</v>
      </c>
      <c r="K10" s="2">
        <f t="shared" si="2"/>
        <v>1.1263571702228317E-9</v>
      </c>
      <c r="L10" s="2">
        <f t="shared" si="3"/>
        <v>1.1541065178196905E-9</v>
      </c>
      <c r="M10" s="2">
        <f t="shared" si="4"/>
        <v>2.2149130608541795E-8</v>
      </c>
      <c r="N10" s="2">
        <f t="shared" si="5"/>
        <v>1.1263571702228317E-9</v>
      </c>
      <c r="O10">
        <f t="shared" si="6"/>
        <v>19.880715705765407</v>
      </c>
      <c r="P10">
        <f t="shared" si="7"/>
        <v>-20.604277154842471</v>
      </c>
      <c r="Q10">
        <f t="shared" si="8"/>
        <v>-8.9483238719533187</v>
      </c>
      <c r="R10">
        <f t="shared" si="9"/>
        <v>-21.447684148265228</v>
      </c>
      <c r="S10">
        <f t="shared" si="10"/>
        <v>0.84340699342275727</v>
      </c>
      <c r="U10">
        <f t="shared" si="11"/>
        <v>2.269016934812887E-7</v>
      </c>
      <c r="V10" s="2">
        <f t="shared" si="12"/>
        <v>-2.3298579859700367E-7</v>
      </c>
      <c r="W10" s="2">
        <f t="shared" si="13"/>
        <v>-4.1096189573982999E-6</v>
      </c>
    </row>
    <row r="11" spans="1:35" x14ac:dyDescent="0.3">
      <c r="A11" s="5">
        <v>8</v>
      </c>
      <c r="B11" s="7">
        <v>225</v>
      </c>
      <c r="C11" s="6">
        <v>908</v>
      </c>
      <c r="D11" s="11">
        <f>'Raw Data and Corrections'!R33</f>
        <v>0.75127118186624997</v>
      </c>
      <c r="F11">
        <f t="shared" si="0"/>
        <v>54480</v>
      </c>
      <c r="G11" s="11">
        <f>'Raw Data and Corrections'!AU29</f>
        <v>4.8885443360909573</v>
      </c>
      <c r="H11" s="2">
        <f t="shared" si="1"/>
        <v>3.3449194610665318E-2</v>
      </c>
      <c r="I11" s="2">
        <f t="shared" si="14"/>
        <v>3.8589664705639036E-2</v>
      </c>
      <c r="K11" s="2">
        <f t="shared" si="2"/>
        <v>5.9317103704764868E-10</v>
      </c>
      <c r="L11" s="2">
        <f t="shared" si="3"/>
        <v>6.1052844202528229E-10</v>
      </c>
      <c r="M11" s="2">
        <f t="shared" si="4"/>
        <v>9.9174208089387624E-9</v>
      </c>
      <c r="N11" s="2">
        <f t="shared" si="5"/>
        <v>5.9317103704764868E-10</v>
      </c>
      <c r="O11">
        <f t="shared" si="6"/>
        <v>20.080321285140563</v>
      </c>
      <c r="P11">
        <f t="shared" si="7"/>
        <v>-21.245538331793281</v>
      </c>
      <c r="Q11">
        <f t="shared" si="8"/>
        <v>-9.2268200625618402</v>
      </c>
      <c r="R11">
        <f t="shared" si="9"/>
        <v>-21.830871257542444</v>
      </c>
      <c r="S11">
        <f t="shared" si="10"/>
        <v>0.58533292574916373</v>
      </c>
      <c r="U11">
        <f t="shared" si="11"/>
        <v>1.2362641452901055E-7</v>
      </c>
      <c r="V11" s="2">
        <f t="shared" si="12"/>
        <v>-1.2750412522629359E-7</v>
      </c>
      <c r="W11" s="2">
        <f t="shared" si="13"/>
        <v>-1.934436014780856E-6</v>
      </c>
    </row>
    <row r="12" spans="1:35" x14ac:dyDescent="0.3">
      <c r="A12" s="5">
        <v>9</v>
      </c>
      <c r="B12" s="7">
        <v>215</v>
      </c>
      <c r="C12" s="6">
        <v>450</v>
      </c>
      <c r="D12" s="11">
        <f>'Raw Data and Corrections'!R38</f>
        <v>0.141512821493641</v>
      </c>
      <c r="F12">
        <f t="shared" si="0"/>
        <v>27000</v>
      </c>
      <c r="G12" s="11">
        <f>'Raw Data and Corrections'!AU33</f>
        <v>5.6841898534713735</v>
      </c>
      <c r="H12" s="2">
        <f t="shared" si="1"/>
        <v>3.8893290014583089E-2</v>
      </c>
      <c r="I12" s="2">
        <f t="shared" si="14"/>
        <v>3.9861572100335876E-2</v>
      </c>
      <c r="K12" s="2">
        <f t="shared" si="2"/>
        <v>2.4646932759000571E-10</v>
      </c>
      <c r="L12" s="2">
        <f t="shared" si="3"/>
        <v>2.5436405323380479E-10</v>
      </c>
      <c r="M12" s="2">
        <f t="shared" si="4"/>
        <v>3.782558369746945E-9</v>
      </c>
      <c r="N12" s="2">
        <f t="shared" si="5"/>
        <v>2.4646932759000571E-10</v>
      </c>
      <c r="O12">
        <f t="shared" si="6"/>
        <v>20.491803278688526</v>
      </c>
      <c r="P12">
        <f t="shared" si="7"/>
        <v>-22.123783561871615</v>
      </c>
      <c r="Q12">
        <f t="shared" si="8"/>
        <v>-9.6082371197427126</v>
      </c>
      <c r="R12">
        <f t="shared" si="9"/>
        <v>-22.620802060683591</v>
      </c>
      <c r="S12">
        <f t="shared" si="10"/>
        <v>0.49701849881197546</v>
      </c>
      <c r="U12">
        <f t="shared" si="11"/>
        <v>2.5767247339702682E-7</v>
      </c>
      <c r="V12" s="2">
        <f t="shared" si="12"/>
        <v>-2.6603074552402562E-7</v>
      </c>
      <c r="W12" s="2">
        <f t="shared" si="13"/>
        <v>-3.9084327031954303E-6</v>
      </c>
    </row>
    <row r="13" spans="1:35" x14ac:dyDescent="0.3">
      <c r="A13" s="5">
        <v>10</v>
      </c>
      <c r="B13" s="7">
        <v>205</v>
      </c>
      <c r="C13" s="6">
        <v>520</v>
      </c>
      <c r="D13" s="11">
        <f>'Raw Data and Corrections'!R43</f>
        <v>7.6269133314252294E-2</v>
      </c>
      <c r="F13">
        <f t="shared" si="0"/>
        <v>31200</v>
      </c>
      <c r="G13" s="11">
        <f>'Raw Data and Corrections'!AU38</f>
        <v>5.8529134968853125</v>
      </c>
      <c r="H13" s="2">
        <f t="shared" si="1"/>
        <v>4.0047758419892922E-2</v>
      </c>
      <c r="I13" s="2">
        <f t="shared" si="14"/>
        <v>4.056961951137996E-2</v>
      </c>
      <c r="K13" s="2">
        <f t="shared" si="2"/>
        <v>1.1767287514503392E-10</v>
      </c>
      <c r="L13" s="2">
        <f t="shared" si="3"/>
        <v>1.2153433798110399E-10</v>
      </c>
      <c r="M13" s="2">
        <f t="shared" si="4"/>
        <v>1.7659118741845051E-9</v>
      </c>
      <c r="N13" s="2">
        <f t="shared" si="5"/>
        <v>1.1767287514503392E-10</v>
      </c>
      <c r="O13">
        <f t="shared" si="6"/>
        <v>20.92050209205021</v>
      </c>
      <c r="P13">
        <f t="shared" si="7"/>
        <v>-22.86311258578305</v>
      </c>
      <c r="Q13">
        <f t="shared" si="8"/>
        <v>-9.9293236351383669</v>
      </c>
      <c r="R13">
        <f t="shared" si="9"/>
        <v>-23.443784361864115</v>
      </c>
      <c r="S13">
        <f t="shared" si="10"/>
        <v>0.58067177608106491</v>
      </c>
      <c r="U13">
        <f t="shared" si="11"/>
        <v>2.2694661434452351E-7</v>
      </c>
      <c r="V13" s="2">
        <f t="shared" si="12"/>
        <v>-2.3444379258993658E-7</v>
      </c>
      <c r="W13" s="2">
        <f t="shared" si="13"/>
        <v>-3.3847936241464811E-6</v>
      </c>
    </row>
    <row r="14" spans="1:35" x14ac:dyDescent="0.3">
      <c r="A14" s="5">
        <v>11</v>
      </c>
      <c r="B14" s="7">
        <v>195</v>
      </c>
      <c r="C14" s="6">
        <v>1106</v>
      </c>
      <c r="D14" s="11">
        <f>'Raw Data and Corrections'!R47</f>
        <v>6.7045156410478396E-2</v>
      </c>
      <c r="F14">
        <f t="shared" si="0"/>
        <v>66360</v>
      </c>
      <c r="G14" s="11">
        <f>'Raw Data and Corrections'!AU43</f>
        <v>5.9491316303760451</v>
      </c>
      <c r="H14" s="2">
        <f t="shared" si="1"/>
        <v>4.0706117810938157E-2</v>
      </c>
      <c r="I14" s="2">
        <f t="shared" si="14"/>
        <v>4.1164865104671378E-2</v>
      </c>
      <c r="K14" s="2">
        <f t="shared" si="2"/>
        <v>4.9390624134328272E-11</v>
      </c>
      <c r="L14" s="2">
        <f t="shared" si="3"/>
        <v>5.1037522971218067E-11</v>
      </c>
      <c r="M14" s="2">
        <f t="shared" si="4"/>
        <v>7.3033074074665788E-10</v>
      </c>
      <c r="N14" s="2">
        <f t="shared" si="5"/>
        <v>4.9390624134328272E-11</v>
      </c>
      <c r="O14">
        <f t="shared" si="6"/>
        <v>21.367521367521366</v>
      </c>
      <c r="P14">
        <f t="shared" si="7"/>
        <v>-23.731260504599646</v>
      </c>
      <c r="Q14">
        <f t="shared" si="8"/>
        <v>-10.306355485756207</v>
      </c>
      <c r="R14">
        <f t="shared" si="9"/>
        <v>-24.301936846855771</v>
      </c>
      <c r="S14">
        <f t="shared" si="10"/>
        <v>0.57067634225612451</v>
      </c>
      <c r="U14">
        <f t="shared" si="11"/>
        <v>1.0826739484867929E-7</v>
      </c>
      <c r="V14" s="2">
        <f t="shared" si="12"/>
        <v>-1.1189844624117524E-7</v>
      </c>
      <c r="W14" s="2">
        <f t="shared" si="13"/>
        <v>-1.592391818676285E-6</v>
      </c>
    </row>
    <row r="15" spans="1:35" x14ac:dyDescent="0.3">
      <c r="A15" s="5">
        <v>12</v>
      </c>
      <c r="B15" s="7">
        <v>185</v>
      </c>
      <c r="C15" s="6">
        <v>740</v>
      </c>
      <c r="D15" s="11">
        <f>'Raw Data and Corrections'!R51</f>
        <v>2.2678534031413601E-2</v>
      </c>
      <c r="F15">
        <f t="shared" si="0"/>
        <v>44400</v>
      </c>
      <c r="G15" s="11">
        <f>'Raw Data and Corrections'!AU47</f>
        <v>6.024602455718326</v>
      </c>
      <c r="H15" s="2">
        <f t="shared" si="1"/>
        <v>4.1222516589540646E-2</v>
      </c>
      <c r="I15" s="2">
        <f t="shared" si="14"/>
        <v>4.1377691350399613E-2</v>
      </c>
      <c r="K15" s="2">
        <f t="shared" si="2"/>
        <v>2.5192230843061143E-11</v>
      </c>
      <c r="L15" s="2">
        <f t="shared" si="3"/>
        <v>2.6040004085205707E-11</v>
      </c>
      <c r="M15" s="2">
        <f t="shared" si="4"/>
        <v>3.6936495698118623E-10</v>
      </c>
      <c r="N15" s="2">
        <f t="shared" si="5"/>
        <v>2.5192230843061143E-11</v>
      </c>
      <c r="O15">
        <f t="shared" si="6"/>
        <v>21.834061135371179</v>
      </c>
      <c r="P15">
        <f t="shared" si="7"/>
        <v>-24.404485468823875</v>
      </c>
      <c r="Q15">
        <f t="shared" si="8"/>
        <v>-10.598733372798302</v>
      </c>
      <c r="R15">
        <f t="shared" si="9"/>
        <v>-25.197563239488989</v>
      </c>
      <c r="S15">
        <f t="shared" si="10"/>
        <v>0.7930777706651142</v>
      </c>
      <c r="U15">
        <f t="shared" si="11"/>
        <v>1.6265246642757926E-7</v>
      </c>
      <c r="V15" s="2">
        <f t="shared" si="12"/>
        <v>-1.6813673750878722E-7</v>
      </c>
      <c r="W15" s="2">
        <f t="shared" si="13"/>
        <v>-2.3805085902995845E-6</v>
      </c>
    </row>
    <row r="16" spans="1:35" x14ac:dyDescent="0.3">
      <c r="A16" s="5">
        <v>13</v>
      </c>
      <c r="B16" s="7">
        <v>175</v>
      </c>
      <c r="C16" s="6">
        <v>920</v>
      </c>
      <c r="D16" s="11">
        <f>'Raw Data and Corrections'!R55</f>
        <v>1.80179115952207E-2</v>
      </c>
      <c r="F16">
        <f t="shared" si="0"/>
        <v>55200</v>
      </c>
      <c r="G16" s="11">
        <f>'Raw Data and Corrections'!AU51</f>
        <v>6.0610322665028766</v>
      </c>
      <c r="H16" s="2">
        <f t="shared" si="1"/>
        <v>4.1471782576874727E-2</v>
      </c>
      <c r="I16" s="2">
        <f t="shared" si="14"/>
        <v>4.1595067667484796E-2</v>
      </c>
      <c r="K16" s="2">
        <f t="shared" si="2"/>
        <v>1.6189990575809212E-11</v>
      </c>
      <c r="L16" s="2">
        <f t="shared" si="3"/>
        <v>1.6738012790668538E-11</v>
      </c>
      <c r="M16" s="2">
        <f t="shared" si="4"/>
        <v>2.3609933513125007E-10</v>
      </c>
      <c r="N16" s="2">
        <f t="shared" si="5"/>
        <v>1.6189990575809212E-11</v>
      </c>
      <c r="O16">
        <f t="shared" si="6"/>
        <v>22.321428571428573</v>
      </c>
      <c r="P16">
        <f t="shared" si="7"/>
        <v>-24.846627930338666</v>
      </c>
      <c r="Q16">
        <f t="shared" si="8"/>
        <v>-10.790753404049298</v>
      </c>
      <c r="R16">
        <f t="shared" si="9"/>
        <v>-26.133172953221905</v>
      </c>
      <c r="S16">
        <f t="shared" si="10"/>
        <v>1.2865450228832387</v>
      </c>
      <c r="U16">
        <f t="shared" si="11"/>
        <v>1.3151646438178399E-7</v>
      </c>
      <c r="V16" s="2">
        <f t="shared" si="12"/>
        <v>-1.3597507730725322E-7</v>
      </c>
      <c r="W16" s="2">
        <f t="shared" si="13"/>
        <v>-1.9151911965911665E-6</v>
      </c>
    </row>
    <row r="17" spans="1:30" x14ac:dyDescent="0.3">
      <c r="A17" s="5">
        <v>14</v>
      </c>
      <c r="B17" s="7">
        <v>200</v>
      </c>
      <c r="C17" s="6">
        <v>260</v>
      </c>
      <c r="D17" s="11">
        <f>'Raw Data and Corrections'!R59</f>
        <v>2.24239448032976E-2</v>
      </c>
      <c r="F17">
        <f t="shared" si="0"/>
        <v>15600</v>
      </c>
      <c r="G17" s="11">
        <f>'Raw Data and Corrections'!AU55</f>
        <v>6.0813780844820462</v>
      </c>
      <c r="H17" s="2">
        <f t="shared" si="1"/>
        <v>4.1610996047861191E-2</v>
      </c>
      <c r="I17" s="2">
        <f t="shared" si="14"/>
        <v>4.1764428816819993E-2</v>
      </c>
      <c r="K17" s="2">
        <f t="shared" si="2"/>
        <v>7.1561421080647379E-11</v>
      </c>
      <c r="L17" s="2">
        <f t="shared" si="3"/>
        <v>7.3993075959839593E-11</v>
      </c>
      <c r="M17" s="2">
        <f t="shared" si="4"/>
        <v>1.03988837481541E-9</v>
      </c>
      <c r="N17" s="2">
        <f t="shared" si="5"/>
        <v>7.1561421080647379E-11</v>
      </c>
      <c r="O17">
        <f t="shared" si="6"/>
        <v>21.141649048625794</v>
      </c>
      <c r="P17">
        <f t="shared" si="7"/>
        <v>-23.360464998895949</v>
      </c>
      <c r="Q17">
        <f t="shared" si="8"/>
        <v>-10.145321043714565</v>
      </c>
      <c r="R17">
        <f t="shared" si="9"/>
        <v>-23.868324914692973</v>
      </c>
      <c r="S17">
        <f t="shared" si="10"/>
        <v>0.50785991579702383</v>
      </c>
      <c r="U17">
        <f t="shared" si="11"/>
        <v>4.6726076478737725E-7</v>
      </c>
      <c r="V17" s="2">
        <f t="shared" si="12"/>
        <v>-4.8316858002118677E-7</v>
      </c>
      <c r="W17" s="2">
        <f t="shared" si="13"/>
        <v>-6.7780281432894408E-6</v>
      </c>
    </row>
    <row r="18" spans="1:30" x14ac:dyDescent="0.3">
      <c r="A18" s="5">
        <v>15</v>
      </c>
      <c r="B18" s="7">
        <v>209.99</v>
      </c>
      <c r="C18" s="6">
        <v>520</v>
      </c>
      <c r="D18" s="11">
        <f>'Raw Data and Corrections'!R61</f>
        <v>8.1207064838573401E-2</v>
      </c>
      <c r="F18">
        <f t="shared" si="0"/>
        <v>31200</v>
      </c>
      <c r="G18" s="11">
        <f>'Raw Data and Corrections'!AU59</f>
        <v>6.1080940573054585</v>
      </c>
      <c r="H18" s="2">
        <f t="shared" si="1"/>
        <v>4.1793796430295307E-2</v>
      </c>
      <c r="I18" s="2">
        <f t="shared" si="14"/>
        <v>4.2349444641459622E-2</v>
      </c>
      <c r="K18" s="2">
        <f t="shared" si="2"/>
        <v>1.3077114755586139E-10</v>
      </c>
      <c r="L18" s="2">
        <f t="shared" si="3"/>
        <v>1.35257299402912E-10</v>
      </c>
      <c r="M18" s="2">
        <f t="shared" si="4"/>
        <v>1.8837035380997073E-9</v>
      </c>
      <c r="N18" s="2">
        <f t="shared" si="5"/>
        <v>1.3077114755586139E-10</v>
      </c>
      <c r="O18">
        <f t="shared" si="6"/>
        <v>20.704362409159611</v>
      </c>
      <c r="P18">
        <f t="shared" si="7"/>
        <v>-22.757572285673085</v>
      </c>
      <c r="Q18">
        <f t="shared" si="8"/>
        <v>-9.8834880651821955</v>
      </c>
      <c r="R18">
        <f t="shared" si="9"/>
        <v>-23.02885637965937</v>
      </c>
      <c r="S18">
        <f t="shared" si="10"/>
        <v>0.27128409398628506</v>
      </c>
      <c r="U18">
        <f t="shared" si="11"/>
        <v>2.3690296326427561E-7</v>
      </c>
      <c r="V18" s="2">
        <f t="shared" si="12"/>
        <v>-2.4508561274440744E-7</v>
      </c>
      <c r="W18" s="2">
        <f t="shared" si="13"/>
        <v>-3.3910843746908006E-6</v>
      </c>
    </row>
    <row r="19" spans="1:30" x14ac:dyDescent="0.3">
      <c r="A19" s="5">
        <v>16</v>
      </c>
      <c r="B19" s="7">
        <v>219.98</v>
      </c>
      <c r="C19" s="6">
        <v>1167</v>
      </c>
      <c r="D19" s="11">
        <f>'Raw Data and Corrections'!R65</f>
        <v>0.576620115600047</v>
      </c>
      <c r="F19">
        <f t="shared" si="0"/>
        <v>70020</v>
      </c>
      <c r="G19" s="11">
        <f>'Raw Data and Corrections'!AU61</f>
        <v>6.1913588302030496</v>
      </c>
      <c r="H19" s="2">
        <f t="shared" si="1"/>
        <v>4.2363524226830228E-2</v>
      </c>
      <c r="I19" s="2">
        <f t="shared" si="14"/>
        <v>4.6308968338022075E-2</v>
      </c>
      <c r="K19" s="2">
        <f t="shared" si="2"/>
        <v>4.3602368187381546E-10</v>
      </c>
      <c r="L19" s="2">
        <f t="shared" si="3"/>
        <v>4.5183035985684216E-10</v>
      </c>
      <c r="M19" s="2">
        <f t="shared" si="4"/>
        <v>5.974059536341852E-9</v>
      </c>
      <c r="N19" s="2">
        <f t="shared" si="5"/>
        <v>4.3602368187381546E-10</v>
      </c>
      <c r="O19">
        <f t="shared" si="6"/>
        <v>20.28479857195018</v>
      </c>
      <c r="P19">
        <f t="shared" si="7"/>
        <v>-21.553324557830241</v>
      </c>
      <c r="Q19">
        <f t="shared" si="8"/>
        <v>-9.3604899221355176</v>
      </c>
      <c r="R19">
        <f t="shared" si="9"/>
        <v>-22.223410688006776</v>
      </c>
      <c r="S19">
        <f t="shared" si="10"/>
        <v>0.67008613017653573</v>
      </c>
      <c r="U19">
        <f t="shared" si="11"/>
        <v>1.1543044425882484E-7</v>
      </c>
      <c r="V19" s="2">
        <f t="shared" si="12"/>
        <v>-1.1980595388597838E-7</v>
      </c>
      <c r="W19" s="2">
        <f t="shared" si="13"/>
        <v>-1.5172964774100638E-6</v>
      </c>
    </row>
    <row r="20" spans="1:30" x14ac:dyDescent="0.3">
      <c r="A20" s="5">
        <v>17</v>
      </c>
      <c r="B20" s="7">
        <v>229.99</v>
      </c>
      <c r="C20" s="6">
        <v>370</v>
      </c>
      <c r="D20" s="11">
        <f>'Raw Data and Corrections'!R69</f>
        <v>0.35768644224377999</v>
      </c>
      <c r="F20">
        <f t="shared" si="0"/>
        <v>22200</v>
      </c>
      <c r="G20" s="11">
        <f>'Raw Data and Corrections'!AU65</f>
        <v>6.7796477858176338</v>
      </c>
      <c r="H20" s="2">
        <f t="shared" si="1"/>
        <v>4.6388810776525777E-2</v>
      </c>
      <c r="I20" s="2">
        <f t="shared" si="14"/>
        <v>4.8836231234161594E-2</v>
      </c>
      <c r="K20" s="2">
        <f t="shared" si="2"/>
        <v>9.161237799506618E-10</v>
      </c>
      <c r="L20" s="2">
        <f t="shared" si="3"/>
        <v>9.5187904781428104E-10</v>
      </c>
      <c r="M20" s="2">
        <f t="shared" si="4"/>
        <v>1.172849880575221E-8</v>
      </c>
      <c r="N20" s="2">
        <f t="shared" si="5"/>
        <v>9.161237799506618E-10</v>
      </c>
      <c r="O20">
        <f t="shared" si="6"/>
        <v>19.881110956480249</v>
      </c>
      <c r="P20">
        <f t="shared" si="7"/>
        <v>-20.810869629433277</v>
      </c>
      <c r="Q20">
        <f t="shared" si="8"/>
        <v>-9.0380458436708437</v>
      </c>
      <c r="R20">
        <f t="shared" si="9"/>
        <v>-21.448442919534717</v>
      </c>
      <c r="S20">
        <f t="shared" si="10"/>
        <v>0.63757329010143948</v>
      </c>
      <c r="U20">
        <f t="shared" si="11"/>
        <v>3.8394280599162776E-7</v>
      </c>
      <c r="V20" s="2">
        <f t="shared" si="12"/>
        <v>-3.9932632081373037E-7</v>
      </c>
      <c r="W20" s="2">
        <f t="shared" si="13"/>
        <v>-4.7983506427166864E-6</v>
      </c>
    </row>
    <row r="21" spans="1:30" x14ac:dyDescent="0.3">
      <c r="A21" s="5">
        <v>18</v>
      </c>
      <c r="B21" s="7">
        <v>240</v>
      </c>
      <c r="C21" s="6">
        <v>320</v>
      </c>
      <c r="D21" s="11">
        <f>'Raw Data and Corrections'!R73</f>
        <v>0.67668226199703296</v>
      </c>
      <c r="F21">
        <f t="shared" si="0"/>
        <v>19200</v>
      </c>
      <c r="G21" s="11">
        <f>'Raw Data and Corrections'!AU69</f>
        <v>7.1562740942855676</v>
      </c>
      <c r="H21" s="2">
        <f t="shared" si="1"/>
        <v>4.8965824672959832E-2</v>
      </c>
      <c r="I21" s="2">
        <f t="shared" si="14"/>
        <v>5.3595930306659219E-2</v>
      </c>
      <c r="K21" s="2">
        <f t="shared" si="2"/>
        <v>2.1583530543212617E-9</v>
      </c>
      <c r="L21" s="2">
        <f t="shared" si="3"/>
        <v>2.2494327498293392E-9</v>
      </c>
      <c r="M21" s="2">
        <f t="shared" si="4"/>
        <v>2.575450059513423E-8</v>
      </c>
      <c r="N21" s="2">
        <f t="shared" si="5"/>
        <v>2.2494327498293392E-9</v>
      </c>
      <c r="O21">
        <f t="shared" si="6"/>
        <v>19.49317738791423</v>
      </c>
      <c r="P21">
        <f t="shared" si="7"/>
        <v>-19.912587763702412</v>
      </c>
      <c r="Q21">
        <f t="shared" si="8"/>
        <v>-8.6479269861901695</v>
      </c>
      <c r="R21">
        <f t="shared" si="9"/>
        <v>-20.703718532592507</v>
      </c>
      <c r="S21">
        <f t="shared" si="10"/>
        <v>0.79113076889009548</v>
      </c>
      <c r="U21">
        <f t="shared" si="11"/>
        <v>4.8720075495865501E-7</v>
      </c>
      <c r="V21" s="2">
        <f t="shared" si="12"/>
        <v>-5.0871786829242363E-7</v>
      </c>
      <c r="W21" s="2">
        <f t="shared" si="13"/>
        <v>-5.575995655937627E-6</v>
      </c>
      <c r="Y21" s="2"/>
      <c r="Z21" s="2"/>
    </row>
    <row r="22" spans="1:30" x14ac:dyDescent="0.3">
      <c r="A22" s="5">
        <v>19</v>
      </c>
      <c r="B22" s="7">
        <v>245</v>
      </c>
      <c r="C22" s="6">
        <v>250</v>
      </c>
      <c r="D22" s="11">
        <f>'Raw Data and Corrections'!R77</f>
        <v>0.55490965024488204</v>
      </c>
      <c r="F22">
        <f t="shared" si="0"/>
        <v>15000</v>
      </c>
      <c r="G22" s="11">
        <f>'Raw Data and Corrections'!AU73</f>
        <v>7.858151969738925</v>
      </c>
      <c r="H22" s="2">
        <f t="shared" si="1"/>
        <v>5.3768327838499871E-2</v>
      </c>
      <c r="I22" s="2">
        <f t="shared" si="14"/>
        <v>5.7565221066069434E-2</v>
      </c>
      <c r="K22" s="2">
        <f t="shared" si="2"/>
        <v>2.4592945671825848E-9</v>
      </c>
      <c r="L22" s="2">
        <f t="shared" si="3"/>
        <v>2.5723692270370704E-9</v>
      </c>
      <c r="M22" s="2">
        <f t="shared" si="4"/>
        <v>2.7158932450363917E-8</v>
      </c>
      <c r="N22" s="2">
        <f t="shared" si="5"/>
        <v>2.5723692270370704E-9</v>
      </c>
      <c r="O22">
        <f t="shared" si="6"/>
        <v>19.305019305019304</v>
      </c>
      <c r="P22">
        <f t="shared" si="7"/>
        <v>-19.778438484483498</v>
      </c>
      <c r="Q22">
        <f t="shared" si="8"/>
        <v>-8.5896666944740971</v>
      </c>
      <c r="R22">
        <f t="shared" si="9"/>
        <v>-20.342507427685764</v>
      </c>
      <c r="S22">
        <f t="shared" si="10"/>
        <v>0.56406894320226542</v>
      </c>
      <c r="U22">
        <f t="shared" si="11"/>
        <v>6.698017614942079E-7</v>
      </c>
      <c r="V22" s="2">
        <f t="shared" si="12"/>
        <v>-7.0169069512387466E-7</v>
      </c>
      <c r="W22" s="2">
        <f t="shared" si="13"/>
        <v>-7.1673347876621537E-6</v>
      </c>
    </row>
    <row r="23" spans="1:30" x14ac:dyDescent="0.3">
      <c r="A23" s="5">
        <v>20</v>
      </c>
      <c r="B23" s="7">
        <v>249.99</v>
      </c>
      <c r="C23" s="6">
        <v>210</v>
      </c>
      <c r="D23" s="11">
        <f>'Raw Data and Corrections'!R81</f>
        <v>0.69344251385634403</v>
      </c>
      <c r="F23">
        <f t="shared" si="0"/>
        <v>12600</v>
      </c>
      <c r="G23" s="11">
        <f>'Raw Data and Corrections'!AU77</f>
        <v>8.4743294157646964</v>
      </c>
      <c r="H23" s="2">
        <f t="shared" si="1"/>
        <v>5.798443756152219E-2</v>
      </c>
      <c r="I23" s="2">
        <f t="shared" si="14"/>
        <v>6.2729222921459701E-2</v>
      </c>
      <c r="K23" s="2">
        <f t="shared" si="2"/>
        <v>3.9668868897584398E-9</v>
      </c>
      <c r="L23" s="2">
        <f t="shared" si="3"/>
        <v>4.1655333011071597E-9</v>
      </c>
      <c r="M23" s="2">
        <f t="shared" si="4"/>
        <v>4.0605441983946503E-8</v>
      </c>
      <c r="N23" s="2">
        <f t="shared" si="5"/>
        <v>4.1655333011071597E-9</v>
      </c>
      <c r="O23">
        <f t="shared" si="6"/>
        <v>19.120824489952007</v>
      </c>
      <c r="P23">
        <f t="shared" si="7"/>
        <v>-19.29642152604136</v>
      </c>
      <c r="Q23">
        <f t="shared" si="8"/>
        <v>-8.3803293892388879</v>
      </c>
      <c r="R23">
        <f t="shared" si="9"/>
        <v>-19.988904692980473</v>
      </c>
      <c r="S23">
        <f t="shared" si="10"/>
        <v>0.69248316693911249</v>
      </c>
      <c r="U23">
        <f t="shared" si="11"/>
        <v>8.6891387079124458E-7</v>
      </c>
      <c r="V23" s="2">
        <f t="shared" si="12"/>
        <v>-9.1420962403718479E-7</v>
      </c>
      <c r="W23" s="2">
        <f t="shared" si="13"/>
        <v>-8.5795524386268997E-6</v>
      </c>
    </row>
    <row r="24" spans="1:30" x14ac:dyDescent="0.3">
      <c r="A24" s="5">
        <v>21</v>
      </c>
      <c r="B24" s="7">
        <v>244.909999999999</v>
      </c>
      <c r="C24" s="6">
        <v>270</v>
      </c>
      <c r="D24" s="11">
        <f>'Raw Data and Corrections'!R85</f>
        <v>0.465872340425531</v>
      </c>
      <c r="F24">
        <f t="shared" si="0"/>
        <v>16200</v>
      </c>
      <c r="G24" s="11">
        <f>'Raw Data and Corrections'!AU81</f>
        <v>9.2085717420240716</v>
      </c>
      <c r="H24" s="2">
        <f t="shared" si="1"/>
        <v>6.3008390045929091E-2</v>
      </c>
      <c r="I24" s="2">
        <f t="shared" si="14"/>
        <v>6.6196057684242957E-2</v>
      </c>
      <c r="K24" s="2">
        <f t="shared" si="2"/>
        <v>2.2186196485819686E-9</v>
      </c>
      <c r="L24" s="2">
        <f t="shared" si="3"/>
        <v>2.3379624903793035E-9</v>
      </c>
      <c r="M24" s="2">
        <f t="shared" si="4"/>
        <v>2.1313872365173374E-8</v>
      </c>
      <c r="N24" s="2">
        <f t="shared" si="5"/>
        <v>2.3379624903793035E-9</v>
      </c>
      <c r="O24">
        <f t="shared" si="6"/>
        <v>19.308374041821978</v>
      </c>
      <c r="P24">
        <f t="shared" si="7"/>
        <v>-19.873986017490029</v>
      </c>
      <c r="Q24">
        <f t="shared" si="8"/>
        <v>-8.6311624608183042</v>
      </c>
      <c r="R24">
        <f t="shared" si="9"/>
        <v>-20.348947587834726</v>
      </c>
      <c r="S24">
        <f t="shared" si="10"/>
        <v>0.47496157034469633</v>
      </c>
      <c r="U24">
        <f t="shared" si="11"/>
        <v>7.1317232001860029E-7</v>
      </c>
      <c r="V24" s="2">
        <f t="shared" si="12"/>
        <v>-7.5253079247925727E-7</v>
      </c>
      <c r="W24" s="2">
        <f t="shared" si="13"/>
        <v>-6.6977593138938516E-6</v>
      </c>
    </row>
    <row r="25" spans="1:30" x14ac:dyDescent="0.3">
      <c r="A25" s="5">
        <v>22</v>
      </c>
      <c r="B25" s="7">
        <v>239.99</v>
      </c>
      <c r="C25" s="6">
        <v>320</v>
      </c>
      <c r="D25" s="11">
        <f>'Raw Data and Corrections'!R89</f>
        <v>0.28572750818781401</v>
      </c>
      <c r="F25">
        <f t="shared" si="0"/>
        <v>19200</v>
      </c>
      <c r="G25" s="11">
        <f>'Raw Data and Corrections'!AU85</f>
        <v>9.7206471019714762</v>
      </c>
      <c r="H25" s="2">
        <f t="shared" si="1"/>
        <v>6.6512195512875877E-2</v>
      </c>
      <c r="I25" s="2">
        <f t="shared" si="14"/>
        <v>6.8467246826706643E-2</v>
      </c>
      <c r="K25" s="2">
        <f t="shared" si="2"/>
        <v>1.1994217873716604E-9</v>
      </c>
      <c r="L25" s="2">
        <f t="shared" si="3"/>
        <v>1.2669957687732709E-9</v>
      </c>
      <c r="M25" s="2">
        <f t="shared" si="4"/>
        <v>1.1063784756476567E-8</v>
      </c>
      <c r="N25" s="2">
        <f t="shared" si="5"/>
        <v>1.2669957687732709E-9</v>
      </c>
      <c r="O25">
        <f t="shared" si="6"/>
        <v>19.493557379286145</v>
      </c>
      <c r="P25">
        <f t="shared" si="7"/>
        <v>-20.486617275176307</v>
      </c>
      <c r="Q25">
        <f t="shared" si="8"/>
        <v>-8.8972248354729029</v>
      </c>
      <c r="R25">
        <f t="shared" si="9"/>
        <v>-20.704448010174293</v>
      </c>
      <c r="S25">
        <f t="shared" si="10"/>
        <v>0.21783073499798533</v>
      </c>
      <c r="U25">
        <f t="shared" si="11"/>
        <v>6.223848369279533E-7</v>
      </c>
      <c r="V25" s="2">
        <f t="shared" si="12"/>
        <v>-6.5798679555849546E-7</v>
      </c>
      <c r="W25" s="2">
        <f t="shared" si="13"/>
        <v>-5.6650128118362044E-6</v>
      </c>
      <c r="AB25" t="s">
        <v>371</v>
      </c>
      <c r="AC25" t="s">
        <v>632</v>
      </c>
    </row>
    <row r="26" spans="1:30" x14ac:dyDescent="0.3">
      <c r="A26" s="5">
        <v>23</v>
      </c>
      <c r="B26" s="7">
        <v>235</v>
      </c>
      <c r="C26" s="6">
        <v>370</v>
      </c>
      <c r="D26" s="11">
        <f>'Raw Data and Corrections'!R93</f>
        <v>0.21993533317982999</v>
      </c>
      <c r="F26">
        <f t="shared" si="0"/>
        <v>22200</v>
      </c>
      <c r="G26" s="11">
        <f>'Raw Data and Corrections'!AU89</f>
        <v>10.035706839866055</v>
      </c>
      <c r="H26" s="2">
        <f t="shared" si="1"/>
        <v>6.8667948588288896E-2</v>
      </c>
      <c r="I26" s="2">
        <f t="shared" si="14"/>
        <v>7.0172825961903204E-2</v>
      </c>
      <c r="K26" s="2">
        <f t="shared" si="2"/>
        <v>8.2132026337124307E-10</v>
      </c>
      <c r="L26" s="2">
        <f t="shared" si="3"/>
        <v>8.6900043213838725E-10</v>
      </c>
      <c r="M26" s="2">
        <f t="shared" si="4"/>
        <v>7.3806558215112119E-9</v>
      </c>
      <c r="N26" s="2">
        <f t="shared" si="5"/>
        <v>8.6900043213838725E-10</v>
      </c>
      <c r="O26">
        <f t="shared" si="6"/>
        <v>19.685039370078741</v>
      </c>
      <c r="P26">
        <f t="shared" si="7"/>
        <v>-20.863677493380901</v>
      </c>
      <c r="Q26">
        <f t="shared" si="8"/>
        <v>-9.0609800075843943</v>
      </c>
      <c r="R26">
        <f t="shared" si="9"/>
        <v>-21.07204009232024</v>
      </c>
      <c r="S26">
        <f t="shared" si="10"/>
        <v>0.20836259893933828</v>
      </c>
      <c r="U26">
        <f t="shared" si="11"/>
        <v>5.5168777408295847E-7</v>
      </c>
      <c r="V26" s="2">
        <f t="shared" si="12"/>
        <v>-5.8408344292045759E-7</v>
      </c>
      <c r="W26" s="2">
        <f t="shared" si="13"/>
        <v>-4.9084576237598646E-6</v>
      </c>
      <c r="Z26" t="s">
        <v>365</v>
      </c>
      <c r="AA26">
        <f>-10000*1.987046*AH2</f>
        <v>38145.747985821545</v>
      </c>
      <c r="AB26">
        <f>2*AH3*10000*1.987046</f>
        <v>1369.7426663138679</v>
      </c>
      <c r="AC26">
        <f>AA26*8.314/(1000*1.987)</f>
        <v>159.60933505491712</v>
      </c>
      <c r="AD26">
        <f>AB26*8.314/(1000*1.987)</f>
        <v>5.7312735418890277</v>
      </c>
    </row>
    <row r="27" spans="1:30" x14ac:dyDescent="0.3">
      <c r="A27" s="5">
        <v>24</v>
      </c>
      <c r="B27" s="7">
        <v>230</v>
      </c>
      <c r="C27" s="6">
        <v>420</v>
      </c>
      <c r="D27" s="11">
        <f>'Raw Data and Corrections'!R97</f>
        <v>0.14002473498233201</v>
      </c>
      <c r="F27">
        <f t="shared" si="0"/>
        <v>25200</v>
      </c>
      <c r="G27" s="11">
        <f>'Raw Data and Corrections'!AU93</f>
        <v>10.273567996054735</v>
      </c>
      <c r="H27" s="2">
        <f t="shared" si="1"/>
        <v>7.02954809489824E-2</v>
      </c>
      <c r="I27" s="2">
        <f t="shared" si="14"/>
        <v>7.1253581006734179E-2</v>
      </c>
      <c r="K27" s="2">
        <f t="shared" si="2"/>
        <v>4.6963958231999764E-10</v>
      </c>
      <c r="L27" s="2">
        <f t="shared" si="3"/>
        <v>4.9746992101607009E-10</v>
      </c>
      <c r="M27" s="2">
        <f t="shared" si="4"/>
        <v>4.1456202194797784E-9</v>
      </c>
      <c r="N27" s="2">
        <f t="shared" si="5"/>
        <v>4.9746992101607009E-10</v>
      </c>
      <c r="O27">
        <f t="shared" si="6"/>
        <v>19.880715705765407</v>
      </c>
      <c r="P27">
        <f t="shared" si="7"/>
        <v>-21.421486021426901</v>
      </c>
      <c r="Q27">
        <f t="shared" si="8"/>
        <v>-9.3032331732733482</v>
      </c>
      <c r="R27">
        <f t="shared" si="9"/>
        <v>-21.447684148265228</v>
      </c>
      <c r="S27">
        <f t="shared" si="10"/>
        <v>2.619812683832734E-2</v>
      </c>
      <c r="U27">
        <f t="shared" si="11"/>
        <v>4.9349587000159016E-7</v>
      </c>
      <c r="V27" s="2">
        <f t="shared" si="12"/>
        <v>-5.229505526793776E-7</v>
      </c>
      <c r="W27" s="2">
        <f t="shared" si="13"/>
        <v>-4.3291492794419194E-6</v>
      </c>
      <c r="Z27" t="s">
        <v>374</v>
      </c>
      <c r="AA27">
        <f>EXP(AI2)</f>
        <v>18214926.18059586</v>
      </c>
      <c r="AB27">
        <f>EXP(AI2)*AI3*2</f>
        <v>24466151.709419485</v>
      </c>
    </row>
    <row r="28" spans="1:30" x14ac:dyDescent="0.3">
      <c r="A28" s="5">
        <v>25</v>
      </c>
      <c r="B28" s="7">
        <v>225</v>
      </c>
      <c r="C28" s="6">
        <v>652</v>
      </c>
      <c r="D28" s="11">
        <f>'Raw Data and Corrections'!R101</f>
        <v>0.14936733471146901</v>
      </c>
      <c r="F28">
        <f t="shared" si="0"/>
        <v>39120</v>
      </c>
      <c r="G28" s="11">
        <f>'Raw Data and Corrections'!AU97</f>
        <v>10.427938422059281</v>
      </c>
      <c r="H28" s="2">
        <f t="shared" si="1"/>
        <v>7.1351739431376848E-2</v>
      </c>
      <c r="I28" s="2">
        <f t="shared" si="14"/>
        <v>7.2373764947306893E-2</v>
      </c>
      <c r="K28" s="2">
        <f t="shared" si="2"/>
        <v>3.2767560183181834E-10</v>
      </c>
      <c r="L28" s="2">
        <f t="shared" si="3"/>
        <v>3.4741202138642558E-10</v>
      </c>
      <c r="M28" s="2">
        <f t="shared" si="4"/>
        <v>2.8520096384288023E-9</v>
      </c>
      <c r="N28" s="2">
        <f t="shared" si="5"/>
        <v>3.4741202138642558E-10</v>
      </c>
      <c r="O28">
        <f t="shared" si="6"/>
        <v>20.080321285140563</v>
      </c>
      <c r="P28">
        <f t="shared" si="7"/>
        <v>-21.780509658844522</v>
      </c>
      <c r="Q28">
        <f t="shared" si="8"/>
        <v>-9.4591551578766548</v>
      </c>
      <c r="R28">
        <f t="shared" si="9"/>
        <v>-21.830871257542444</v>
      </c>
      <c r="S28">
        <f t="shared" si="10"/>
        <v>5.0361598697922005E-2</v>
      </c>
      <c r="U28">
        <f t="shared" si="11"/>
        <v>3.2289378588828363E-7</v>
      </c>
      <c r="V28" s="2">
        <f t="shared" si="12"/>
        <v>-3.4248949764075641E-7</v>
      </c>
      <c r="W28" s="2">
        <f t="shared" si="13"/>
        <v>-2.7920833940850129E-6</v>
      </c>
      <c r="Z28" t="s">
        <v>631</v>
      </c>
      <c r="AA28">
        <f>AD32</f>
        <v>99.839214808316569</v>
      </c>
      <c r="AB28">
        <v>9.1999999999999993</v>
      </c>
    </row>
    <row r="29" spans="1:30" x14ac:dyDescent="0.3">
      <c r="A29" s="5">
        <v>26</v>
      </c>
      <c r="B29" s="7">
        <v>230</v>
      </c>
      <c r="C29" s="6">
        <v>500</v>
      </c>
      <c r="D29" s="11">
        <f>'Raw Data and Corrections'!R105</f>
        <v>0.154978273856932</v>
      </c>
      <c r="F29">
        <f t="shared" si="0"/>
        <v>30000</v>
      </c>
      <c r="G29" s="11">
        <f>'Raw Data and Corrections'!AU101</f>
        <v>10.590813349093992</v>
      </c>
      <c r="H29" s="2">
        <f t="shared" si="1"/>
        <v>7.2466188796469114E-2</v>
      </c>
      <c r="I29" s="2">
        <f t="shared" si="14"/>
        <v>7.3526606394483718E-2</v>
      </c>
      <c r="K29" s="2">
        <f t="shared" si="2"/>
        <v>4.5033372009678294E-10</v>
      </c>
      <c r="L29" s="2">
        <f t="shared" si="3"/>
        <v>4.7791526116643149E-10</v>
      </c>
      <c r="M29" s="2">
        <f t="shared" si="4"/>
        <v>3.8634433790593193E-9</v>
      </c>
      <c r="N29" s="2">
        <f t="shared" si="5"/>
        <v>4.7791526116643149E-10</v>
      </c>
      <c r="O29">
        <f t="shared" si="6"/>
        <v>19.880715705765407</v>
      </c>
      <c r="P29">
        <f t="shared" si="7"/>
        <v>-21.46158767704717</v>
      </c>
      <c r="Q29">
        <f t="shared" si="8"/>
        <v>-9.320649101024415</v>
      </c>
      <c r="R29">
        <f t="shared" si="9"/>
        <v>-21.447684148265228</v>
      </c>
      <c r="S29">
        <f t="shared" si="10"/>
        <v>-1.3903528781941787E-2</v>
      </c>
      <c r="U29">
        <f t="shared" si="11"/>
        <v>4.2776045646721916E-7</v>
      </c>
      <c r="V29" s="2">
        <f t="shared" si="12"/>
        <v>-4.5416236091596043E-7</v>
      </c>
      <c r="W29" s="2">
        <f t="shared" si="13"/>
        <v>-3.6454072090881652E-6</v>
      </c>
    </row>
    <row r="30" spans="1:30" x14ac:dyDescent="0.3">
      <c r="A30" s="5">
        <v>27</v>
      </c>
      <c r="B30" s="7">
        <v>234.89999999999901</v>
      </c>
      <c r="C30" s="6">
        <v>450</v>
      </c>
      <c r="D30" s="11">
        <f>'Raw Data and Corrections'!R109</f>
        <v>0.19512871594315101</v>
      </c>
      <c r="F30">
        <f t="shared" si="0"/>
        <v>27000</v>
      </c>
      <c r="G30" s="11">
        <f>'Raw Data and Corrections'!AU105</f>
        <v>10.758153502747934</v>
      </c>
      <c r="H30" s="2">
        <f t="shared" si="1"/>
        <v>7.3611190862713061E-2</v>
      </c>
      <c r="I30" s="2">
        <f t="shared" si="14"/>
        <v>7.4946332357804998E-2</v>
      </c>
      <c r="K30" s="2">
        <f t="shared" si="2"/>
        <v>6.4107014430821372E-10</v>
      </c>
      <c r="L30" s="2">
        <f t="shared" si="3"/>
        <v>6.8107204055788958E-10</v>
      </c>
      <c r="M30" s="2">
        <f t="shared" si="4"/>
        <v>5.4123220641618524E-9</v>
      </c>
      <c r="N30" s="2">
        <f t="shared" si="5"/>
        <v>6.8107204055788958E-10</v>
      </c>
      <c r="O30">
        <f t="shared" si="6"/>
        <v>19.68891514077578</v>
      </c>
      <c r="P30">
        <f t="shared" si="7"/>
        <v>-21.107353028945408</v>
      </c>
      <c r="Q30">
        <f t="shared" si="8"/>
        <v>-9.1668069480548784</v>
      </c>
      <c r="R30">
        <f t="shared" si="9"/>
        <v>-21.079480492404596</v>
      </c>
      <c r="S30">
        <f t="shared" si="10"/>
        <v>-2.7872536540812121E-2</v>
      </c>
      <c r="U30">
        <f t="shared" si="11"/>
        <v>4.8446676368061554E-7</v>
      </c>
      <c r="V30" s="2">
        <f t="shared" si="12"/>
        <v>-5.1498672217753361E-7</v>
      </c>
      <c r="W30" s="2">
        <f t="shared" si="13"/>
        <v>-4.0566688857766811E-6</v>
      </c>
      <c r="Z30" t="s">
        <v>363</v>
      </c>
    </row>
    <row r="31" spans="1:30" ht="15" thickBot="1" x14ac:dyDescent="0.35">
      <c r="A31" s="5">
        <v>28</v>
      </c>
      <c r="B31" s="7">
        <v>240</v>
      </c>
      <c r="C31" s="6">
        <v>400</v>
      </c>
      <c r="D31" s="11">
        <f>'Raw Data and Corrections'!R113</f>
        <v>0.24245710220568201</v>
      </c>
      <c r="F31">
        <f t="shared" si="0"/>
        <v>24000</v>
      </c>
      <c r="G31" s="11">
        <f>'Raw Data and Corrections'!AU109</f>
        <v>10.963814310649528</v>
      </c>
      <c r="H31" s="2">
        <f t="shared" si="1"/>
        <v>7.5018396753534125E-2</v>
      </c>
      <c r="I31" s="2">
        <f t="shared" si="14"/>
        <v>7.6677376244942572E-2</v>
      </c>
      <c r="K31" s="2">
        <f t="shared" si="2"/>
        <v>9.1506222359261715E-10</v>
      </c>
      <c r="L31" s="2">
        <f t="shared" si="3"/>
        <v>9.7345403835549565E-10</v>
      </c>
      <c r="M31" s="2">
        <f t="shared" si="4"/>
        <v>7.5785598672743609E-9</v>
      </c>
      <c r="N31" s="2">
        <f t="shared" si="5"/>
        <v>9.7345403835549565E-10</v>
      </c>
      <c r="O31">
        <f t="shared" si="6"/>
        <v>19.49317738791423</v>
      </c>
      <c r="P31">
        <f t="shared" si="7"/>
        <v>-20.750170505014115</v>
      </c>
      <c r="Q31">
        <f t="shared" si="8"/>
        <v>-9.0116845488792414</v>
      </c>
      <c r="R31">
        <f t="shared" si="9"/>
        <v>-20.703718532592507</v>
      </c>
      <c r="S31">
        <f t="shared" si="10"/>
        <v>-4.6451972421607479E-2</v>
      </c>
      <c r="U31">
        <f t="shared" si="11"/>
        <v>5.5761361552697245E-7</v>
      </c>
      <c r="V31" s="2">
        <f t="shared" si="12"/>
        <v>-5.9361157393754728E-7</v>
      </c>
      <c r="W31" s="2">
        <f t="shared" si="13"/>
        <v>-4.5723086129181216E-6</v>
      </c>
      <c r="Z31" t="s">
        <v>362</v>
      </c>
      <c r="AA31">
        <f>EXP(AI2)</f>
        <v>18214926.18059586</v>
      </c>
      <c r="AB31">
        <v>346</v>
      </c>
      <c r="AC31">
        <f>(AA32/1.987)/(LN((AA31*AB31^2*55*1.987)/(AA32*AA33)))</f>
        <v>373.96833441223214</v>
      </c>
      <c r="AD31" t="s">
        <v>621</v>
      </c>
    </row>
    <row r="32" spans="1:30" ht="15" thickBot="1" x14ac:dyDescent="0.35">
      <c r="A32" s="5">
        <v>29</v>
      </c>
      <c r="B32" s="7">
        <v>245</v>
      </c>
      <c r="C32" s="6">
        <v>350</v>
      </c>
      <c r="D32" s="11">
        <f>'Raw Data and Corrections'!R117</f>
        <v>0.31499558349552398</v>
      </c>
      <c r="F32">
        <f t="shared" si="0"/>
        <v>21000</v>
      </c>
      <c r="G32" s="11">
        <f>'Raw Data and Corrections'!AU113</f>
        <v>11.232763688426983</v>
      </c>
      <c r="H32" s="2">
        <f t="shared" si="1"/>
        <v>7.6858646009591608E-2</v>
      </c>
      <c r="I32" s="2">
        <f t="shared" si="14"/>
        <v>7.9013960117321896E-2</v>
      </c>
      <c r="K32" s="2">
        <f t="shared" si="2"/>
        <v>1.3960740208801467E-9</v>
      </c>
      <c r="L32" s="2">
        <f t="shared" si="3"/>
        <v>1.4877958888305532E-9</v>
      </c>
      <c r="M32" s="2">
        <f t="shared" si="4"/>
        <v>1.1277966642832532E-8</v>
      </c>
      <c r="N32" s="2">
        <f t="shared" si="5"/>
        <v>1.4877958888305532E-9</v>
      </c>
      <c r="O32">
        <f t="shared" si="6"/>
        <v>19.305019305019304</v>
      </c>
      <c r="P32">
        <f t="shared" si="7"/>
        <v>-20.325970081429222</v>
      </c>
      <c r="Q32">
        <f t="shared" si="8"/>
        <v>-8.8274566456953014</v>
      </c>
      <c r="R32">
        <f t="shared" si="9"/>
        <v>-20.342507427685764</v>
      </c>
      <c r="S32">
        <f t="shared" si="10"/>
        <v>1.6537346256541241E-2</v>
      </c>
      <c r="U32">
        <f t="shared" si="11"/>
        <v>6.5669226623178675E-7</v>
      </c>
      <c r="V32" s="2">
        <f t="shared" si="12"/>
        <v>-7.0047473695909218E-7</v>
      </c>
      <c r="W32" s="2">
        <f t="shared" si="13"/>
        <v>-5.2387528797910682E-6</v>
      </c>
      <c r="Z32" t="s">
        <v>361</v>
      </c>
      <c r="AA32">
        <f>AA26</f>
        <v>38145.747985821545</v>
      </c>
      <c r="AB32">
        <f>AC31</f>
        <v>373.96833441223214</v>
      </c>
      <c r="AC32">
        <f>(AA32/1.987)/(LN((AA31*AB32^2*55*1.987)/(AA32*AA33)))</f>
        <v>372.83921480831657</v>
      </c>
      <c r="AD32" s="19">
        <f>AC32-273</f>
        <v>99.839214808316569</v>
      </c>
    </row>
    <row r="33" spans="1:30" ht="15" thickBot="1" x14ac:dyDescent="0.35">
      <c r="A33" s="5">
        <v>30</v>
      </c>
      <c r="B33" s="7">
        <v>250</v>
      </c>
      <c r="C33" s="6">
        <v>300</v>
      </c>
      <c r="D33" s="11">
        <f>'Raw Data and Corrections'!R121</f>
        <v>0.37161531847225299</v>
      </c>
      <c r="F33">
        <f t="shared" si="0"/>
        <v>18000</v>
      </c>
      <c r="G33" s="11">
        <f>'Raw Data and Corrections'!AU117</f>
        <v>11.568938563985556</v>
      </c>
      <c r="H33" s="2">
        <f t="shared" si="1"/>
        <v>7.9158876520493873E-2</v>
      </c>
      <c r="I33" s="2">
        <f t="shared" si="14"/>
        <v>8.1701603404673556E-2</v>
      </c>
      <c r="K33" s="2">
        <f t="shared" si="2"/>
        <v>1.9830056050268502E-9</v>
      </c>
      <c r="L33" s="2">
        <f t="shared" si="3"/>
        <v>2.1177780510986012E-9</v>
      </c>
      <c r="M33" s="2">
        <f t="shared" si="4"/>
        <v>1.5564782631908285E-8</v>
      </c>
      <c r="N33" s="2">
        <f t="shared" si="5"/>
        <v>2.1177780510986012E-9</v>
      </c>
      <c r="O33">
        <f t="shared" si="6"/>
        <v>19.120458891013385</v>
      </c>
      <c r="P33">
        <f t="shared" si="7"/>
        <v>-19.972898386996384</v>
      </c>
      <c r="Q33">
        <f t="shared" si="8"/>
        <v>-8.6741195570868879</v>
      </c>
      <c r="R33">
        <f t="shared" si="9"/>
        <v>-19.98820284486138</v>
      </c>
      <c r="S33">
        <f t="shared" si="10"/>
        <v>1.5304457864996124E-2</v>
      </c>
      <c r="U33">
        <f t="shared" si="11"/>
        <v>7.9220110198342366E-7</v>
      </c>
      <c r="V33" s="2">
        <f t="shared" si="12"/>
        <v>-8.4695367782608508E-7</v>
      </c>
      <c r="W33" s="2">
        <f t="shared" si="13"/>
        <v>-6.1297663892982895E-6</v>
      </c>
      <c r="Z33" t="s">
        <v>360</v>
      </c>
      <c r="AA33">
        <f>AA35/(1000000*365*24*60*60)</f>
        <v>3.1709791983764587E-13</v>
      </c>
    </row>
    <row r="34" spans="1:30" ht="15" thickBot="1" x14ac:dyDescent="0.35">
      <c r="A34" s="5">
        <v>31</v>
      </c>
      <c r="B34" s="7">
        <v>249.97</v>
      </c>
      <c r="C34" s="6">
        <v>300</v>
      </c>
      <c r="D34" s="11">
        <f>'Raw Data and Corrections'!R126</f>
        <v>0.36397906669414698</v>
      </c>
      <c r="F34">
        <f t="shared" si="0"/>
        <v>18000</v>
      </c>
      <c r="G34" s="11">
        <f>'Raw Data and Corrections'!AU121</f>
        <v>11.962657896853452</v>
      </c>
      <c r="H34" s="2">
        <f t="shared" si="1"/>
        <v>8.1852847093666664E-2</v>
      </c>
      <c r="I34" s="2">
        <f t="shared" si="14"/>
        <v>8.4343323971656128E-2</v>
      </c>
      <c r="K34" s="2">
        <f t="shared" si="2"/>
        <v>2.0066812597817821E-9</v>
      </c>
      <c r="L34" s="2">
        <f t="shared" si="3"/>
        <v>2.1479417303448814E-9</v>
      </c>
      <c r="M34" s="2">
        <f t="shared" si="4"/>
        <v>1.5289301715638171E-8</v>
      </c>
      <c r="N34" s="2">
        <f t="shared" si="5"/>
        <v>2.1479417303448814E-9</v>
      </c>
      <c r="O34">
        <f t="shared" si="6"/>
        <v>19.121555729774173</v>
      </c>
      <c r="P34">
        <f t="shared" si="7"/>
        <v>-19.958755788067709</v>
      </c>
      <c r="Q34">
        <f t="shared" si="8"/>
        <v>-8.667977504412395</v>
      </c>
      <c r="R34">
        <f t="shared" si="9"/>
        <v>-19.990308469741233</v>
      </c>
      <c r="S34">
        <f t="shared" si="10"/>
        <v>3.1552681673524319E-2</v>
      </c>
      <c r="U34">
        <f t="shared" si="11"/>
        <v>8.1781594743425554E-7</v>
      </c>
      <c r="V34" s="2">
        <f t="shared" si="12"/>
        <v>-8.7631286608109426E-7</v>
      </c>
      <c r="W34" s="2">
        <f t="shared" si="13"/>
        <v>-6.1474511071246763E-6</v>
      </c>
      <c r="Z34" t="s">
        <v>359</v>
      </c>
      <c r="AB34">
        <f>0.97*AA32</f>
        <v>37001.375546246898</v>
      </c>
      <c r="AC34" t="s">
        <v>358</v>
      </c>
      <c r="AD34" s="19"/>
    </row>
    <row r="35" spans="1:30" x14ac:dyDescent="0.3">
      <c r="A35" s="5">
        <v>32</v>
      </c>
      <c r="B35" s="6">
        <v>249.98</v>
      </c>
      <c r="C35" s="6">
        <v>300</v>
      </c>
      <c r="D35" s="12">
        <f>'Raw Data and Corrections'!R130</f>
        <v>0.34519114717899502</v>
      </c>
      <c r="E35" s="6"/>
      <c r="F35">
        <f t="shared" si="0"/>
        <v>18000</v>
      </c>
      <c r="G35" s="11">
        <f>'Raw Data and Corrections'!AU126</f>
        <v>12.348988726856295</v>
      </c>
      <c r="H35" s="2">
        <f t="shared" si="1"/>
        <v>8.4496262848631098E-2</v>
      </c>
      <c r="I35" s="2">
        <f t="shared" si="14"/>
        <v>8.6858185962353299E-2</v>
      </c>
      <c r="K35" s="2">
        <f t="shared" si="2"/>
        <v>1.9621671803814534E-9</v>
      </c>
      <c r="L35" s="2">
        <f t="shared" si="3"/>
        <v>2.1049286076355715E-9</v>
      </c>
      <c r="M35" s="2">
        <f t="shared" si="4"/>
        <v>1.4540997812434412E-8</v>
      </c>
      <c r="N35" s="2">
        <f t="shared" si="5"/>
        <v>2.1049286076355715E-9</v>
      </c>
      <c r="O35">
        <f t="shared" si="6"/>
        <v>19.121190102872003</v>
      </c>
      <c r="P35">
        <f t="shared" si="7"/>
        <v>-19.978984285999768</v>
      </c>
      <c r="Q35">
        <f t="shared" si="8"/>
        <v>-8.6767626294414786</v>
      </c>
      <c r="R35">
        <f t="shared" si="9"/>
        <v>-19.989606567939912</v>
      </c>
      <c r="S35">
        <f t="shared" si="10"/>
        <v>1.0622281940143807E-2</v>
      </c>
      <c r="U35">
        <f t="shared" si="11"/>
        <v>8.4220073741810244E-7</v>
      </c>
      <c r="V35" s="2">
        <f t="shared" si="12"/>
        <v>-9.0438661952575508E-7</v>
      </c>
      <c r="W35" s="2">
        <f t="shared" si="13"/>
        <v>-6.164381654922742E-6</v>
      </c>
      <c r="Z35" t="s">
        <v>357</v>
      </c>
      <c r="AA35">
        <v>10</v>
      </c>
    </row>
    <row r="36" spans="1:30" x14ac:dyDescent="0.3">
      <c r="A36" s="5">
        <v>33</v>
      </c>
      <c r="B36" s="6">
        <v>250</v>
      </c>
      <c r="C36" s="6">
        <v>10250</v>
      </c>
      <c r="D36" s="12">
        <f>'Raw Data and Corrections'!R133</f>
        <v>8.4829081066253593</v>
      </c>
      <c r="E36" s="6"/>
      <c r="F36">
        <f t="shared" si="0"/>
        <v>615000</v>
      </c>
      <c r="G36" s="12">
        <f>'Raw Data and Corrections'!AU130</f>
        <v>12.716739144357899</v>
      </c>
      <c r="H36" s="2">
        <f t="shared" si="1"/>
        <v>8.7012544677630699E-2</v>
      </c>
      <c r="I36" s="2">
        <f t="shared" si="14"/>
        <v>0.14505568075559766</v>
      </c>
      <c r="K36" s="2">
        <f t="shared" si="2"/>
        <v>1.9113437768365102E-9</v>
      </c>
      <c r="L36" s="2">
        <f t="shared" si="3"/>
        <v>2.1102982822923638E-9</v>
      </c>
      <c r="M36" s="2">
        <f t="shared" si="4"/>
        <v>1.0821728019758364E-8</v>
      </c>
      <c r="N36" s="2">
        <f t="shared" si="5"/>
        <v>2.1102982822923638E-9</v>
      </c>
      <c r="O36">
        <f t="shared" si="6"/>
        <v>19.120458891013385</v>
      </c>
      <c r="P36">
        <f t="shared" si="7"/>
        <v>-19.976436533434331</v>
      </c>
      <c r="Q36">
        <f t="shared" si="8"/>
        <v>-8.6756561545610555</v>
      </c>
      <c r="R36">
        <f t="shared" si="9"/>
        <v>-19.98820284486138</v>
      </c>
      <c r="S36">
        <f t="shared" si="10"/>
        <v>1.1766311427049203E-2</v>
      </c>
      <c r="U36">
        <f t="shared" si="11"/>
        <v>4.1165841104178136E-8</v>
      </c>
      <c r="V36" s="2">
        <f t="shared" si="12"/>
        <v>-4.6540831620842078E-8</v>
      </c>
      <c r="W36" s="2">
        <f t="shared" si="13"/>
        <v>-1.9270248177912658E-7</v>
      </c>
    </row>
    <row r="37" spans="1:30" x14ac:dyDescent="0.3">
      <c r="A37" s="5">
        <v>34</v>
      </c>
      <c r="B37" s="6">
        <v>240</v>
      </c>
      <c r="C37" s="6">
        <v>785</v>
      </c>
      <c r="D37" s="12">
        <f>'Raw Data and Corrections'!R135</f>
        <v>0.22612522923310299</v>
      </c>
      <c r="E37" s="6"/>
      <c r="F37">
        <f t="shared" si="0"/>
        <v>47100</v>
      </c>
      <c r="G37" s="12">
        <f>'Raw Data and Corrections'!AU133</f>
        <v>21.218729546930575</v>
      </c>
      <c r="H37" s="2">
        <f t="shared" si="1"/>
        <v>0.14518624875025565</v>
      </c>
      <c r="I37" s="2">
        <f t="shared" si="14"/>
        <v>0.14673347963924613</v>
      </c>
      <c r="K37" s="2">
        <f t="shared" si="2"/>
        <v>8.368450241521248E-10</v>
      </c>
      <c r="L37" s="2">
        <f t="shared" si="3"/>
        <v>9.4689462672939442E-10</v>
      </c>
      <c r="M37" s="2">
        <f t="shared" si="4"/>
        <v>3.8972324717334102E-9</v>
      </c>
      <c r="N37" s="2">
        <f t="shared" si="5"/>
        <v>9.4689462672939442E-10</v>
      </c>
      <c r="O37">
        <f t="shared" si="6"/>
        <v>19.49317738791423</v>
      </c>
      <c r="P37">
        <f t="shared" si="7"/>
        <v>-20.777833299546604</v>
      </c>
      <c r="Q37">
        <f t="shared" si="8"/>
        <v>-9.0236983478987263</v>
      </c>
      <c r="R37">
        <f t="shared" si="9"/>
        <v>-20.703718532592507</v>
      </c>
      <c r="S37">
        <f t="shared" si="10"/>
        <v>-7.4114766954096467E-2</v>
      </c>
      <c r="U37">
        <f t="shared" si="11"/>
        <v>5.4373298144647686E-7</v>
      </c>
      <c r="V37" s="2">
        <f t="shared" si="12"/>
        <v>-6.1567140681576708E-7</v>
      </c>
      <c r="W37" s="2">
        <f t="shared" si="13"/>
        <v>-2.5211265264912238E-6</v>
      </c>
      <c r="AB37">
        <v>98.9</v>
      </c>
      <c r="AC37">
        <v>99.09</v>
      </c>
    </row>
    <row r="38" spans="1:30" x14ac:dyDescent="0.3">
      <c r="A38" t="s">
        <v>298</v>
      </c>
      <c r="D38" s="6" cm="1">
        <f t="array" ref="D38:E38">'Raw Data and Corrections'!AG138:AH138</f>
        <v>124.54078707011602</v>
      </c>
      <c r="E38" s="6">
        <v>1.0730577113002813</v>
      </c>
      <c r="F38">
        <f>3600*C38</f>
        <v>0</v>
      </c>
      <c r="G38" s="2">
        <f>'Raw Data and Corrections'!AQ138</f>
        <v>146.14834207494607</v>
      </c>
      <c r="I38" s="2">
        <f>G38/$G$38</f>
        <v>1</v>
      </c>
      <c r="AB38">
        <v>18003069.985226665</v>
      </c>
      <c r="AC38">
        <v>17354426.675797403</v>
      </c>
    </row>
    <row r="39" spans="1:30" x14ac:dyDescent="0.3">
      <c r="D39" s="7">
        <f>SUM(D4:D38)</f>
        <v>145.09439385441266</v>
      </c>
      <c r="E39" s="6">
        <v>1.0726345452392398</v>
      </c>
      <c r="AB39">
        <v>38038.944164075619</v>
      </c>
      <c r="AC39">
        <v>38032.636907850479</v>
      </c>
    </row>
    <row r="43" spans="1:30" x14ac:dyDescent="0.3">
      <c r="A43" t="s">
        <v>622</v>
      </c>
      <c r="G43" s="7" t="s">
        <v>352</v>
      </c>
      <c r="H43" s="7" t="s">
        <v>648</v>
      </c>
      <c r="I43" s="7" t="s">
        <v>341</v>
      </c>
      <c r="K43" t="s">
        <v>290</v>
      </c>
      <c r="L43" t="s">
        <v>291</v>
      </c>
      <c r="M43" t="s">
        <v>292</v>
      </c>
      <c r="N43" t="s">
        <v>293</v>
      </c>
      <c r="O43" t="s">
        <v>295</v>
      </c>
      <c r="P43" t="s">
        <v>294</v>
      </c>
      <c r="Q43" t="s">
        <v>296</v>
      </c>
      <c r="R43" t="s">
        <v>366</v>
      </c>
      <c r="S43" t="s">
        <v>368</v>
      </c>
      <c r="U43" t="s">
        <v>348</v>
      </c>
    </row>
    <row r="44" spans="1:30" x14ac:dyDescent="0.3">
      <c r="G44" s="7"/>
      <c r="H44" s="7"/>
      <c r="I44" s="7"/>
      <c r="K44" t="s">
        <v>342</v>
      </c>
      <c r="L44" t="s">
        <v>343</v>
      </c>
      <c r="M44" t="s">
        <v>344</v>
      </c>
      <c r="U44" t="s">
        <v>345</v>
      </c>
      <c r="V44" t="s">
        <v>346</v>
      </c>
      <c r="W44" t="s">
        <v>347</v>
      </c>
    </row>
    <row r="45" spans="1:30" x14ac:dyDescent="0.3">
      <c r="A45" t="s">
        <v>297</v>
      </c>
      <c r="B45" s="7" t="s">
        <v>300</v>
      </c>
      <c r="C45" s="7" t="s">
        <v>301</v>
      </c>
      <c r="D45" s="7" t="s">
        <v>384</v>
      </c>
      <c r="E45" s="7" t="s">
        <v>325</v>
      </c>
      <c r="F45" t="s">
        <v>302</v>
      </c>
      <c r="I45">
        <v>0</v>
      </c>
      <c r="U45">
        <v>0</v>
      </c>
      <c r="V45">
        <v>0</v>
      </c>
      <c r="W45">
        <v>0</v>
      </c>
    </row>
    <row r="46" spans="1:30" x14ac:dyDescent="0.3">
      <c r="A46" s="5">
        <v>1</v>
      </c>
      <c r="B46" s="7">
        <v>170</v>
      </c>
      <c r="C46" s="6">
        <v>300</v>
      </c>
      <c r="D46" s="11">
        <f>'Raw Data and Corrections'!T5</f>
        <v>1.9201957516247901E-2</v>
      </c>
      <c r="F46">
        <v>18000</v>
      </c>
      <c r="G46">
        <v>0</v>
      </c>
      <c r="H46" s="2">
        <f>G46/$G$80</f>
        <v>0</v>
      </c>
      <c r="I46" s="2">
        <f t="shared" ref="I46:I79" si="15">(G46+D46)/$G$80</f>
        <v>1.3168700895593849E-4</v>
      </c>
      <c r="K46" s="2">
        <f>((I46^2-H46^2)*PI())/(36*F46)</f>
        <v>8.4073810958264453E-14</v>
      </c>
      <c r="L46" s="2">
        <f>(1/(PI()*PI()*F46))*(-(I46-H46)*PI()*PI()/3-2*PI()*(SQRT(1-PI()/3*I46)-SQRT(1-PI()/3*H46)))</f>
        <v>8.4079607449748214E-14</v>
      </c>
      <c r="M46" s="2">
        <f>(1/(PI()^2*F46))*LN((1-H46)/(1-I46))</f>
        <v>7.4130901244017478E-10</v>
      </c>
      <c r="N46" s="2">
        <f t="shared" ref="N46:N79" si="16">(I46&lt;0.05)*K46+((I46&gt;=0.05)*(I46&lt;0.9))*L46+(I46&gt;=0.9)*M46</f>
        <v>8.4073810958264453E-14</v>
      </c>
      <c r="O46">
        <f t="shared" ref="O46:O79" si="17">10000/(273+B46)</f>
        <v>22.573363431151243</v>
      </c>
      <c r="P46">
        <f t="shared" ref="P46:P79" si="18">LN(N46)</f>
        <v>-30.107081280015766</v>
      </c>
      <c r="Q46">
        <f t="shared" ref="Q46:Q79" si="19">LOG10(N46)</f>
        <v>-13.075339266123539</v>
      </c>
      <c r="R46">
        <f t="shared" ref="R46:R79" si="20">$AI$2+$AH$2*O46</f>
        <v>-26.61681770366172</v>
      </c>
      <c r="S46">
        <f t="shared" ref="S46:S79" si="21">P46-R46</f>
        <v>-3.4902635763540459</v>
      </c>
      <c r="U46" s="2">
        <f t="shared" ref="U46:U79" si="22" xml:space="preserve"> (I46 * PI()) / (18 * F46)</f>
        <v>1.2768732713246595E-9</v>
      </c>
      <c r="V46" s="2">
        <f t="shared" ref="V46:V79" si="23" xml:space="preserve"> (1 / (PI()^2 * F46)) * (PI()^2 / 3 - PI()^2 / (3 * SQRT(1 - (PI() / 3) * I46)))</f>
        <v>-1.2770053493345765E-9</v>
      </c>
      <c r="W46" s="2">
        <f t="shared" ref="W46:W79" si="24" xml:space="preserve"> (-1) / (PI()^2 * F46 * (1 - I46))</f>
        <v>-5.629696004624724E-6</v>
      </c>
    </row>
    <row r="47" spans="1:30" x14ac:dyDescent="0.3">
      <c r="A47" s="5">
        <v>2</v>
      </c>
      <c r="B47" s="7">
        <v>180</v>
      </c>
      <c r="C47" s="6">
        <v>463</v>
      </c>
      <c r="D47" s="11">
        <f>'Raw Data and Corrections'!T9</f>
        <v>3.0467213114754099E-2</v>
      </c>
      <c r="F47">
        <v>27780</v>
      </c>
      <c r="G47" s="2">
        <f>'Raw Data and Corrections'!AW5</f>
        <v>1.9201957516247901E-2</v>
      </c>
      <c r="H47" s="2">
        <f t="shared" ref="H47:H79" si="25">G47/$G$80</f>
        <v>1.3168700895593849E-4</v>
      </c>
      <c r="I47" s="2">
        <f t="shared" si="15"/>
        <v>3.4063113160125765E-4</v>
      </c>
      <c r="K47" s="2">
        <f t="shared" ref="K47:K79" si="26">((I47^2-H47^2)*PI())/(36*F47)</f>
        <v>3.1001300730825761E-13</v>
      </c>
      <c r="L47" s="2">
        <f t="shared" ref="L47:L79" si="27">(1/(PI()*PI()*F47))*(-(I47-H47)*PI()*PI()/3-2*PI()*(SQRT(1-PI()/3*I47)-SQRT(1-PI()/3*H47)))</f>
        <v>3.1007427485927232E-13</v>
      </c>
      <c r="M47" s="2">
        <f t="shared" ref="M47:M79" si="28">(1/(PI()^2*F47))*LN((1-H47)/(1-I47))</f>
        <v>7.622558199106281E-10</v>
      </c>
      <c r="N47" s="2">
        <f t="shared" si="16"/>
        <v>3.1001300730825761E-13</v>
      </c>
      <c r="O47">
        <f t="shared" si="17"/>
        <v>22.075055187637968</v>
      </c>
      <c r="P47">
        <f t="shared" si="18"/>
        <v>-28.802162139252854</v>
      </c>
      <c r="Q47">
        <f t="shared" si="19"/>
        <v>-12.508620083960274</v>
      </c>
      <c r="R47">
        <f t="shared" si="20"/>
        <v>-25.660204687339256</v>
      </c>
      <c r="S47">
        <f t="shared" si="21"/>
        <v>-3.1419574519135978</v>
      </c>
      <c r="U47">
        <f t="shared" si="22"/>
        <v>2.1400773150597734E-9</v>
      </c>
      <c r="V47" s="2">
        <f t="shared" si="23"/>
        <v>-2.1406500224673744E-9</v>
      </c>
      <c r="W47" s="2">
        <f t="shared" si="24"/>
        <v>-3.6485136267831573E-6</v>
      </c>
    </row>
    <row r="48" spans="1:30" x14ac:dyDescent="0.3">
      <c r="A48" s="5">
        <v>3</v>
      </c>
      <c r="B48" s="7">
        <v>190</v>
      </c>
      <c r="C48" s="6">
        <v>550</v>
      </c>
      <c r="D48" s="11">
        <f>'Raw Data and Corrections'!T13</f>
        <v>5.5770491803278699E-2</v>
      </c>
      <c r="F48">
        <v>33000</v>
      </c>
      <c r="G48" s="2">
        <f>'Raw Data and Corrections'!AW9</f>
        <v>6.5965821544759856E-2</v>
      </c>
      <c r="H48" s="2">
        <f t="shared" si="25"/>
        <v>4.5239355025133174E-4</v>
      </c>
      <c r="I48" s="2">
        <f t="shared" si="15"/>
        <v>8.3486753746649231E-4</v>
      </c>
      <c r="K48" s="2">
        <f t="shared" si="26"/>
        <v>1.3019729957753801E-12</v>
      </c>
      <c r="L48" s="2">
        <f t="shared" si="27"/>
        <v>1.3026509205507795E-12</v>
      </c>
      <c r="M48" s="2">
        <f t="shared" si="28"/>
        <v>1.1750810929336014E-9</v>
      </c>
      <c r="N48" s="2">
        <f t="shared" si="16"/>
        <v>1.3019729957753801E-12</v>
      </c>
      <c r="O48">
        <f t="shared" si="17"/>
        <v>21.598272138228943</v>
      </c>
      <c r="P48">
        <f t="shared" si="18"/>
        <v>-27.367140312929163</v>
      </c>
      <c r="Q48">
        <f t="shared" si="19"/>
        <v>-11.885398023377169</v>
      </c>
      <c r="R48">
        <f t="shared" si="20"/>
        <v>-24.744914047531818</v>
      </c>
      <c r="S48">
        <f t="shared" si="21"/>
        <v>-2.6222262653973445</v>
      </c>
      <c r="U48">
        <f t="shared" si="22"/>
        <v>4.4155113172143658E-9</v>
      </c>
      <c r="V48" s="2">
        <f t="shared" si="23"/>
        <v>-4.4184086941200865E-9</v>
      </c>
      <c r="W48" s="2">
        <f t="shared" si="24"/>
        <v>-3.0729043663538677E-6</v>
      </c>
    </row>
    <row r="49" spans="1:26" x14ac:dyDescent="0.3">
      <c r="A49" s="5">
        <v>4</v>
      </c>
      <c r="B49" s="7">
        <v>200</v>
      </c>
      <c r="C49" s="6">
        <v>500</v>
      </c>
      <c r="D49" s="11">
        <f>'Raw Data and Corrections'!T17</f>
        <v>0.102413793103448</v>
      </c>
      <c r="F49">
        <v>30000</v>
      </c>
      <c r="G49" s="2">
        <f>'Raw Data and Corrections'!AW13</f>
        <v>0.13751482998502546</v>
      </c>
      <c r="H49" s="2">
        <f>G49/$G$80</f>
        <v>9.4307659166985411E-4</v>
      </c>
      <c r="I49" s="2">
        <f t="shared" si="15"/>
        <v>1.6454303010879493E-3</v>
      </c>
      <c r="K49" s="2">
        <f t="shared" si="26"/>
        <v>5.2884855668634275E-12</v>
      </c>
      <c r="L49" s="2">
        <f t="shared" si="27"/>
        <v>5.2939997879112325E-12</v>
      </c>
      <c r="M49" s="2">
        <f t="shared" si="28"/>
        <v>2.3751844942787712E-9</v>
      </c>
      <c r="N49" s="2">
        <f t="shared" si="16"/>
        <v>5.2884855668634275E-12</v>
      </c>
      <c r="O49">
        <f t="shared" si="17"/>
        <v>21.141649048625794</v>
      </c>
      <c r="P49">
        <f t="shared" si="18"/>
        <v>-25.965489193301369</v>
      </c>
      <c r="Q49">
        <f t="shared" si="19"/>
        <v>-11.276668676569303</v>
      </c>
      <c r="R49">
        <f t="shared" si="20"/>
        <v>-23.868324914692973</v>
      </c>
      <c r="S49">
        <f t="shared" si="21"/>
        <v>-2.0971642786083962</v>
      </c>
      <c r="U49">
        <f t="shared" si="22"/>
        <v>9.5727254553554503E-9</v>
      </c>
      <c r="V49" s="2">
        <f t="shared" si="23"/>
        <v>-9.5851142506205314E-9</v>
      </c>
      <c r="W49" s="2">
        <f t="shared" si="24"/>
        <v>-3.382939178709312E-6</v>
      </c>
    </row>
    <row r="50" spans="1:26" x14ac:dyDescent="0.3">
      <c r="A50" s="5">
        <v>5</v>
      </c>
      <c r="B50" s="7">
        <v>210</v>
      </c>
      <c r="C50" s="6">
        <v>475</v>
      </c>
      <c r="D50" s="11">
        <f>'Raw Data and Corrections'!T21</f>
        <v>0.145987300080372</v>
      </c>
      <c r="F50">
        <v>28500</v>
      </c>
      <c r="G50" s="2">
        <f>'Raw Data and Corrections'!AW17</f>
        <v>0.2499547833128809</v>
      </c>
      <c r="H50" s="2">
        <f t="shared" si="25"/>
        <v>1.7141896997142625E-3</v>
      </c>
      <c r="I50" s="2">
        <f t="shared" si="15"/>
        <v>2.715370484374896E-3</v>
      </c>
      <c r="K50" s="2">
        <f t="shared" si="26"/>
        <v>1.3579245012876756E-11</v>
      </c>
      <c r="L50" s="2">
        <f t="shared" si="27"/>
        <v>1.3603316218223004E-11</v>
      </c>
      <c r="M50" s="2">
        <f t="shared" si="28"/>
        <v>3.567228016922174E-9</v>
      </c>
      <c r="N50" s="2">
        <f t="shared" si="16"/>
        <v>1.3579245012876756E-11</v>
      </c>
      <c r="O50">
        <f t="shared" si="17"/>
        <v>20.703933747412009</v>
      </c>
      <c r="P50">
        <f t="shared" si="18"/>
        <v>-25.022478590860661</v>
      </c>
      <c r="Q50">
        <f t="shared" si="19"/>
        <v>-10.867124375553042</v>
      </c>
      <c r="R50">
        <f t="shared" si="20"/>
        <v>-23.028033468514121</v>
      </c>
      <c r="S50">
        <f t="shared" si="21"/>
        <v>-1.9944451223465407</v>
      </c>
      <c r="U50">
        <f t="shared" si="22"/>
        <v>1.662882644344392E-8</v>
      </c>
      <c r="V50" s="2">
        <f t="shared" si="23"/>
        <v>-1.6664374104137453E-8</v>
      </c>
      <c r="W50" s="2">
        <f t="shared" si="24"/>
        <v>-3.5648090278249321E-6</v>
      </c>
    </row>
    <row r="51" spans="1:26" x14ac:dyDescent="0.3">
      <c r="A51" s="5">
        <v>6</v>
      </c>
      <c r="B51" s="7">
        <v>220</v>
      </c>
      <c r="C51" s="6">
        <v>450</v>
      </c>
      <c r="D51" s="11">
        <f>'Raw Data and Corrections'!T25</f>
        <v>0.20905016447368399</v>
      </c>
      <c r="F51">
        <v>27000</v>
      </c>
      <c r="G51" s="2">
        <f>'Raw Data and Corrections'!AW21</f>
        <v>0.40553743215273907</v>
      </c>
      <c r="H51" s="2">
        <f t="shared" si="25"/>
        <v>2.7811753783268081E-3</v>
      </c>
      <c r="I51" s="2">
        <f t="shared" si="15"/>
        <v>4.2148412354662363E-3</v>
      </c>
      <c r="K51" s="2">
        <f t="shared" si="26"/>
        <v>3.2417713707171279E-11</v>
      </c>
      <c r="L51" s="2">
        <f t="shared" si="27"/>
        <v>3.2508306790925271E-11</v>
      </c>
      <c r="M51" s="2">
        <f t="shared" si="28"/>
        <v>5.3989130965144624E-9</v>
      </c>
      <c r="N51" s="2">
        <f t="shared" si="16"/>
        <v>3.2417713707171279E-11</v>
      </c>
      <c r="O51">
        <f t="shared" si="17"/>
        <v>20.28397565922921</v>
      </c>
      <c r="P51">
        <f t="shared" si="18"/>
        <v>-24.152316123169705</v>
      </c>
      <c r="Q51">
        <f t="shared" si="19"/>
        <v>-10.489217617475543</v>
      </c>
      <c r="R51">
        <f t="shared" si="20"/>
        <v>-22.221830924817173</v>
      </c>
      <c r="S51">
        <f t="shared" si="21"/>
        <v>-1.9304851983525317</v>
      </c>
      <c r="U51">
        <f t="shared" si="22"/>
        <v>2.7245502595448675E-8</v>
      </c>
      <c r="V51" s="2">
        <f t="shared" si="23"/>
        <v>-2.7336027184726566E-8</v>
      </c>
      <c r="W51" s="2">
        <f t="shared" si="24"/>
        <v>-3.7685201453028025E-6</v>
      </c>
    </row>
    <row r="52" spans="1:26" x14ac:dyDescent="0.3">
      <c r="A52" s="5">
        <v>7</v>
      </c>
      <c r="B52" s="7">
        <v>230</v>
      </c>
      <c r="C52" s="6">
        <v>425</v>
      </c>
      <c r="D52" s="11">
        <f>'Raw Data and Corrections'!T29</f>
        <v>0.32434102141680399</v>
      </c>
      <c r="F52">
        <v>25500</v>
      </c>
      <c r="G52" s="2">
        <f>'Raw Data and Corrections'!AW25</f>
        <v>0.63194775582281049</v>
      </c>
      <c r="H52" s="2">
        <f t="shared" si="25"/>
        <v>4.3338971930495605E-3</v>
      </c>
      <c r="I52" s="2">
        <f t="shared" si="15"/>
        <v>6.5582276528973237E-3</v>
      </c>
      <c r="K52" s="2">
        <f t="shared" si="26"/>
        <v>8.2912328345239934E-11</v>
      </c>
      <c r="L52" s="2">
        <f t="shared" si="27"/>
        <v>8.3273666412983489E-11</v>
      </c>
      <c r="M52" s="2">
        <f t="shared" si="28"/>
        <v>8.8865097789651491E-9</v>
      </c>
      <c r="N52" s="2">
        <f t="shared" si="16"/>
        <v>8.2912328345239934E-11</v>
      </c>
      <c r="O52">
        <f t="shared" si="17"/>
        <v>19.880715705765407</v>
      </c>
      <c r="P52">
        <f t="shared" si="18"/>
        <v>-23.213237351391214</v>
      </c>
      <c r="Q52">
        <f t="shared" si="19"/>
        <v>-10.081380888819661</v>
      </c>
      <c r="R52">
        <f t="shared" si="20"/>
        <v>-21.447684148265228</v>
      </c>
      <c r="S52">
        <f t="shared" si="21"/>
        <v>-1.765553203125986</v>
      </c>
      <c r="U52">
        <f t="shared" si="22"/>
        <v>4.4887319858195349E-8</v>
      </c>
      <c r="V52" s="2">
        <f t="shared" si="23"/>
        <v>-4.5119857587728588E-8</v>
      </c>
      <c r="W52" s="2">
        <f t="shared" si="24"/>
        <v>-3.9996101042665215E-6</v>
      </c>
    </row>
    <row r="53" spans="1:26" x14ac:dyDescent="0.3">
      <c r="A53" s="5">
        <v>8</v>
      </c>
      <c r="B53" s="7">
        <v>225</v>
      </c>
      <c r="C53" s="6">
        <v>908</v>
      </c>
      <c r="D53" s="11">
        <f>'Raw Data and Corrections'!T33</f>
        <v>0.34826732673267302</v>
      </c>
      <c r="F53">
        <v>54480</v>
      </c>
      <c r="G53" s="2">
        <f>'Raw Data and Corrections'!AW29</f>
        <v>0.97991452293274905</v>
      </c>
      <c r="H53" s="2">
        <f t="shared" si="25"/>
        <v>6.720252997555542E-3</v>
      </c>
      <c r="I53" s="2">
        <f t="shared" si="15"/>
        <v>9.1086700397086402E-3</v>
      </c>
      <c r="K53" s="2">
        <f t="shared" si="26"/>
        <v>6.0558038796869264E-11</v>
      </c>
      <c r="L53" s="2">
        <f t="shared" si="27"/>
        <v>6.0940003507447408E-11</v>
      </c>
      <c r="M53" s="2">
        <f t="shared" si="28"/>
        <v>4.4773846684267372E-9</v>
      </c>
      <c r="N53" s="2">
        <f t="shared" si="16"/>
        <v>6.0558038796869264E-11</v>
      </c>
      <c r="O53">
        <f t="shared" si="17"/>
        <v>20.080321285140563</v>
      </c>
      <c r="P53">
        <f t="shared" si="18"/>
        <v>-23.527418891787594</v>
      </c>
      <c r="Q53">
        <f t="shared" si="19"/>
        <v>-10.217828198129672</v>
      </c>
      <c r="R53">
        <f t="shared" si="20"/>
        <v>-21.830871257542444</v>
      </c>
      <c r="S53">
        <f t="shared" si="21"/>
        <v>-1.6965476342451495</v>
      </c>
      <c r="U53">
        <f t="shared" si="22"/>
        <v>2.9180668625308076E-8</v>
      </c>
      <c r="V53" s="2">
        <f t="shared" si="23"/>
        <v>-2.9391098501761248E-8</v>
      </c>
      <c r="W53" s="2">
        <f t="shared" si="24"/>
        <v>-1.8768826826353184E-6</v>
      </c>
    </row>
    <row r="54" spans="1:26" x14ac:dyDescent="0.3">
      <c r="A54" s="5">
        <v>9</v>
      </c>
      <c r="B54" s="7">
        <v>215</v>
      </c>
      <c r="C54" s="6">
        <v>450</v>
      </c>
      <c r="D54" s="11">
        <f>'Raw Data and Corrections'!T38</f>
        <v>7.1590909090909094E-2</v>
      </c>
      <c r="F54">
        <v>27000</v>
      </c>
      <c r="G54" s="2">
        <f>'Raw Data and Corrections'!AW33</f>
        <v>1.34871133895702</v>
      </c>
      <c r="H54" s="2">
        <f t="shared" si="25"/>
        <v>9.2494612604951641E-3</v>
      </c>
      <c r="I54" s="2">
        <f t="shared" si="15"/>
        <v>9.7404316565415615E-3</v>
      </c>
      <c r="K54" s="2">
        <f t="shared" si="26"/>
        <v>3.013432236613059E-11</v>
      </c>
      <c r="L54" s="2">
        <f t="shared" si="27"/>
        <v>3.0360973156267134E-11</v>
      </c>
      <c r="M54" s="2">
        <f t="shared" si="28"/>
        <v>1.8600949343758146E-9</v>
      </c>
      <c r="N54" s="2">
        <f t="shared" si="16"/>
        <v>3.013432236613059E-11</v>
      </c>
      <c r="O54">
        <f t="shared" si="17"/>
        <v>20.491803278688526</v>
      </c>
      <c r="P54">
        <f t="shared" si="18"/>
        <v>-24.225356315852288</v>
      </c>
      <c r="Q54">
        <f t="shared" si="19"/>
        <v>-10.520938570114739</v>
      </c>
      <c r="R54">
        <f t="shared" si="20"/>
        <v>-22.620802060683591</v>
      </c>
      <c r="S54">
        <f t="shared" si="21"/>
        <v>-1.6045542551686971</v>
      </c>
      <c r="U54">
        <f t="shared" si="22"/>
        <v>6.2963927026716922E-8</v>
      </c>
      <c r="V54" s="2">
        <f t="shared" si="23"/>
        <v>-6.3449739679713058E-8</v>
      </c>
      <c r="W54" s="2">
        <f t="shared" si="24"/>
        <v>-3.7895482671025733E-6</v>
      </c>
    </row>
    <row r="55" spans="1:26" x14ac:dyDescent="0.3">
      <c r="A55" s="5">
        <v>10</v>
      </c>
      <c r="B55" s="7">
        <v>205</v>
      </c>
      <c r="C55" s="6">
        <v>520</v>
      </c>
      <c r="D55" s="11">
        <f>'Raw Data and Corrections'!T43</f>
        <v>3.8451904805222398E-2</v>
      </c>
      <c r="F55">
        <v>31200</v>
      </c>
      <c r="G55" s="2">
        <f>'Raw Data and Corrections'!AW38</f>
        <v>1.4359486872794978</v>
      </c>
      <c r="H55" s="2">
        <f t="shared" si="25"/>
        <v>9.8477349240064897E-3</v>
      </c>
      <c r="I55" s="2">
        <f t="shared" si="15"/>
        <v>1.011143805574051E-2</v>
      </c>
      <c r="K55" s="2">
        <f t="shared" si="26"/>
        <v>1.4721450651444216E-11</v>
      </c>
      <c r="L55" s="2">
        <f t="shared" si="27"/>
        <v>1.4837857674859317E-11</v>
      </c>
      <c r="M55" s="2">
        <f t="shared" si="28"/>
        <v>8.6500138159719307E-10</v>
      </c>
      <c r="N55" s="2">
        <f t="shared" si="16"/>
        <v>1.4721450651444216E-11</v>
      </c>
      <c r="O55">
        <f t="shared" si="17"/>
        <v>20.92050209205021</v>
      </c>
      <c r="P55">
        <f t="shared" si="18"/>
        <v>-24.941715457793016</v>
      </c>
      <c r="Q55">
        <f t="shared" si="19"/>
        <v>-10.832049392520545</v>
      </c>
      <c r="R55">
        <f t="shared" si="20"/>
        <v>-23.443784361864115</v>
      </c>
      <c r="S55">
        <f t="shared" si="21"/>
        <v>-1.4979310959289016</v>
      </c>
      <c r="U55">
        <f t="shared" si="22"/>
        <v>5.6563425059014686E-8</v>
      </c>
      <c r="V55" s="2">
        <f t="shared" si="23"/>
        <v>-5.7016624534315543E-8</v>
      </c>
      <c r="W55" s="2">
        <f t="shared" si="24"/>
        <v>-3.2806458823121331E-6</v>
      </c>
    </row>
    <row r="56" spans="1:26" x14ac:dyDescent="0.3">
      <c r="A56" s="5">
        <v>11</v>
      </c>
      <c r="B56" s="7">
        <v>195</v>
      </c>
      <c r="C56" s="6">
        <v>1106</v>
      </c>
      <c r="D56" s="11">
        <f>'Raw Data and Corrections'!T47</f>
        <v>3.3582644628099102E-2</v>
      </c>
      <c r="F56">
        <v>66360</v>
      </c>
      <c r="G56" s="2">
        <f>'Raw Data and Corrections'!AW43</f>
        <v>1.4912304433243895</v>
      </c>
      <c r="H56" s="2">
        <f t="shared" si="25"/>
        <v>1.0226857161789992E-2</v>
      </c>
      <c r="I56" s="2">
        <f t="shared" si="15"/>
        <v>1.045716691120812E-2</v>
      </c>
      <c r="K56" s="2">
        <f t="shared" si="26"/>
        <v>6.2645279599956895E-12</v>
      </c>
      <c r="L56" s="2">
        <f t="shared" si="27"/>
        <v>6.3158779892680432E-12</v>
      </c>
      <c r="M56" s="2">
        <f t="shared" si="28"/>
        <v>3.553211570319838E-10</v>
      </c>
      <c r="N56" s="2">
        <f t="shared" si="16"/>
        <v>6.2645279599956895E-12</v>
      </c>
      <c r="O56">
        <f t="shared" si="17"/>
        <v>21.367521367521366</v>
      </c>
      <c r="P56">
        <f t="shared" si="18"/>
        <v>-25.796117875990454</v>
      </c>
      <c r="Q56">
        <f t="shared" si="19"/>
        <v>-11.203111648068488</v>
      </c>
      <c r="R56">
        <f t="shared" si="20"/>
        <v>-24.301936846855771</v>
      </c>
      <c r="S56">
        <f t="shared" si="21"/>
        <v>-1.4941810291346833</v>
      </c>
      <c r="U56">
        <f t="shared" si="22"/>
        <v>2.750331419999807E-8</v>
      </c>
      <c r="V56" s="2">
        <f t="shared" si="23"/>
        <v>-2.7731281302691964E-8</v>
      </c>
      <c r="W56" s="2">
        <f t="shared" si="24"/>
        <v>-1.5429763858738287E-6</v>
      </c>
    </row>
    <row r="57" spans="1:26" x14ac:dyDescent="0.3">
      <c r="A57" s="5">
        <v>12</v>
      </c>
      <c r="B57" s="7">
        <v>185</v>
      </c>
      <c r="C57" s="6">
        <v>740</v>
      </c>
      <c r="D57" s="11">
        <f>'Raw Data and Corrections'!T51</f>
        <v>7.9399336711820697E-3</v>
      </c>
      <c r="F57">
        <v>44400</v>
      </c>
      <c r="G57" s="2">
        <f>'Raw Data and Corrections'!AW47</f>
        <v>1.5467152370384845</v>
      </c>
      <c r="H57" s="2">
        <f t="shared" si="25"/>
        <v>1.0607371831742983E-2</v>
      </c>
      <c r="I57" s="2">
        <f t="shared" si="15"/>
        <v>1.0661823890371994E-2</v>
      </c>
      <c r="K57" s="2">
        <f t="shared" si="26"/>
        <v>2.2763014392097782E-12</v>
      </c>
      <c r="L57" s="2">
        <f t="shared" si="27"/>
        <v>2.295492229427475E-12</v>
      </c>
      <c r="M57" s="2">
        <f t="shared" si="28"/>
        <v>1.2559572838538932E-10</v>
      </c>
      <c r="N57" s="2">
        <f t="shared" si="16"/>
        <v>2.2763014392097782E-12</v>
      </c>
      <c r="O57">
        <f t="shared" si="17"/>
        <v>21.834061135371179</v>
      </c>
      <c r="P57">
        <f t="shared" si="18"/>
        <v>-26.808469165899151</v>
      </c>
      <c r="Q57">
        <f t="shared" si="19"/>
        <v>-11.642770227023473</v>
      </c>
      <c r="R57">
        <f t="shared" si="20"/>
        <v>-25.197563239488989</v>
      </c>
      <c r="S57">
        <f t="shared" si="21"/>
        <v>-1.6109059264101617</v>
      </c>
      <c r="U57">
        <f t="shared" si="22"/>
        <v>4.191079530513114E-8</v>
      </c>
      <c r="V57" s="2">
        <f t="shared" si="23"/>
        <v>-4.2265044502065772E-8</v>
      </c>
      <c r="W57" s="2">
        <f t="shared" si="24"/>
        <v>-2.3066012165493604E-6</v>
      </c>
    </row>
    <row r="58" spans="1:26" x14ac:dyDescent="0.3">
      <c r="A58" s="5">
        <v>13</v>
      </c>
      <c r="B58" s="7">
        <v>175</v>
      </c>
      <c r="C58" s="6">
        <v>920</v>
      </c>
      <c r="D58" s="11">
        <f>'Raw Data and Corrections'!T55</f>
        <v>1.5191836823502501E-2</v>
      </c>
      <c r="F58">
        <v>55200</v>
      </c>
      <c r="G58" s="2">
        <f>'Raw Data and Corrections'!AW51</f>
        <v>1.602041375714798</v>
      </c>
      <c r="H58" s="2">
        <f t="shared" si="25"/>
        <v>1.098679844557651E-2</v>
      </c>
      <c r="I58" s="2">
        <f t="shared" si="15"/>
        <v>1.1090984050098389E-2</v>
      </c>
      <c r="K58" s="2">
        <f t="shared" si="26"/>
        <v>3.6363984223654007E-12</v>
      </c>
      <c r="L58" s="2">
        <f t="shared" si="27"/>
        <v>3.6682327794665665E-12</v>
      </c>
      <c r="M58" s="2">
        <f t="shared" si="28"/>
        <v>1.9337025954127401E-10</v>
      </c>
      <c r="N58" s="2">
        <f t="shared" si="16"/>
        <v>3.6363984223654007E-12</v>
      </c>
      <c r="O58">
        <f t="shared" si="17"/>
        <v>22.321428571428573</v>
      </c>
      <c r="P58">
        <f t="shared" si="18"/>
        <v>-26.340027368508252</v>
      </c>
      <c r="Q58">
        <f t="shared" si="19"/>
        <v>-11.439328539323766</v>
      </c>
      <c r="R58">
        <f t="shared" si="20"/>
        <v>-26.133172953221905</v>
      </c>
      <c r="S58">
        <f t="shared" si="21"/>
        <v>-0.2068544152863474</v>
      </c>
      <c r="U58">
        <f t="shared" si="22"/>
        <v>3.5067787855143587E-8</v>
      </c>
      <c r="V58" s="2">
        <f t="shared" si="23"/>
        <v>-3.5376244609470782E-8</v>
      </c>
      <c r="W58" s="2">
        <f t="shared" si="24"/>
        <v>-1.8561148291379054E-6</v>
      </c>
    </row>
    <row r="59" spans="1:26" x14ac:dyDescent="0.3">
      <c r="A59" s="5">
        <v>14</v>
      </c>
      <c r="B59" s="7">
        <v>200</v>
      </c>
      <c r="C59" s="6">
        <v>260</v>
      </c>
      <c r="D59" s="11">
        <f>'Raw Data and Corrections'!T59</f>
        <v>1.0662386255492901E-2</v>
      </c>
      <c r="F59">
        <v>15600</v>
      </c>
      <c r="G59" s="2">
        <f>'Raw Data and Corrections'!AW55</f>
        <v>1.6351145558218827</v>
      </c>
      <c r="H59" s="2">
        <f t="shared" si="25"/>
        <v>1.1213614287725821E-2</v>
      </c>
      <c r="I59" s="2">
        <f t="shared" si="15"/>
        <v>1.1286736923953438E-2</v>
      </c>
      <c r="K59" s="2">
        <f t="shared" si="26"/>
        <v>9.2037308734371591E-12</v>
      </c>
      <c r="L59" s="2">
        <f t="shared" si="27"/>
        <v>9.2858608337501058E-12</v>
      </c>
      <c r="M59" s="2">
        <f t="shared" si="28"/>
        <v>4.8033150979553899E-10</v>
      </c>
      <c r="N59" s="2">
        <f t="shared" si="16"/>
        <v>9.2037308734371591E-12</v>
      </c>
      <c r="O59">
        <f t="shared" si="17"/>
        <v>21.141649048625794</v>
      </c>
      <c r="P59">
        <f t="shared" si="18"/>
        <v>-25.411412184357076</v>
      </c>
      <c r="Q59">
        <f t="shared" si="19"/>
        <v>-11.036036089035338</v>
      </c>
      <c r="R59">
        <f t="shared" si="20"/>
        <v>-23.868324914692973</v>
      </c>
      <c r="S59">
        <f t="shared" si="21"/>
        <v>-1.5430872696641025</v>
      </c>
      <c r="U59">
        <f t="shared" si="22"/>
        <v>1.2627610328807971E-7</v>
      </c>
      <c r="V59" s="2">
        <f t="shared" si="23"/>
        <v>-1.2740662889075599E-7</v>
      </c>
      <c r="W59" s="2">
        <f t="shared" si="24"/>
        <v>-6.5690912744244946E-6</v>
      </c>
    </row>
    <row r="60" spans="1:26" x14ac:dyDescent="0.3">
      <c r="A60" s="5">
        <v>15</v>
      </c>
      <c r="B60" s="7">
        <v>209.99</v>
      </c>
      <c r="C60" s="6">
        <v>520</v>
      </c>
      <c r="D60" s="11">
        <f>'Raw Data and Corrections'!T61</f>
        <v>0.21658617347290901</v>
      </c>
      <c r="F60">
        <v>31200</v>
      </c>
      <c r="G60" s="2">
        <f>'Raw Data and Corrections'!AW59</f>
        <v>1.6546682514507727</v>
      </c>
      <c r="H60" s="2">
        <f t="shared" si="25"/>
        <v>1.1347713516370843E-2</v>
      </c>
      <c r="I60" s="2">
        <f t="shared" si="15"/>
        <v>1.283306131706906E-2</v>
      </c>
      <c r="K60" s="2">
        <f t="shared" si="26"/>
        <v>1.0045953149195779E-10</v>
      </c>
      <c r="L60" s="2">
        <f t="shared" si="27"/>
        <v>1.0142488823340935E-10</v>
      </c>
      <c r="M60" s="2">
        <f t="shared" si="28"/>
        <v>4.8826623057718261E-9</v>
      </c>
      <c r="N60" s="2">
        <f t="shared" si="16"/>
        <v>1.0045953149195779E-10</v>
      </c>
      <c r="O60">
        <f t="shared" si="17"/>
        <v>20.704362409159611</v>
      </c>
      <c r="P60">
        <f t="shared" si="18"/>
        <v>-23.02126614124526</v>
      </c>
      <c r="Q60">
        <f t="shared" si="19"/>
        <v>-9.9980088515689829</v>
      </c>
      <c r="R60">
        <f t="shared" si="20"/>
        <v>-23.02885637965937</v>
      </c>
      <c r="S60">
        <f t="shared" si="21"/>
        <v>7.5902384141102175E-3</v>
      </c>
      <c r="U60">
        <f t="shared" si="22"/>
        <v>7.1788196504222782E-8</v>
      </c>
      <c r="V60" s="2">
        <f t="shared" si="23"/>
        <v>-7.2519953787861084E-8</v>
      </c>
      <c r="W60" s="2">
        <f t="shared" si="24"/>
        <v>-3.2896906363406613E-6</v>
      </c>
    </row>
    <row r="61" spans="1:26" x14ac:dyDescent="0.3">
      <c r="A61" s="5">
        <v>16</v>
      </c>
      <c r="B61" s="7">
        <v>219.98</v>
      </c>
      <c r="C61" s="6">
        <v>1167</v>
      </c>
      <c r="D61" s="11">
        <f>'Raw Data and Corrections'!T65</f>
        <v>0.31868729096989901</v>
      </c>
      <c r="F61">
        <v>70020</v>
      </c>
      <c r="G61" s="2">
        <f>'Raw Data and Corrections'!AW61</f>
        <v>1.8713997936537554</v>
      </c>
      <c r="H61" s="2">
        <f t="shared" si="25"/>
        <v>1.2834058255701121E-2</v>
      </c>
      <c r="I61" s="2">
        <f t="shared" si="15"/>
        <v>1.501961543676384E-2</v>
      </c>
      <c r="K61" s="2">
        <f t="shared" si="26"/>
        <v>7.5869971772592284E-11</v>
      </c>
      <c r="L61" s="2">
        <f t="shared" si="27"/>
        <v>7.6711829147756018E-11</v>
      </c>
      <c r="M61" s="2">
        <f t="shared" si="28"/>
        <v>3.207239265202996E-9</v>
      </c>
      <c r="N61" s="2">
        <f t="shared" si="16"/>
        <v>7.5869971772592284E-11</v>
      </c>
      <c r="O61">
        <f t="shared" si="17"/>
        <v>20.28479857195018</v>
      </c>
      <c r="P61">
        <f t="shared" si="18"/>
        <v>-23.302000138628294</v>
      </c>
      <c r="Q61">
        <f t="shared" si="19"/>
        <v>-10.119930077515077</v>
      </c>
      <c r="R61">
        <f t="shared" si="20"/>
        <v>-22.223410688006776</v>
      </c>
      <c r="S61">
        <f t="shared" si="21"/>
        <v>-1.0785894506215179</v>
      </c>
      <c r="U61">
        <f t="shared" si="22"/>
        <v>3.7438123643943898E-8</v>
      </c>
      <c r="V61" s="2">
        <f t="shared" si="23"/>
        <v>-3.7885627263743576E-8</v>
      </c>
      <c r="W61" s="2">
        <f t="shared" si="24"/>
        <v>-1.4690973196587436E-6</v>
      </c>
    </row>
    <row r="62" spans="1:26" x14ac:dyDescent="0.3">
      <c r="A62" s="5">
        <v>17</v>
      </c>
      <c r="B62" s="7">
        <v>229.99</v>
      </c>
      <c r="C62" s="6">
        <v>370</v>
      </c>
      <c r="D62" s="11">
        <f>'Raw Data and Corrections'!T69</f>
        <v>0.21132607073022699</v>
      </c>
      <c r="F62">
        <v>22200</v>
      </c>
      <c r="G62" s="2">
        <f>'Raw Data and Corrections'!AW65</f>
        <v>2.6765802826323815</v>
      </c>
      <c r="H62" s="2">
        <f t="shared" si="25"/>
        <v>1.8355985391179653E-2</v>
      </c>
      <c r="I62" s="2">
        <f t="shared" si="15"/>
        <v>1.9805259411566745E-2</v>
      </c>
      <c r="K62" s="2">
        <f t="shared" si="26"/>
        <v>2.1740395344030883E-10</v>
      </c>
      <c r="L62" s="2">
        <f t="shared" si="27"/>
        <v>2.2071880624496084E-10</v>
      </c>
      <c r="M62" s="2">
        <f t="shared" si="28"/>
        <v>6.7431768894713272E-9</v>
      </c>
      <c r="N62" s="2">
        <f t="shared" si="16"/>
        <v>2.1740395344030883E-10</v>
      </c>
      <c r="O62">
        <f t="shared" si="17"/>
        <v>19.881110956480249</v>
      </c>
      <c r="P62">
        <f t="shared" si="18"/>
        <v>-22.24926395630877</v>
      </c>
      <c r="Q62">
        <f t="shared" si="19"/>
        <v>-9.6627325626338116</v>
      </c>
      <c r="R62">
        <f t="shared" si="20"/>
        <v>-21.448442919534717</v>
      </c>
      <c r="S62">
        <f t="shared" si="21"/>
        <v>-0.80082103677405314</v>
      </c>
      <c r="U62">
        <f t="shared" si="22"/>
        <v>1.5570584952406954E-7</v>
      </c>
      <c r="V62" s="2">
        <f t="shared" si="23"/>
        <v>-1.5817049075560672E-7</v>
      </c>
      <c r="W62" s="2">
        <f t="shared" si="24"/>
        <v>-4.6562352277533159E-6</v>
      </c>
    </row>
    <row r="63" spans="1:26" x14ac:dyDescent="0.3">
      <c r="A63" s="5">
        <v>18</v>
      </c>
      <c r="B63" s="7">
        <v>240</v>
      </c>
      <c r="C63" s="6">
        <v>320</v>
      </c>
      <c r="D63" s="11">
        <f>'Raw Data and Corrections'!T73</f>
        <v>0.42862847782896701</v>
      </c>
      <c r="F63">
        <v>19200</v>
      </c>
      <c r="G63" s="2">
        <f>'Raw Data and Corrections'!AW69</f>
        <v>3.1616484034204646</v>
      </c>
      <c r="H63" s="2">
        <f t="shared" si="25"/>
        <v>2.1682582167180765E-2</v>
      </c>
      <c r="I63" s="2">
        <f t="shared" si="15"/>
        <v>2.4622115917886763E-2</v>
      </c>
      <c r="K63" s="2">
        <f t="shared" si="26"/>
        <v>6.1865660086048731E-10</v>
      </c>
      <c r="L63" s="2">
        <f t="shared" si="27"/>
        <v>6.3015442237129095E-10</v>
      </c>
      <c r="M63" s="2">
        <f t="shared" si="28"/>
        <v>1.5880017186588407E-8</v>
      </c>
      <c r="N63" s="2">
        <f t="shared" si="16"/>
        <v>6.1865660086048731E-10</v>
      </c>
      <c r="O63">
        <f t="shared" si="17"/>
        <v>19.49317738791423</v>
      </c>
      <c r="P63">
        <f t="shared" si="18"/>
        <v>-21.203470761543723</v>
      </c>
      <c r="Q63">
        <f t="shared" si="19"/>
        <v>-9.208550348935379</v>
      </c>
      <c r="R63">
        <f t="shared" si="20"/>
        <v>-20.703718532592507</v>
      </c>
      <c r="S63">
        <f t="shared" si="21"/>
        <v>-0.49975222895121618</v>
      </c>
      <c r="U63">
        <f t="shared" si="22"/>
        <v>2.2382134977855719E-7</v>
      </c>
      <c r="V63" s="2">
        <f t="shared" si="23"/>
        <v>-2.2824479338321156E-7</v>
      </c>
      <c r="W63" s="2">
        <f t="shared" si="24"/>
        <v>-5.4103594796368146E-6</v>
      </c>
      <c r="Y63" s="2"/>
      <c r="Z63" s="2"/>
    </row>
    <row r="64" spans="1:26" x14ac:dyDescent="0.3">
      <c r="A64" s="5">
        <v>19</v>
      </c>
      <c r="B64" s="7">
        <v>245</v>
      </c>
      <c r="C64" s="6">
        <v>250</v>
      </c>
      <c r="D64" s="11">
        <f>'Raw Data and Corrections'!T77</f>
        <v>0.39881989764248399</v>
      </c>
      <c r="F64">
        <v>15000</v>
      </c>
      <c r="G64" s="2">
        <f>'Raw Data and Corrections'!AW73</f>
        <v>3.6430418162593958</v>
      </c>
      <c r="H64" s="2">
        <f t="shared" si="25"/>
        <v>2.4983977799069305E-2</v>
      </c>
      <c r="I64" s="2">
        <f t="shared" si="15"/>
        <v>2.7719084331213881E-2</v>
      </c>
      <c r="K64" s="2">
        <f t="shared" si="26"/>
        <v>8.3862191783047278E-10</v>
      </c>
      <c r="L64" s="2">
        <f t="shared" si="27"/>
        <v>8.5640413403810741E-10</v>
      </c>
      <c r="M64" s="2">
        <f t="shared" si="28"/>
        <v>1.8974980690617573E-8</v>
      </c>
      <c r="N64" s="2">
        <f t="shared" si="16"/>
        <v>8.3862191783047278E-10</v>
      </c>
      <c r="O64">
        <f t="shared" si="17"/>
        <v>19.305019305019304</v>
      </c>
      <c r="P64">
        <f t="shared" si="18"/>
        <v>-20.899261145317748</v>
      </c>
      <c r="Q64">
        <f t="shared" si="19"/>
        <v>-9.0764337912665329</v>
      </c>
      <c r="R64">
        <f t="shared" si="20"/>
        <v>-20.342507427685764</v>
      </c>
      <c r="S64">
        <f t="shared" si="21"/>
        <v>-0.55675371763198456</v>
      </c>
      <c r="U64">
        <f t="shared" si="22"/>
        <v>3.2252619147843509E-7</v>
      </c>
      <c r="V64" s="2">
        <f t="shared" si="23"/>
        <v>-3.2972203127733111E-7</v>
      </c>
      <c r="W64" s="2">
        <f t="shared" si="24"/>
        <v>-6.9473188944674306E-6</v>
      </c>
    </row>
    <row r="65" spans="1:23" x14ac:dyDescent="0.3">
      <c r="A65" s="5">
        <v>20</v>
      </c>
      <c r="B65" s="7">
        <v>249.99</v>
      </c>
      <c r="C65" s="6">
        <v>210</v>
      </c>
      <c r="D65" s="11">
        <f>'Raw Data and Corrections'!T81</f>
        <v>0.443959731543624</v>
      </c>
      <c r="F65">
        <v>12600</v>
      </c>
      <c r="G65" s="2">
        <f>'Raw Data and Corrections'!AW77</f>
        <v>4.2358768242785416</v>
      </c>
      <c r="H65" s="2">
        <f t="shared" si="25"/>
        <v>2.9049639799641518E-2</v>
      </c>
      <c r="I65" s="2">
        <f t="shared" si="15"/>
        <v>3.2094315275795017E-2</v>
      </c>
      <c r="K65" s="2">
        <f t="shared" si="26"/>
        <v>1.2893515997392001E-9</v>
      </c>
      <c r="L65" s="2">
        <f t="shared" si="27"/>
        <v>1.3211879812826076E-9</v>
      </c>
      <c r="M65" s="2">
        <f t="shared" si="28"/>
        <v>2.5255472977054541E-8</v>
      </c>
      <c r="N65" s="2">
        <f t="shared" si="16"/>
        <v>1.2893515997392001E-9</v>
      </c>
      <c r="O65">
        <f t="shared" si="17"/>
        <v>19.120824489952007</v>
      </c>
      <c r="P65">
        <f t="shared" si="18"/>
        <v>-20.469126380797665</v>
      </c>
      <c r="Q65">
        <f t="shared" si="19"/>
        <v>-8.8896286365607065</v>
      </c>
      <c r="R65">
        <f t="shared" si="20"/>
        <v>-19.988904692980473</v>
      </c>
      <c r="S65">
        <f t="shared" si="21"/>
        <v>-0.48022168781719188</v>
      </c>
      <c r="U65">
        <f t="shared" si="22"/>
        <v>4.4456466090137696E-7</v>
      </c>
      <c r="V65" s="2">
        <f t="shared" si="23"/>
        <v>-4.5609409305633656E-7</v>
      </c>
      <c r="W65" s="2">
        <f t="shared" si="24"/>
        <v>-8.3080034636114615E-6</v>
      </c>
    </row>
    <row r="66" spans="1:23" x14ac:dyDescent="0.3">
      <c r="A66" s="5">
        <v>21</v>
      </c>
      <c r="B66" s="7">
        <v>244.909999999999</v>
      </c>
      <c r="C66" s="6">
        <v>270</v>
      </c>
      <c r="D66" s="11">
        <f>'Raw Data and Corrections'!T85</f>
        <v>0.312337571455232</v>
      </c>
      <c r="F66">
        <v>16200</v>
      </c>
      <c r="G66" s="2">
        <f>'Raw Data and Corrections'!AW81</f>
        <v>4.7263353878919219</v>
      </c>
      <c r="H66" s="2">
        <f t="shared" si="25"/>
        <v>3.2413204228133825E-2</v>
      </c>
      <c r="I66" s="2">
        <f t="shared" si="15"/>
        <v>3.4555215037953502E-2</v>
      </c>
      <c r="K66" s="2">
        <f t="shared" si="26"/>
        <v>7.7272339913410914E-10</v>
      </c>
      <c r="L66" s="2">
        <f t="shared" si="27"/>
        <v>7.9366500791605122E-10</v>
      </c>
      <c r="M66" s="2">
        <f t="shared" si="28"/>
        <v>1.3861113584682543E-8</v>
      </c>
      <c r="N66" s="2">
        <f t="shared" si="16"/>
        <v>7.7272339913410914E-10</v>
      </c>
      <c r="O66">
        <f t="shared" si="17"/>
        <v>19.308374041821978</v>
      </c>
      <c r="P66">
        <f t="shared" si="18"/>
        <v>-20.981099959146345</v>
      </c>
      <c r="Q66">
        <f t="shared" si="19"/>
        <v>-9.1119759365178012</v>
      </c>
      <c r="R66">
        <f t="shared" si="20"/>
        <v>-20.348947587834726</v>
      </c>
      <c r="S66">
        <f t="shared" si="21"/>
        <v>-0.63215237131161928</v>
      </c>
      <c r="U66">
        <f t="shared" si="22"/>
        <v>3.7228535564626294E-7</v>
      </c>
      <c r="V66" s="2">
        <f t="shared" si="23"/>
        <v>-3.8270368162984482E-7</v>
      </c>
      <c r="W66" s="2">
        <f t="shared" si="24"/>
        <v>-6.4782514229874181E-6</v>
      </c>
    </row>
    <row r="67" spans="1:23" x14ac:dyDescent="0.3">
      <c r="A67" s="5">
        <v>22</v>
      </c>
      <c r="B67" s="7">
        <v>239.99</v>
      </c>
      <c r="C67" s="6">
        <v>320</v>
      </c>
      <c r="D67" s="11">
        <f>'Raw Data and Corrections'!T89</f>
        <v>0.19266524672441601</v>
      </c>
      <c r="F67">
        <v>19200</v>
      </c>
      <c r="G67" s="2">
        <f>'Raw Data and Corrections'!AW85</f>
        <v>5.0845761497510589</v>
      </c>
      <c r="H67" s="2">
        <f t="shared" si="25"/>
        <v>3.4870019080234627E-2</v>
      </c>
      <c r="I67" s="2">
        <f t="shared" si="15"/>
        <v>3.6191317184838173E-2</v>
      </c>
      <c r="K67" s="2">
        <f t="shared" si="26"/>
        <v>4.2675667731136639E-10</v>
      </c>
      <c r="L67" s="2">
        <f t="shared" si="27"/>
        <v>4.3904883087828896E-10</v>
      </c>
      <c r="M67" s="2">
        <f t="shared" si="28"/>
        <v>7.2295536226619529E-9</v>
      </c>
      <c r="N67" s="2">
        <f t="shared" si="16"/>
        <v>4.2675667731136639E-10</v>
      </c>
      <c r="O67">
        <f t="shared" si="17"/>
        <v>19.493557379286145</v>
      </c>
      <c r="P67">
        <f t="shared" si="18"/>
        <v>-21.574807107483927</v>
      </c>
      <c r="Q67">
        <f t="shared" si="19"/>
        <v>-9.3698196749073279</v>
      </c>
      <c r="R67">
        <f t="shared" si="20"/>
        <v>-20.704448010174293</v>
      </c>
      <c r="S67">
        <f t="shared" si="21"/>
        <v>-0.87035909730963468</v>
      </c>
      <c r="U67">
        <f t="shared" si="22"/>
        <v>3.289883570359538E-7</v>
      </c>
      <c r="V67" s="2">
        <f t="shared" si="23"/>
        <v>-3.386452007224382E-7</v>
      </c>
      <c r="W67" s="2">
        <f t="shared" si="24"/>
        <v>-5.4753034242832237E-6</v>
      </c>
    </row>
    <row r="68" spans="1:23" x14ac:dyDescent="0.3">
      <c r="A68" s="5">
        <v>23</v>
      </c>
      <c r="B68" s="7">
        <v>235</v>
      </c>
      <c r="C68" s="6">
        <v>370</v>
      </c>
      <c r="D68" s="11">
        <f>'Raw Data and Corrections'!T93</f>
        <v>0.151676470588235</v>
      </c>
      <c r="F68">
        <v>22200</v>
      </c>
      <c r="G68" s="2">
        <f>'Raw Data and Corrections'!AW89</f>
        <v>5.303111570911577</v>
      </c>
      <c r="H68" s="2">
        <f t="shared" si="25"/>
        <v>3.636873481998168E-2</v>
      </c>
      <c r="I68" s="2">
        <f t="shared" si="15"/>
        <v>3.7408931931336445E-2</v>
      </c>
      <c r="K68" s="2">
        <f t="shared" si="26"/>
        <v>3.0167196852642333E-10</v>
      </c>
      <c r="L68" s="2">
        <f t="shared" si="27"/>
        <v>3.1070398805222169E-10</v>
      </c>
      <c r="M68" s="2">
        <f t="shared" si="28"/>
        <v>4.9293147230251374E-9</v>
      </c>
      <c r="N68" s="2">
        <f t="shared" si="16"/>
        <v>3.0167196852642333E-10</v>
      </c>
      <c r="O68">
        <f t="shared" si="17"/>
        <v>19.685039370078741</v>
      </c>
      <c r="P68">
        <f t="shared" si="18"/>
        <v>-21.921680885825463</v>
      </c>
      <c r="Q68">
        <f t="shared" si="19"/>
        <v>-9.5204650427579871</v>
      </c>
      <c r="R68">
        <f t="shared" si="20"/>
        <v>-21.07204009232024</v>
      </c>
      <c r="S68">
        <f t="shared" si="21"/>
        <v>-0.84964079350522326</v>
      </c>
      <c r="U68">
        <f t="shared" si="22"/>
        <v>2.9410316750282085E-7</v>
      </c>
      <c r="V68" s="2">
        <f t="shared" si="23"/>
        <v>-3.0303629809235837E-7</v>
      </c>
      <c r="W68" s="2">
        <f t="shared" si="24"/>
        <v>-4.7413875243446849E-6</v>
      </c>
    </row>
    <row r="69" spans="1:23" x14ac:dyDescent="0.3">
      <c r="A69" s="5">
        <v>24</v>
      </c>
      <c r="B69" s="7">
        <v>230</v>
      </c>
      <c r="C69" s="6">
        <v>420</v>
      </c>
      <c r="D69" s="11">
        <f>'Raw Data and Corrections'!T97</f>
        <v>9.9129484321787698E-2</v>
      </c>
      <c r="F69">
        <v>25200</v>
      </c>
      <c r="G69" s="2">
        <f>'Raw Data and Corrections'!AW93</f>
        <v>5.4714195120880476</v>
      </c>
      <c r="H69" s="2">
        <f t="shared" si="25"/>
        <v>3.7522990543040494E-2</v>
      </c>
      <c r="I69" s="2">
        <f t="shared" si="15"/>
        <v>3.8202820465517671E-2</v>
      </c>
      <c r="K69" s="2">
        <f t="shared" si="26"/>
        <v>1.7827524434709305E-10</v>
      </c>
      <c r="L69" s="2">
        <f t="shared" si="27"/>
        <v>1.8375832510482852E-10</v>
      </c>
      <c r="M69" s="2">
        <f t="shared" si="28"/>
        <v>2.8409464590132903E-9</v>
      </c>
      <c r="N69" s="2">
        <f t="shared" si="16"/>
        <v>1.7827524434709305E-10</v>
      </c>
      <c r="O69">
        <f t="shared" si="17"/>
        <v>19.880715705765407</v>
      </c>
      <c r="P69">
        <f t="shared" si="18"/>
        <v>-22.447692443396171</v>
      </c>
      <c r="Q69">
        <f t="shared" si="19"/>
        <v>-9.748908959628281</v>
      </c>
      <c r="R69">
        <f t="shared" si="20"/>
        <v>-21.447684148265228</v>
      </c>
      <c r="S69">
        <f t="shared" si="21"/>
        <v>-1.000008295130943</v>
      </c>
      <c r="U69">
        <f t="shared" si="22"/>
        <v>2.6458928598077629E-7</v>
      </c>
      <c r="V69" s="2">
        <f t="shared" si="23"/>
        <v>-2.7280241372979869E-7</v>
      </c>
      <c r="W69" s="2">
        <f t="shared" si="24"/>
        <v>-4.1803843638998844E-6</v>
      </c>
    </row>
    <row r="70" spans="1:23" x14ac:dyDescent="0.3">
      <c r="A70" s="5">
        <v>25</v>
      </c>
      <c r="B70" s="7">
        <v>225</v>
      </c>
      <c r="C70" s="6">
        <v>652</v>
      </c>
      <c r="D70" s="11">
        <f>'Raw Data and Corrections'!T101</f>
        <v>9.9545904641576893E-2</v>
      </c>
      <c r="F70">
        <v>39120</v>
      </c>
      <c r="G70" s="2">
        <f>'Raw Data and Corrections'!AW97</f>
        <v>5.5835195846451295</v>
      </c>
      <c r="H70" s="2">
        <f t="shared" si="25"/>
        <v>3.8291772749036668E-2</v>
      </c>
      <c r="I70" s="2">
        <f t="shared" si="15"/>
        <v>3.8974458481726683E-2</v>
      </c>
      <c r="K70" s="2">
        <f t="shared" si="26"/>
        <v>1.1766819240547588E-10</v>
      </c>
      <c r="L70" s="2">
        <f t="shared" si="27"/>
        <v>1.2136341964712203E-10</v>
      </c>
      <c r="M70" s="2">
        <f t="shared" si="28"/>
        <v>1.8392175200311503E-9</v>
      </c>
      <c r="N70" s="2">
        <f t="shared" si="16"/>
        <v>1.1766819240547588E-10</v>
      </c>
      <c r="O70">
        <f t="shared" si="17"/>
        <v>20.080321285140563</v>
      </c>
      <c r="P70">
        <f t="shared" si="18"/>
        <v>-22.863152381128653</v>
      </c>
      <c r="Q70">
        <f t="shared" si="19"/>
        <v>-9.9293409180373668</v>
      </c>
      <c r="R70">
        <f t="shared" si="20"/>
        <v>-21.830871257542444</v>
      </c>
      <c r="S70">
        <f t="shared" si="21"/>
        <v>-1.032281123586209</v>
      </c>
      <c r="U70">
        <f t="shared" si="22"/>
        <v>1.7388359526788366E-7</v>
      </c>
      <c r="V70" s="2">
        <f t="shared" si="23"/>
        <v>-1.7939399758221089E-7</v>
      </c>
      <c r="W70" s="2">
        <f t="shared" si="24"/>
        <v>-2.695047836831065E-6</v>
      </c>
    </row>
    <row r="71" spans="1:23" x14ac:dyDescent="0.3">
      <c r="A71" s="5">
        <v>26</v>
      </c>
      <c r="B71" s="7">
        <v>230</v>
      </c>
      <c r="C71" s="6">
        <v>500</v>
      </c>
      <c r="D71" s="11">
        <f>'Raw Data and Corrections'!T105</f>
        <v>0.105088682432432</v>
      </c>
      <c r="F71">
        <v>30000</v>
      </c>
      <c r="G71" s="2">
        <f>'Raw Data and Corrections'!AW101</f>
        <v>5.6968567520636615</v>
      </c>
      <c r="H71" s="2">
        <f t="shared" si="25"/>
        <v>3.9069038950581794E-2</v>
      </c>
      <c r="I71" s="2">
        <f t="shared" si="15"/>
        <v>3.9789737048832326E-2</v>
      </c>
      <c r="K71" s="2">
        <f t="shared" si="26"/>
        <v>1.6532157160652554E-10</v>
      </c>
      <c r="L71" s="2">
        <f t="shared" si="27"/>
        <v>1.706241403453893E-10</v>
      </c>
      <c r="M71" s="2">
        <f t="shared" si="28"/>
        <v>2.5339795213649033E-9</v>
      </c>
      <c r="N71" s="2">
        <f t="shared" si="16"/>
        <v>1.6532157160652554E-10</v>
      </c>
      <c r="O71">
        <f t="shared" si="17"/>
        <v>19.880715705765407</v>
      </c>
      <c r="P71">
        <f t="shared" si="18"/>
        <v>-22.523128619878921</v>
      </c>
      <c r="Q71">
        <f t="shared" si="19"/>
        <v>-9.7816704748106211</v>
      </c>
      <c r="R71">
        <f t="shared" si="20"/>
        <v>-21.447684148265228</v>
      </c>
      <c r="S71">
        <f t="shared" si="21"/>
        <v>-1.0754444716136931</v>
      </c>
      <c r="U71">
        <f t="shared" si="22"/>
        <v>2.314873066682986E-7</v>
      </c>
      <c r="V71" s="2">
        <f t="shared" si="23"/>
        <v>-2.3898217486754553E-7</v>
      </c>
      <c r="W71" s="2">
        <f t="shared" si="24"/>
        <v>-3.5173262757031016E-6</v>
      </c>
    </row>
    <row r="72" spans="1:23" x14ac:dyDescent="0.3">
      <c r="A72" s="5">
        <v>27</v>
      </c>
      <c r="B72" s="7">
        <v>234.89999999999901</v>
      </c>
      <c r="C72" s="6">
        <v>450</v>
      </c>
      <c r="D72" s="11">
        <f>'Raw Data and Corrections'!T109</f>
        <v>0.13692172231060101</v>
      </c>
      <c r="F72">
        <v>27000</v>
      </c>
      <c r="G72" s="2">
        <f>'Raw Data and Corrections'!AW105</f>
        <v>5.82512444228069</v>
      </c>
      <c r="H72" s="2">
        <f t="shared" si="25"/>
        <v>3.9948698665278837E-2</v>
      </c>
      <c r="I72" s="2">
        <f t="shared" si="15"/>
        <v>4.0887707725002137E-2</v>
      </c>
      <c r="K72" s="2">
        <f t="shared" si="26"/>
        <v>2.4533549643305303E-10</v>
      </c>
      <c r="L72" s="2">
        <f t="shared" si="27"/>
        <v>2.5340918271024887E-10</v>
      </c>
      <c r="M72" s="2">
        <f t="shared" si="28"/>
        <v>3.6721829235051156E-9</v>
      </c>
      <c r="N72" s="2">
        <f t="shared" si="16"/>
        <v>2.4533549643305303E-10</v>
      </c>
      <c r="O72">
        <f t="shared" si="17"/>
        <v>19.68891514077578</v>
      </c>
      <c r="P72">
        <f t="shared" si="18"/>
        <v>-22.1283944689241</v>
      </c>
      <c r="Q72">
        <f t="shared" si="19"/>
        <v>-9.6102396112321742</v>
      </c>
      <c r="R72">
        <f t="shared" si="20"/>
        <v>-21.079480492404596</v>
      </c>
      <c r="S72">
        <f t="shared" si="21"/>
        <v>-1.0489139765195041</v>
      </c>
      <c r="U72">
        <f t="shared" si="22"/>
        <v>2.6430560125718794E-7</v>
      </c>
      <c r="V72" s="2">
        <f t="shared" si="23"/>
        <v>-2.7310793415833048E-7</v>
      </c>
      <c r="W72" s="2">
        <f t="shared" si="24"/>
        <v>-3.9126142594799888E-6</v>
      </c>
    </row>
    <row r="73" spans="1:23" x14ac:dyDescent="0.3">
      <c r="A73" s="5">
        <v>28</v>
      </c>
      <c r="B73" s="7">
        <v>240</v>
      </c>
      <c r="C73" s="6">
        <v>400</v>
      </c>
      <c r="D73" s="11">
        <f>'Raw Data and Corrections'!T113</f>
        <v>0.178097651218387</v>
      </c>
      <c r="F73">
        <v>24000</v>
      </c>
      <c r="G73" s="2">
        <f>'Raw Data and Corrections'!AW109</f>
        <v>5.976241516357085</v>
      </c>
      <c r="H73" s="2">
        <f t="shared" si="25"/>
        <v>4.0985059435812508E-2</v>
      </c>
      <c r="I73" s="2">
        <f t="shared" si="15"/>
        <v>4.2206452982339326E-2</v>
      </c>
      <c r="K73" s="2">
        <f t="shared" si="26"/>
        <v>3.694628457542544E-10</v>
      </c>
      <c r="L73" s="2">
        <f t="shared" si="27"/>
        <v>3.8198939607641942E-10</v>
      </c>
      <c r="M73" s="2">
        <f t="shared" si="28"/>
        <v>5.3801695795355123E-9</v>
      </c>
      <c r="N73" s="2">
        <f t="shared" si="16"/>
        <v>3.694628457542544E-10</v>
      </c>
      <c r="O73">
        <f t="shared" si="17"/>
        <v>19.49317738791423</v>
      </c>
      <c r="P73">
        <f t="shared" si="18"/>
        <v>-21.718970933358566</v>
      </c>
      <c r="Q73">
        <f t="shared" si="19"/>
        <v>-9.432429228974744</v>
      </c>
      <c r="R73">
        <f t="shared" si="20"/>
        <v>-20.703718532592507</v>
      </c>
      <c r="S73">
        <f t="shared" si="21"/>
        <v>-1.0152524007660588</v>
      </c>
      <c r="U73">
        <f t="shared" si="22"/>
        <v>3.069339875541672E-7</v>
      </c>
      <c r="V73" s="2">
        <f t="shared" si="23"/>
        <v>-3.1749834491623724E-7</v>
      </c>
      <c r="W73" s="2">
        <f t="shared" si="24"/>
        <v>-4.4077515433705088E-6</v>
      </c>
    </row>
    <row r="74" spans="1:23" x14ac:dyDescent="0.3">
      <c r="A74" s="5">
        <v>29</v>
      </c>
      <c r="B74" s="7">
        <v>245</v>
      </c>
      <c r="C74" s="6">
        <v>350</v>
      </c>
      <c r="D74" s="11">
        <f>'Raw Data and Corrections'!T117</f>
        <v>0.230539629005059</v>
      </c>
      <c r="F74">
        <v>21000</v>
      </c>
      <c r="G74" s="2">
        <f>'Raw Data and Corrections'!AW113</f>
        <v>6.1806957263039592</v>
      </c>
      <c r="H74" s="2">
        <f t="shared" si="25"/>
        <v>4.2387206240562567E-2</v>
      </c>
      <c r="I74" s="2">
        <f t="shared" si="15"/>
        <v>4.3968246827898481E-2</v>
      </c>
      <c r="K74" s="2">
        <f t="shared" si="26"/>
        <v>5.673628078522091E-10</v>
      </c>
      <c r="L74" s="2">
        <f t="shared" si="27"/>
        <v>5.8736032868216051E-10</v>
      </c>
      <c r="M74" s="2">
        <f t="shared" si="28"/>
        <v>7.9724683010803762E-9</v>
      </c>
      <c r="N74" s="2">
        <f t="shared" si="16"/>
        <v>5.673628078522091E-10</v>
      </c>
      <c r="O74">
        <f t="shared" si="17"/>
        <v>19.305019305019304</v>
      </c>
      <c r="P74">
        <f t="shared" si="18"/>
        <v>-21.290022144076861</v>
      </c>
      <c r="Q74">
        <f t="shared" si="19"/>
        <v>-9.2461391367706192</v>
      </c>
      <c r="R74">
        <f t="shared" si="20"/>
        <v>-20.342507427685764</v>
      </c>
      <c r="S74">
        <f t="shared" si="21"/>
        <v>-0.94751471639109752</v>
      </c>
      <c r="U74">
        <f t="shared" si="22"/>
        <v>3.6542413022684813E-7</v>
      </c>
      <c r="V74" s="2">
        <f t="shared" si="23"/>
        <v>-3.7854770586410902E-7</v>
      </c>
      <c r="W74" s="2">
        <f t="shared" si="24"/>
        <v>-5.0467134095432125E-6</v>
      </c>
    </row>
    <row r="75" spans="1:23" x14ac:dyDescent="0.3">
      <c r="A75" s="5">
        <v>30</v>
      </c>
      <c r="B75" s="7">
        <v>250</v>
      </c>
      <c r="C75" s="6">
        <v>300</v>
      </c>
      <c r="D75" s="11">
        <f>'Raw Data and Corrections'!T121</f>
        <v>0.27770578063308499</v>
      </c>
      <c r="F75">
        <v>18000</v>
      </c>
      <c r="G75" s="2">
        <f>'Raw Data and Corrections'!AW117</f>
        <v>6.4384632442205705</v>
      </c>
      <c r="H75" s="2">
        <f t="shared" si="25"/>
        <v>4.4154975667805192E-2</v>
      </c>
      <c r="I75" s="2">
        <f t="shared" si="15"/>
        <v>4.6059481684465255E-2</v>
      </c>
      <c r="K75" s="2">
        <f t="shared" si="26"/>
        <v>8.3297766566777297E-10</v>
      </c>
      <c r="L75" s="2">
        <f t="shared" si="27"/>
        <v>8.6370438707133741E-10</v>
      </c>
      <c r="M75" s="2">
        <f t="shared" si="28"/>
        <v>1.1226790973817449E-8</v>
      </c>
      <c r="N75" s="2">
        <f t="shared" si="16"/>
        <v>8.3297766566777297E-10</v>
      </c>
      <c r="O75">
        <f t="shared" si="17"/>
        <v>19.120458891013385</v>
      </c>
      <c r="P75">
        <f t="shared" si="18"/>
        <v>-20.906014286044595</v>
      </c>
      <c r="Q75">
        <f t="shared" si="19"/>
        <v>-9.0793666430197177</v>
      </c>
      <c r="R75">
        <f t="shared" si="20"/>
        <v>-19.98820284486138</v>
      </c>
      <c r="S75">
        <f t="shared" si="21"/>
        <v>-0.91781144118321478</v>
      </c>
      <c r="U75">
        <f t="shared" si="22"/>
        <v>4.4660533730885698E-7</v>
      </c>
      <c r="V75" s="2">
        <f t="shared" si="23"/>
        <v>-4.6343933171801599E-7</v>
      </c>
      <c r="W75" s="2">
        <f t="shared" si="24"/>
        <v>-5.9007396569506606E-6</v>
      </c>
    </row>
    <row r="76" spans="1:23" x14ac:dyDescent="0.3">
      <c r="A76" s="5">
        <v>31</v>
      </c>
      <c r="B76" s="7">
        <v>249.97</v>
      </c>
      <c r="C76" s="6">
        <v>300</v>
      </c>
      <c r="D76" s="11">
        <f>'Raw Data and Corrections'!T126</f>
        <v>0.26541780987726199</v>
      </c>
      <c r="F76">
        <v>18000</v>
      </c>
      <c r="G76" s="2">
        <f>'Raw Data and Corrections'!AW121</f>
        <v>6.737421723432611</v>
      </c>
      <c r="H76" s="2">
        <f t="shared" si="25"/>
        <v>4.6205232673953517E-2</v>
      </c>
      <c r="I76" s="2">
        <f t="shared" si="15"/>
        <v>4.8025467797211008E-2</v>
      </c>
      <c r="K76" s="2">
        <f t="shared" si="26"/>
        <v>8.3156227088635696E-10</v>
      </c>
      <c r="L76" s="2">
        <f t="shared" si="27"/>
        <v>8.6366035620695962E-10</v>
      </c>
      <c r="M76" s="2">
        <f t="shared" si="28"/>
        <v>1.0752638394903473E-8</v>
      </c>
      <c r="N76" s="2">
        <f t="shared" si="16"/>
        <v>8.3156227088635696E-10</v>
      </c>
      <c r="O76">
        <f t="shared" si="17"/>
        <v>19.121555729774173</v>
      </c>
      <c r="P76">
        <f t="shared" si="18"/>
        <v>-20.907714930278434</v>
      </c>
      <c r="Q76">
        <f t="shared" si="19"/>
        <v>-9.0801052234261554</v>
      </c>
      <c r="R76">
        <f t="shared" si="20"/>
        <v>-19.990308469741233</v>
      </c>
      <c r="S76">
        <f t="shared" si="21"/>
        <v>-0.91740646053720099</v>
      </c>
      <c r="U76">
        <f t="shared" si="22"/>
        <v>4.6566807659546694E-7</v>
      </c>
      <c r="V76" s="2">
        <f t="shared" si="23"/>
        <v>-4.8400272924803834E-7</v>
      </c>
      <c r="W76" s="2">
        <f t="shared" si="24"/>
        <v>-5.9129256680550225E-6</v>
      </c>
    </row>
    <row r="77" spans="1:23" x14ac:dyDescent="0.3">
      <c r="A77" s="5">
        <v>32</v>
      </c>
      <c r="B77" s="6">
        <v>249.98</v>
      </c>
      <c r="C77" s="6">
        <v>300</v>
      </c>
      <c r="D77" s="12">
        <f>'Raw Data and Corrections'!T130</f>
        <v>0.248897802473871</v>
      </c>
      <c r="E77" s="6"/>
      <c r="F77">
        <v>18000</v>
      </c>
      <c r="G77" s="2">
        <f>'Raw Data and Corrections'!AW126</f>
        <v>7.0230790145470259</v>
      </c>
      <c r="H77" s="2">
        <f t="shared" si="25"/>
        <v>4.8164270142997123E-2</v>
      </c>
      <c r="I77" s="2">
        <f t="shared" si="15"/>
        <v>4.9871211068981139E-2</v>
      </c>
      <c r="K77" s="2">
        <f t="shared" si="26"/>
        <v>8.1129097165900251E-10</v>
      </c>
      <c r="L77" s="2">
        <f t="shared" si="27"/>
        <v>8.439269724528991E-10</v>
      </c>
      <c r="M77" s="2">
        <f t="shared" si="28"/>
        <v>1.0103548769539475E-8</v>
      </c>
      <c r="N77" s="2">
        <f t="shared" si="16"/>
        <v>8.1129097165900251E-10</v>
      </c>
      <c r="O77">
        <f t="shared" si="17"/>
        <v>19.121190102872003</v>
      </c>
      <c r="P77">
        <f t="shared" si="18"/>
        <v>-20.932394344829309</v>
      </c>
      <c r="Q77">
        <f t="shared" si="19"/>
        <v>-9.0908233569822023</v>
      </c>
      <c r="R77">
        <f t="shared" si="20"/>
        <v>-19.989606567939912</v>
      </c>
      <c r="S77">
        <f t="shared" si="21"/>
        <v>-0.94278777688939641</v>
      </c>
      <c r="U77">
        <f t="shared" si="22"/>
        <v>4.8356490839486769E-7</v>
      </c>
      <c r="V77" s="2">
        <f t="shared" si="23"/>
        <v>-5.0336938562391645E-7</v>
      </c>
      <c r="W77" s="2">
        <f t="shared" si="24"/>
        <v>-5.9244122611310706E-6</v>
      </c>
    </row>
    <row r="78" spans="1:23" x14ac:dyDescent="0.3">
      <c r="A78" s="5">
        <v>33</v>
      </c>
      <c r="B78" s="6">
        <v>250</v>
      </c>
      <c r="C78" s="6">
        <v>10250</v>
      </c>
      <c r="D78" s="12">
        <f>'Raw Data and Corrections'!T133</f>
        <v>6.8042168674698704</v>
      </c>
      <c r="E78" s="6"/>
      <c r="F78">
        <v>615000</v>
      </c>
      <c r="G78" s="2">
        <f>'Raw Data and Corrections'!AW130</f>
        <v>7.290110745592326</v>
      </c>
      <c r="H78" s="2">
        <f t="shared" si="25"/>
        <v>4.999557353630623E-2</v>
      </c>
      <c r="I78" s="2">
        <f t="shared" si="15"/>
        <v>9.665888725348698E-2</v>
      </c>
      <c r="K78" s="2">
        <f t="shared" si="26"/>
        <v>9.7105339249836843E-10</v>
      </c>
      <c r="L78" s="2">
        <f t="shared" si="27"/>
        <v>1.0331195456410612E-9</v>
      </c>
      <c r="M78" s="2">
        <f t="shared" si="28"/>
        <v>8.2978601112270389E-9</v>
      </c>
      <c r="N78" s="2">
        <f t="shared" si="16"/>
        <v>1.0331195456410612E-9</v>
      </c>
      <c r="O78">
        <f t="shared" si="17"/>
        <v>19.120458891013385</v>
      </c>
      <c r="P78">
        <f t="shared" si="18"/>
        <v>-20.690682926843483</v>
      </c>
      <c r="Q78">
        <f t="shared" si="19"/>
        <v>-8.9858494219379477</v>
      </c>
      <c r="R78">
        <f t="shared" si="20"/>
        <v>-19.98820284486138</v>
      </c>
      <c r="S78">
        <f t="shared" si="21"/>
        <v>-0.70248008198210243</v>
      </c>
      <c r="U78">
        <f t="shared" si="22"/>
        <v>2.7431151770525634E-8</v>
      </c>
      <c r="V78" s="2">
        <f t="shared" si="23"/>
        <v>-2.970638403625284E-8</v>
      </c>
      <c r="W78" s="2">
        <f t="shared" si="24"/>
        <v>-1.8237838373198542E-7</v>
      </c>
    </row>
    <row r="79" spans="1:23" x14ac:dyDescent="0.3">
      <c r="A79" s="5">
        <v>34</v>
      </c>
      <c r="B79" s="6">
        <v>240</v>
      </c>
      <c r="C79" s="6">
        <v>785</v>
      </c>
      <c r="D79" s="12">
        <f>'Raw Data and Corrections'!T135</f>
        <v>0.185283164139734</v>
      </c>
      <c r="E79" s="6"/>
      <c r="F79">
        <v>47100</v>
      </c>
      <c r="G79" s="2">
        <f>'Raw Data and Corrections'!AW133</f>
        <v>14.115555357703972</v>
      </c>
      <c r="H79" s="2">
        <f t="shared" si="25"/>
        <v>9.6804467108894454E-2</v>
      </c>
      <c r="I79" s="2">
        <f t="shared" si="15"/>
        <v>9.8075138897164377E-2</v>
      </c>
      <c r="K79" s="2">
        <f t="shared" si="26"/>
        <v>4.5880299627191909E-10</v>
      </c>
      <c r="L79" s="2">
        <f t="shared" si="27"/>
        <v>4.9719461235378511E-10</v>
      </c>
      <c r="M79" s="2">
        <f t="shared" si="28"/>
        <v>3.0285631220995502E-9</v>
      </c>
      <c r="N79" s="2">
        <f t="shared" si="16"/>
        <v>4.9719461235378511E-10</v>
      </c>
      <c r="O79">
        <f t="shared" si="17"/>
        <v>19.49317738791423</v>
      </c>
      <c r="P79">
        <f t="shared" si="18"/>
        <v>-21.422039592324584</v>
      </c>
      <c r="Q79">
        <f t="shared" si="19"/>
        <v>-9.3034735860595532</v>
      </c>
      <c r="R79">
        <f t="shared" si="20"/>
        <v>-20.703718532592507</v>
      </c>
      <c r="S79">
        <f t="shared" si="21"/>
        <v>-0.71832105973207661</v>
      </c>
      <c r="U79">
        <f t="shared" si="22"/>
        <v>3.6342549641322263E-7</v>
      </c>
      <c r="V79" s="2">
        <f t="shared" si="23"/>
        <v>-3.9405264228994934E-7</v>
      </c>
      <c r="W79" s="2">
        <f t="shared" si="24"/>
        <v>-2.3851131634379972E-6</v>
      </c>
    </row>
    <row r="80" spans="1:23" x14ac:dyDescent="0.3">
      <c r="A80" t="s">
        <v>298</v>
      </c>
      <c r="D80" s="6">
        <f>'Raw Data and Corrections'!AI138</f>
        <v>133.18435333935949</v>
      </c>
      <c r="E80" s="6">
        <v>0</v>
      </c>
      <c r="F80">
        <f>3600*C80</f>
        <v>0</v>
      </c>
      <c r="G80" s="2">
        <f>'Raw Data and Corrections'!AS138</f>
        <v>145.81512381887825</v>
      </c>
      <c r="I80" s="2"/>
    </row>
    <row r="81" spans="5:5" x14ac:dyDescent="0.3">
      <c r="E81" s="7">
        <v>1.1024229619583501</v>
      </c>
    </row>
  </sheetData>
  <mergeCells count="1">
    <mergeCell ref="U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484D9-7C32-425D-8769-31AAF0EEB89A}">
  <dimension ref="A1:AI81"/>
  <sheetViews>
    <sheetView topLeftCell="A4" zoomScale="85" workbookViewId="0">
      <selection activeCell="I5" sqref="I5"/>
    </sheetView>
  </sheetViews>
  <sheetFormatPr defaultRowHeight="14.4" x14ac:dyDescent="0.3"/>
  <cols>
    <col min="1" max="1" width="9" bestFit="1" customWidth="1"/>
    <col min="2" max="4" width="9" style="7" bestFit="1" customWidth="1"/>
    <col min="5" max="5" width="9" style="7" customWidth="1"/>
    <col min="6" max="6" width="9" bestFit="1" customWidth="1"/>
    <col min="7" max="9" width="9" customWidth="1"/>
    <col min="10" max="10" width="3.33203125" style="69" customWidth="1"/>
    <col min="11" max="11" width="12" bestFit="1" customWidth="1"/>
    <col min="12" max="12" width="12.21875" bestFit="1" customWidth="1"/>
    <col min="13" max="14" width="12.109375" bestFit="1" customWidth="1"/>
    <col min="15" max="16" width="9.109375" bestFit="1" customWidth="1"/>
    <col min="17" max="17" width="9.21875" bestFit="1" customWidth="1"/>
    <col min="18" max="18" width="10.6640625" customWidth="1"/>
    <col min="19" max="19" width="10.21875" customWidth="1"/>
    <col min="21" max="21" width="12.77734375" bestFit="1" customWidth="1"/>
    <col min="22" max="23" width="9.109375" bestFit="1" customWidth="1"/>
    <col min="26" max="26" width="9" bestFit="1" customWidth="1"/>
    <col min="27" max="27" width="12.77734375" bestFit="1" customWidth="1"/>
    <col min="28" max="30" width="9" bestFit="1" customWidth="1"/>
    <col min="31" max="31" width="11.33203125" bestFit="1" customWidth="1"/>
    <col min="34" max="35" width="9" bestFit="1" customWidth="1"/>
  </cols>
  <sheetData>
    <row r="1" spans="1:35" s="4" customFormat="1" ht="41.4" customHeight="1" thickBot="1" x14ac:dyDescent="0.35">
      <c r="A1" s="4" t="s">
        <v>351</v>
      </c>
      <c r="B1" s="127"/>
      <c r="C1" s="127"/>
      <c r="D1" s="127"/>
      <c r="E1" s="127"/>
      <c r="G1" s="127" t="s">
        <v>340</v>
      </c>
      <c r="H1" s="127" t="s">
        <v>647</v>
      </c>
      <c r="I1" s="127" t="s">
        <v>341</v>
      </c>
      <c r="J1" s="68"/>
      <c r="K1" s="4" t="s">
        <v>290</v>
      </c>
      <c r="L1" s="4" t="s">
        <v>291</v>
      </c>
      <c r="M1" s="4" t="s">
        <v>292</v>
      </c>
      <c r="N1" s="4" t="s">
        <v>293</v>
      </c>
      <c r="O1" s="4" t="s">
        <v>295</v>
      </c>
      <c r="P1" s="4" t="s">
        <v>294</v>
      </c>
      <c r="Q1" s="4" t="s">
        <v>296</v>
      </c>
      <c r="R1" s="4" t="s">
        <v>623</v>
      </c>
      <c r="S1" s="4" t="s">
        <v>368</v>
      </c>
      <c r="U1" s="145" t="s">
        <v>348</v>
      </c>
      <c r="V1" s="145"/>
      <c r="W1" s="145"/>
      <c r="AH1" s="4" t="s">
        <v>364</v>
      </c>
    </row>
    <row r="2" spans="1:35" x14ac:dyDescent="0.3">
      <c r="G2" s="7"/>
      <c r="H2" s="7"/>
      <c r="I2" s="7"/>
      <c r="K2" t="s">
        <v>342</v>
      </c>
      <c r="L2" t="s">
        <v>343</v>
      </c>
      <c r="M2" t="s">
        <v>344</v>
      </c>
      <c r="U2" t="s">
        <v>345</v>
      </c>
      <c r="V2" t="s">
        <v>346</v>
      </c>
      <c r="W2" t="s">
        <v>347</v>
      </c>
      <c r="AH2" s="13" cm="1">
        <f t="array" ref="AH2:AI6">LINEST(P27:P37,O27:O37,TRUE,TRUE)</f>
        <v>-1.9351480295682508</v>
      </c>
      <c r="AI2" s="14">
        <v>17.172382811012813</v>
      </c>
    </row>
    <row r="3" spans="1:35" ht="16.2" x14ac:dyDescent="0.3">
      <c r="A3" t="s">
        <v>297</v>
      </c>
      <c r="B3" s="7" t="s">
        <v>300</v>
      </c>
      <c r="C3" s="7" t="s">
        <v>301</v>
      </c>
      <c r="D3" s="7" t="s">
        <v>672</v>
      </c>
      <c r="F3" t="s">
        <v>302</v>
      </c>
      <c r="I3">
        <v>0</v>
      </c>
      <c r="U3">
        <v>0</v>
      </c>
      <c r="V3">
        <v>0</v>
      </c>
      <c r="W3">
        <v>0</v>
      </c>
      <c r="AH3" s="15">
        <v>7.4343473076775093E-2</v>
      </c>
      <c r="AI3" s="16">
        <v>1.448605174216673</v>
      </c>
    </row>
    <row r="4" spans="1:35" x14ac:dyDescent="0.3">
      <c r="A4" s="5">
        <v>1</v>
      </c>
      <c r="B4" s="7">
        <v>170</v>
      </c>
      <c r="C4" s="6">
        <v>300</v>
      </c>
      <c r="D4" s="11">
        <f>'Raw Data and Corrections'!CH5</f>
        <v>0</v>
      </c>
      <c r="F4">
        <f t="shared" ref="F4:F37" si="0">60*C4</f>
        <v>18000</v>
      </c>
      <c r="G4">
        <v>0</v>
      </c>
      <c r="H4" s="2">
        <f t="shared" ref="H4:H37" si="1">(G4)/$G$38</f>
        <v>0</v>
      </c>
      <c r="I4" s="2">
        <f>(G4+D4)/$G$38</f>
        <v>0</v>
      </c>
      <c r="K4" s="2">
        <f t="shared" ref="K4:K37" si="2">((I4^2-H4^2)*PI())/(36*F4)</f>
        <v>0</v>
      </c>
      <c r="L4" s="2">
        <f t="shared" ref="L4:L37" si="3">(1/(PI()*PI()*F4))*(-(I4-H4)*PI()*PI()/3-2*PI()*(SQRT(1-PI()/3*I4)-SQRT(1-PI()/3*H4)))</f>
        <v>0</v>
      </c>
      <c r="M4" s="2">
        <f t="shared" ref="M4:M37" si="4">(1/(PI()^2*F4))*LN((1-H4)/(1-I4))</f>
        <v>0</v>
      </c>
      <c r="N4" s="2">
        <f t="shared" ref="N4:N37" si="5">(I4&lt;0.05)*K4+((I4&gt;=0.05)*(I4&lt;0.9))*L4+(I4&gt;=0.9)*M4</f>
        <v>0</v>
      </c>
      <c r="O4">
        <f t="shared" ref="O4:O37" si="6">10000/(273+B4)</f>
        <v>22.573363431151243</v>
      </c>
      <c r="P4" t="e">
        <f t="shared" ref="P4:P37" si="7">LN(N4)</f>
        <v>#NUM!</v>
      </c>
      <c r="Q4" t="e">
        <f t="shared" ref="Q4:Q37" si="8">LOG10(N4)</f>
        <v>#NUM!</v>
      </c>
      <c r="R4">
        <f t="shared" ref="R4:R37" si="9">$AI$2+$AH$2*O4</f>
        <v>-26.510416953507526</v>
      </c>
      <c r="S4" t="e">
        <f t="shared" ref="S4:S37" si="10">P4-R4</f>
        <v>#NUM!</v>
      </c>
      <c r="U4" s="2">
        <f t="shared" ref="U4:U37" si="11" xml:space="preserve"> (I4 * PI()) / (18 * F4)</f>
        <v>0</v>
      </c>
      <c r="V4" s="2">
        <f t="shared" ref="V4:V37" si="12" xml:space="preserve"> (1 / (PI()^2 * F4)) * (PI()^2 / 3 - PI()^2 / (3 * SQRT(1 - (PI() / 3) * I4)))</f>
        <v>0</v>
      </c>
      <c r="W4" s="2">
        <f t="shared" ref="W4:W37" si="13" xml:space="preserve"> (-1) / (PI()^2 * F4 * (1 - I4))</f>
        <v>-5.6289546467965437E-6</v>
      </c>
      <c r="AH4" s="15">
        <v>0.98689101661432255</v>
      </c>
      <c r="AI4" s="16">
        <v>8.384181382786432E-2</v>
      </c>
    </row>
    <row r="5" spans="1:35" x14ac:dyDescent="0.3">
      <c r="A5" s="5">
        <v>2</v>
      </c>
      <c r="B5" s="7">
        <v>180</v>
      </c>
      <c r="C5" s="6">
        <v>463</v>
      </c>
      <c r="D5" s="11">
        <f>'Raw Data and Corrections'!CH9</f>
        <v>0</v>
      </c>
      <c r="F5">
        <f t="shared" si="0"/>
        <v>27780</v>
      </c>
      <c r="G5" s="11">
        <f>'Raw Data and Corrections'!AU5</f>
        <v>0.96295641608282601</v>
      </c>
      <c r="H5" s="2">
        <f>(G5)/$G$38</f>
        <v>6.5888972971654648E-3</v>
      </c>
      <c r="I5" s="2">
        <f>(G5+D5)/$G$38</f>
        <v>6.5888972971654648E-3</v>
      </c>
      <c r="K5" s="2">
        <f t="shared" si="2"/>
        <v>0</v>
      </c>
      <c r="L5" s="2">
        <f t="shared" si="3"/>
        <v>0</v>
      </c>
      <c r="M5" s="2">
        <f t="shared" si="4"/>
        <v>0</v>
      </c>
      <c r="N5" s="2">
        <f t="shared" si="5"/>
        <v>0</v>
      </c>
      <c r="O5">
        <f t="shared" si="6"/>
        <v>22.075055187637968</v>
      </c>
      <c r="P5" t="e">
        <f t="shared" si="7"/>
        <v>#NUM!</v>
      </c>
      <c r="Q5" t="e">
        <f t="shared" si="8"/>
        <v>#NUM!</v>
      </c>
      <c r="R5">
        <f t="shared" si="9"/>
        <v>-25.546116737955192</v>
      </c>
      <c r="S5" t="e">
        <f t="shared" si="10"/>
        <v>#NUM!</v>
      </c>
      <c r="U5">
        <f t="shared" si="11"/>
        <v>4.1395951011984375E-8</v>
      </c>
      <c r="V5" s="2">
        <f t="shared" si="12"/>
        <v>-4.1611410470645241E-8</v>
      </c>
      <c r="W5" s="2">
        <f t="shared" si="13"/>
        <v>-3.671461713619316E-6</v>
      </c>
      <c r="AH5" s="15">
        <v>677.55209448454843</v>
      </c>
      <c r="AI5" s="16">
        <v>9</v>
      </c>
    </row>
    <row r="6" spans="1:35" ht="15" thickBot="1" x14ac:dyDescent="0.35">
      <c r="A6" s="5">
        <v>3</v>
      </c>
      <c r="B6" s="7">
        <v>190</v>
      </c>
      <c r="C6" s="6">
        <v>550</v>
      </c>
      <c r="D6" s="11">
        <f>'Raw Data and Corrections'!CH13</f>
        <v>0</v>
      </c>
      <c r="F6">
        <f t="shared" si="0"/>
        <v>33000</v>
      </c>
      <c r="G6" s="11">
        <f>'Raw Data and Corrections'!AU9</f>
        <v>1.624118796026139</v>
      </c>
      <c r="H6" s="2">
        <f t="shared" si="1"/>
        <v>1.1112810265020163E-2</v>
      </c>
      <c r="I6" s="2">
        <f t="shared" ref="I5:I37" si="14">(G6+D6)/$G$38</f>
        <v>1.1112810265020163E-2</v>
      </c>
      <c r="K6" s="2">
        <f t="shared" si="2"/>
        <v>0</v>
      </c>
      <c r="L6" s="2">
        <f t="shared" si="3"/>
        <v>0</v>
      </c>
      <c r="M6" s="2">
        <f t="shared" si="4"/>
        <v>0</v>
      </c>
      <c r="N6" s="2">
        <f t="shared" si="5"/>
        <v>0</v>
      </c>
      <c r="O6">
        <f t="shared" si="6"/>
        <v>21.598272138228943</v>
      </c>
      <c r="P6" t="e">
        <f t="shared" si="7"/>
        <v>#NUM!</v>
      </c>
      <c r="Q6" t="e">
        <f t="shared" si="8"/>
        <v>#NUM!</v>
      </c>
      <c r="R6">
        <f t="shared" si="9"/>
        <v>-24.623470959359775</v>
      </c>
      <c r="S6" t="e">
        <f t="shared" si="10"/>
        <v>#NUM!</v>
      </c>
      <c r="U6">
        <f t="shared" si="11"/>
        <v>5.8774281295159239E-8</v>
      </c>
      <c r="V6" s="2">
        <f t="shared" si="12"/>
        <v>-5.929228804753959E-8</v>
      </c>
      <c r="W6" s="2">
        <f t="shared" si="13"/>
        <v>-3.1048424230022694E-6</v>
      </c>
      <c r="AH6" s="17">
        <v>4.762818398439765</v>
      </c>
      <c r="AI6" s="18">
        <v>6.3265047713516334E-2</v>
      </c>
    </row>
    <row r="7" spans="1:35" x14ac:dyDescent="0.3">
      <c r="A7" s="5">
        <v>4</v>
      </c>
      <c r="B7" s="7">
        <v>200</v>
      </c>
      <c r="C7" s="6">
        <v>500</v>
      </c>
      <c r="D7" s="11">
        <f>'Raw Data and Corrections'!CH17</f>
        <v>0.65194702527655324</v>
      </c>
      <c r="F7">
        <f t="shared" si="0"/>
        <v>30000</v>
      </c>
      <c r="G7" s="11">
        <f>'Raw Data and Corrections'!AU13</f>
        <v>2.2112310169217499</v>
      </c>
      <c r="H7" s="2">
        <f t="shared" si="1"/>
        <v>1.5130045168680823E-2</v>
      </c>
      <c r="I7" s="2">
        <f t="shared" si="14"/>
        <v>1.9590903335256735E-2</v>
      </c>
      <c r="K7" s="2">
        <f t="shared" si="2"/>
        <v>4.5054286139198868E-10</v>
      </c>
      <c r="L7" s="2">
        <f t="shared" si="3"/>
        <v>4.5681592036920587E-10</v>
      </c>
      <c r="M7" s="2">
        <f t="shared" si="4"/>
        <v>1.533218078718903E-8</v>
      </c>
      <c r="N7" s="2">
        <f t="shared" si="5"/>
        <v>4.5054286139198868E-10</v>
      </c>
      <c r="O7">
        <f t="shared" si="6"/>
        <v>21.141649048625794</v>
      </c>
      <c r="P7">
        <f t="shared" si="7"/>
        <v>-21.520567901581238</v>
      </c>
      <c r="Q7">
        <f t="shared" si="8"/>
        <v>-9.3462638870809744</v>
      </c>
      <c r="R7">
        <f t="shared" si="9"/>
        <v>-23.739837687258881</v>
      </c>
      <c r="S7">
        <f t="shared" si="10"/>
        <v>2.2192697856776427</v>
      </c>
      <c r="U7">
        <f t="shared" si="11"/>
        <v>1.1397525554672284E-7</v>
      </c>
      <c r="V7" s="2">
        <f t="shared" si="12"/>
        <v>-1.1575948406255207E-7</v>
      </c>
      <c r="W7" s="2">
        <f t="shared" si="13"/>
        <v>-3.4448607214757805E-6</v>
      </c>
    </row>
    <row r="8" spans="1:35" x14ac:dyDescent="0.3">
      <c r="A8" s="5">
        <v>5</v>
      </c>
      <c r="B8" s="7">
        <v>210</v>
      </c>
      <c r="C8" s="6">
        <v>475</v>
      </c>
      <c r="D8" s="11">
        <f>'Raw Data and Corrections'!CH21</f>
        <v>0.71109197109245692</v>
      </c>
      <c r="F8">
        <f t="shared" si="0"/>
        <v>28500</v>
      </c>
      <c r="G8" s="11">
        <f>'Raw Data and Corrections'!AU17</f>
        <v>2.7646138270456992</v>
      </c>
      <c r="H8" s="2">
        <f t="shared" si="1"/>
        <v>1.8916491201986969E-2</v>
      </c>
      <c r="I8" s="2">
        <f t="shared" si="14"/>
        <v>2.378204055408159E-2</v>
      </c>
      <c r="K8" s="2">
        <f t="shared" si="2"/>
        <v>6.3613213560228225E-10</v>
      </c>
      <c r="L8" s="2">
        <f t="shared" si="3"/>
        <v>6.4705013598430226E-10</v>
      </c>
      <c r="M8" s="2">
        <f t="shared" si="4"/>
        <v>1.7675041614759186E-8</v>
      </c>
      <c r="N8" s="2">
        <f t="shared" si="5"/>
        <v>6.3613213560228225E-10</v>
      </c>
      <c r="O8">
        <f t="shared" si="6"/>
        <v>20.703933747412009</v>
      </c>
      <c r="P8">
        <f t="shared" si="7"/>
        <v>-21.175614813786677</v>
      </c>
      <c r="Q8">
        <f t="shared" si="8"/>
        <v>-9.1964526645363094</v>
      </c>
      <c r="R8">
        <f t="shared" si="9"/>
        <v>-22.892793784603146</v>
      </c>
      <c r="S8">
        <f t="shared" si="10"/>
        <v>1.7171789708164695</v>
      </c>
      <c r="U8">
        <f t="shared" si="11"/>
        <v>1.4564031947773346E-7</v>
      </c>
      <c r="V8" s="2">
        <f t="shared" si="12"/>
        <v>-1.4841835880074434E-7</v>
      </c>
      <c r="W8" s="2">
        <f t="shared" si="13"/>
        <v>-3.6417371922005647E-6</v>
      </c>
    </row>
    <row r="9" spans="1:35" x14ac:dyDescent="0.3">
      <c r="A9" s="5">
        <v>6</v>
      </c>
      <c r="B9" s="7">
        <v>220</v>
      </c>
      <c r="C9" s="6">
        <v>450</v>
      </c>
      <c r="D9" s="11">
        <f>'Raw Data and Corrections'!CH25</f>
        <v>0.76821285763620661</v>
      </c>
      <c r="F9">
        <f t="shared" si="0"/>
        <v>27000</v>
      </c>
      <c r="G9" s="11">
        <f>'Raw Data and Corrections'!AU21</f>
        <v>3.3798521929721193</v>
      </c>
      <c r="H9" s="2">
        <f t="shared" si="1"/>
        <v>2.3126175398136935E-2</v>
      </c>
      <c r="I9" s="2">
        <f t="shared" si="14"/>
        <v>2.8382566587591966E-2</v>
      </c>
      <c r="K9" s="2">
        <f t="shared" si="2"/>
        <v>8.7508900970516135E-10</v>
      </c>
      <c r="L9" s="2">
        <f t="shared" si="3"/>
        <v>8.9326305420946787E-10</v>
      </c>
      <c r="M9" s="2">
        <f t="shared" si="4"/>
        <v>2.0246816959724477E-8</v>
      </c>
      <c r="N9" s="2">
        <f t="shared" si="5"/>
        <v>8.7508900970516135E-10</v>
      </c>
      <c r="O9">
        <f t="shared" si="6"/>
        <v>20.28397565922921</v>
      </c>
      <c r="P9">
        <f t="shared" si="7"/>
        <v>-20.856695509367281</v>
      </c>
      <c r="Q9">
        <f t="shared" si="8"/>
        <v>-9.0579477704545432</v>
      </c>
      <c r="R9">
        <f t="shared" si="9"/>
        <v>-22.080112717754954</v>
      </c>
      <c r="S9">
        <f t="shared" si="10"/>
        <v>1.2234172083876729</v>
      </c>
      <c r="U9" s="2">
        <f t="shared" si="11"/>
        <v>1.8347008782222641E-7</v>
      </c>
      <c r="V9" s="2">
        <f t="shared" si="12"/>
        <v>-1.8766393859130583E-7</v>
      </c>
      <c r="W9" s="2">
        <f t="shared" si="13"/>
        <v>-3.8622572034531103E-6</v>
      </c>
    </row>
    <row r="10" spans="1:35" x14ac:dyDescent="0.3">
      <c r="A10" s="5">
        <v>7</v>
      </c>
      <c r="B10" s="7">
        <v>230</v>
      </c>
      <c r="C10" s="6">
        <v>425</v>
      </c>
      <c r="D10" s="11">
        <f>'Raw Data and Corrections'!CH29</f>
        <v>0.94570144013794888</v>
      </c>
      <c r="F10">
        <f t="shared" si="0"/>
        <v>25500</v>
      </c>
      <c r="G10" s="11">
        <f>'Raw Data and Corrections'!AU25</f>
        <v>4.0551293336322498</v>
      </c>
      <c r="H10" s="2">
        <f t="shared" si="1"/>
        <v>2.774666668167023E-2</v>
      </c>
      <c r="I10" s="2">
        <f t="shared" si="14"/>
        <v>3.4217499170847467E-2</v>
      </c>
      <c r="K10" s="2">
        <f t="shared" si="2"/>
        <v>1.3721701153746849E-9</v>
      </c>
      <c r="L10" s="2">
        <f t="shared" si="3"/>
        <v>1.406620456787214E-9</v>
      </c>
      <c r="M10" s="2">
        <f t="shared" si="4"/>
        <v>2.6533224899617671E-8</v>
      </c>
      <c r="N10" s="2">
        <f t="shared" si="5"/>
        <v>1.3721701153746849E-9</v>
      </c>
      <c r="O10">
        <f t="shared" si="6"/>
        <v>19.880715705765407</v>
      </c>
      <c r="P10">
        <f t="shared" si="7"/>
        <v>-20.406872324531065</v>
      </c>
      <c r="Q10">
        <f t="shared" si="8"/>
        <v>-8.8625920434480268</v>
      </c>
      <c r="R10">
        <f t="shared" si="9"/>
        <v>-21.299745013405694</v>
      </c>
      <c r="S10">
        <f t="shared" si="10"/>
        <v>0.89287268887462901</v>
      </c>
      <c r="U10">
        <f t="shared" si="11"/>
        <v>2.3419922444302667E-7</v>
      </c>
      <c r="V10" s="2">
        <f t="shared" si="12"/>
        <v>-2.4068720800339676E-7</v>
      </c>
      <c r="W10" s="2">
        <f t="shared" si="13"/>
        <v>-4.1141558759541094E-6</v>
      </c>
    </row>
    <row r="11" spans="1:35" x14ac:dyDescent="0.3">
      <c r="A11" s="5">
        <v>8</v>
      </c>
      <c r="B11" s="7">
        <v>225</v>
      </c>
      <c r="C11" s="6">
        <v>908</v>
      </c>
      <c r="D11" s="11">
        <f>'Raw Data and Corrections'!CH33</f>
        <v>0.81826595141046488</v>
      </c>
      <c r="F11">
        <f t="shared" si="0"/>
        <v>54480</v>
      </c>
      <c r="G11" s="11">
        <f>'Raw Data and Corrections'!AU29</f>
        <v>4.8885443360909573</v>
      </c>
      <c r="H11" s="2">
        <f t="shared" si="1"/>
        <v>3.3449194610665318E-2</v>
      </c>
      <c r="I11" s="2">
        <f t="shared" si="14"/>
        <v>3.9048067234145722E-2</v>
      </c>
      <c r="K11" s="2">
        <f t="shared" si="2"/>
        <v>6.5017829043959434E-10</v>
      </c>
      <c r="L11" s="2">
        <f t="shared" si="3"/>
        <v>6.6933482198977621E-10</v>
      </c>
      <c r="M11" s="2">
        <f t="shared" si="4"/>
        <v>1.0804382638816291E-8</v>
      </c>
      <c r="N11" s="2">
        <f t="shared" si="5"/>
        <v>6.5017829043959434E-10</v>
      </c>
      <c r="O11">
        <f t="shared" si="6"/>
        <v>20.080321285140563</v>
      </c>
      <c r="P11">
        <f t="shared" si="7"/>
        <v>-21.153774497666316</v>
      </c>
      <c r="Q11">
        <f t="shared" si="8"/>
        <v>-9.1869675357622143</v>
      </c>
      <c r="R11">
        <f t="shared" si="9"/>
        <v>-21.686011357024352</v>
      </c>
      <c r="S11">
        <f t="shared" si="10"/>
        <v>0.53223685935803644</v>
      </c>
      <c r="U11">
        <f t="shared" si="11"/>
        <v>1.2509495957708488E-7</v>
      </c>
      <c r="V11" s="2">
        <f t="shared" si="12"/>
        <v>-1.290669934598219E-7</v>
      </c>
      <c r="W11" s="2">
        <f t="shared" si="13"/>
        <v>-1.9353587980441749E-6</v>
      </c>
    </row>
    <row r="12" spans="1:35" x14ac:dyDescent="0.3">
      <c r="A12" s="5">
        <v>9</v>
      </c>
      <c r="B12" s="7">
        <v>215</v>
      </c>
      <c r="C12" s="6">
        <v>450</v>
      </c>
      <c r="D12" s="11">
        <f>'Raw Data and Corrections'!CH38</f>
        <v>0.17402283670116131</v>
      </c>
      <c r="F12">
        <f t="shared" si="0"/>
        <v>27000</v>
      </c>
      <c r="G12" s="11">
        <f>'Raw Data and Corrections'!AU33</f>
        <v>5.6841898534713735</v>
      </c>
      <c r="H12" s="2">
        <f t="shared" si="1"/>
        <v>3.8893290014583089E-2</v>
      </c>
      <c r="I12" s="2">
        <f t="shared" si="14"/>
        <v>4.0084017423669405E-2</v>
      </c>
      <c r="K12" s="2">
        <f t="shared" si="2"/>
        <v>3.0394729433356784E-10</v>
      </c>
      <c r="L12" s="2">
        <f t="shared" si="3"/>
        <v>3.137118623893262E-10</v>
      </c>
      <c r="M12" s="2">
        <f t="shared" si="4"/>
        <v>4.6520716746522352E-9</v>
      </c>
      <c r="N12" s="2">
        <f t="shared" si="5"/>
        <v>3.0394729433356784E-10</v>
      </c>
      <c r="O12">
        <f t="shared" si="6"/>
        <v>20.491803278688526</v>
      </c>
      <c r="P12">
        <f t="shared" si="7"/>
        <v>-21.914166803456055</v>
      </c>
      <c r="Q12">
        <f t="shared" si="8"/>
        <v>-9.5172017182483888</v>
      </c>
      <c r="R12">
        <f t="shared" si="9"/>
        <v>-22.482289926041506</v>
      </c>
      <c r="S12">
        <f t="shared" si="10"/>
        <v>0.56812312258545106</v>
      </c>
      <c r="U12">
        <f t="shared" si="11"/>
        <v>2.5911040054437258E-7</v>
      </c>
      <c r="V12" s="2">
        <f t="shared" si="12"/>
        <v>-2.675639251200243E-7</v>
      </c>
      <c r="W12" s="2">
        <f t="shared" si="13"/>
        <v>-3.9093384205625443E-6</v>
      </c>
    </row>
    <row r="13" spans="1:35" x14ac:dyDescent="0.3">
      <c r="A13" s="5">
        <v>10</v>
      </c>
      <c r="B13" s="7">
        <v>205</v>
      </c>
      <c r="C13" s="6">
        <v>520</v>
      </c>
      <c r="D13" s="11">
        <f>'Raw Data and Corrections'!CH43</f>
        <v>9.3430297854080788E-2</v>
      </c>
      <c r="F13">
        <f t="shared" si="0"/>
        <v>31200</v>
      </c>
      <c r="G13" s="11">
        <f>'Raw Data and Corrections'!AU38</f>
        <v>5.8529134968853125</v>
      </c>
      <c r="H13" s="2">
        <f t="shared" si="1"/>
        <v>4.0047758419892922E-2</v>
      </c>
      <c r="I13" s="2">
        <f t="shared" si="14"/>
        <v>4.068704242768665E-2</v>
      </c>
      <c r="K13" s="2">
        <f t="shared" si="2"/>
        <v>1.4436017390610553E-10</v>
      </c>
      <c r="L13" s="2">
        <f t="shared" si="3"/>
        <v>1.4910457487273063E-10</v>
      </c>
      <c r="M13" s="2">
        <f t="shared" si="4"/>
        <v>2.1633885363423955E-9</v>
      </c>
      <c r="N13" s="2">
        <f t="shared" si="5"/>
        <v>1.4436017390610553E-10</v>
      </c>
      <c r="O13">
        <f t="shared" si="6"/>
        <v>20.92050209205021</v>
      </c>
      <c r="P13">
        <f t="shared" si="7"/>
        <v>-22.658709731485072</v>
      </c>
      <c r="Q13">
        <f t="shared" si="8"/>
        <v>-9.8405526034314796</v>
      </c>
      <c r="R13">
        <f t="shared" si="9"/>
        <v>-23.311885589996617</v>
      </c>
      <c r="S13">
        <f t="shared" si="10"/>
        <v>0.65317585851154547</v>
      </c>
      <c r="U13">
        <f t="shared" si="11"/>
        <v>2.2760347860953808E-7</v>
      </c>
      <c r="V13" s="2">
        <f t="shared" si="12"/>
        <v>-2.3514492280678373E-7</v>
      </c>
      <c r="W13" s="2">
        <f t="shared" si="13"/>
        <v>-3.3852079335074736E-6</v>
      </c>
    </row>
    <row r="14" spans="1:35" x14ac:dyDescent="0.3">
      <c r="A14" s="5">
        <v>11</v>
      </c>
      <c r="B14" s="7">
        <v>195</v>
      </c>
      <c r="C14" s="6">
        <v>1106</v>
      </c>
      <c r="D14" s="11">
        <f>'Raw Data and Corrections'!CH47</f>
        <v>7.4379747260314752E-2</v>
      </c>
      <c r="F14">
        <f t="shared" si="0"/>
        <v>66360</v>
      </c>
      <c r="G14" s="11">
        <f>'Raw Data and Corrections'!AU43</f>
        <v>5.9491316303760451</v>
      </c>
      <c r="H14" s="2">
        <f t="shared" si="1"/>
        <v>4.0706117810938157E-2</v>
      </c>
      <c r="I14" s="2">
        <f t="shared" si="14"/>
        <v>4.1215051037304641E-2</v>
      </c>
      <c r="K14" s="2">
        <f t="shared" si="2"/>
        <v>5.4827436430423127E-11</v>
      </c>
      <c r="L14" s="2">
        <f t="shared" si="3"/>
        <v>5.6656789381356819E-11</v>
      </c>
      <c r="M14" s="2">
        <f t="shared" si="4"/>
        <v>8.1024850077150785E-10</v>
      </c>
      <c r="N14" s="2">
        <f t="shared" si="5"/>
        <v>5.4827436430423127E-11</v>
      </c>
      <c r="O14">
        <f t="shared" si="6"/>
        <v>21.367521367521366</v>
      </c>
      <c r="P14">
        <f t="shared" si="7"/>
        <v>-23.626830382476633</v>
      </c>
      <c r="Q14">
        <f t="shared" si="8"/>
        <v>-10.261002059973698</v>
      </c>
      <c r="R14">
        <f t="shared" si="9"/>
        <v>-24.176934060103658</v>
      </c>
      <c r="S14">
        <f t="shared" si="10"/>
        <v>0.55010367762702472</v>
      </c>
      <c r="U14">
        <f t="shared" si="11"/>
        <v>1.08399388483796E-7</v>
      </c>
      <c r="V14" s="2">
        <f t="shared" si="12"/>
        <v>-1.1203946481582912E-7</v>
      </c>
      <c r="W14" s="2">
        <f t="shared" si="13"/>
        <v>-1.592475169659865E-6</v>
      </c>
    </row>
    <row r="15" spans="1:35" x14ac:dyDescent="0.3">
      <c r="A15" s="5">
        <v>12</v>
      </c>
      <c r="B15" s="7">
        <v>185</v>
      </c>
      <c r="C15" s="6">
        <v>740</v>
      </c>
      <c r="D15" s="11">
        <f>'Raw Data and Corrections'!CH51</f>
        <v>2.7296859083094534E-2</v>
      </c>
      <c r="F15">
        <f t="shared" si="0"/>
        <v>44400</v>
      </c>
      <c r="G15" s="11">
        <f>'Raw Data and Corrections'!AU47</f>
        <v>6.024602455718326</v>
      </c>
      <c r="H15" s="2">
        <f t="shared" si="1"/>
        <v>4.1222516589540646E-2</v>
      </c>
      <c r="I15" s="2">
        <f t="shared" si="14"/>
        <v>4.1409291606592132E-2</v>
      </c>
      <c r="K15" s="2">
        <f t="shared" si="2"/>
        <v>3.0334053114947093E-11</v>
      </c>
      <c r="L15" s="2">
        <f t="shared" si="3"/>
        <v>3.1355265606145703E-11</v>
      </c>
      <c r="M15" s="2">
        <f t="shared" si="4"/>
        <v>4.4459087819257795E-10</v>
      </c>
      <c r="N15" s="2">
        <f t="shared" si="5"/>
        <v>3.0334053114947093E-11</v>
      </c>
      <c r="O15">
        <f t="shared" si="6"/>
        <v>21.834061135371179</v>
      </c>
      <c r="P15">
        <f t="shared" si="7"/>
        <v>-24.218750169297149</v>
      </c>
      <c r="Q15">
        <f t="shared" si="8"/>
        <v>-10.518069557119198</v>
      </c>
      <c r="R15">
        <f t="shared" si="9"/>
        <v>-25.079757572573453</v>
      </c>
      <c r="S15">
        <f t="shared" si="10"/>
        <v>0.86100740327630376</v>
      </c>
      <c r="U15">
        <f t="shared" si="11"/>
        <v>1.6277668456159576E-7</v>
      </c>
      <c r="V15" s="2">
        <f t="shared" si="12"/>
        <v>-1.6826949329389121E-7</v>
      </c>
      <c r="W15" s="2">
        <f t="shared" si="13"/>
        <v>-2.3805870645437674E-6</v>
      </c>
    </row>
    <row r="16" spans="1:35" x14ac:dyDescent="0.3">
      <c r="A16" s="5">
        <v>13</v>
      </c>
      <c r="B16" s="7">
        <v>175</v>
      </c>
      <c r="C16" s="6">
        <v>920</v>
      </c>
      <c r="D16" s="11">
        <f>'Raw Data and Corrections'!CH55</f>
        <v>2.1376375113865989E-2</v>
      </c>
      <c r="F16">
        <f t="shared" si="0"/>
        <v>55200</v>
      </c>
      <c r="G16" s="11">
        <f>'Raw Data and Corrections'!AU51</f>
        <v>6.0610322665028766</v>
      </c>
      <c r="H16" s="2">
        <f t="shared" si="1"/>
        <v>4.1471782576874727E-2</v>
      </c>
      <c r="I16" s="2">
        <f t="shared" si="14"/>
        <v>4.1618047493810324E-2</v>
      </c>
      <c r="K16" s="2">
        <f t="shared" si="2"/>
        <v>1.9213050923422279E-11</v>
      </c>
      <c r="L16" s="2">
        <f t="shared" si="3"/>
        <v>1.9863588974027954E-11</v>
      </c>
      <c r="M16" s="2">
        <f t="shared" si="4"/>
        <v>2.8011062384415677E-10</v>
      </c>
      <c r="N16" s="2">
        <f t="shared" si="5"/>
        <v>1.9213050923422279E-11</v>
      </c>
      <c r="O16">
        <f t="shared" si="6"/>
        <v>22.321428571428573</v>
      </c>
      <c r="P16">
        <f t="shared" si="7"/>
        <v>-24.675431332215506</v>
      </c>
      <c r="Q16">
        <f t="shared" si="8"/>
        <v>-10.716403666163801</v>
      </c>
      <c r="R16">
        <f t="shared" si="9"/>
        <v>-26.022885706135643</v>
      </c>
      <c r="S16">
        <f t="shared" si="10"/>
        <v>1.3474543739201366</v>
      </c>
      <c r="U16">
        <f t="shared" si="11"/>
        <v>1.3158912264825445E-7</v>
      </c>
      <c r="V16" s="2">
        <f t="shared" si="12"/>
        <v>-1.3605275663192204E-7</v>
      </c>
      <c r="W16" s="2">
        <f t="shared" si="13"/>
        <v>-1.9152371185338358E-6</v>
      </c>
    </row>
    <row r="17" spans="1:31" x14ac:dyDescent="0.3">
      <c r="A17" s="5">
        <v>14</v>
      </c>
      <c r="B17" s="7">
        <v>200</v>
      </c>
      <c r="C17" s="6">
        <v>260</v>
      </c>
      <c r="D17" s="11">
        <f>'Raw Data and Corrections'!CH59</f>
        <v>3.6030714496780851E-2</v>
      </c>
      <c r="F17">
        <f t="shared" si="0"/>
        <v>15600</v>
      </c>
      <c r="G17" s="11">
        <f>'Raw Data and Corrections'!AU55</f>
        <v>6.0813780844820462</v>
      </c>
      <c r="H17" s="2">
        <f t="shared" si="1"/>
        <v>4.1610996047861191E-2</v>
      </c>
      <c r="I17" s="2">
        <f t="shared" si="14"/>
        <v>4.1857531273545134E-2</v>
      </c>
      <c r="K17" s="2">
        <f t="shared" si="2"/>
        <v>1.1511303541771012E-10</v>
      </c>
      <c r="L17" s="2">
        <f t="shared" si="3"/>
        <v>1.1902911391467986E-10</v>
      </c>
      <c r="M17" s="2">
        <f t="shared" si="4"/>
        <v>1.6709701052503671E-9</v>
      </c>
      <c r="N17" s="2">
        <f t="shared" si="5"/>
        <v>1.1511303541771012E-10</v>
      </c>
      <c r="O17">
        <f t="shared" si="6"/>
        <v>21.141649048625794</v>
      </c>
      <c r="P17">
        <f t="shared" si="7"/>
        <v>-22.885106553635847</v>
      </c>
      <c r="Q17">
        <f t="shared" si="8"/>
        <v>-9.9388754940119934</v>
      </c>
      <c r="R17">
        <f t="shared" si="9"/>
        <v>-23.739837687258881</v>
      </c>
      <c r="S17">
        <f t="shared" si="10"/>
        <v>0.85473113362303366</v>
      </c>
      <c r="U17">
        <f t="shared" si="11"/>
        <v>4.683023958204217E-7</v>
      </c>
      <c r="V17" s="2">
        <f t="shared" si="12"/>
        <v>-4.8428256707562537E-7</v>
      </c>
      <c r="W17" s="2">
        <f t="shared" si="13"/>
        <v>-6.7786867625370909E-6</v>
      </c>
    </row>
    <row r="18" spans="1:31" x14ac:dyDescent="0.3">
      <c r="A18" s="5">
        <v>15</v>
      </c>
      <c r="B18" s="7">
        <v>209.99</v>
      </c>
      <c r="C18" s="6">
        <v>520</v>
      </c>
      <c r="D18" s="11">
        <f>'Raw Data and Corrections'!CH61</f>
        <v>9.8104474378222783E-2</v>
      </c>
      <c r="F18">
        <f t="shared" si="0"/>
        <v>31200</v>
      </c>
      <c r="G18" s="11">
        <f>'Raw Data and Corrections'!AU59</f>
        <v>6.1080940573054585</v>
      </c>
      <c r="H18" s="2">
        <f t="shared" si="1"/>
        <v>4.1793796430295307E-2</v>
      </c>
      <c r="I18" s="2">
        <f t="shared" si="14"/>
        <v>4.246506285032705E-2</v>
      </c>
      <c r="K18" s="2">
        <f t="shared" si="2"/>
        <v>1.5819883296459336E-10</v>
      </c>
      <c r="L18" s="2">
        <f t="shared" si="3"/>
        <v>1.6363368322286308E-10</v>
      </c>
      <c r="M18" s="2">
        <f t="shared" si="4"/>
        <v>2.2757983091132955E-9</v>
      </c>
      <c r="N18" s="2">
        <f t="shared" si="5"/>
        <v>1.5819883296459336E-10</v>
      </c>
      <c r="O18">
        <f t="shared" si="6"/>
        <v>20.704362409159611</v>
      </c>
      <c r="P18">
        <f t="shared" si="7"/>
        <v>-22.567168437584321</v>
      </c>
      <c r="Q18">
        <f t="shared" si="8"/>
        <v>-9.8007967246240995</v>
      </c>
      <c r="R18">
        <f t="shared" si="9"/>
        <v>-22.893623308539372</v>
      </c>
      <c r="S18">
        <f t="shared" si="10"/>
        <v>0.32645487095505032</v>
      </c>
      <c r="U18">
        <f t="shared" si="11"/>
        <v>2.3754973198863302E-7</v>
      </c>
      <c r="V18" s="2">
        <f t="shared" si="12"/>
        <v>-2.457779867912946E-7</v>
      </c>
      <c r="W18" s="2">
        <f t="shared" si="13"/>
        <v>-3.391493833485784E-6</v>
      </c>
    </row>
    <row r="19" spans="1:31" x14ac:dyDescent="0.3">
      <c r="A19" s="5">
        <v>16</v>
      </c>
      <c r="B19" s="7">
        <v>219.98</v>
      </c>
      <c r="C19" s="6">
        <v>1167</v>
      </c>
      <c r="D19" s="11">
        <f>'Raw Data and Corrections'!CH65</f>
        <v>0.6185051301623421</v>
      </c>
      <c r="F19">
        <f t="shared" si="0"/>
        <v>70020</v>
      </c>
      <c r="G19" s="11">
        <f>'Raw Data and Corrections'!AU61</f>
        <v>6.1913588302030496</v>
      </c>
      <c r="H19" s="2">
        <f t="shared" si="1"/>
        <v>4.2363524226830228E-2</v>
      </c>
      <c r="I19" s="2">
        <f t="shared" si="14"/>
        <v>4.6595560809531714E-2</v>
      </c>
      <c r="K19" s="2">
        <f t="shared" si="2"/>
        <v>4.692075439663548E-10</v>
      </c>
      <c r="L19" s="2">
        <f t="shared" si="3"/>
        <v>4.8627615214278471E-10</v>
      </c>
      <c r="M19" s="2">
        <f t="shared" si="4"/>
        <v>6.4089706343779276E-9</v>
      </c>
      <c r="N19" s="2">
        <f t="shared" si="5"/>
        <v>4.692075439663548E-10</v>
      </c>
      <c r="O19">
        <f t="shared" si="6"/>
        <v>20.28479857195018</v>
      </c>
      <c r="P19">
        <f t="shared" si="7"/>
        <v>-21.479975920918818</v>
      </c>
      <c r="Q19">
        <f t="shared" si="8"/>
        <v>-9.3286350138697625</v>
      </c>
      <c r="R19">
        <f t="shared" si="9"/>
        <v>-22.081705175685446</v>
      </c>
      <c r="S19">
        <f t="shared" si="10"/>
        <v>0.60172925476662797</v>
      </c>
      <c r="U19">
        <f t="shared" si="11"/>
        <v>1.1614480904592443E-7</v>
      </c>
      <c r="V19" s="2">
        <f t="shared" si="12"/>
        <v>-1.2057580356160667E-7</v>
      </c>
      <c r="W19" s="2">
        <f t="shared" si="13"/>
        <v>-1.5177525752942346E-6</v>
      </c>
    </row>
    <row r="20" spans="1:31" x14ac:dyDescent="0.3">
      <c r="A20" s="5">
        <v>17</v>
      </c>
      <c r="B20" s="7">
        <v>229.99</v>
      </c>
      <c r="C20" s="6">
        <v>370</v>
      </c>
      <c r="D20" s="11">
        <f>'Raw Data and Corrections'!CH69</f>
        <v>0.44119899983598837</v>
      </c>
      <c r="F20">
        <f t="shared" si="0"/>
        <v>22200</v>
      </c>
      <c r="G20" s="11">
        <f>'Raw Data and Corrections'!AU65</f>
        <v>6.7796477858176338</v>
      </c>
      <c r="H20" s="2">
        <f t="shared" si="1"/>
        <v>4.6388810776525777E-2</v>
      </c>
      <c r="I20" s="2">
        <f t="shared" si="14"/>
        <v>4.940765446350881E-2</v>
      </c>
      <c r="K20" s="2">
        <f t="shared" si="2"/>
        <v>1.1368011603179697E-9</v>
      </c>
      <c r="L20" s="2">
        <f t="shared" si="3"/>
        <v>1.1814525195899388E-9</v>
      </c>
      <c r="M20" s="2">
        <f t="shared" si="4"/>
        <v>1.4471211767193099E-8</v>
      </c>
      <c r="N20" s="2">
        <f t="shared" si="5"/>
        <v>1.1368011603179697E-9</v>
      </c>
      <c r="O20">
        <f t="shared" si="6"/>
        <v>19.881110956480249</v>
      </c>
      <c r="P20">
        <f t="shared" si="7"/>
        <v>-20.595047518458308</v>
      </c>
      <c r="Q20">
        <f t="shared" si="8"/>
        <v>-8.9443154918017029</v>
      </c>
      <c r="R20">
        <f t="shared" si="9"/>
        <v>-21.300509882047702</v>
      </c>
      <c r="S20">
        <f t="shared" si="10"/>
        <v>0.70546236358939396</v>
      </c>
      <c r="U20">
        <f t="shared" si="11"/>
        <v>3.8843524598013572E-7</v>
      </c>
      <c r="V20" s="2">
        <f t="shared" si="12"/>
        <v>-4.0418910908869697E-7</v>
      </c>
      <c r="W20" s="2">
        <f t="shared" si="13"/>
        <v>-4.8012350431988444E-6</v>
      </c>
    </row>
    <row r="21" spans="1:31" x14ac:dyDescent="0.3">
      <c r="A21" s="5">
        <v>18</v>
      </c>
      <c r="B21" s="7">
        <v>240</v>
      </c>
      <c r="C21" s="6">
        <v>320</v>
      </c>
      <c r="D21" s="11">
        <f>'Raw Data and Corrections'!CH73</f>
        <v>0.84038641500189326</v>
      </c>
      <c r="F21">
        <f t="shared" si="0"/>
        <v>19200</v>
      </c>
      <c r="G21" s="11">
        <f>'Raw Data and Corrections'!AU69</f>
        <v>7.1562740942855676</v>
      </c>
      <c r="H21" s="2">
        <f t="shared" si="1"/>
        <v>4.8965824672959832E-2</v>
      </c>
      <c r="I21" s="2">
        <f t="shared" si="14"/>
        <v>5.4716053536801035E-2</v>
      </c>
      <c r="K21" s="2">
        <f t="shared" si="2"/>
        <v>2.7097806012687812E-9</v>
      </c>
      <c r="L21" s="2">
        <f t="shared" si="3"/>
        <v>2.8254821160100707E-9</v>
      </c>
      <c r="M21" s="2">
        <f t="shared" si="4"/>
        <v>3.2004001911222014E-8</v>
      </c>
      <c r="N21" s="2">
        <f t="shared" si="5"/>
        <v>2.8254821160100707E-9</v>
      </c>
      <c r="O21">
        <f t="shared" si="6"/>
        <v>19.49317738791423</v>
      </c>
      <c r="P21">
        <f t="shared" si="7"/>
        <v>-19.684586826374321</v>
      </c>
      <c r="Q21">
        <f t="shared" si="8"/>
        <v>-8.5489074372398122</v>
      </c>
      <c r="R21">
        <f t="shared" si="9"/>
        <v>-20.549801001233792</v>
      </c>
      <c r="S21">
        <f t="shared" si="10"/>
        <v>0.86521417485947083</v>
      </c>
      <c r="U21">
        <f t="shared" si="11"/>
        <v>4.9738296245555541E-7</v>
      </c>
      <c r="V21" s="2">
        <f t="shared" si="12"/>
        <v>-5.198320015285273E-7</v>
      </c>
      <c r="W21" s="2">
        <f t="shared" si="13"/>
        <v>-5.5826029851837806E-6</v>
      </c>
      <c r="Y21" s="2"/>
      <c r="Z21" s="2"/>
    </row>
    <row r="22" spans="1:31" x14ac:dyDescent="0.3">
      <c r="A22" s="5">
        <v>19</v>
      </c>
      <c r="B22" s="7">
        <v>245</v>
      </c>
      <c r="C22" s="6">
        <v>250</v>
      </c>
      <c r="D22" s="11">
        <f>'Raw Data and Corrections'!CH77</f>
        <v>0.72584504240927394</v>
      </c>
      <c r="F22">
        <f t="shared" si="0"/>
        <v>15000</v>
      </c>
      <c r="G22" s="11">
        <f>'Raw Data and Corrections'!AU73</f>
        <v>7.858151969738925</v>
      </c>
      <c r="H22" s="2">
        <f t="shared" si="1"/>
        <v>5.3768327838499871E-2</v>
      </c>
      <c r="I22" s="2">
        <f t="shared" si="14"/>
        <v>5.8734823059068672E-2</v>
      </c>
      <c r="K22" s="2">
        <f t="shared" si="2"/>
        <v>3.2506545623436163E-9</v>
      </c>
      <c r="L22" s="2">
        <f t="shared" si="3"/>
        <v>3.401810232901802E-9</v>
      </c>
      <c r="M22" s="2">
        <f t="shared" si="4"/>
        <v>3.5547067597575476E-8</v>
      </c>
      <c r="N22" s="2">
        <f t="shared" si="5"/>
        <v>3.401810232901802E-9</v>
      </c>
      <c r="O22">
        <f t="shared" si="6"/>
        <v>19.305019305019304</v>
      </c>
      <c r="P22">
        <f t="shared" si="7"/>
        <v>-19.498958125568596</v>
      </c>
      <c r="Q22">
        <f t="shared" si="8"/>
        <v>-8.4682899167970156</v>
      </c>
      <c r="R22">
        <f t="shared" si="9"/>
        <v>-20.185687257872335</v>
      </c>
      <c r="S22">
        <f t="shared" si="10"/>
        <v>0.68672913230373922</v>
      </c>
      <c r="U22">
        <f t="shared" si="11"/>
        <v>6.8341069863802412E-7</v>
      </c>
      <c r="V22" s="2">
        <f t="shared" si="12"/>
        <v>-7.1664453719236503E-7</v>
      </c>
      <c r="W22" s="2">
        <f t="shared" si="13"/>
        <v>-7.1762408103829618E-6</v>
      </c>
    </row>
    <row r="23" spans="1:31" x14ac:dyDescent="0.3">
      <c r="A23" s="5">
        <v>20</v>
      </c>
      <c r="B23" s="7">
        <v>249.99</v>
      </c>
      <c r="C23" s="6">
        <v>210</v>
      </c>
      <c r="D23" s="11">
        <f>'Raw Data and Corrections'!CH81</f>
        <v>0.94205325300050535</v>
      </c>
      <c r="F23">
        <f t="shared" si="0"/>
        <v>12600</v>
      </c>
      <c r="G23" s="11">
        <f>'Raw Data and Corrections'!AU77</f>
        <v>8.4743294157646964</v>
      </c>
      <c r="H23" s="2">
        <f t="shared" si="1"/>
        <v>5.798443756152219E-2</v>
      </c>
      <c r="I23" s="2">
        <f t="shared" si="14"/>
        <v>6.4430307830220912E-2</v>
      </c>
      <c r="K23" s="2">
        <f t="shared" si="2"/>
        <v>5.4650245971792885E-9</v>
      </c>
      <c r="L23" s="2">
        <f t="shared" si="3"/>
        <v>5.7428944618981312E-9</v>
      </c>
      <c r="M23" s="2">
        <f t="shared" si="4"/>
        <v>5.5213249280154092E-8</v>
      </c>
      <c r="N23" s="2">
        <f t="shared" si="5"/>
        <v>5.7428944618981312E-9</v>
      </c>
      <c r="O23">
        <f t="shared" si="6"/>
        <v>19.120824489952007</v>
      </c>
      <c r="P23">
        <f t="shared" si="7"/>
        <v>-18.975302492057391</v>
      </c>
      <c r="Q23">
        <f t="shared" si="8"/>
        <v>-8.2408691647455488</v>
      </c>
      <c r="R23">
        <f t="shared" si="9"/>
        <v>-19.829243024438167</v>
      </c>
      <c r="S23">
        <f t="shared" si="10"/>
        <v>0.85394053238077561</v>
      </c>
      <c r="U23">
        <f t="shared" si="11"/>
        <v>8.924769918339988E-7</v>
      </c>
      <c r="V23" s="2">
        <f t="shared" si="12"/>
        <v>-9.4033832444264811E-7</v>
      </c>
      <c r="W23" s="2">
        <f t="shared" si="13"/>
        <v>-8.5951520751899702E-6</v>
      </c>
    </row>
    <row r="24" spans="1:31" x14ac:dyDescent="0.3">
      <c r="A24" s="5">
        <v>21</v>
      </c>
      <c r="B24" s="7">
        <v>244.909999999999</v>
      </c>
      <c r="C24" s="6">
        <v>270</v>
      </c>
      <c r="D24" s="11">
        <f>'Raw Data and Corrections'!CH85</f>
        <v>0.59603229627312837</v>
      </c>
      <c r="F24">
        <f t="shared" si="0"/>
        <v>16200</v>
      </c>
      <c r="G24" s="11">
        <f>'Raw Data and Corrections'!AU81</f>
        <v>9.2085717420240716</v>
      </c>
      <c r="H24" s="2">
        <f t="shared" si="1"/>
        <v>6.3008390045929091E-2</v>
      </c>
      <c r="I24" s="2">
        <f t="shared" si="14"/>
        <v>6.7086659342801974E-2</v>
      </c>
      <c r="K24" s="2">
        <f t="shared" si="2"/>
        <v>2.8580447696800442E-9</v>
      </c>
      <c r="L24" s="2">
        <f t="shared" si="3"/>
        <v>3.0129288654573855E-9</v>
      </c>
      <c r="M24" s="2">
        <f t="shared" si="4"/>
        <v>2.7281754260761035E-8</v>
      </c>
      <c r="N24" s="2">
        <f t="shared" si="5"/>
        <v>3.0129288654573855E-9</v>
      </c>
      <c r="O24">
        <f t="shared" si="6"/>
        <v>19.308374041821978</v>
      </c>
      <c r="P24">
        <f t="shared" si="7"/>
        <v>-19.620353186284586</v>
      </c>
      <c r="Q24">
        <f t="shared" si="8"/>
        <v>-8.5210111217962812</v>
      </c>
      <c r="R24">
        <f t="shared" si="9"/>
        <v>-20.192179170185749</v>
      </c>
      <c r="S24">
        <f t="shared" si="10"/>
        <v>0.57182598390116368</v>
      </c>
      <c r="U24">
        <f t="shared" si="11"/>
        <v>7.2276733931833932E-7</v>
      </c>
      <c r="V24" s="2">
        <f t="shared" si="12"/>
        <v>-7.6322557803989841E-7</v>
      </c>
      <c r="W24" s="2">
        <f t="shared" si="13"/>
        <v>-6.7041533006594199E-6</v>
      </c>
    </row>
    <row r="25" spans="1:31" x14ac:dyDescent="0.3">
      <c r="A25" s="5">
        <v>22</v>
      </c>
      <c r="B25" s="7">
        <v>239.99</v>
      </c>
      <c r="C25" s="6">
        <v>320</v>
      </c>
      <c r="D25" s="11">
        <f>'Raw Data and Corrections'!CH89</f>
        <v>0.35486101752988575</v>
      </c>
      <c r="F25">
        <f t="shared" si="0"/>
        <v>19200</v>
      </c>
      <c r="G25" s="11">
        <f>'Raw Data and Corrections'!AU85</f>
        <v>9.7206471019714762</v>
      </c>
      <c r="H25" s="2">
        <f t="shared" si="1"/>
        <v>6.6512195512875877E-2</v>
      </c>
      <c r="I25" s="2">
        <f t="shared" si="14"/>
        <v>6.8940283389150994E-2</v>
      </c>
      <c r="K25" s="2">
        <f t="shared" si="2"/>
        <v>1.4948496053634186E-9</v>
      </c>
      <c r="L25" s="2">
        <f t="shared" si="3"/>
        <v>1.5793849933088756E-9</v>
      </c>
      <c r="M25" s="2">
        <f t="shared" si="4"/>
        <v>1.3744223570306146E-8</v>
      </c>
      <c r="N25" s="2">
        <f t="shared" si="5"/>
        <v>1.5793849933088756E-9</v>
      </c>
      <c r="O25">
        <f t="shared" si="6"/>
        <v>19.493557379286145</v>
      </c>
      <c r="P25">
        <f t="shared" si="7"/>
        <v>-20.266230310424152</v>
      </c>
      <c r="Q25">
        <f t="shared" si="8"/>
        <v>-8.8015119927976357</v>
      </c>
      <c r="R25">
        <f t="shared" si="9"/>
        <v>-20.550536340788408</v>
      </c>
      <c r="S25">
        <f t="shared" si="10"/>
        <v>0.28430603036425595</v>
      </c>
      <c r="U25">
        <f t="shared" si="11"/>
        <v>6.2668486062429166E-7</v>
      </c>
      <c r="V25" s="2">
        <f t="shared" si="12"/>
        <v>-6.6279642136124724E-7</v>
      </c>
      <c r="W25" s="2">
        <f t="shared" si="13"/>
        <v>-5.6678909926219322E-6</v>
      </c>
      <c r="AB25" t="s">
        <v>371</v>
      </c>
      <c r="AC25" t="s">
        <v>632</v>
      </c>
    </row>
    <row r="26" spans="1:31" x14ac:dyDescent="0.3">
      <c r="A26" s="5">
        <v>23</v>
      </c>
      <c r="B26" s="7">
        <v>235</v>
      </c>
      <c r="C26" s="6">
        <v>370</v>
      </c>
      <c r="D26" s="11">
        <f>'Raw Data and Corrections'!CH93</f>
        <v>0.26771490459761732</v>
      </c>
      <c r="F26">
        <f t="shared" si="0"/>
        <v>22200</v>
      </c>
      <c r="G26" s="11">
        <f>'Raw Data and Corrections'!AU89</f>
        <v>10.035706839866055</v>
      </c>
      <c r="H26" s="2">
        <f t="shared" si="1"/>
        <v>6.8667948588288896E-2</v>
      </c>
      <c r="I26" s="2">
        <f t="shared" si="14"/>
        <v>7.049975113080649E-2</v>
      </c>
      <c r="K26" s="2">
        <f t="shared" si="2"/>
        <v>1.0021010192703128E-9</v>
      </c>
      <c r="L26" s="2">
        <f t="shared" si="3"/>
        <v>1.0604231965492692E-9</v>
      </c>
      <c r="M26" s="2">
        <f t="shared" si="4"/>
        <v>8.9856363295419152E-9</v>
      </c>
      <c r="N26" s="2">
        <f t="shared" si="5"/>
        <v>1.0604231965492692E-9</v>
      </c>
      <c r="O26">
        <f t="shared" si="6"/>
        <v>19.685039370078741</v>
      </c>
      <c r="P26">
        <f t="shared" si="7"/>
        <v>-20.664597766470717</v>
      </c>
      <c r="Q26">
        <f t="shared" si="8"/>
        <v>-8.9745207807284935</v>
      </c>
      <c r="R26">
        <f t="shared" si="9"/>
        <v>-20.921082337968503</v>
      </c>
      <c r="S26">
        <f t="shared" si="10"/>
        <v>0.25648457149778636</v>
      </c>
      <c r="U26">
        <f t="shared" si="11"/>
        <v>5.5425800858971573E-7</v>
      </c>
      <c r="V26" s="2">
        <f t="shared" si="12"/>
        <v>-5.8696624158495989E-7</v>
      </c>
      <c r="W26" s="2">
        <f t="shared" si="13"/>
        <v>-4.9101840335587377E-6</v>
      </c>
      <c r="Z26" t="s">
        <v>365</v>
      </c>
      <c r="AA26">
        <f>-10000*1.987046*AH2</f>
        <v>38452.281515614741</v>
      </c>
      <c r="AB26">
        <f>2*AH3*10000*1.987046</f>
        <v>2954.4780160662731</v>
      </c>
      <c r="AC26">
        <f>AA26*8.314/(1000*1.987)</f>
        <v>160.89193181722243</v>
      </c>
      <c r="AD26">
        <f>AB26*8.314/(1000*1.987)</f>
        <v>12.362118885543531</v>
      </c>
    </row>
    <row r="27" spans="1:31" x14ac:dyDescent="0.3">
      <c r="A27" s="5">
        <v>24</v>
      </c>
      <c r="B27" s="7">
        <v>230</v>
      </c>
      <c r="C27" s="6">
        <v>420</v>
      </c>
      <c r="D27" s="11">
        <f>'Raw Data and Corrections'!CH97</f>
        <v>0.16804280092707863</v>
      </c>
      <c r="F27">
        <f t="shared" si="0"/>
        <v>25200</v>
      </c>
      <c r="G27" s="11">
        <f>'Raw Data and Corrections'!AU93</f>
        <v>10.273567996054735</v>
      </c>
      <c r="H27" s="2">
        <f t="shared" si="1"/>
        <v>7.02954809489824E-2</v>
      </c>
      <c r="I27" s="2">
        <f t="shared" si="14"/>
        <v>7.1445290782890108E-2</v>
      </c>
      <c r="K27" s="2">
        <f t="shared" si="2"/>
        <v>5.643748378193923E-10</v>
      </c>
      <c r="L27" s="2">
        <f t="shared" si="3"/>
        <v>5.9786764250922463E-10</v>
      </c>
      <c r="M27" s="2">
        <f t="shared" si="4"/>
        <v>4.97564612778835E-9</v>
      </c>
      <c r="N27" s="2">
        <f t="shared" si="5"/>
        <v>5.9786764250922463E-10</v>
      </c>
      <c r="O27">
        <f t="shared" si="6"/>
        <v>19.880715705765407</v>
      </c>
      <c r="P27">
        <f t="shared" si="7"/>
        <v>-21.237651720072424</v>
      </c>
      <c r="Q27">
        <f t="shared" si="8"/>
        <v>-9.2233949506105599</v>
      </c>
      <c r="R27">
        <f t="shared" si="9"/>
        <v>-21.299745013405694</v>
      </c>
      <c r="S27">
        <f t="shared" si="10"/>
        <v>6.2093293333269628E-2</v>
      </c>
      <c r="U27">
        <f t="shared" si="11"/>
        <v>4.9482363460563076E-7</v>
      </c>
      <c r="V27" s="2">
        <f t="shared" si="12"/>
        <v>-5.2444234780411717E-7</v>
      </c>
      <c r="W27" s="2">
        <f t="shared" si="13"/>
        <v>-4.3300430773313368E-6</v>
      </c>
      <c r="Z27" t="s">
        <v>374</v>
      </c>
      <c r="AA27">
        <f>EXP(AI2)</f>
        <v>28699286.247996498</v>
      </c>
      <c r="AB27">
        <f>EXP(AI2)*AI3*2</f>
        <v>83147869.110346273</v>
      </c>
    </row>
    <row r="28" spans="1:31" x14ac:dyDescent="0.3">
      <c r="A28" s="5">
        <v>25</v>
      </c>
      <c r="B28" s="7">
        <v>225</v>
      </c>
      <c r="C28" s="6">
        <v>652</v>
      </c>
      <c r="D28" s="11">
        <f>'Raw Data and Corrections'!CH101</f>
        <v>0.16859014371864661</v>
      </c>
      <c r="F28">
        <f t="shared" si="0"/>
        <v>39120</v>
      </c>
      <c r="G28" s="11">
        <f>'Raw Data and Corrections'!AU97</f>
        <v>10.427938422059281</v>
      </c>
      <c r="H28" s="2">
        <f t="shared" si="1"/>
        <v>7.1351739431376848E-2</v>
      </c>
      <c r="I28" s="2">
        <f t="shared" si="14"/>
        <v>7.2505294383318694E-2</v>
      </c>
      <c r="K28" s="2">
        <f t="shared" si="2"/>
        <v>3.7018423112865282E-10</v>
      </c>
      <c r="L28" s="2">
        <f t="shared" si="3"/>
        <v>3.9250290992358177E-10</v>
      </c>
      <c r="M28" s="2">
        <f t="shared" si="4"/>
        <v>3.2192768308330501E-9</v>
      </c>
      <c r="N28" s="2">
        <f t="shared" si="5"/>
        <v>3.9250290992358177E-10</v>
      </c>
      <c r="O28">
        <f t="shared" si="6"/>
        <v>20.080321285140563</v>
      </c>
      <c r="P28">
        <f t="shared" si="7"/>
        <v>-21.658477164915524</v>
      </c>
      <c r="Q28">
        <f t="shared" si="8"/>
        <v>-9.4061571191503983</v>
      </c>
      <c r="R28">
        <f t="shared" si="9"/>
        <v>-21.686011357024352</v>
      </c>
      <c r="S28">
        <f t="shared" si="10"/>
        <v>2.7534192108827682E-2</v>
      </c>
      <c r="U28">
        <f t="shared" si="11"/>
        <v>3.2348060125681562E-7</v>
      </c>
      <c r="V28" s="2">
        <f t="shared" si="12"/>
        <v>-3.4315002949976791E-7</v>
      </c>
      <c r="W28" s="2">
        <f t="shared" si="13"/>
        <v>-2.7924793436811645E-6</v>
      </c>
      <c r="Z28" t="s">
        <v>631</v>
      </c>
      <c r="AA28">
        <f>AD32</f>
        <v>99.612795099409709</v>
      </c>
      <c r="AB28">
        <v>9.1999999999999993</v>
      </c>
    </row>
    <row r="29" spans="1:31" x14ac:dyDescent="0.3">
      <c r="A29" s="5">
        <v>26</v>
      </c>
      <c r="B29" s="7">
        <v>230</v>
      </c>
      <c r="C29" s="6">
        <v>500</v>
      </c>
      <c r="D29" s="11">
        <f>'Raw Data and Corrections'!CH105</f>
        <v>0.18021874711190872</v>
      </c>
      <c r="F29">
        <f t="shared" si="0"/>
        <v>30000</v>
      </c>
      <c r="G29" s="11">
        <f>'Raw Data and Corrections'!AU101</f>
        <v>10.590813349093992</v>
      </c>
      <c r="H29" s="2">
        <f t="shared" si="1"/>
        <v>7.2466188796469114E-2</v>
      </c>
      <c r="I29" s="2">
        <f t="shared" si="14"/>
        <v>7.36993108733483E-2</v>
      </c>
      <c r="K29" s="2">
        <f t="shared" si="2"/>
        <v>5.2429662956174009E-10</v>
      </c>
      <c r="L29" s="2">
        <f t="shared" si="3"/>
        <v>5.5644898734685543E-10</v>
      </c>
      <c r="M29" s="2">
        <f t="shared" si="4"/>
        <v>4.4930802186742715E-9</v>
      </c>
      <c r="N29" s="2">
        <f t="shared" si="5"/>
        <v>5.5644898734685543E-10</v>
      </c>
      <c r="O29">
        <f t="shared" si="6"/>
        <v>19.880715705765407</v>
      </c>
      <c r="P29">
        <f t="shared" si="7"/>
        <v>-21.309445616356477</v>
      </c>
      <c r="Q29">
        <f t="shared" si="8"/>
        <v>-9.2545746436010585</v>
      </c>
      <c r="R29">
        <f t="shared" si="9"/>
        <v>-21.299745013405694</v>
      </c>
      <c r="S29">
        <f t="shared" si="10"/>
        <v>-9.7006029507831215E-3</v>
      </c>
      <c r="U29">
        <f t="shared" si="11"/>
        <v>4.2876521039692846E-7</v>
      </c>
      <c r="V29" s="2">
        <f t="shared" si="12"/>
        <v>-4.5529559281205695E-7</v>
      </c>
      <c r="W29" s="2">
        <f t="shared" si="13"/>
        <v>-3.6460868784003926E-6</v>
      </c>
    </row>
    <row r="30" spans="1:31" x14ac:dyDescent="0.3">
      <c r="A30" s="5">
        <v>27</v>
      </c>
      <c r="B30" s="7">
        <v>234.89999999999901</v>
      </c>
      <c r="C30" s="6">
        <v>450</v>
      </c>
      <c r="D30" s="11">
        <f>'Raw Data and Corrections'!CH109</f>
        <v>0.22873286440011364</v>
      </c>
      <c r="F30">
        <f t="shared" si="0"/>
        <v>27000</v>
      </c>
      <c r="G30" s="11">
        <f>'Raw Data and Corrections'!AU105</f>
        <v>10.758153502747934</v>
      </c>
      <c r="H30" s="2">
        <f t="shared" si="1"/>
        <v>7.3611190862713061E-2</v>
      </c>
      <c r="I30" s="2">
        <f t="shared" si="14"/>
        <v>7.517626413793925E-2</v>
      </c>
      <c r="K30" s="2">
        <f t="shared" si="2"/>
        <v>7.5263532591039153E-10</v>
      </c>
      <c r="L30" s="2">
        <f t="shared" si="3"/>
        <v>7.9967704394131929E-10</v>
      </c>
      <c r="M30" s="2">
        <f t="shared" si="4"/>
        <v>6.3451951049707352E-9</v>
      </c>
      <c r="N30" s="2">
        <f t="shared" si="5"/>
        <v>7.9967704394131929E-10</v>
      </c>
      <c r="O30">
        <f t="shared" si="6"/>
        <v>19.68891514077578</v>
      </c>
      <c r="P30">
        <f t="shared" si="7"/>
        <v>-20.946813164840766</v>
      </c>
      <c r="Q30">
        <f t="shared" si="8"/>
        <v>-9.0970853709487347</v>
      </c>
      <c r="R30">
        <f t="shared" si="9"/>
        <v>-20.928582527995939</v>
      </c>
      <c r="S30">
        <f t="shared" si="10"/>
        <v>-1.823063684482662E-2</v>
      </c>
      <c r="U30">
        <f t="shared" si="11"/>
        <v>4.8595308465036169E-7</v>
      </c>
      <c r="V30" s="2">
        <f t="shared" si="12"/>
        <v>-5.1666724003356815E-7</v>
      </c>
      <c r="W30" s="2">
        <f t="shared" si="13"/>
        <v>-4.0576774640193798E-6</v>
      </c>
      <c r="Z30" t="s">
        <v>363</v>
      </c>
    </row>
    <row r="31" spans="1:31" ht="15" thickBot="1" x14ac:dyDescent="0.35">
      <c r="A31" s="5">
        <v>28</v>
      </c>
      <c r="B31" s="7">
        <v>240</v>
      </c>
      <c r="C31" s="6">
        <v>400</v>
      </c>
      <c r="D31" s="11">
        <f>'Raw Data and Corrections'!CH113</f>
        <v>0.28721598865381187</v>
      </c>
      <c r="F31">
        <f t="shared" si="0"/>
        <v>24000</v>
      </c>
      <c r="G31" s="11">
        <f>'Raw Data and Corrections'!AU109</f>
        <v>10.963814310649528</v>
      </c>
      <c r="H31" s="2">
        <f t="shared" si="1"/>
        <v>7.5018396753534125E-2</v>
      </c>
      <c r="I31" s="2">
        <f t="shared" si="14"/>
        <v>7.6983632790946874E-2</v>
      </c>
      <c r="K31" s="2">
        <f t="shared" si="2"/>
        <v>1.0861760847225129E-9</v>
      </c>
      <c r="L31" s="2">
        <f t="shared" si="3"/>
        <v>1.1556382012425183E-9</v>
      </c>
      <c r="M31" s="2">
        <f t="shared" si="4"/>
        <v>8.9790915941053157E-9</v>
      </c>
      <c r="N31" s="2">
        <f t="shared" si="5"/>
        <v>1.1556382012425183E-9</v>
      </c>
      <c r="O31">
        <f t="shared" si="6"/>
        <v>19.49317738791423</v>
      </c>
      <c r="P31">
        <f t="shared" si="7"/>
        <v>-20.578613090386732</v>
      </c>
      <c r="Q31">
        <f t="shared" si="8"/>
        <v>-8.9371781103769816</v>
      </c>
      <c r="R31">
        <f t="shared" si="9"/>
        <v>-20.549801001233792</v>
      </c>
      <c r="S31">
        <f t="shared" si="10"/>
        <v>-2.8812089152939535E-2</v>
      </c>
      <c r="U31">
        <f t="shared" si="11"/>
        <v>5.5984077597845606E-7</v>
      </c>
      <c r="V31" s="2">
        <f t="shared" si="12"/>
        <v>-5.9613734073102716E-7</v>
      </c>
      <c r="W31" s="2">
        <f t="shared" si="13"/>
        <v>-4.5738257035058996E-6</v>
      </c>
      <c r="Z31" t="s">
        <v>362</v>
      </c>
      <c r="AA31">
        <f>EXP(AI2)</f>
        <v>28699286.247996498</v>
      </c>
      <c r="AB31">
        <v>346</v>
      </c>
      <c r="AC31">
        <f>(AA32/1.987)/(LN((AA31*AB31^2*55*1.987)/(AA32*AA33)))</f>
        <v>373.72201355634274</v>
      </c>
      <c r="AD31" t="s">
        <v>621</v>
      </c>
      <c r="AE31" t="s">
        <v>371</v>
      </c>
    </row>
    <row r="32" spans="1:31" ht="15" thickBot="1" x14ac:dyDescent="0.35">
      <c r="A32" s="5">
        <v>29</v>
      </c>
      <c r="B32" s="7">
        <v>245</v>
      </c>
      <c r="C32" s="6">
        <v>350</v>
      </c>
      <c r="D32" s="11">
        <f>'Raw Data and Corrections'!CH117</f>
        <v>0.3787335439116874</v>
      </c>
      <c r="F32">
        <f t="shared" si="0"/>
        <v>21000</v>
      </c>
      <c r="G32" s="11">
        <f>'Raw Data and Corrections'!AU113</f>
        <v>11.232763688426983</v>
      </c>
      <c r="H32" s="2">
        <f t="shared" si="1"/>
        <v>7.6858646009591608E-2</v>
      </c>
      <c r="I32" s="2">
        <f t="shared" si="14"/>
        <v>7.9450078375738253E-2</v>
      </c>
      <c r="K32" s="2">
        <f t="shared" si="2"/>
        <v>1.6832598895698489E-9</v>
      </c>
      <c r="L32" s="2">
        <f t="shared" si="3"/>
        <v>1.7941856404150825E-9</v>
      </c>
      <c r="M32" s="2">
        <f t="shared" si="4"/>
        <v>1.3563223541241636E-8</v>
      </c>
      <c r="N32" s="2">
        <f t="shared" si="5"/>
        <v>1.7941856404150825E-9</v>
      </c>
      <c r="O32">
        <f t="shared" si="6"/>
        <v>19.305019305019304</v>
      </c>
      <c r="P32">
        <f t="shared" si="7"/>
        <v>-20.138714600171095</v>
      </c>
      <c r="Q32">
        <f t="shared" si="8"/>
        <v>-8.7461326234787595</v>
      </c>
      <c r="R32">
        <f t="shared" si="9"/>
        <v>-20.185687257872335</v>
      </c>
      <c r="S32">
        <f t="shared" si="10"/>
        <v>4.6972657701239484E-2</v>
      </c>
      <c r="U32">
        <f t="shared" si="11"/>
        <v>6.6031688505913381E-7</v>
      </c>
      <c r="V32" s="2">
        <f t="shared" si="12"/>
        <v>-7.0460224723752571E-7</v>
      </c>
      <c r="W32" s="2">
        <f t="shared" si="13"/>
        <v>-5.2412347829758269E-6</v>
      </c>
      <c r="Z32" t="s">
        <v>361</v>
      </c>
      <c r="AA32">
        <f>AA26</f>
        <v>38452.281515614741</v>
      </c>
      <c r="AB32">
        <f>AC31</f>
        <v>373.72201355634274</v>
      </c>
      <c r="AC32">
        <f>(AA32/1.987)/(LN((AA31*AB32^2*55*1.987)/(AA32*AA33)))</f>
        <v>372.61279509940971</v>
      </c>
      <c r="AD32" s="19">
        <f>AC32-273</f>
        <v>99.612795099409709</v>
      </c>
      <c r="AE32">
        <f>AE34-AD32</f>
        <v>-99.612795099409709</v>
      </c>
    </row>
    <row r="33" spans="1:31" ht="15" thickBot="1" x14ac:dyDescent="0.35">
      <c r="A33" s="5">
        <v>30</v>
      </c>
      <c r="B33" s="7">
        <v>250</v>
      </c>
      <c r="C33" s="6">
        <v>300</v>
      </c>
      <c r="D33" s="11">
        <f>'Raw Data and Corrections'!CH121</f>
        <v>0.45636918660380016</v>
      </c>
      <c r="F33">
        <f t="shared" si="0"/>
        <v>18000</v>
      </c>
      <c r="G33" s="11">
        <f>'Raw Data and Corrections'!AU117</f>
        <v>11.568938563985556</v>
      </c>
      <c r="H33" s="2">
        <f t="shared" si="1"/>
        <v>7.9158876520493873E-2</v>
      </c>
      <c r="I33" s="2">
        <f t="shared" si="14"/>
        <v>8.2281520131255947E-2</v>
      </c>
      <c r="K33" s="2">
        <f t="shared" si="2"/>
        <v>2.4440467198246414E-9</v>
      </c>
      <c r="L33" s="2">
        <f t="shared" si="3"/>
        <v>2.610805814828181E-9</v>
      </c>
      <c r="M33" s="2">
        <f t="shared" si="4"/>
        <v>1.912065959932699E-8</v>
      </c>
      <c r="N33" s="2">
        <f t="shared" si="5"/>
        <v>2.610805814828181E-9</v>
      </c>
      <c r="O33">
        <f t="shared" si="6"/>
        <v>19.120458891013385</v>
      </c>
      <c r="P33">
        <f t="shared" si="7"/>
        <v>-19.763606921949123</v>
      </c>
      <c r="Q33">
        <f t="shared" si="8"/>
        <v>-8.583225428707415</v>
      </c>
      <c r="R33">
        <f t="shared" si="9"/>
        <v>-19.828535536372481</v>
      </c>
      <c r="S33">
        <f t="shared" si="10"/>
        <v>6.4928614423358511E-2</v>
      </c>
      <c r="U33">
        <f t="shared" si="11"/>
        <v>7.9782413324245163E-7</v>
      </c>
      <c r="V33" s="2">
        <f t="shared" si="12"/>
        <v>-8.5338725373780898E-7</v>
      </c>
      <c r="W33" s="2">
        <f t="shared" si="13"/>
        <v>-6.1336398582728983E-6</v>
      </c>
      <c r="Z33" t="s">
        <v>360</v>
      </c>
      <c r="AA33">
        <f>AA35/(1000000*365*24*60*60)</f>
        <v>3.1709791983764587E-13</v>
      </c>
      <c r="AD33" t="s">
        <v>619</v>
      </c>
      <c r="AE33" t="s">
        <v>620</v>
      </c>
    </row>
    <row r="34" spans="1:31" ht="15" thickBot="1" x14ac:dyDescent="0.35">
      <c r="A34" s="5">
        <v>31</v>
      </c>
      <c r="B34" s="7">
        <v>249.97</v>
      </c>
      <c r="C34" s="6">
        <v>300</v>
      </c>
      <c r="D34" s="11">
        <f>'Raw Data and Corrections'!CH126</f>
        <v>0.44702509502942356</v>
      </c>
      <c r="F34">
        <f t="shared" si="0"/>
        <v>18000</v>
      </c>
      <c r="G34" s="11">
        <f>'Raw Data and Corrections'!AU121</f>
        <v>11.962657896853452</v>
      </c>
      <c r="H34" s="2">
        <f t="shared" si="1"/>
        <v>8.1852847093666664E-2</v>
      </c>
      <c r="I34" s="2">
        <f t="shared" si="14"/>
        <v>8.491155503850388E-2</v>
      </c>
      <c r="K34" s="2">
        <f t="shared" si="2"/>
        <v>2.4729550862236802E-9</v>
      </c>
      <c r="L34" s="2">
        <f t="shared" si="3"/>
        <v>2.6476888204269308E-9</v>
      </c>
      <c r="M34" s="2">
        <f t="shared" si="4"/>
        <v>1.8783558748174047E-8</v>
      </c>
      <c r="N34" s="2">
        <f t="shared" si="5"/>
        <v>2.6476888204269308E-9</v>
      </c>
      <c r="O34">
        <f t="shared" si="6"/>
        <v>19.121555729774173</v>
      </c>
      <c r="P34">
        <f t="shared" si="7"/>
        <v>-19.749578720721583</v>
      </c>
      <c r="Q34">
        <f t="shared" si="8"/>
        <v>-8.5771330583232679</v>
      </c>
      <c r="R34">
        <f t="shared" si="9"/>
        <v>-19.83065808173917</v>
      </c>
      <c r="S34">
        <f t="shared" si="10"/>
        <v>8.1079361017586393E-2</v>
      </c>
      <c r="U34">
        <f t="shared" si="11"/>
        <v>8.2332567133904068E-7</v>
      </c>
      <c r="V34" s="2">
        <f t="shared" si="12"/>
        <v>-8.8264546237375549E-7</v>
      </c>
      <c r="W34" s="2">
        <f t="shared" si="13"/>
        <v>-6.1512684132224965E-6</v>
      </c>
      <c r="Z34" t="s">
        <v>359</v>
      </c>
      <c r="AB34">
        <f>0.97*AA32</f>
        <v>37298.713070146296</v>
      </c>
      <c r="AC34" t="s">
        <v>358</v>
      </c>
      <c r="AD34" s="19"/>
    </row>
    <row r="35" spans="1:31" x14ac:dyDescent="0.3">
      <c r="A35" s="5">
        <v>32</v>
      </c>
      <c r="B35" s="6">
        <v>249.98</v>
      </c>
      <c r="C35" s="6">
        <v>300</v>
      </c>
      <c r="D35" s="12">
        <f>'Raw Data and Corrections'!CH130</f>
        <v>0.4239398229120207</v>
      </c>
      <c r="E35" s="6"/>
      <c r="F35">
        <f t="shared" si="0"/>
        <v>18000</v>
      </c>
      <c r="G35" s="11">
        <f>'Raw Data and Corrections'!AU126</f>
        <v>12.348988726856295</v>
      </c>
      <c r="H35" s="2">
        <f t="shared" si="1"/>
        <v>8.4496262848631098E-2</v>
      </c>
      <c r="I35" s="2">
        <f t="shared" si="14"/>
        <v>8.7397012983002245E-2</v>
      </c>
      <c r="K35" s="2">
        <f t="shared" si="2"/>
        <v>2.4173752761718464E-9</v>
      </c>
      <c r="L35" s="2">
        <f t="shared" si="3"/>
        <v>2.5938611022881916E-9</v>
      </c>
      <c r="M35" s="2">
        <f t="shared" si="4"/>
        <v>1.7863513585733183E-8</v>
      </c>
      <c r="N35" s="2">
        <f t="shared" si="5"/>
        <v>2.5938611022881916E-9</v>
      </c>
      <c r="O35">
        <f t="shared" si="6"/>
        <v>19.121190102872003</v>
      </c>
      <c r="P35">
        <f t="shared" si="7"/>
        <v>-19.770118298249781</v>
      </c>
      <c r="Q35">
        <f t="shared" si="8"/>
        <v>-8.5860532835043877</v>
      </c>
      <c r="R35">
        <f t="shared" si="9"/>
        <v>-19.829950539559885</v>
      </c>
      <c r="S35">
        <f t="shared" si="10"/>
        <v>5.983224131010445E-2</v>
      </c>
      <c r="U35">
        <f t="shared" si="11"/>
        <v>8.4742535164534464E-7</v>
      </c>
      <c r="V35" s="2">
        <f t="shared" si="12"/>
        <v>-9.1041749433743763E-7</v>
      </c>
      <c r="W35" s="2">
        <f t="shared" si="13"/>
        <v>-6.1680212829411891E-6</v>
      </c>
      <c r="Z35" t="s">
        <v>357</v>
      </c>
      <c r="AA35">
        <v>10</v>
      </c>
      <c r="AD35">
        <v>64439823.670807518</v>
      </c>
      <c r="AE35">
        <v>4828742.7687072773</v>
      </c>
    </row>
    <row r="36" spans="1:31" x14ac:dyDescent="0.3">
      <c r="A36" s="5">
        <v>33</v>
      </c>
      <c r="B36" s="6">
        <v>250</v>
      </c>
      <c r="C36" s="6">
        <v>10250</v>
      </c>
      <c r="D36" s="12">
        <f>'Raw Data and Corrections'!CH133</f>
        <v>8.5292690664672293</v>
      </c>
      <c r="E36" s="6"/>
      <c r="F36">
        <f t="shared" si="0"/>
        <v>615000</v>
      </c>
      <c r="G36" s="12">
        <f>'Raw Data and Corrections'!AU130</f>
        <v>12.716739144357899</v>
      </c>
      <c r="H36" s="2">
        <f t="shared" si="1"/>
        <v>8.7012544677630699E-2</v>
      </c>
      <c r="I36" s="2">
        <f t="shared" si="14"/>
        <v>0.14537289926922331</v>
      </c>
      <c r="K36" s="2">
        <f t="shared" si="2"/>
        <v>1.9244166224847303E-9</v>
      </c>
      <c r="L36" s="2">
        <f t="shared" si="3"/>
        <v>2.1250801811563508E-9</v>
      </c>
      <c r="M36" s="2">
        <f t="shared" si="4"/>
        <v>1.0882868158019396E-8</v>
      </c>
      <c r="N36" s="2">
        <f t="shared" si="5"/>
        <v>2.1250801811563508E-9</v>
      </c>
      <c r="O36">
        <f t="shared" si="6"/>
        <v>19.120458891013385</v>
      </c>
      <c r="P36">
        <f t="shared" si="7"/>
        <v>-19.969456302973004</v>
      </c>
      <c r="Q36">
        <f t="shared" si="8"/>
        <v>-8.6726246789892887</v>
      </c>
      <c r="R36">
        <f t="shared" si="9"/>
        <v>-19.828535536372481</v>
      </c>
      <c r="S36">
        <f t="shared" si="10"/>
        <v>-0.140920766600523</v>
      </c>
      <c r="U36">
        <f t="shared" si="11"/>
        <v>4.1255865616552929E-8</v>
      </c>
      <c r="V36" s="2">
        <f t="shared" si="12"/>
        <v>-4.6656128960763921E-8</v>
      </c>
      <c r="W36" s="2">
        <f t="shared" si="13"/>
        <v>-1.9277400864129805E-7</v>
      </c>
    </row>
    <row r="37" spans="1:31" x14ac:dyDescent="0.3">
      <c r="A37" s="5">
        <v>34</v>
      </c>
      <c r="B37" s="6">
        <v>240</v>
      </c>
      <c r="C37" s="6">
        <v>785</v>
      </c>
      <c r="D37" s="12">
        <f>'Raw Data and Corrections'!CH135</f>
        <v>0.24563007576648258</v>
      </c>
      <c r="E37" s="6"/>
      <c r="F37">
        <f t="shared" si="0"/>
        <v>47100</v>
      </c>
      <c r="G37" s="12">
        <f>'Raw Data and Corrections'!AU133</f>
        <v>21.218729546930575</v>
      </c>
      <c r="H37" s="2">
        <f t="shared" si="1"/>
        <v>0.14518624875025565</v>
      </c>
      <c r="I37" s="2">
        <f t="shared" si="14"/>
        <v>0.14686693887837576</v>
      </c>
      <c r="K37" s="2">
        <f t="shared" si="2"/>
        <v>9.0944421489138692E-10</v>
      </c>
      <c r="L37" s="2">
        <f t="shared" si="3"/>
        <v>1.0291040520968527E-9</v>
      </c>
      <c r="M37" s="2">
        <f t="shared" si="4"/>
        <v>4.2337264158683571E-9</v>
      </c>
      <c r="N37" s="2">
        <f t="shared" si="5"/>
        <v>1.0291040520968527E-9</v>
      </c>
      <c r="O37">
        <f t="shared" si="6"/>
        <v>19.49317738791423</v>
      </c>
      <c r="P37">
        <f t="shared" si="7"/>
        <v>-20.694577265579092</v>
      </c>
      <c r="Q37">
        <f t="shared" si="8"/>
        <v>-8.9875407117614863</v>
      </c>
      <c r="R37">
        <f t="shared" si="9"/>
        <v>-20.549801001233792</v>
      </c>
      <c r="S37">
        <f t="shared" si="10"/>
        <v>-0.14477626434529967</v>
      </c>
      <c r="U37">
        <f t="shared" si="11"/>
        <v>5.4422752563756362E-7</v>
      </c>
      <c r="V37" s="2">
        <f t="shared" si="12"/>
        <v>-6.1630665112027362E-7</v>
      </c>
      <c r="W37" s="2">
        <f t="shared" si="13"/>
        <v>-2.5215209170538551E-6</v>
      </c>
      <c r="AB37">
        <v>98.9</v>
      </c>
      <c r="AC37">
        <v>99.09</v>
      </c>
    </row>
    <row r="38" spans="1:31" x14ac:dyDescent="0.3">
      <c r="A38" t="s">
        <v>298</v>
      </c>
      <c r="D38" s="6" cm="1">
        <f t="array" ref="D38:E38">'Raw Data and Corrections'!AG138:AH138</f>
        <v>124.54078707011602</v>
      </c>
      <c r="E38" s="6">
        <v>1.0730577113002813</v>
      </c>
      <c r="F38">
        <f>3600*C38</f>
        <v>0</v>
      </c>
      <c r="G38" s="2">
        <f>'Raw Data and Corrections'!AQ138</f>
        <v>146.14834207494607</v>
      </c>
      <c r="I38" s="2">
        <f>G38/$G$38</f>
        <v>1</v>
      </c>
      <c r="AB38">
        <v>18003069.985226665</v>
      </c>
      <c r="AC38">
        <v>17354426.675797403</v>
      </c>
    </row>
    <row r="39" spans="1:31" x14ac:dyDescent="0.3">
      <c r="D39" s="7">
        <f>SUM(D4:D38)</f>
        <v>145.26101201487</v>
      </c>
      <c r="E39" s="6">
        <v>1.0726345452392398</v>
      </c>
      <c r="AB39">
        <v>38038.944164075619</v>
      </c>
      <c r="AC39">
        <v>38032.636907850479</v>
      </c>
    </row>
    <row r="43" spans="1:31" x14ac:dyDescent="0.3">
      <c r="A43" t="s">
        <v>622</v>
      </c>
      <c r="G43" s="7" t="s">
        <v>352</v>
      </c>
      <c r="H43" s="7" t="s">
        <v>648</v>
      </c>
      <c r="I43" s="7" t="s">
        <v>341</v>
      </c>
      <c r="K43" t="s">
        <v>290</v>
      </c>
      <c r="L43" t="s">
        <v>291</v>
      </c>
      <c r="M43" t="s">
        <v>292</v>
      </c>
      <c r="N43" t="s">
        <v>293</v>
      </c>
      <c r="O43" t="s">
        <v>295</v>
      </c>
      <c r="P43" t="s">
        <v>294</v>
      </c>
      <c r="Q43" t="s">
        <v>296</v>
      </c>
      <c r="R43" t="s">
        <v>366</v>
      </c>
      <c r="S43" t="s">
        <v>368</v>
      </c>
      <c r="U43" t="s">
        <v>348</v>
      </c>
    </row>
    <row r="44" spans="1:31" x14ac:dyDescent="0.3">
      <c r="G44" s="7"/>
      <c r="H44" s="7"/>
      <c r="I44" s="7"/>
      <c r="K44" t="s">
        <v>342</v>
      </c>
      <c r="L44" t="s">
        <v>343</v>
      </c>
      <c r="M44" t="s">
        <v>344</v>
      </c>
      <c r="U44" t="s">
        <v>345</v>
      </c>
      <c r="V44" t="s">
        <v>346</v>
      </c>
      <c r="W44" t="s">
        <v>347</v>
      </c>
    </row>
    <row r="45" spans="1:31" ht="16.2" x14ac:dyDescent="0.3">
      <c r="A45" t="s">
        <v>297</v>
      </c>
      <c r="B45" s="7" t="s">
        <v>300</v>
      </c>
      <c r="C45" s="7" t="s">
        <v>301</v>
      </c>
      <c r="D45" s="7" t="s">
        <v>673</v>
      </c>
      <c r="E45" s="7" t="s">
        <v>325</v>
      </c>
      <c r="F45" t="s">
        <v>302</v>
      </c>
      <c r="I45">
        <v>0</v>
      </c>
      <c r="U45">
        <v>0</v>
      </c>
      <c r="V45">
        <v>0</v>
      </c>
      <c r="W45">
        <v>0</v>
      </c>
    </row>
    <row r="46" spans="1:31" x14ac:dyDescent="0.3">
      <c r="A46" s="5">
        <v>1</v>
      </c>
      <c r="B46" s="7">
        <v>170</v>
      </c>
      <c r="C46" s="6">
        <v>300</v>
      </c>
      <c r="D46" s="11">
        <f>'Raw Data and Corrections'!CJ5</f>
        <v>0</v>
      </c>
      <c r="F46">
        <v>18000</v>
      </c>
      <c r="G46">
        <v>0</v>
      </c>
      <c r="H46" s="2">
        <f>G46/$G$80</f>
        <v>0</v>
      </c>
      <c r="I46" s="2">
        <f t="shared" ref="I46:I79" si="15">(G46+D46)/$G$80</f>
        <v>0</v>
      </c>
      <c r="K46" s="2">
        <f>((I46^2-H46^2)*PI())/(36*F46)</f>
        <v>0</v>
      </c>
      <c r="L46" s="2">
        <f>(1/(PI()*PI()*F46))*(-(I46-H46)*PI()*PI()/3-2*PI()*(SQRT(1-PI()/3*I46)-SQRT(1-PI()/3*H46)))</f>
        <v>0</v>
      </c>
      <c r="M46" s="2">
        <f>(1/(PI()^2*F46))*LN((1-H46)/(1-I46))</f>
        <v>0</v>
      </c>
      <c r="N46" s="2">
        <f t="shared" ref="N46:N79" si="16">(I46&lt;0.05)*K46+((I46&gt;=0.05)*(I46&lt;0.9))*L46+(I46&gt;=0.9)*M46</f>
        <v>0</v>
      </c>
      <c r="O46">
        <f t="shared" ref="O46:O79" si="17">10000/(273+B46)</f>
        <v>22.573363431151243</v>
      </c>
      <c r="P46" t="e">
        <f t="shared" ref="P46:P79" si="18">LN(N46)</f>
        <v>#NUM!</v>
      </c>
      <c r="Q46" t="e">
        <f t="shared" ref="Q46:Q79" si="19">LOG10(N46)</f>
        <v>#NUM!</v>
      </c>
      <c r="R46">
        <f t="shared" ref="R46:R79" si="20">$AI$2+$AH$2*O46</f>
        <v>-26.510416953507526</v>
      </c>
      <c r="S46" t="e">
        <f t="shared" ref="S46:S79" si="21">P46-R46</f>
        <v>#NUM!</v>
      </c>
      <c r="U46" s="2">
        <f t="shared" ref="U46:U79" si="22" xml:space="preserve"> (I46 * PI()) / (18 * F46)</f>
        <v>0</v>
      </c>
      <c r="V46" s="2">
        <f t="shared" ref="V46:V79" si="23" xml:space="preserve"> (1 / (PI()^2 * F46)) * (PI()^2 / 3 - PI()^2 / (3 * SQRT(1 - (PI() / 3) * I46)))</f>
        <v>0</v>
      </c>
      <c r="W46" s="2">
        <f t="shared" ref="W46:W79" si="24" xml:space="preserve"> (-1) / (PI()^2 * F46 * (1 - I46))</f>
        <v>-5.6289546467965437E-6</v>
      </c>
    </row>
    <row r="47" spans="1:31" x14ac:dyDescent="0.3">
      <c r="A47" s="5">
        <v>2</v>
      </c>
      <c r="B47" s="7">
        <v>180</v>
      </c>
      <c r="C47" s="6">
        <v>463</v>
      </c>
      <c r="D47" s="11">
        <f>'Raw Data and Corrections'!CJ9</f>
        <v>0</v>
      </c>
      <c r="F47">
        <v>27780</v>
      </c>
      <c r="G47" s="2">
        <f>'Raw Data and Corrections'!AW5</f>
        <v>1.9201957516247901E-2</v>
      </c>
      <c r="H47" s="2">
        <f t="shared" ref="H47:H79" si="25">G47/$G$80</f>
        <v>1.3168700895593849E-4</v>
      </c>
      <c r="I47" s="2">
        <f t="shared" si="15"/>
        <v>1.3168700895593849E-4</v>
      </c>
      <c r="K47" s="2">
        <f t="shared" ref="K47:K79" si="26">((I47^2-H47^2)*PI())/(36*F47)</f>
        <v>0</v>
      </c>
      <c r="L47" s="2">
        <f t="shared" ref="L47:L79" si="27">(1/(PI()*PI()*F47))*(-(I47-H47)*PI()*PI()/3-2*PI()*(SQRT(1-PI()/3*I47)-SQRT(1-PI()/3*H47)))</f>
        <v>0</v>
      </c>
      <c r="M47" s="2">
        <f t="shared" ref="M47:M79" si="28">(1/(PI()^2*F47))*LN((1-H47)/(1-I47))</f>
        <v>0</v>
      </c>
      <c r="N47" s="2">
        <f t="shared" si="16"/>
        <v>0</v>
      </c>
      <c r="O47">
        <f t="shared" si="17"/>
        <v>22.075055187637968</v>
      </c>
      <c r="P47" t="e">
        <f t="shared" si="18"/>
        <v>#NUM!</v>
      </c>
      <c r="Q47" t="e">
        <f t="shared" si="19"/>
        <v>#NUM!</v>
      </c>
      <c r="R47">
        <f t="shared" si="20"/>
        <v>-25.546116737955192</v>
      </c>
      <c r="S47" t="e">
        <f t="shared" si="21"/>
        <v>#NUM!</v>
      </c>
      <c r="U47">
        <f t="shared" si="22"/>
        <v>8.2734769200301908E-10</v>
      </c>
      <c r="V47" s="2">
        <f t="shared" si="23"/>
        <v>-8.2743327170706896E-10</v>
      </c>
      <c r="W47" s="2">
        <f t="shared" si="24"/>
        <v>-3.6477511909015486E-6</v>
      </c>
    </row>
    <row r="48" spans="1:31" x14ac:dyDescent="0.3">
      <c r="A48" s="5">
        <v>3</v>
      </c>
      <c r="B48" s="7">
        <v>190</v>
      </c>
      <c r="C48" s="6">
        <v>550</v>
      </c>
      <c r="D48" s="11">
        <f>'Raw Data and Corrections'!CJ13</f>
        <v>0</v>
      </c>
      <c r="F48">
        <v>33000</v>
      </c>
      <c r="G48" s="2">
        <f>'Raw Data and Corrections'!AW9</f>
        <v>6.5965821544759856E-2</v>
      </c>
      <c r="H48" s="2">
        <f t="shared" si="25"/>
        <v>4.5239355025133174E-4</v>
      </c>
      <c r="I48" s="2">
        <f t="shared" si="15"/>
        <v>4.5239355025133174E-4</v>
      </c>
      <c r="K48" s="2">
        <f t="shared" si="26"/>
        <v>0</v>
      </c>
      <c r="L48" s="2">
        <f t="shared" si="27"/>
        <v>0</v>
      </c>
      <c r="M48" s="2">
        <f t="shared" si="28"/>
        <v>0</v>
      </c>
      <c r="N48" s="2">
        <f t="shared" si="16"/>
        <v>0</v>
      </c>
      <c r="O48">
        <f t="shared" si="17"/>
        <v>21.598272138228943</v>
      </c>
      <c r="P48" t="e">
        <f t="shared" si="18"/>
        <v>#NUM!</v>
      </c>
      <c r="Q48" t="e">
        <f t="shared" si="19"/>
        <v>#NUM!</v>
      </c>
      <c r="R48">
        <f t="shared" si="20"/>
        <v>-24.623470959359775</v>
      </c>
      <c r="S48" t="e">
        <f t="shared" si="21"/>
        <v>#NUM!</v>
      </c>
      <c r="U48">
        <f t="shared" si="22"/>
        <v>2.3926536262642905E-9</v>
      </c>
      <c r="V48" s="2">
        <f t="shared" si="23"/>
        <v>-2.3935040935448882E-9</v>
      </c>
      <c r="W48" s="2">
        <f t="shared" si="24"/>
        <v>-3.071728528427043E-6</v>
      </c>
    </row>
    <row r="49" spans="1:26" x14ac:dyDescent="0.3">
      <c r="A49" s="5">
        <v>4</v>
      </c>
      <c r="B49" s="7">
        <v>200</v>
      </c>
      <c r="C49" s="6">
        <v>500</v>
      </c>
      <c r="D49" s="11">
        <f>'Raw Data and Corrections'!CJ17</f>
        <v>0.13208360674518488</v>
      </c>
      <c r="F49">
        <v>30000</v>
      </c>
      <c r="G49" s="2">
        <f>'Raw Data and Corrections'!AW13</f>
        <v>0.13751482998502546</v>
      </c>
      <c r="H49" s="2">
        <f t="shared" si="25"/>
        <v>9.4307659166985411E-4</v>
      </c>
      <c r="I49" s="2">
        <f t="shared" si="15"/>
        <v>1.8489058587988951E-3</v>
      </c>
      <c r="K49" s="2">
        <f t="shared" si="26"/>
        <v>7.3567356340437816E-12</v>
      </c>
      <c r="L49" s="2">
        <f t="shared" si="27"/>
        <v>7.3650955109598156E-12</v>
      </c>
      <c r="M49" s="2">
        <f t="shared" si="28"/>
        <v>3.0636000860577029E-9</v>
      </c>
      <c r="N49" s="2">
        <f t="shared" si="16"/>
        <v>7.3567356340437816E-12</v>
      </c>
      <c r="O49">
        <f t="shared" si="17"/>
        <v>21.141649048625794</v>
      </c>
      <c r="P49">
        <f t="shared" si="18"/>
        <v>-25.635404809558572</v>
      </c>
      <c r="Q49">
        <f t="shared" si="19"/>
        <v>-11.133314850147372</v>
      </c>
      <c r="R49">
        <f t="shared" si="20"/>
        <v>-23.739837687258881</v>
      </c>
      <c r="S49">
        <f t="shared" si="21"/>
        <v>-1.8955671222996919</v>
      </c>
      <c r="U49">
        <f t="shared" si="22"/>
        <v>1.0756498265151364E-8</v>
      </c>
      <c r="V49" s="2">
        <f t="shared" si="23"/>
        <v>-1.0772143314495677E-8</v>
      </c>
      <c r="W49" s="2">
        <f t="shared" si="24"/>
        <v>-3.3836287991887465E-6</v>
      </c>
    </row>
    <row r="50" spans="1:26" x14ac:dyDescent="0.3">
      <c r="A50" s="5">
        <v>5</v>
      </c>
      <c r="B50" s="7">
        <v>210</v>
      </c>
      <c r="C50" s="6">
        <v>475</v>
      </c>
      <c r="D50" s="11">
        <f>'Raw Data and Corrections'!CJ21</f>
        <v>0.18429558135602522</v>
      </c>
      <c r="F50">
        <v>28500</v>
      </c>
      <c r="G50" s="2">
        <f>'Raw Data and Corrections'!AW17</f>
        <v>0.2499547833128809</v>
      </c>
      <c r="H50" s="2">
        <f t="shared" si="25"/>
        <v>1.7141896997142625E-3</v>
      </c>
      <c r="I50" s="2">
        <f t="shared" si="15"/>
        <v>2.9780886460604918E-3</v>
      </c>
      <c r="K50" s="2">
        <f t="shared" si="26"/>
        <v>1.815928021467208E-11</v>
      </c>
      <c r="L50" s="2">
        <f t="shared" si="27"/>
        <v>1.8193624363177518E-11</v>
      </c>
      <c r="M50" s="2">
        <f t="shared" si="28"/>
        <v>4.5038914711478603E-9</v>
      </c>
      <c r="N50" s="2">
        <f t="shared" si="16"/>
        <v>1.815928021467208E-11</v>
      </c>
      <c r="O50">
        <f t="shared" si="17"/>
        <v>20.703933747412009</v>
      </c>
      <c r="P50">
        <f t="shared" si="18"/>
        <v>-24.731839379296861</v>
      </c>
      <c r="Q50">
        <f t="shared" si="19"/>
        <v>-10.740901369746172</v>
      </c>
      <c r="R50">
        <f t="shared" si="20"/>
        <v>-22.892793784603146</v>
      </c>
      <c r="S50">
        <f t="shared" si="21"/>
        <v>-1.8390455946937152</v>
      </c>
      <c r="U50">
        <f t="shared" si="22"/>
        <v>1.8237702557900225E-8</v>
      </c>
      <c r="V50" s="2">
        <f t="shared" si="23"/>
        <v>-1.8280471442407224E-8</v>
      </c>
      <c r="W50" s="2">
        <f t="shared" si="24"/>
        <v>-3.5657483653298406E-6</v>
      </c>
    </row>
    <row r="51" spans="1:26" x14ac:dyDescent="0.3">
      <c r="A51" s="5">
        <v>6</v>
      </c>
      <c r="B51" s="7">
        <v>220</v>
      </c>
      <c r="C51" s="6">
        <v>450</v>
      </c>
      <c r="D51" s="11">
        <f>'Raw Data and Corrections'!CJ25</f>
        <v>0.25930719545554054</v>
      </c>
      <c r="F51">
        <v>27000</v>
      </c>
      <c r="G51" s="2">
        <f>'Raw Data and Corrections'!AW21</f>
        <v>0.40553743215273907</v>
      </c>
      <c r="H51" s="2">
        <f t="shared" si="25"/>
        <v>2.7811753783268081E-3</v>
      </c>
      <c r="I51" s="2">
        <f t="shared" si="15"/>
        <v>4.5595039128732964E-3</v>
      </c>
      <c r="K51" s="2">
        <f t="shared" si="26"/>
        <v>4.2192169325151668E-11</v>
      </c>
      <c r="L51" s="2">
        <f t="shared" si="27"/>
        <v>4.2316589014150913E-11</v>
      </c>
      <c r="M51" s="2">
        <f t="shared" si="28"/>
        <v>6.6980061746673002E-9</v>
      </c>
      <c r="N51" s="2">
        <f t="shared" si="16"/>
        <v>4.2192169325151668E-11</v>
      </c>
      <c r="O51">
        <f t="shared" si="17"/>
        <v>20.28397565922921</v>
      </c>
      <c r="P51">
        <f t="shared" si="18"/>
        <v>-23.888786473120522</v>
      </c>
      <c r="Q51">
        <f t="shared" si="19"/>
        <v>-10.374768144641287</v>
      </c>
      <c r="R51">
        <f t="shared" si="20"/>
        <v>-22.080112717754954</v>
      </c>
      <c r="S51">
        <f t="shared" si="21"/>
        <v>-1.8086737553655681</v>
      </c>
      <c r="U51">
        <f t="shared" si="22"/>
        <v>2.9473465013779143E-8</v>
      </c>
      <c r="V51" s="2">
        <f t="shared" si="23"/>
        <v>-2.9579431976220068E-8</v>
      </c>
      <c r="W51" s="2">
        <f t="shared" si="24"/>
        <v>-3.7698249628667337E-6</v>
      </c>
    </row>
    <row r="52" spans="1:26" x14ac:dyDescent="0.3">
      <c r="A52" s="5">
        <v>7</v>
      </c>
      <c r="B52" s="7">
        <v>230</v>
      </c>
      <c r="C52" s="6">
        <v>425</v>
      </c>
      <c r="D52" s="11">
        <f>'Raw Data and Corrections'!CJ29</f>
        <v>0.39655062620015746</v>
      </c>
      <c r="F52">
        <v>25500</v>
      </c>
      <c r="G52" s="2">
        <f>'Raw Data and Corrections'!AW25</f>
        <v>0.63194775582281049</v>
      </c>
      <c r="H52" s="2">
        <f t="shared" si="25"/>
        <v>4.3338971930495605E-3</v>
      </c>
      <c r="I52" s="2">
        <f t="shared" si="15"/>
        <v>7.0534410634969487E-3</v>
      </c>
      <c r="K52" s="2">
        <f t="shared" si="26"/>
        <v>1.059803823333322E-10</v>
      </c>
      <c r="L52" s="2">
        <f t="shared" si="27"/>
        <v>1.0646581815307454E-10</v>
      </c>
      <c r="M52" s="2">
        <f t="shared" si="28"/>
        <v>1.0867664166269867E-8</v>
      </c>
      <c r="N52" s="2">
        <f t="shared" si="16"/>
        <v>1.059803823333322E-10</v>
      </c>
      <c r="O52">
        <f t="shared" si="17"/>
        <v>19.880715705765407</v>
      </c>
      <c r="P52">
        <f t="shared" si="18"/>
        <v>-22.967767111271531</v>
      </c>
      <c r="Q52">
        <f t="shared" si="19"/>
        <v>-9.9747745180642173</v>
      </c>
      <c r="R52">
        <f t="shared" si="20"/>
        <v>-21.299745013405694</v>
      </c>
      <c r="S52">
        <f t="shared" si="21"/>
        <v>-1.6680220978658369</v>
      </c>
      <c r="U52">
        <f t="shared" si="22"/>
        <v>4.82767726091734E-8</v>
      </c>
      <c r="V52" s="2">
        <f t="shared" si="23"/>
        <v>-4.8545871217931193E-8</v>
      </c>
      <c r="W52" s="2">
        <f t="shared" si="24"/>
        <v>-4.0016048345397433E-6</v>
      </c>
    </row>
    <row r="53" spans="1:26" x14ac:dyDescent="0.3">
      <c r="A53" s="5">
        <v>8</v>
      </c>
      <c r="B53" s="7">
        <v>225</v>
      </c>
      <c r="C53" s="6">
        <v>908</v>
      </c>
      <c r="D53" s="11">
        <f>'Raw Data and Corrections'!CJ33</f>
        <v>0.38289253258153977</v>
      </c>
      <c r="F53">
        <v>54480</v>
      </c>
      <c r="G53" s="2">
        <f>'Raw Data and Corrections'!AW29</f>
        <v>0.97991452293274905</v>
      </c>
      <c r="H53" s="2">
        <f t="shared" si="25"/>
        <v>6.720252997555542E-3</v>
      </c>
      <c r="I53" s="2">
        <f t="shared" si="15"/>
        <v>9.3461296731268857E-3</v>
      </c>
      <c r="K53" s="2">
        <f t="shared" si="26"/>
        <v>6.7577590904831474E-11</v>
      </c>
      <c r="L53" s="2">
        <f t="shared" si="27"/>
        <v>6.8010843606850802E-11</v>
      </c>
      <c r="M53" s="2">
        <f t="shared" si="28"/>
        <v>4.9231219531368141E-9</v>
      </c>
      <c r="N53" s="2">
        <f t="shared" si="16"/>
        <v>6.7577590904831474E-11</v>
      </c>
      <c r="O53">
        <f t="shared" si="17"/>
        <v>20.080321285140563</v>
      </c>
      <c r="P53">
        <f t="shared" si="18"/>
        <v>-23.417744683327065</v>
      </c>
      <c r="Q53">
        <f t="shared" si="19"/>
        <v>-10.170197294588158</v>
      </c>
      <c r="R53">
        <f t="shared" si="20"/>
        <v>-21.686011357024352</v>
      </c>
      <c r="S53">
        <f t="shared" si="21"/>
        <v>-1.731733326302713</v>
      </c>
      <c r="U53">
        <f t="shared" si="22"/>
        <v>2.9941397781645657E-8</v>
      </c>
      <c r="V53" s="2">
        <f t="shared" si="23"/>
        <v>-3.0162988652813235E-8</v>
      </c>
      <c r="W53" s="2">
        <f t="shared" si="24"/>
        <v>-1.8773325712262151E-6</v>
      </c>
    </row>
    <row r="54" spans="1:26" x14ac:dyDescent="0.3">
      <c r="A54" s="5">
        <v>9</v>
      </c>
      <c r="B54" s="7">
        <v>215</v>
      </c>
      <c r="C54" s="6">
        <v>450</v>
      </c>
      <c r="D54" s="11">
        <f>'Raw Data and Corrections'!CJ38</f>
        <v>9.0175655933316806E-2</v>
      </c>
      <c r="F54">
        <v>27000</v>
      </c>
      <c r="G54" s="2">
        <f>'Raw Data and Corrections'!AW33</f>
        <v>1.34871133895702</v>
      </c>
      <c r="H54" s="2">
        <f t="shared" si="25"/>
        <v>9.2494612604951641E-3</v>
      </c>
      <c r="I54" s="2">
        <f t="shared" si="15"/>
        <v>9.8678858352006446E-3</v>
      </c>
      <c r="K54" s="2">
        <f t="shared" si="26"/>
        <v>3.821184189476552E-11</v>
      </c>
      <c r="L54" s="2">
        <f t="shared" si="27"/>
        <v>3.8501228822627921E-11</v>
      </c>
      <c r="M54" s="2">
        <f t="shared" si="28"/>
        <v>2.3431197814595254E-9</v>
      </c>
      <c r="N54" s="2">
        <f t="shared" si="16"/>
        <v>3.821184189476552E-11</v>
      </c>
      <c r="O54">
        <f t="shared" si="17"/>
        <v>20.491803278688526</v>
      </c>
      <c r="P54">
        <f t="shared" si="18"/>
        <v>-23.987875651110066</v>
      </c>
      <c r="Q54">
        <f t="shared" si="19"/>
        <v>-10.417802027858476</v>
      </c>
      <c r="R54">
        <f t="shared" si="20"/>
        <v>-22.482289926041506</v>
      </c>
      <c r="S54">
        <f t="shared" si="21"/>
        <v>-1.5055857250685598</v>
      </c>
      <c r="U54">
        <f t="shared" si="22"/>
        <v>6.3787814087096959E-8</v>
      </c>
      <c r="V54" s="2">
        <f t="shared" si="23"/>
        <v>-6.4286479688365427E-8</v>
      </c>
      <c r="W54" s="2">
        <f t="shared" si="24"/>
        <v>-3.7900360744920752E-6</v>
      </c>
    </row>
    <row r="55" spans="1:26" x14ac:dyDescent="0.3">
      <c r="A55" s="5">
        <v>10</v>
      </c>
      <c r="B55" s="7">
        <v>205</v>
      </c>
      <c r="C55" s="6">
        <v>520</v>
      </c>
      <c r="D55" s="11">
        <f>'Raw Data and Corrections'!CJ43</f>
        <v>4.8208688036013331E-2</v>
      </c>
      <c r="F55">
        <v>31200</v>
      </c>
      <c r="G55" s="2">
        <f>'Raw Data and Corrections'!AW38</f>
        <v>1.4359486872794978</v>
      </c>
      <c r="H55" s="2">
        <f t="shared" si="25"/>
        <v>9.8477349240064897E-3</v>
      </c>
      <c r="I55" s="2">
        <f t="shared" si="15"/>
        <v>1.0178350067164717E-2</v>
      </c>
      <c r="K55" s="2">
        <f t="shared" si="26"/>
        <v>1.8518745980880558E-11</v>
      </c>
      <c r="L55" s="2">
        <f t="shared" si="27"/>
        <v>1.8665679509837277E-11</v>
      </c>
      <c r="M55" s="2">
        <f t="shared" si="28"/>
        <v>1.0845234157873824E-9</v>
      </c>
      <c r="N55" s="2">
        <f t="shared" si="16"/>
        <v>1.8518745980880558E-11</v>
      </c>
      <c r="O55">
        <f t="shared" si="17"/>
        <v>20.92050209205021</v>
      </c>
      <c r="P55">
        <f t="shared" si="18"/>
        <v>-24.712237600618572</v>
      </c>
      <c r="Q55">
        <f t="shared" si="19"/>
        <v>-10.732388425430701</v>
      </c>
      <c r="R55">
        <f t="shared" si="20"/>
        <v>-23.311885589996617</v>
      </c>
      <c r="S55">
        <f t="shared" si="21"/>
        <v>-1.4003520106219547</v>
      </c>
      <c r="U55">
        <f t="shared" si="22"/>
        <v>5.6937731119426385E-8</v>
      </c>
      <c r="V55" s="2">
        <f t="shared" si="23"/>
        <v>-5.739697557627965E-8</v>
      </c>
      <c r="W55" s="2">
        <f t="shared" si="24"/>
        <v>-3.2808676541987863E-6</v>
      </c>
    </row>
    <row r="56" spans="1:26" x14ac:dyDescent="0.3">
      <c r="A56" s="5">
        <v>11</v>
      </c>
      <c r="B56" s="7">
        <v>195</v>
      </c>
      <c r="C56" s="6">
        <v>1106</v>
      </c>
      <c r="D56" s="11">
        <f>'Raw Data and Corrections'!CJ47</f>
        <v>3.7670420443281338E-2</v>
      </c>
      <c r="F56">
        <v>66360</v>
      </c>
      <c r="G56" s="2">
        <f>'Raw Data and Corrections'!AW43</f>
        <v>1.4912304433243895</v>
      </c>
      <c r="H56" s="2">
        <f t="shared" si="25"/>
        <v>1.0226857161789992E-2</v>
      </c>
      <c r="I56" s="2">
        <f t="shared" si="15"/>
        <v>1.0485200874408396E-2</v>
      </c>
      <c r="K56" s="2">
        <f t="shared" si="26"/>
        <v>7.0365883570014351E-12</v>
      </c>
      <c r="L56" s="2">
        <f t="shared" si="27"/>
        <v>7.0943464348670505E-12</v>
      </c>
      <c r="M56" s="2">
        <f t="shared" si="28"/>
        <v>3.9857751298640197E-10</v>
      </c>
      <c r="N56" s="2">
        <f t="shared" si="16"/>
        <v>7.0365883570014351E-12</v>
      </c>
      <c r="O56">
        <f t="shared" si="17"/>
        <v>21.367521367521366</v>
      </c>
      <c r="P56">
        <f t="shared" si="18"/>
        <v>-25.679897671599665</v>
      </c>
      <c r="Q56">
        <f t="shared" si="19"/>
        <v>-11.1526378546159</v>
      </c>
      <c r="R56">
        <f t="shared" si="20"/>
        <v>-24.176934060103658</v>
      </c>
      <c r="S56">
        <f t="shared" si="21"/>
        <v>-1.502963611496007</v>
      </c>
      <c r="U56">
        <f t="shared" si="22"/>
        <v>2.7577046110822023E-8</v>
      </c>
      <c r="V56" s="2">
        <f t="shared" si="23"/>
        <v>-2.7806242801325675E-8</v>
      </c>
      <c r="W56" s="2">
        <f t="shared" si="24"/>
        <v>-1.5430200999681087E-6</v>
      </c>
    </row>
    <row r="57" spans="1:26" x14ac:dyDescent="0.3">
      <c r="A57" s="5">
        <v>12</v>
      </c>
      <c r="B57" s="7">
        <v>185</v>
      </c>
      <c r="C57" s="6">
        <v>740</v>
      </c>
      <c r="D57" s="11">
        <f>'Raw Data and Corrections'!CJ51</f>
        <v>9.7534129975992891E-3</v>
      </c>
      <c r="F57">
        <v>44400</v>
      </c>
      <c r="G57" s="2">
        <f>'Raw Data and Corrections'!AW47</f>
        <v>1.5467152370384845</v>
      </c>
      <c r="H57" s="2">
        <f t="shared" si="25"/>
        <v>1.0607371831742983E-2</v>
      </c>
      <c r="I57" s="2">
        <f t="shared" si="15"/>
        <v>1.0674260730110716E-2</v>
      </c>
      <c r="K57" s="2">
        <f t="shared" si="26"/>
        <v>2.797843291368025E-12</v>
      </c>
      <c r="L57" s="2">
        <f t="shared" si="27"/>
        <v>2.8214449874559007E-12</v>
      </c>
      <c r="M57" s="2">
        <f t="shared" si="28"/>
        <v>1.542827383674002E-10</v>
      </c>
      <c r="N57" s="2">
        <f t="shared" si="16"/>
        <v>2.797843291368025E-12</v>
      </c>
      <c r="O57">
        <f t="shared" si="17"/>
        <v>21.834061135371179</v>
      </c>
      <c r="P57">
        <f t="shared" si="18"/>
        <v>-26.602172248627561</v>
      </c>
      <c r="Q57">
        <f t="shared" si="19"/>
        <v>-11.553176614218771</v>
      </c>
      <c r="R57">
        <f t="shared" si="20"/>
        <v>-25.079757572573453</v>
      </c>
      <c r="S57">
        <f t="shared" si="21"/>
        <v>-1.5224146760541082</v>
      </c>
      <c r="U57">
        <f t="shared" si="22"/>
        <v>4.1959683548821129E-8</v>
      </c>
      <c r="V57" s="2">
        <f t="shared" si="23"/>
        <v>-4.2314763572952467E-8</v>
      </c>
      <c r="W57" s="2">
        <f t="shared" si="24"/>
        <v>-2.3066302128935698E-6</v>
      </c>
    </row>
    <row r="58" spans="1:26" x14ac:dyDescent="0.3">
      <c r="A58" s="5">
        <v>13</v>
      </c>
      <c r="B58" s="7">
        <v>175</v>
      </c>
      <c r="C58" s="6">
        <v>920</v>
      </c>
      <c r="D58" s="11">
        <f>'Raw Data and Corrections'!CJ55</f>
        <v>1.8356904644833343E-2</v>
      </c>
      <c r="F58">
        <v>55200</v>
      </c>
      <c r="G58" s="2">
        <f>'Raw Data and Corrections'!AW51</f>
        <v>1.602041375714798</v>
      </c>
      <c r="H58" s="2">
        <f t="shared" si="25"/>
        <v>1.098679844557651E-2</v>
      </c>
      <c r="I58" s="2">
        <f t="shared" si="15"/>
        <v>1.1112690082630806E-2</v>
      </c>
      <c r="K58" s="2">
        <f t="shared" si="26"/>
        <v>4.3983258170258168E-12</v>
      </c>
      <c r="L58" s="2">
        <f t="shared" si="27"/>
        <v>4.4368687232839039E-12</v>
      </c>
      <c r="M58" s="2">
        <f t="shared" si="28"/>
        <v>2.3365959057303907E-10</v>
      </c>
      <c r="N58" s="2">
        <f t="shared" si="16"/>
        <v>4.3983258170258168E-12</v>
      </c>
      <c r="O58">
        <f t="shared" si="17"/>
        <v>22.321428571428573</v>
      </c>
      <c r="P58">
        <f t="shared" si="18"/>
        <v>-26.14979714354185</v>
      </c>
      <c r="Q58">
        <f t="shared" si="19"/>
        <v>-11.356712602329642</v>
      </c>
      <c r="R58">
        <f t="shared" si="20"/>
        <v>-26.022885706135643</v>
      </c>
      <c r="S58">
        <f t="shared" si="21"/>
        <v>-0.12691143740620703</v>
      </c>
      <c r="U58">
        <f t="shared" si="22"/>
        <v>3.5136418604280483E-8</v>
      </c>
      <c r="V58" s="2">
        <f t="shared" si="23"/>
        <v>-3.5446089823094225E-8</v>
      </c>
      <c r="W58" s="2">
        <f t="shared" si="24"/>
        <v>-1.8561555707759678E-6</v>
      </c>
    </row>
    <row r="59" spans="1:26" x14ac:dyDescent="0.3">
      <c r="A59" s="5">
        <v>14</v>
      </c>
      <c r="B59" s="7">
        <v>200</v>
      </c>
      <c r="C59" s="6">
        <v>260</v>
      </c>
      <c r="D59" s="11">
        <f>'Raw Data and Corrections'!CJ59</f>
        <v>1.828280885848536E-2</v>
      </c>
      <c r="F59">
        <v>15600</v>
      </c>
      <c r="G59" s="2">
        <f>'Raw Data and Corrections'!AW55</f>
        <v>1.6351145558218827</v>
      </c>
      <c r="H59" s="2">
        <f t="shared" si="25"/>
        <v>1.1213614287725821E-2</v>
      </c>
      <c r="I59" s="2">
        <f t="shared" si="15"/>
        <v>1.1338997775937887E-2</v>
      </c>
      <c r="K59" s="2">
        <f t="shared" si="26"/>
        <v>1.5818305941568987E-11</v>
      </c>
      <c r="L59" s="2">
        <f t="shared" si="27"/>
        <v>1.5959793492120309E-11</v>
      </c>
      <c r="M59" s="2">
        <f t="shared" si="28"/>
        <v>8.2364689002778091E-10</v>
      </c>
      <c r="N59" s="2">
        <f t="shared" si="16"/>
        <v>1.5818305941568987E-11</v>
      </c>
      <c r="O59">
        <f t="shared" si="17"/>
        <v>21.141649048625794</v>
      </c>
      <c r="P59">
        <f t="shared" si="18"/>
        <v>-24.86985324266238</v>
      </c>
      <c r="Q59">
        <f t="shared" si="19"/>
        <v>-10.800840029031965</v>
      </c>
      <c r="R59">
        <f t="shared" si="20"/>
        <v>-23.739837687258881</v>
      </c>
      <c r="S59">
        <f t="shared" si="21"/>
        <v>-1.1300155554034994</v>
      </c>
      <c r="U59">
        <f t="shared" si="22"/>
        <v>1.2686079811950666E-7</v>
      </c>
      <c r="V59" s="2">
        <f t="shared" si="23"/>
        <v>-1.2800186989060928E-7</v>
      </c>
      <c r="W59" s="2">
        <f t="shared" si="24"/>
        <v>-6.5694385181268274E-6</v>
      </c>
    </row>
    <row r="60" spans="1:26" x14ac:dyDescent="0.3">
      <c r="A60" s="5">
        <v>15</v>
      </c>
      <c r="B60" s="7">
        <v>209.99</v>
      </c>
      <c r="C60" s="6">
        <v>520</v>
      </c>
      <c r="D60" s="11">
        <f>'Raw Data and Corrections'!CJ61</f>
        <v>0.26735703422819795</v>
      </c>
      <c r="F60">
        <v>31200</v>
      </c>
      <c r="G60" s="2">
        <f>'Raw Data and Corrections'!AW59</f>
        <v>1.6546682514507727</v>
      </c>
      <c r="H60" s="2">
        <f t="shared" si="25"/>
        <v>1.1347713516370843E-2</v>
      </c>
      <c r="I60" s="2">
        <f t="shared" si="15"/>
        <v>1.3181247838642452E-2</v>
      </c>
      <c r="K60" s="2">
        <f t="shared" si="26"/>
        <v>1.2579430525512769E-10</v>
      </c>
      <c r="L60" s="2">
        <f t="shared" si="27"/>
        <v>1.2702146607836089E-10</v>
      </c>
      <c r="M60" s="2">
        <f t="shared" si="28"/>
        <v>6.0282902962609469E-9</v>
      </c>
      <c r="N60" s="2">
        <f t="shared" si="16"/>
        <v>1.2579430525512769E-10</v>
      </c>
      <c r="O60">
        <f t="shared" si="17"/>
        <v>20.704362409159611</v>
      </c>
      <c r="P60">
        <f t="shared" si="18"/>
        <v>-22.796373040929073</v>
      </c>
      <c r="Q60">
        <f t="shared" si="19"/>
        <v>-9.9003390190835496</v>
      </c>
      <c r="R60">
        <f t="shared" si="20"/>
        <v>-22.893623308539372</v>
      </c>
      <c r="S60">
        <f t="shared" si="21"/>
        <v>9.725026761029909E-2</v>
      </c>
      <c r="U60">
        <f t="shared" si="22"/>
        <v>7.3735953303108021E-8</v>
      </c>
      <c r="V60" s="2">
        <f t="shared" si="23"/>
        <v>-7.4508194909514952E-8</v>
      </c>
      <c r="W60" s="2">
        <f t="shared" si="24"/>
        <v>-3.2908513620942113E-6</v>
      </c>
    </row>
    <row r="61" spans="1:26" x14ac:dyDescent="0.3">
      <c r="A61" s="5">
        <v>16</v>
      </c>
      <c r="B61" s="7">
        <v>219.98</v>
      </c>
      <c r="C61" s="6">
        <v>1167</v>
      </c>
      <c r="D61" s="11">
        <f>'Raw Data and Corrections'!CJ65</f>
        <v>0.34443489445940856</v>
      </c>
      <c r="F61">
        <v>70020</v>
      </c>
      <c r="G61" s="2">
        <f>'Raw Data and Corrections'!AW61</f>
        <v>1.8713997936537554</v>
      </c>
      <c r="H61" s="2">
        <f t="shared" si="25"/>
        <v>1.2834058255701121E-2</v>
      </c>
      <c r="I61" s="2">
        <f t="shared" si="15"/>
        <v>1.5196192480455764E-2</v>
      </c>
      <c r="K61" s="2">
        <f t="shared" si="26"/>
        <v>8.2519544157431985E-11</v>
      </c>
      <c r="L61" s="2">
        <f t="shared" si="27"/>
        <v>8.3441359293870919E-11</v>
      </c>
      <c r="M61" s="2">
        <f t="shared" si="28"/>
        <v>3.4666713816452957E-9</v>
      </c>
      <c r="N61" s="2">
        <f t="shared" si="16"/>
        <v>8.2519544157431985E-11</v>
      </c>
      <c r="O61">
        <f t="shared" si="17"/>
        <v>20.28479857195018</v>
      </c>
      <c r="P61">
        <f t="shared" si="18"/>
        <v>-23.217985951766057</v>
      </c>
      <c r="Q61">
        <f t="shared" si="19"/>
        <v>-10.08344317975922</v>
      </c>
      <c r="R61">
        <f t="shared" si="20"/>
        <v>-22.081705175685446</v>
      </c>
      <c r="S61">
        <f t="shared" si="21"/>
        <v>-1.1362807760806106</v>
      </c>
      <c r="U61">
        <f t="shared" si="22"/>
        <v>3.7878262289454035E-8</v>
      </c>
      <c r="V61" s="2">
        <f t="shared" si="23"/>
        <v>-3.8336421482269357E-8</v>
      </c>
      <c r="W61" s="2">
        <f t="shared" si="24"/>
        <v>-1.469360731375494E-6</v>
      </c>
    </row>
    <row r="62" spans="1:26" x14ac:dyDescent="0.3">
      <c r="A62" s="5">
        <v>17</v>
      </c>
      <c r="B62" s="7">
        <v>229.99</v>
      </c>
      <c r="C62" s="6">
        <v>370</v>
      </c>
      <c r="D62" s="11">
        <f>'Raw Data and Corrections'!CJ69</f>
        <v>0.26722631761558147</v>
      </c>
      <c r="F62">
        <v>22200</v>
      </c>
      <c r="G62" s="2">
        <f>'Raw Data and Corrections'!AW65</f>
        <v>2.6765802826323815</v>
      </c>
      <c r="H62" s="2">
        <f t="shared" si="25"/>
        <v>1.8355985391179653E-2</v>
      </c>
      <c r="I62" s="2">
        <f t="shared" si="15"/>
        <v>2.0188623259028753E-2</v>
      </c>
      <c r="K62" s="2">
        <f t="shared" si="26"/>
        <v>2.7767366606154143E-10</v>
      </c>
      <c r="L62" s="2">
        <f t="shared" si="27"/>
        <v>2.8195194579121022E-10</v>
      </c>
      <c r="M62" s="2">
        <f t="shared" si="28"/>
        <v>8.528558303989543E-9</v>
      </c>
      <c r="N62" s="2">
        <f t="shared" si="16"/>
        <v>2.7767366606154143E-10</v>
      </c>
      <c r="O62">
        <f t="shared" si="17"/>
        <v>19.881110956480249</v>
      </c>
      <c r="P62">
        <f t="shared" si="18"/>
        <v>-22.004574554842819</v>
      </c>
      <c r="Q62">
        <f t="shared" si="19"/>
        <v>-9.5564653057969391</v>
      </c>
      <c r="R62">
        <f t="shared" si="20"/>
        <v>-21.300509882047702</v>
      </c>
      <c r="S62">
        <f t="shared" si="21"/>
        <v>-0.70406467279511631</v>
      </c>
      <c r="U62">
        <f t="shared" si="22"/>
        <v>1.5871979608772965E-7</v>
      </c>
      <c r="V62" s="2">
        <f t="shared" si="23"/>
        <v>-1.6128164896012203E-7</v>
      </c>
      <c r="W62" s="2">
        <f t="shared" si="24"/>
        <v>-4.6580570398836638E-6</v>
      </c>
    </row>
    <row r="63" spans="1:26" x14ac:dyDescent="0.3">
      <c r="A63" s="5">
        <v>18</v>
      </c>
      <c r="B63" s="7">
        <v>240</v>
      </c>
      <c r="C63" s="6">
        <v>320</v>
      </c>
      <c r="D63" s="11">
        <f>'Raw Data and Corrections'!CJ73</f>
        <v>0.54638327429124989</v>
      </c>
      <c r="F63">
        <v>19200</v>
      </c>
      <c r="G63" s="2">
        <f>'Raw Data and Corrections'!AW69</f>
        <v>3.1616484034204646</v>
      </c>
      <c r="H63" s="2">
        <f t="shared" si="25"/>
        <v>2.1682582167180765E-2</v>
      </c>
      <c r="I63" s="2">
        <f t="shared" si="15"/>
        <v>2.542967821580416E-2</v>
      </c>
      <c r="K63" s="2">
        <f t="shared" si="26"/>
        <v>8.0237042100803952E-10</v>
      </c>
      <c r="L63" s="2">
        <f t="shared" si="27"/>
        <v>8.1756023879092401E-10</v>
      </c>
      <c r="M63" s="2">
        <f t="shared" si="28"/>
        <v>2.0251029255959959E-8</v>
      </c>
      <c r="N63" s="2">
        <f t="shared" si="16"/>
        <v>8.0237042100803952E-10</v>
      </c>
      <c r="O63">
        <f t="shared" si="17"/>
        <v>19.49317738791423</v>
      </c>
      <c r="P63">
        <f t="shared" si="18"/>
        <v>-20.943450743110784</v>
      </c>
      <c r="Q63">
        <f t="shared" si="19"/>
        <v>-9.0956250897455728</v>
      </c>
      <c r="R63">
        <f t="shared" si="20"/>
        <v>-20.549801001233792</v>
      </c>
      <c r="S63">
        <f t="shared" si="21"/>
        <v>-0.39364974187699175</v>
      </c>
      <c r="U63">
        <f t="shared" si="22"/>
        <v>2.3116229822315608E-7</v>
      </c>
      <c r="V63" s="2">
        <f t="shared" si="23"/>
        <v>-2.3588407097706345E-7</v>
      </c>
      <c r="W63" s="2">
        <f t="shared" si="24"/>
        <v>-5.4148426885302842E-6</v>
      </c>
      <c r="Y63" s="2"/>
      <c r="Z63" s="2"/>
    </row>
    <row r="64" spans="1:26" x14ac:dyDescent="0.3">
      <c r="A64" s="5">
        <v>19</v>
      </c>
      <c r="B64" s="7">
        <v>245</v>
      </c>
      <c r="C64" s="6">
        <v>250</v>
      </c>
      <c r="D64" s="11">
        <f>'Raw Data and Corrections'!CJ77</f>
        <v>0.53904131715959491</v>
      </c>
      <c r="F64">
        <v>15000</v>
      </c>
      <c r="G64" s="2">
        <f>'Raw Data and Corrections'!AW73</f>
        <v>3.6430418162593958</v>
      </c>
      <c r="H64" s="2">
        <f t="shared" si="25"/>
        <v>2.4983977799069305E-2</v>
      </c>
      <c r="I64" s="2">
        <f t="shared" si="15"/>
        <v>2.8680722711683142E-2</v>
      </c>
      <c r="K64" s="2">
        <f t="shared" si="26"/>
        <v>1.1541554502269071E-9</v>
      </c>
      <c r="L64" s="2">
        <f t="shared" si="27"/>
        <v>1.1791034264323446E-9</v>
      </c>
      <c r="M64" s="2">
        <f t="shared" si="28"/>
        <v>2.5659095201322628E-8</v>
      </c>
      <c r="N64" s="2">
        <f t="shared" si="16"/>
        <v>1.1541554502269071E-9</v>
      </c>
      <c r="O64">
        <f t="shared" si="17"/>
        <v>19.305019305019304</v>
      </c>
      <c r="P64">
        <f t="shared" si="18"/>
        <v>-20.57989697236324</v>
      </c>
      <c r="Q64">
        <f t="shared" si="19"/>
        <v>-8.937735693234794</v>
      </c>
      <c r="R64">
        <f t="shared" si="20"/>
        <v>-20.185687257872335</v>
      </c>
      <c r="S64">
        <f t="shared" si="21"/>
        <v>-0.39420971449090558</v>
      </c>
      <c r="U64">
        <f t="shared" si="22"/>
        <v>3.3371536211359142E-7</v>
      </c>
      <c r="V64" s="2">
        <f t="shared" si="23"/>
        <v>-3.4142579058933327E-7</v>
      </c>
      <c r="W64" s="2">
        <f t="shared" si="24"/>
        <v>-6.9541969711683584E-6</v>
      </c>
    </row>
    <row r="65" spans="1:23" x14ac:dyDescent="0.3">
      <c r="A65" s="5">
        <v>20</v>
      </c>
      <c r="B65" s="7">
        <v>249.99</v>
      </c>
      <c r="C65" s="6">
        <v>210</v>
      </c>
      <c r="D65" s="11">
        <f>'Raw Data and Corrections'!CJ81</f>
        <v>0.62724143473480476</v>
      </c>
      <c r="F65">
        <v>12600</v>
      </c>
      <c r="G65" s="2">
        <f>'Raw Data and Corrections'!AW77</f>
        <v>4.2358768242785416</v>
      </c>
      <c r="H65" s="2">
        <f t="shared" si="25"/>
        <v>2.9049639799641518E-2</v>
      </c>
      <c r="I65" s="2">
        <f t="shared" si="15"/>
        <v>3.3351261046515208E-2</v>
      </c>
      <c r="K65" s="2">
        <f t="shared" si="26"/>
        <v>1.8590876026084401E-9</v>
      </c>
      <c r="L65" s="2">
        <f t="shared" si="27"/>
        <v>1.9059994683019398E-9</v>
      </c>
      <c r="M65" s="2">
        <f t="shared" si="28"/>
        <v>3.5704969247751831E-8</v>
      </c>
      <c r="N65" s="2">
        <f t="shared" si="16"/>
        <v>1.8590876026084401E-9</v>
      </c>
      <c r="O65">
        <f t="shared" si="17"/>
        <v>19.120824489952007</v>
      </c>
      <c r="P65">
        <f t="shared" si="18"/>
        <v>-20.10318000580558</v>
      </c>
      <c r="Q65">
        <f t="shared" si="19"/>
        <v>-8.7307001452291448</v>
      </c>
      <c r="R65">
        <f t="shared" si="20"/>
        <v>-19.829243024438167</v>
      </c>
      <c r="S65">
        <f t="shared" si="21"/>
        <v>-0.27393698136741307</v>
      </c>
      <c r="U65">
        <f t="shared" si="22"/>
        <v>4.6197564678874612E-7</v>
      </c>
      <c r="V65" s="2">
        <f t="shared" si="23"/>
        <v>-4.7443995126226929E-7</v>
      </c>
      <c r="W65" s="2">
        <f t="shared" si="24"/>
        <v>-8.3188064672216682E-6</v>
      </c>
    </row>
    <row r="66" spans="1:23" x14ac:dyDescent="0.3">
      <c r="A66" s="5">
        <v>21</v>
      </c>
      <c r="B66" s="7">
        <v>244.909999999999</v>
      </c>
      <c r="C66" s="6">
        <v>270</v>
      </c>
      <c r="D66" s="11">
        <f>'Raw Data and Corrections'!CJ85</f>
        <v>0.41191048575935019</v>
      </c>
      <c r="F66">
        <v>16200</v>
      </c>
      <c r="G66" s="2">
        <f>'Raw Data and Corrections'!AW81</f>
        <v>4.7263353878919219</v>
      </c>
      <c r="H66" s="2">
        <f t="shared" si="25"/>
        <v>3.2413204228133825E-2</v>
      </c>
      <c r="I66" s="2">
        <f t="shared" si="15"/>
        <v>3.5238086002887158E-2</v>
      </c>
      <c r="K66" s="2">
        <f t="shared" si="26"/>
        <v>1.0294582014324805E-9</v>
      </c>
      <c r="L66" s="2">
        <f t="shared" si="27"/>
        <v>1.0576579527596733E-9</v>
      </c>
      <c r="M66" s="2">
        <f t="shared" si="28"/>
        <v>1.8286488630630418E-8</v>
      </c>
      <c r="N66" s="2">
        <f t="shared" si="16"/>
        <v>1.0294582014324805E-9</v>
      </c>
      <c r="O66">
        <f t="shared" si="17"/>
        <v>19.308374041821978</v>
      </c>
      <c r="P66">
        <f t="shared" si="18"/>
        <v>-20.694233191127601</v>
      </c>
      <c r="Q66">
        <f t="shared" si="19"/>
        <v>-8.9873912821258397</v>
      </c>
      <c r="R66">
        <f t="shared" si="20"/>
        <v>-20.192179170185749</v>
      </c>
      <c r="S66">
        <f t="shared" si="21"/>
        <v>-0.50205402094185203</v>
      </c>
      <c r="U66">
        <f t="shared" si="22"/>
        <v>3.7964235978475862E-7</v>
      </c>
      <c r="V66" s="2">
        <f t="shared" si="23"/>
        <v>-3.9048320513906065E-7</v>
      </c>
      <c r="W66" s="2">
        <f t="shared" si="24"/>
        <v>-6.4828368131610096E-6</v>
      </c>
    </row>
    <row r="67" spans="1:23" x14ac:dyDescent="0.3">
      <c r="A67" s="5">
        <v>22</v>
      </c>
      <c r="B67" s="7">
        <v>239.99</v>
      </c>
      <c r="C67" s="6">
        <v>320</v>
      </c>
      <c r="D67" s="11">
        <f>'Raw Data and Corrections'!CJ89</f>
        <v>0.2456027721779267</v>
      </c>
      <c r="F67">
        <v>19200</v>
      </c>
      <c r="G67" s="2">
        <f>'Raw Data and Corrections'!AW85</f>
        <v>5.0845761497510589</v>
      </c>
      <c r="H67" s="2">
        <f t="shared" si="25"/>
        <v>3.4870019080234627E-2</v>
      </c>
      <c r="I67" s="2">
        <f t="shared" si="15"/>
        <v>3.6554362691141533E-2</v>
      </c>
      <c r="K67" s="2">
        <f t="shared" si="26"/>
        <v>5.4679347913457368E-10</v>
      </c>
      <c r="L67" s="2">
        <f t="shared" si="27"/>
        <v>5.6262737566066062E-10</v>
      </c>
      <c r="M67" s="2">
        <f t="shared" si="28"/>
        <v>9.2177123978223854E-9</v>
      </c>
      <c r="N67" s="2">
        <f t="shared" si="16"/>
        <v>5.4679347913457368E-10</v>
      </c>
      <c r="O67">
        <f t="shared" si="17"/>
        <v>19.493557379286145</v>
      </c>
      <c r="P67">
        <f t="shared" si="18"/>
        <v>-21.32694993665357</v>
      </c>
      <c r="Q67">
        <f t="shared" si="19"/>
        <v>-9.2621766733155511</v>
      </c>
      <c r="R67">
        <f t="shared" si="20"/>
        <v>-20.550536340788408</v>
      </c>
      <c r="S67">
        <f t="shared" si="21"/>
        <v>-0.77641359586516145</v>
      </c>
      <c r="U67">
        <f t="shared" si="22"/>
        <v>3.3228853381697645E-7</v>
      </c>
      <c r="V67" s="2">
        <f t="shared" si="23"/>
        <v>-3.4214332512441681E-7</v>
      </c>
      <c r="W67" s="2">
        <f t="shared" si="24"/>
        <v>-5.4773666276720381E-6</v>
      </c>
    </row>
    <row r="68" spans="1:23" x14ac:dyDescent="0.3">
      <c r="A68" s="5">
        <v>23</v>
      </c>
      <c r="B68" s="7">
        <v>235</v>
      </c>
      <c r="C68" s="6">
        <v>370</v>
      </c>
      <c r="D68" s="11">
        <f>'Raw Data and Corrections'!CJ93</f>
        <v>0.18896899254827365</v>
      </c>
      <c r="F68">
        <v>22200</v>
      </c>
      <c r="G68" s="2">
        <f>'Raw Data and Corrections'!AW89</f>
        <v>5.303111570911577</v>
      </c>
      <c r="H68" s="2">
        <f t="shared" si="25"/>
        <v>3.636873481998168E-2</v>
      </c>
      <c r="I68" s="2">
        <f t="shared" si="15"/>
        <v>3.7664684016465562E-2</v>
      </c>
      <c r="K68" s="2">
        <f t="shared" si="26"/>
        <v>3.7714658502563321E-10</v>
      </c>
      <c r="L68" s="2">
        <f t="shared" si="27"/>
        <v>3.8847919333030147E-10</v>
      </c>
      <c r="M68" s="2">
        <f t="shared" si="28"/>
        <v>6.1420955885867889E-9</v>
      </c>
      <c r="N68" s="2">
        <f t="shared" si="16"/>
        <v>3.7714658502563321E-10</v>
      </c>
      <c r="O68">
        <f t="shared" si="17"/>
        <v>19.685039370078741</v>
      </c>
      <c r="P68">
        <f t="shared" si="18"/>
        <v>-21.698387184354686</v>
      </c>
      <c r="Q68">
        <f t="shared" si="19"/>
        <v>-9.4234898203654787</v>
      </c>
      <c r="R68">
        <f t="shared" si="20"/>
        <v>-20.921082337968503</v>
      </c>
      <c r="S68">
        <f t="shared" si="21"/>
        <v>-0.77730484638618336</v>
      </c>
      <c r="U68">
        <f t="shared" si="22"/>
        <v>2.9611385036513792E-7</v>
      </c>
      <c r="V68" s="2">
        <f t="shared" si="23"/>
        <v>-3.0517164100418249E-7</v>
      </c>
      <c r="W68" s="2">
        <f t="shared" si="24"/>
        <v>-4.7426476046156833E-6</v>
      </c>
    </row>
    <row r="69" spans="1:23" x14ac:dyDescent="0.3">
      <c r="A69" s="5">
        <v>24</v>
      </c>
      <c r="B69" s="7">
        <v>230</v>
      </c>
      <c r="C69" s="6">
        <v>420</v>
      </c>
      <c r="D69" s="11">
        <f>'Raw Data and Corrections'!CJ97</f>
        <v>0.12152124083921857</v>
      </c>
      <c r="F69">
        <v>25200</v>
      </c>
      <c r="G69" s="2">
        <f>'Raw Data and Corrections'!AW93</f>
        <v>5.4714195120880476</v>
      </c>
      <c r="H69" s="2">
        <f t="shared" si="25"/>
        <v>3.7522990543040494E-2</v>
      </c>
      <c r="I69" s="2">
        <f t="shared" si="15"/>
        <v>3.8356383113417242E-2</v>
      </c>
      <c r="K69" s="2">
        <f t="shared" si="26"/>
        <v>2.1898793733270091E-10</v>
      </c>
      <c r="L69" s="2">
        <f t="shared" si="27"/>
        <v>2.2573741246074324E-10</v>
      </c>
      <c r="M69" s="2">
        <f t="shared" si="28"/>
        <v>3.4829486042711515E-9</v>
      </c>
      <c r="N69" s="2">
        <f t="shared" si="16"/>
        <v>2.1898793733270091E-10</v>
      </c>
      <c r="O69">
        <f t="shared" si="17"/>
        <v>19.880715705765407</v>
      </c>
      <c r="P69">
        <f t="shared" si="18"/>
        <v>-22.242004468301641</v>
      </c>
      <c r="Q69">
        <f t="shared" si="19"/>
        <v>-9.6595798070508732</v>
      </c>
      <c r="R69">
        <f t="shared" si="20"/>
        <v>-21.299745013405694</v>
      </c>
      <c r="S69">
        <f t="shared" si="21"/>
        <v>-0.94225945489594665</v>
      </c>
      <c r="U69">
        <f t="shared" si="22"/>
        <v>2.6565284701804938E-7</v>
      </c>
      <c r="V69" s="2">
        <f t="shared" si="23"/>
        <v>-2.7393328752164548E-7</v>
      </c>
      <c r="W69" s="2">
        <f t="shared" si="24"/>
        <v>-4.18105191982277E-6</v>
      </c>
    </row>
    <row r="70" spans="1:23" x14ac:dyDescent="0.3">
      <c r="A70" s="5">
        <v>25</v>
      </c>
      <c r="B70" s="7">
        <v>225</v>
      </c>
      <c r="C70" s="6">
        <v>652</v>
      </c>
      <c r="D70" s="11">
        <f>'Raw Data and Corrections'!CJ101</f>
        <v>0.11388872092878266</v>
      </c>
      <c r="F70">
        <v>39120</v>
      </c>
      <c r="G70" s="2">
        <f>'Raw Data and Corrections'!AW97</f>
        <v>5.5835195846451295</v>
      </c>
      <c r="H70" s="2">
        <f t="shared" si="25"/>
        <v>3.8291772749036668E-2</v>
      </c>
      <c r="I70" s="2">
        <f t="shared" si="15"/>
        <v>3.9072821504104405E-2</v>
      </c>
      <c r="K70" s="2">
        <f t="shared" si="26"/>
        <v>1.3479349140002239E-10</v>
      </c>
      <c r="L70" s="2">
        <f t="shared" si="27"/>
        <v>1.3903213180980316E-10</v>
      </c>
      <c r="M70" s="2">
        <f t="shared" si="28"/>
        <v>2.1043241380607601E-9</v>
      </c>
      <c r="N70" s="2">
        <f t="shared" si="16"/>
        <v>1.3479349140002239E-10</v>
      </c>
      <c r="O70">
        <f t="shared" si="17"/>
        <v>20.080321285140563</v>
      </c>
      <c r="P70">
        <f t="shared" si="18"/>
        <v>-22.727277201998646</v>
      </c>
      <c r="Q70">
        <f t="shared" si="19"/>
        <v>-9.8703310775135886</v>
      </c>
      <c r="R70">
        <f t="shared" si="20"/>
        <v>-21.686011357024352</v>
      </c>
      <c r="S70">
        <f t="shared" si="21"/>
        <v>-1.0412658449742942</v>
      </c>
      <c r="U70">
        <f t="shared" si="22"/>
        <v>1.7432243949147877E-7</v>
      </c>
      <c r="V70" s="2">
        <f t="shared" si="23"/>
        <v>-1.7986118494927891E-7</v>
      </c>
      <c r="W70" s="2">
        <f t="shared" si="24"/>
        <v>-2.6953237089851839E-6</v>
      </c>
    </row>
    <row r="71" spans="1:23" x14ac:dyDescent="0.3">
      <c r="A71" s="5">
        <v>26</v>
      </c>
      <c r="B71" s="7">
        <v>230</v>
      </c>
      <c r="C71" s="6">
        <v>500</v>
      </c>
      <c r="D71" s="11">
        <f>'Raw Data and Corrections'!CJ105</f>
        <v>0.12433295551718568</v>
      </c>
      <c r="F71">
        <v>30000</v>
      </c>
      <c r="G71" s="2">
        <f>'Raw Data and Corrections'!AW101</f>
        <v>5.6968567520636615</v>
      </c>
      <c r="H71" s="2">
        <f t="shared" si="25"/>
        <v>3.9069038950581794E-2</v>
      </c>
      <c r="I71" s="2">
        <f t="shared" si="15"/>
        <v>3.99217142579225E-2</v>
      </c>
      <c r="K71" s="2">
        <f t="shared" si="26"/>
        <v>1.9592328714123561E-10</v>
      </c>
      <c r="L71" s="2">
        <f t="shared" si="27"/>
        <v>2.0221835166938605E-10</v>
      </c>
      <c r="M71" s="2">
        <f t="shared" si="28"/>
        <v>2.9982183313419345E-9</v>
      </c>
      <c r="N71" s="2">
        <f t="shared" si="16"/>
        <v>1.9592328714123561E-10</v>
      </c>
      <c r="O71">
        <f t="shared" si="17"/>
        <v>19.880715705765407</v>
      </c>
      <c r="P71">
        <f t="shared" si="18"/>
        <v>-22.353297925448476</v>
      </c>
      <c r="Q71">
        <f t="shared" si="19"/>
        <v>-9.7079139413616797</v>
      </c>
      <c r="R71">
        <f t="shared" si="20"/>
        <v>-21.299745013405694</v>
      </c>
      <c r="S71">
        <f t="shared" si="21"/>
        <v>-1.0535529120427825</v>
      </c>
      <c r="U71">
        <f t="shared" si="22"/>
        <v>2.3225511894703743E-7</v>
      </c>
      <c r="V71" s="2">
        <f t="shared" si="23"/>
        <v>-2.3980069214560066E-7</v>
      </c>
      <c r="W71" s="2">
        <f t="shared" si="24"/>
        <v>-3.5178097851337595E-6</v>
      </c>
    </row>
    <row r="72" spans="1:23" x14ac:dyDescent="0.3">
      <c r="A72" s="5">
        <v>27</v>
      </c>
      <c r="B72" s="7">
        <v>234.89999999999901</v>
      </c>
      <c r="C72" s="6">
        <v>450</v>
      </c>
      <c r="D72" s="11">
        <f>'Raw Data and Corrections'!CJ109</f>
        <v>0.16347895782507996</v>
      </c>
      <c r="F72">
        <v>27000</v>
      </c>
      <c r="G72" s="2">
        <f>'Raw Data and Corrections'!AW105</f>
        <v>5.82512444228069</v>
      </c>
      <c r="H72" s="2">
        <f t="shared" si="25"/>
        <v>3.9948698665278837E-2</v>
      </c>
      <c r="I72" s="2">
        <f t="shared" si="15"/>
        <v>4.1069837224459727E-2</v>
      </c>
      <c r="K72" s="2">
        <f t="shared" si="26"/>
        <v>2.9358055549089501E-10</v>
      </c>
      <c r="L72" s="2">
        <f t="shared" si="27"/>
        <v>3.0326469138479764E-10</v>
      </c>
      <c r="M72" s="2">
        <f t="shared" si="28"/>
        <v>4.3848530681257486E-9</v>
      </c>
      <c r="N72" s="2">
        <f t="shared" si="16"/>
        <v>2.9358055549089501E-10</v>
      </c>
      <c r="O72">
        <f t="shared" si="17"/>
        <v>19.68891514077578</v>
      </c>
      <c r="P72">
        <f t="shared" si="18"/>
        <v>-21.948869049273398</v>
      </c>
      <c r="Q72">
        <f t="shared" si="19"/>
        <v>-9.5322727121165105</v>
      </c>
      <c r="R72">
        <f t="shared" si="20"/>
        <v>-20.928582527995939</v>
      </c>
      <c r="S72">
        <f t="shared" si="21"/>
        <v>-1.020286521277459</v>
      </c>
      <c r="U72">
        <f t="shared" si="22"/>
        <v>2.6548291956479693E-7</v>
      </c>
      <c r="V72" s="2">
        <f t="shared" si="23"/>
        <v>-2.7436531455703717E-7</v>
      </c>
      <c r="W72" s="2">
        <f t="shared" si="24"/>
        <v>-3.9133573818723296E-6</v>
      </c>
    </row>
    <row r="73" spans="1:23" x14ac:dyDescent="0.3">
      <c r="A73" s="5">
        <v>28</v>
      </c>
      <c r="B73" s="7">
        <v>240</v>
      </c>
      <c r="C73" s="6">
        <v>400</v>
      </c>
      <c r="D73" s="11">
        <f>'Raw Data and Corrections'!CJ113</f>
        <v>0.21520124496539808</v>
      </c>
      <c r="F73">
        <v>24000</v>
      </c>
      <c r="G73" s="2">
        <f>'Raw Data and Corrections'!AW109</f>
        <v>5.976241516357085</v>
      </c>
      <c r="H73" s="2">
        <f t="shared" si="25"/>
        <v>4.0985059435812508E-2</v>
      </c>
      <c r="I73" s="2">
        <f t="shared" si="15"/>
        <v>4.2460909397937875E-2</v>
      </c>
      <c r="K73" s="2">
        <f t="shared" si="26"/>
        <v>4.4779959866955714E-10</v>
      </c>
      <c r="L73" s="2">
        <f t="shared" si="27"/>
        <v>4.6303087027500157E-10</v>
      </c>
      <c r="M73" s="2">
        <f t="shared" si="28"/>
        <v>6.5018992493203299E-9</v>
      </c>
      <c r="N73" s="2">
        <f t="shared" si="16"/>
        <v>4.4779959866955714E-10</v>
      </c>
      <c r="O73">
        <f t="shared" si="17"/>
        <v>19.49317738791423</v>
      </c>
      <c r="P73">
        <f t="shared" si="18"/>
        <v>-21.52667530799128</v>
      </c>
      <c r="Q73">
        <f t="shared" si="19"/>
        <v>-9.3489162999835962</v>
      </c>
      <c r="R73">
        <f t="shared" si="20"/>
        <v>-20.549801001233792</v>
      </c>
      <c r="S73">
        <f t="shared" si="21"/>
        <v>-0.97687430675748743</v>
      </c>
      <c r="U73">
        <f t="shared" si="22"/>
        <v>3.0878444682709127E-7</v>
      </c>
      <c r="V73" s="2">
        <f t="shared" si="23"/>
        <v>-3.194790452931404E-7</v>
      </c>
      <c r="W73" s="2">
        <f t="shared" si="24"/>
        <v>-4.4089228591628169E-6</v>
      </c>
    </row>
    <row r="74" spans="1:23" x14ac:dyDescent="0.3">
      <c r="A74" s="5">
        <v>29</v>
      </c>
      <c r="B74" s="7">
        <v>245</v>
      </c>
      <c r="C74" s="6">
        <v>350</v>
      </c>
      <c r="D74" s="11">
        <f>'Raw Data and Corrections'!CJ117</f>
        <v>0.2833206176275318</v>
      </c>
      <c r="F74">
        <v>21000</v>
      </c>
      <c r="G74" s="2">
        <f>'Raw Data and Corrections'!AW113</f>
        <v>6.1806957263039592</v>
      </c>
      <c r="H74" s="2">
        <f t="shared" si="25"/>
        <v>4.2387206240562567E-2</v>
      </c>
      <c r="I74" s="2">
        <f t="shared" si="15"/>
        <v>4.4330218804742492E-2</v>
      </c>
      <c r="K74" s="2">
        <f t="shared" si="26"/>
        <v>7.0018057769810096E-10</v>
      </c>
      <c r="L74" s="2">
        <f t="shared" si="27"/>
        <v>7.249684724177037E-10</v>
      </c>
      <c r="M74" s="2">
        <f t="shared" si="28"/>
        <v>9.7995830426896196E-9</v>
      </c>
      <c r="N74" s="2">
        <f t="shared" si="16"/>
        <v>7.0018057769810096E-10</v>
      </c>
      <c r="O74">
        <f t="shared" si="17"/>
        <v>19.305019305019304</v>
      </c>
      <c r="P74">
        <f t="shared" si="18"/>
        <v>-21.079682846013057</v>
      </c>
      <c r="Q74">
        <f t="shared" si="19"/>
        <v>-9.1547899402941066</v>
      </c>
      <c r="R74">
        <f t="shared" si="20"/>
        <v>-20.185687257872335</v>
      </c>
      <c r="S74">
        <f t="shared" si="21"/>
        <v>-0.89399558814072222</v>
      </c>
      <c r="U74">
        <f t="shared" si="22"/>
        <v>3.6843251251060086E-7</v>
      </c>
      <c r="V74" s="2">
        <f t="shared" si="23"/>
        <v>-3.8177746082352997E-7</v>
      </c>
      <c r="W74" s="2">
        <f t="shared" si="24"/>
        <v>-5.0486249158661735E-6</v>
      </c>
    </row>
    <row r="75" spans="1:23" x14ac:dyDescent="0.3">
      <c r="A75" s="5">
        <v>30</v>
      </c>
      <c r="B75" s="7">
        <v>250</v>
      </c>
      <c r="C75" s="6">
        <v>300</v>
      </c>
      <c r="D75" s="11">
        <f>'Raw Data and Corrections'!CJ121</f>
        <v>0.34961783091641419</v>
      </c>
      <c r="F75">
        <v>18000</v>
      </c>
      <c r="G75" s="2">
        <f>'Raw Data and Corrections'!AW117</f>
        <v>6.4384632442205705</v>
      </c>
      <c r="H75" s="2">
        <f t="shared" si="25"/>
        <v>4.4154975667805192E-2</v>
      </c>
      <c r="I75" s="2">
        <f t="shared" si="15"/>
        <v>4.6552654466546849E-2</v>
      </c>
      <c r="K75" s="2">
        <f t="shared" si="26"/>
        <v>1.0544104232531784E-9</v>
      </c>
      <c r="L75" s="2">
        <f t="shared" si="27"/>
        <v>1.0935303191951996E-9</v>
      </c>
      <c r="M75" s="2">
        <f t="shared" si="28"/>
        <v>1.4137627660837044E-8</v>
      </c>
      <c r="N75" s="2">
        <f t="shared" si="16"/>
        <v>1.0544104232531784E-9</v>
      </c>
      <c r="O75">
        <f t="shared" si="17"/>
        <v>19.120458891013385</v>
      </c>
      <c r="P75">
        <f t="shared" si="18"/>
        <v>-20.670284066746259</v>
      </c>
      <c r="Q75">
        <f t="shared" si="19"/>
        <v>-8.9769903095606072</v>
      </c>
      <c r="R75">
        <f t="shared" si="20"/>
        <v>-19.828535536372481</v>
      </c>
      <c r="S75">
        <f t="shared" si="21"/>
        <v>-0.84174853037377773</v>
      </c>
      <c r="U75">
        <f t="shared" si="22"/>
        <v>4.513872755469372E-7</v>
      </c>
      <c r="V75" s="2">
        <f t="shared" si="23"/>
        <v>-4.6859144072819981E-7</v>
      </c>
      <c r="W75" s="2">
        <f t="shared" si="24"/>
        <v>-5.9037918277984685E-6</v>
      </c>
    </row>
    <row r="76" spans="1:23" x14ac:dyDescent="0.3">
      <c r="A76" s="5">
        <v>31</v>
      </c>
      <c r="B76" s="7">
        <v>249.97</v>
      </c>
      <c r="C76" s="6">
        <v>300</v>
      </c>
      <c r="D76" s="11">
        <f>'Raw Data and Corrections'!CJ126</f>
        <v>0.33417625890754543</v>
      </c>
      <c r="F76">
        <v>18000</v>
      </c>
      <c r="G76" s="2">
        <f>'Raw Data and Corrections'!AW121</f>
        <v>6.737421723432611</v>
      </c>
      <c r="H76" s="2">
        <f t="shared" si="25"/>
        <v>4.6205232673953517E-2</v>
      </c>
      <c r="I76" s="2">
        <f t="shared" si="15"/>
        <v>4.849701318447612E-2</v>
      </c>
      <c r="K76" s="2">
        <f t="shared" si="26"/>
        <v>1.052223912115516E-9</v>
      </c>
      <c r="L76" s="2">
        <f t="shared" si="27"/>
        <v>1.0930546745340762E-9</v>
      </c>
      <c r="M76" s="2">
        <f t="shared" si="28"/>
        <v>1.3541541995392613E-8</v>
      </c>
      <c r="N76" s="2">
        <f t="shared" si="16"/>
        <v>1.052223912115516E-9</v>
      </c>
      <c r="O76">
        <f t="shared" si="17"/>
        <v>19.121555729774173</v>
      </c>
      <c r="P76">
        <f t="shared" si="18"/>
        <v>-20.672359901062741</v>
      </c>
      <c r="Q76">
        <f t="shared" si="19"/>
        <v>-8.9778918329496005</v>
      </c>
      <c r="R76">
        <f t="shared" si="20"/>
        <v>-19.83065808173917</v>
      </c>
      <c r="S76">
        <f t="shared" si="21"/>
        <v>-0.84170181932357124</v>
      </c>
      <c r="U76">
        <f t="shared" si="22"/>
        <v>4.702403096956713E-7</v>
      </c>
      <c r="V76" s="2">
        <f t="shared" si="23"/>
        <v>-4.8894484283069392E-7</v>
      </c>
      <c r="W76" s="2">
        <f t="shared" si="24"/>
        <v>-5.9158559928807432E-6</v>
      </c>
    </row>
    <row r="77" spans="1:23" x14ac:dyDescent="0.3">
      <c r="A77" s="5">
        <v>32</v>
      </c>
      <c r="B77" s="6">
        <v>249.98</v>
      </c>
      <c r="C77" s="6">
        <v>300</v>
      </c>
      <c r="D77" s="12">
        <f>'Raw Data and Corrections'!CJ130</f>
        <v>0.31336774987668375</v>
      </c>
      <c r="E77" s="6"/>
      <c r="F77">
        <v>18000</v>
      </c>
      <c r="G77" s="2">
        <f>'Raw Data and Corrections'!AW126</f>
        <v>7.0230790145470259</v>
      </c>
      <c r="H77" s="2">
        <f t="shared" si="25"/>
        <v>4.8164270142997123E-2</v>
      </c>
      <c r="I77" s="2">
        <f t="shared" si="15"/>
        <v>5.0313345915589322E-2</v>
      </c>
      <c r="K77" s="2">
        <f t="shared" si="26"/>
        <v>1.0260395976646354E-9</v>
      </c>
      <c r="L77" s="2">
        <f t="shared" si="27"/>
        <v>1.0675115020621425E-9</v>
      </c>
      <c r="M77" s="2">
        <f t="shared" si="28"/>
        <v>1.2723547520898647E-8</v>
      </c>
      <c r="N77" s="2">
        <f t="shared" si="16"/>
        <v>1.0675115020621425E-9</v>
      </c>
      <c r="O77">
        <f t="shared" si="17"/>
        <v>19.121190102872003</v>
      </c>
      <c r="P77">
        <f t="shared" si="18"/>
        <v>-20.657935596118342</v>
      </c>
      <c r="Q77">
        <f t="shared" si="19"/>
        <v>-8.9716274369069602</v>
      </c>
      <c r="R77">
        <f t="shared" si="20"/>
        <v>-19.829950539559885</v>
      </c>
      <c r="S77">
        <f t="shared" si="21"/>
        <v>-0.82798505655845744</v>
      </c>
      <c r="U77">
        <f t="shared" si="22"/>
        <v>4.878519688454859E-7</v>
      </c>
      <c r="V77" s="2">
        <f t="shared" si="23"/>
        <v>-5.0801732972448858E-7</v>
      </c>
      <c r="W77" s="2">
        <f t="shared" si="24"/>
        <v>-5.9271704225678494E-6</v>
      </c>
    </row>
    <row r="78" spans="1:23" x14ac:dyDescent="0.3">
      <c r="A78" s="5">
        <v>33</v>
      </c>
      <c r="B78" s="6">
        <v>250</v>
      </c>
      <c r="C78" s="6">
        <v>10250</v>
      </c>
      <c r="D78" s="12">
        <f>'Raw Data and Corrections'!CJ133</f>
        <v>6.845427192709808</v>
      </c>
      <c r="E78" s="6"/>
      <c r="F78">
        <v>615000</v>
      </c>
      <c r="G78" s="2">
        <f>'Raw Data and Corrections'!AW130</f>
        <v>7.290110745592326</v>
      </c>
      <c r="H78" s="2">
        <f t="shared" si="25"/>
        <v>4.999557353630623E-2</v>
      </c>
      <c r="I78" s="2">
        <f t="shared" si="15"/>
        <v>9.6941507630308288E-2</v>
      </c>
      <c r="K78" s="2">
        <f t="shared" si="26"/>
        <v>9.7881732884374795E-10</v>
      </c>
      <c r="L78" s="2">
        <f t="shared" si="27"/>
        <v>1.041528478756315E-9</v>
      </c>
      <c r="M78" s="2">
        <f t="shared" si="28"/>
        <v>8.3494120234783188E-9</v>
      </c>
      <c r="N78" s="2">
        <f t="shared" si="16"/>
        <v>1.041528478756315E-9</v>
      </c>
      <c r="O78">
        <f t="shared" si="17"/>
        <v>19.120458891013385</v>
      </c>
      <c r="P78">
        <f t="shared" si="18"/>
        <v>-20.682576511620262</v>
      </c>
      <c r="Q78">
        <f t="shared" si="19"/>
        <v>-8.9823288505384866</v>
      </c>
      <c r="R78">
        <f t="shared" si="20"/>
        <v>-19.828535536372481</v>
      </c>
      <c r="S78">
        <f t="shared" si="21"/>
        <v>-0.85404097524778066</v>
      </c>
      <c r="U78">
        <f t="shared" si="22"/>
        <v>2.7511357560911959E-8</v>
      </c>
      <c r="V78" s="2">
        <f t="shared" si="23"/>
        <v>-2.98005369110138E-8</v>
      </c>
      <c r="W78" s="2">
        <f t="shared" si="24"/>
        <v>-1.8243546070758542E-7</v>
      </c>
    </row>
    <row r="79" spans="1:23" x14ac:dyDescent="0.3">
      <c r="A79" s="5">
        <v>34</v>
      </c>
      <c r="B79" s="6">
        <v>240</v>
      </c>
      <c r="C79" s="6">
        <v>785</v>
      </c>
      <c r="D79" s="12">
        <f>'Raw Data and Corrections'!CJ135</f>
        <v>0.20312884537406378</v>
      </c>
      <c r="E79" s="6"/>
      <c r="F79">
        <v>47100</v>
      </c>
      <c r="G79" s="2">
        <f>'Raw Data and Corrections'!AW133</f>
        <v>14.115555357703972</v>
      </c>
      <c r="H79" s="2">
        <f t="shared" si="25"/>
        <v>9.6804467108894454E-2</v>
      </c>
      <c r="I79" s="2">
        <f t="shared" si="15"/>
        <v>9.8197524564487174E-2</v>
      </c>
      <c r="K79" s="2">
        <f t="shared" si="26"/>
        <v>5.0330881974433265E-10</v>
      </c>
      <c r="L79" s="2">
        <f t="shared" si="27"/>
        <v>5.4545366033524853E-10</v>
      </c>
      <c r="M79" s="2">
        <f t="shared" si="28"/>
        <v>3.3204865948068879E-9</v>
      </c>
      <c r="N79" s="2">
        <f t="shared" si="16"/>
        <v>5.4545366033524853E-10</v>
      </c>
      <c r="O79">
        <f t="shared" si="17"/>
        <v>19.49317738791423</v>
      </c>
      <c r="P79">
        <f t="shared" si="18"/>
        <v>-21.329403263236756</v>
      </c>
      <c r="Q79">
        <f t="shared" si="19"/>
        <v>-9.2632421395129345</v>
      </c>
      <c r="R79">
        <f t="shared" si="20"/>
        <v>-20.549801001233792</v>
      </c>
      <c r="S79">
        <f t="shared" si="21"/>
        <v>-0.7796022620029639</v>
      </c>
      <c r="U79">
        <f t="shared" si="22"/>
        <v>3.6387900657288999E-7</v>
      </c>
      <c r="V79" s="2">
        <f t="shared" si="23"/>
        <v>-3.9458625968957923E-7</v>
      </c>
      <c r="W79" s="2">
        <f t="shared" si="24"/>
        <v>-2.3854368525762496E-6</v>
      </c>
    </row>
    <row r="80" spans="1:23" x14ac:dyDescent="0.3">
      <c r="A80" t="s">
        <v>298</v>
      </c>
      <c r="D80" s="6">
        <f>'Raw Data and Corrections'!AI138</f>
        <v>133.18435333935949</v>
      </c>
      <c r="E80" s="6">
        <v>0</v>
      </c>
      <c r="F80">
        <f>3600*C80</f>
        <v>0</v>
      </c>
      <c r="G80" s="2">
        <f>'Raw Data and Corrections'!AS138</f>
        <v>145.81512381887825</v>
      </c>
      <c r="I80" s="2"/>
    </row>
    <row r="81" spans="5:5" x14ac:dyDescent="0.3">
      <c r="E81" s="7">
        <v>1.1024229619583501</v>
      </c>
    </row>
  </sheetData>
  <mergeCells count="1">
    <mergeCell ref="U1:W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1F567-537C-4B0B-ACDF-BF303830A283}">
  <dimension ref="A1:AI81"/>
  <sheetViews>
    <sheetView topLeftCell="A48" zoomScale="85" workbookViewId="0">
      <selection activeCell="P46" sqref="P46:P79"/>
    </sheetView>
  </sheetViews>
  <sheetFormatPr defaultRowHeight="14.4" x14ac:dyDescent="0.3"/>
  <cols>
    <col min="1" max="1" width="9" bestFit="1" customWidth="1"/>
    <col min="2" max="4" width="9" style="7" bestFit="1" customWidth="1"/>
    <col min="5" max="5" width="9" style="7" customWidth="1"/>
    <col min="6" max="6" width="9" bestFit="1" customWidth="1"/>
    <col min="7" max="9" width="9" customWidth="1"/>
    <col min="10" max="10" width="3.33203125" style="69" customWidth="1"/>
    <col min="11" max="11" width="12" bestFit="1" customWidth="1"/>
    <col min="12" max="12" width="12.21875" bestFit="1" customWidth="1"/>
    <col min="13" max="14" width="12.109375" bestFit="1" customWidth="1"/>
    <col min="15" max="16" width="9.109375" bestFit="1" customWidth="1"/>
    <col min="17" max="17" width="9.21875" bestFit="1" customWidth="1"/>
    <col min="18" max="18" width="10.6640625" customWidth="1"/>
    <col min="19" max="19" width="10.21875" customWidth="1"/>
    <col min="21" max="21" width="12.77734375" bestFit="1" customWidth="1"/>
    <col min="22" max="23" width="9.109375" bestFit="1" customWidth="1"/>
    <col min="26" max="26" width="9" bestFit="1" customWidth="1"/>
    <col min="27" max="27" width="12.77734375" bestFit="1" customWidth="1"/>
    <col min="28" max="30" width="9" bestFit="1" customWidth="1"/>
    <col min="31" max="31" width="11.33203125" bestFit="1" customWidth="1"/>
    <col min="34" max="35" width="9" bestFit="1" customWidth="1"/>
  </cols>
  <sheetData>
    <row r="1" spans="1:35" s="4" customFormat="1" ht="41.4" customHeight="1" thickBot="1" x14ac:dyDescent="0.35">
      <c r="A1" s="4" t="s">
        <v>351</v>
      </c>
      <c r="B1" s="127"/>
      <c r="C1" s="127"/>
      <c r="D1" s="127"/>
      <c r="E1" s="127"/>
      <c r="G1" s="127" t="s">
        <v>340</v>
      </c>
      <c r="H1" s="127" t="s">
        <v>647</v>
      </c>
      <c r="I1" s="127" t="s">
        <v>709</v>
      </c>
      <c r="J1" s="68"/>
      <c r="K1" s="4" t="s">
        <v>290</v>
      </c>
      <c r="L1" s="4" t="s">
        <v>291</v>
      </c>
      <c r="M1" s="4" t="s">
        <v>292</v>
      </c>
      <c r="N1" s="4" t="s">
        <v>293</v>
      </c>
      <c r="O1" s="4" t="s">
        <v>295</v>
      </c>
      <c r="P1" s="4" t="s">
        <v>294</v>
      </c>
      <c r="Q1" s="4" t="s">
        <v>296</v>
      </c>
      <c r="R1" s="4" t="s">
        <v>623</v>
      </c>
      <c r="S1" s="4" t="s">
        <v>368</v>
      </c>
      <c r="U1" s="145" t="s">
        <v>348</v>
      </c>
      <c r="V1" s="145"/>
      <c r="W1" s="145"/>
      <c r="AH1" s="4" t="s">
        <v>364</v>
      </c>
    </row>
    <row r="2" spans="1:35" x14ac:dyDescent="0.3">
      <c r="G2" s="7"/>
      <c r="H2" s="7"/>
      <c r="I2" s="7"/>
      <c r="K2" t="s">
        <v>342</v>
      </c>
      <c r="L2" t="s">
        <v>343</v>
      </c>
      <c r="M2" t="s">
        <v>344</v>
      </c>
      <c r="U2" t="s">
        <v>345</v>
      </c>
      <c r="V2" t="s">
        <v>346</v>
      </c>
      <c r="W2" t="s">
        <v>347</v>
      </c>
      <c r="AH2" s="13" cm="1">
        <f t="array" ref="AH2:AI6">LINEST(P27:P37,O27:O37,TRUE,TRUE)</f>
        <v>-1.9308810780912369</v>
      </c>
      <c r="AI2" s="14">
        <v>16.837293850447278</v>
      </c>
    </row>
    <row r="3" spans="1:35" ht="30.6" x14ac:dyDescent="0.3">
      <c r="A3" t="s">
        <v>297</v>
      </c>
      <c r="B3" s="7" t="s">
        <v>300</v>
      </c>
      <c r="C3" s="7" t="s">
        <v>301</v>
      </c>
      <c r="D3" s="7" t="s">
        <v>299</v>
      </c>
      <c r="E3" s="4" t="s">
        <v>657</v>
      </c>
      <c r="F3" t="s">
        <v>302</v>
      </c>
      <c r="I3">
        <v>0</v>
      </c>
      <c r="U3">
        <v>0</v>
      </c>
      <c r="V3">
        <v>0</v>
      </c>
      <c r="W3">
        <v>0</v>
      </c>
      <c r="AH3" s="15">
        <v>0.11701554558420318</v>
      </c>
      <c r="AI3" s="16">
        <v>2.2800834798504779</v>
      </c>
    </row>
    <row r="4" spans="1:35" x14ac:dyDescent="0.3">
      <c r="A4" s="5">
        <v>1</v>
      </c>
      <c r="B4" s="7">
        <v>170</v>
      </c>
      <c r="C4" s="6">
        <v>300</v>
      </c>
      <c r="D4" s="11">
        <f>'Raw Data and Corrections'!CG5</f>
        <v>0</v>
      </c>
      <c r="E4">
        <v>1.16603655149832</v>
      </c>
      <c r="F4">
        <f t="shared" ref="F4:F37" si="0">60*C4</f>
        <v>18000</v>
      </c>
      <c r="G4">
        <v>0.96295641608282601</v>
      </c>
      <c r="H4" s="2">
        <f>(G4)/$G$38</f>
        <v>6.5888972971654648E-3</v>
      </c>
      <c r="I4" s="2">
        <f>H4+(E4/$D$39)</f>
        <v>1.487441111628816E-2</v>
      </c>
      <c r="K4" s="2">
        <f>((H4^2-I3^2)*PI())/(36*F4)</f>
        <v>2.1047491514663332E-10</v>
      </c>
      <c r="L4" s="2">
        <f>(1/(PI()*PI()*F4))*(-(H4-I3)*PI()*PI()/3-2*PI()*(SQRT(1-PI()/3*H4)-SQRT(1-PI()/3*I3)))</f>
        <v>2.1120418723450084E-10</v>
      </c>
      <c r="M4" s="2">
        <f>(1/(PI()^2*F4))*LN((1-I3)/(1-H4))</f>
        <v>3.7211329942202079E-8</v>
      </c>
      <c r="N4" s="2">
        <f t="shared" ref="N4:N37" si="1">(I4&lt;0.05)*K4+((I4&gt;=0.05)*(I4&lt;0.9))*L4+(I4&gt;=0.9)*M4</f>
        <v>2.1047491514663332E-10</v>
      </c>
      <c r="O4">
        <f t="shared" ref="O4:O37" si="2">10000/(273+B4)</f>
        <v>22.573363431151243</v>
      </c>
      <c r="P4">
        <f t="shared" ref="P4:P37" si="3">LN(N4)</f>
        <v>-22.281654637856661</v>
      </c>
      <c r="Q4">
        <f t="shared" ref="Q4:Q37" si="4">LOG10(N4)</f>
        <v>-9.6767996568951471</v>
      </c>
      <c r="R4">
        <f t="shared" ref="R4:R37" si="5">$AI$2+$AH$2*O4</f>
        <v>-26.749186467639337</v>
      </c>
      <c r="S4">
        <f t="shared" ref="S4:S37" si="6">P4-R4</f>
        <v>4.4675318297826756</v>
      </c>
      <c r="U4" s="2">
        <f t="shared" ref="U4:U37" si="7" xml:space="preserve"> (I4 * PI()) / (18 * F4)</f>
        <v>1.442263601524853E-7</v>
      </c>
      <c r="V4" s="2">
        <f t="shared" ref="V4:V37" si="8" xml:space="preserve"> (1 / (PI()^2 * F4)) * (PI()^2 / 3 - PI()^2 / (3 * SQRT(1 - (PI() / 3) * I4)))</f>
        <v>-1.4593343379357857E-7</v>
      </c>
      <c r="W4" s="2">
        <f t="shared" ref="W4:W37" si="9" xml:space="preserve"> (-1) / (PI()^2 * F4 * (1 - I4))</f>
        <v>-5.7139462321499067E-6</v>
      </c>
      <c r="AH4" s="15">
        <v>0.96800399688637462</v>
      </c>
      <c r="AI4" s="16">
        <v>0.13196579580974171</v>
      </c>
    </row>
    <row r="5" spans="1:35" x14ac:dyDescent="0.3">
      <c r="A5" s="5">
        <v>2</v>
      </c>
      <c r="B5" s="7">
        <v>180</v>
      </c>
      <c r="C5" s="6">
        <v>463</v>
      </c>
      <c r="D5" s="11">
        <f>'Raw Data and Corrections'!CG9</f>
        <v>0</v>
      </c>
      <c r="E5">
        <v>0.24131110111422421</v>
      </c>
      <c r="F5">
        <f t="shared" si="0"/>
        <v>27780</v>
      </c>
      <c r="G5" s="11">
        <v>1.624118796026139</v>
      </c>
      <c r="H5" s="2">
        <f t="shared" ref="H5:H37" si="10">(G5)/$G$38</f>
        <v>1.1112810265020163E-2</v>
      </c>
      <c r="I5" s="2">
        <f>H5+(E5/$D$39)</f>
        <v>1.2827496190105848E-2</v>
      </c>
      <c r="K5" s="2">
        <f t="shared" ref="K5:K37" si="11">((H5^2-I4^2)*PI())/(36*F5)</f>
        <v>-3.0707728114617353E-10</v>
      </c>
      <c r="L5" s="2">
        <f t="shared" ref="L5:L37" si="12">(1/(PI()*PI()*F5))*(-(H5-I4)*PI()*PI()/3-2*PI()*(SQRT(1-PI()/3*H5)-SQRT(1-PI()/3*I4)))</f>
        <v>-3.1026966459334381E-10</v>
      </c>
      <c r="M5" s="2">
        <f t="shared" ref="M5:M37" si="13">(1/(PI()^2*F5))*LN((1-I4)/(1-H5))</f>
        <v>-1.3900207548329158E-8</v>
      </c>
      <c r="N5" s="2">
        <f t="shared" si="1"/>
        <v>-3.0707728114617353E-10</v>
      </c>
      <c r="O5">
        <f t="shared" si="2"/>
        <v>22.075055187637968</v>
      </c>
      <c r="P5" t="e">
        <f t="shared" si="3"/>
        <v>#NUM!</v>
      </c>
      <c r="Q5" t="e">
        <f t="shared" si="4"/>
        <v>#NUM!</v>
      </c>
      <c r="R5">
        <f t="shared" si="5"/>
        <v>-25.78701250918267</v>
      </c>
      <c r="S5" t="e">
        <f t="shared" si="6"/>
        <v>#NUM!</v>
      </c>
      <c r="U5">
        <f t="shared" si="7"/>
        <v>8.0591088302510986E-8</v>
      </c>
      <c r="V5" s="2">
        <f t="shared" si="8"/>
        <v>-8.1412215658684385E-8</v>
      </c>
      <c r="W5" s="2">
        <f t="shared" si="9"/>
        <v>-3.6946641193727787E-6</v>
      </c>
      <c r="AH5" s="15">
        <v>272.28513327239131</v>
      </c>
      <c r="AI5" s="16">
        <v>9</v>
      </c>
    </row>
    <row r="6" spans="1:35" ht="15" thickBot="1" x14ac:dyDescent="0.35">
      <c r="A6" s="5">
        <v>3</v>
      </c>
      <c r="B6" s="7">
        <v>190</v>
      </c>
      <c r="C6" s="6">
        <v>550</v>
      </c>
      <c r="D6" s="11">
        <f>'Raw Data and Corrections'!CG13</f>
        <v>0</v>
      </c>
      <c r="E6">
        <v>0.15383390185638787</v>
      </c>
      <c r="F6">
        <f t="shared" si="0"/>
        <v>33000</v>
      </c>
      <c r="G6" s="11">
        <v>2.2112310169217499</v>
      </c>
      <c r="H6" s="2">
        <f t="shared" si="10"/>
        <v>1.5130045168680823E-2</v>
      </c>
      <c r="I6" s="2">
        <f t="shared" ref="I5:I37" si="14">H6+(E6/$D$39)</f>
        <v>1.6223143766698915E-2</v>
      </c>
      <c r="K6" s="2">
        <f t="shared" si="11"/>
        <v>1.7023203275896546E-10</v>
      </c>
      <c r="L6" s="2">
        <f t="shared" si="12"/>
        <v>1.7212847272260823E-10</v>
      </c>
      <c r="M6" s="2">
        <f t="shared" si="13"/>
        <v>7.1698343772402437E-9</v>
      </c>
      <c r="N6" s="2">
        <f t="shared" si="1"/>
        <v>1.7023203275896546E-10</v>
      </c>
      <c r="O6">
        <f t="shared" si="2"/>
        <v>21.598272138228943</v>
      </c>
      <c r="P6">
        <f t="shared" si="3"/>
        <v>-22.493858710923494</v>
      </c>
      <c r="Q6">
        <f t="shared" si="4"/>
        <v>-9.7689587148654677</v>
      </c>
      <c r="R6">
        <f t="shared" si="5"/>
        <v>-24.866401140724147</v>
      </c>
      <c r="S6">
        <f t="shared" si="6"/>
        <v>2.372542429800653</v>
      </c>
      <c r="U6">
        <f t="shared" si="7"/>
        <v>8.58022041676639E-8</v>
      </c>
      <c r="V6" s="2">
        <f t="shared" si="8"/>
        <v>-8.6911175204402989E-8</v>
      </c>
      <c r="W6" s="2">
        <f t="shared" si="9"/>
        <v>-3.1209708571600447E-6</v>
      </c>
      <c r="AH6" s="17">
        <v>4.7418377714709958</v>
      </c>
      <c r="AI6" s="18">
        <v>0.156734741373286</v>
      </c>
    </row>
    <row r="7" spans="1:35" x14ac:dyDescent="0.3">
      <c r="A7" s="5">
        <v>4</v>
      </c>
      <c r="B7" s="7">
        <v>200</v>
      </c>
      <c r="C7" s="6">
        <v>500</v>
      </c>
      <c r="D7" s="11">
        <f>'Raw Data and Corrections'!CG17</f>
        <v>0.37631131869904988</v>
      </c>
      <c r="E7">
        <v>0.14297777351382371</v>
      </c>
      <c r="F7">
        <f t="shared" si="0"/>
        <v>30000</v>
      </c>
      <c r="G7" s="11">
        <v>2.7646138270456992</v>
      </c>
      <c r="H7" s="2">
        <f t="shared" si="10"/>
        <v>1.8916491201986969E-2</v>
      </c>
      <c r="I7" s="2">
        <f t="shared" si="14"/>
        <v>1.993244933533532E-2</v>
      </c>
      <c r="K7" s="2">
        <f t="shared" si="11"/>
        <v>2.7530604209762285E-10</v>
      </c>
      <c r="L7" s="2">
        <f t="shared" si="12"/>
        <v>2.7917206884673631E-10</v>
      </c>
      <c r="M7" s="2">
        <f t="shared" si="13"/>
        <v>9.2591251734824596E-9</v>
      </c>
      <c r="N7" s="2">
        <f t="shared" si="1"/>
        <v>2.7530604209762285E-10</v>
      </c>
      <c r="O7">
        <f t="shared" si="2"/>
        <v>21.141649048625794</v>
      </c>
      <c r="P7">
        <f t="shared" si="3"/>
        <v>-22.013137756699276</v>
      </c>
      <c r="Q7">
        <f t="shared" si="4"/>
        <v>-9.5601842571106221</v>
      </c>
      <c r="R7">
        <f t="shared" si="5"/>
        <v>-23.98471625718987</v>
      </c>
      <c r="S7">
        <f t="shared" si="6"/>
        <v>1.9715785004905939</v>
      </c>
      <c r="U7">
        <f t="shared" si="7"/>
        <v>1.1596228962951889E-7</v>
      </c>
      <c r="V7" s="2">
        <f t="shared" si="8"/>
        <v>-1.1780983383631444E-7</v>
      </c>
      <c r="W7" s="2">
        <f t="shared" si="9"/>
        <v>-3.446061228930037E-6</v>
      </c>
    </row>
    <row r="8" spans="1:35" x14ac:dyDescent="0.3">
      <c r="A8" s="5">
        <v>5</v>
      </c>
      <c r="B8" s="7">
        <v>210</v>
      </c>
      <c r="C8" s="6">
        <v>475</v>
      </c>
      <c r="D8" s="11">
        <f>'Raw Data and Corrections'!CG21</f>
        <v>0.44403441204207672</v>
      </c>
      <c r="E8">
        <v>0.1439701738412783</v>
      </c>
      <c r="F8">
        <f t="shared" si="0"/>
        <v>28500</v>
      </c>
      <c r="G8" s="11">
        <v>3.3798521929721193</v>
      </c>
      <c r="H8" s="2">
        <f t="shared" si="10"/>
        <v>2.3126175398136935E-2</v>
      </c>
      <c r="I8" s="2">
        <f t="shared" si="14"/>
        <v>2.4149185237211546E-2</v>
      </c>
      <c r="K8" s="2">
        <f t="shared" si="11"/>
        <v>4.2107584509576994E-10</v>
      </c>
      <c r="L8" s="2">
        <f t="shared" si="12"/>
        <v>4.2834613729912584E-10</v>
      </c>
      <c r="M8" s="2">
        <f t="shared" si="13"/>
        <v>1.160394395874076E-8</v>
      </c>
      <c r="N8" s="2">
        <f t="shared" si="1"/>
        <v>4.2107584509576994E-10</v>
      </c>
      <c r="O8">
        <f t="shared" si="2"/>
        <v>20.703933747412009</v>
      </c>
      <c r="P8">
        <f t="shared" si="3"/>
        <v>-21.588208143850281</v>
      </c>
      <c r="Q8">
        <f t="shared" si="4"/>
        <v>-9.375639671053019</v>
      </c>
      <c r="R8">
        <f t="shared" si="5"/>
        <v>-23.139540064485164</v>
      </c>
      <c r="S8">
        <f t="shared" si="6"/>
        <v>1.5513319206348832</v>
      </c>
      <c r="U8">
        <f t="shared" si="7"/>
        <v>1.4788869967135064E-7</v>
      </c>
      <c r="V8" s="2">
        <f t="shared" si="8"/>
        <v>-1.5075411479220698E-7</v>
      </c>
      <c r="W8" s="2">
        <f t="shared" si="9"/>
        <v>-3.6431073242199734E-6</v>
      </c>
    </row>
    <row r="9" spans="1:35" x14ac:dyDescent="0.3">
      <c r="A9" s="5">
        <v>6</v>
      </c>
      <c r="B9" s="7">
        <v>220</v>
      </c>
      <c r="C9" s="6">
        <v>450</v>
      </c>
      <c r="D9" s="11">
        <f>'Raw Data and Corrections'!CG25</f>
        <v>0.49926880619669911</v>
      </c>
      <c r="E9">
        <v>0.14472127170072055</v>
      </c>
      <c r="F9">
        <f t="shared" si="0"/>
        <v>27000</v>
      </c>
      <c r="G9" s="11">
        <v>4.0551293336322498</v>
      </c>
      <c r="H9" s="2">
        <f t="shared" si="10"/>
        <v>2.774666668167023E-2</v>
      </c>
      <c r="I9" s="2">
        <f t="shared" si="14"/>
        <v>2.8775013601890304E-2</v>
      </c>
      <c r="K9" s="2">
        <f t="shared" si="11"/>
        <v>6.034132133974775E-10</v>
      </c>
      <c r="L9" s="2">
        <f t="shared" si="12"/>
        <v>6.1601679026745818E-10</v>
      </c>
      <c r="M9" s="2">
        <f t="shared" si="13"/>
        <v>1.3859685364417739E-8</v>
      </c>
      <c r="N9" s="2">
        <f t="shared" si="1"/>
        <v>6.034132133974775E-10</v>
      </c>
      <c r="O9">
        <f t="shared" si="2"/>
        <v>20.28397565922921</v>
      </c>
      <c r="P9">
        <f t="shared" si="3"/>
        <v>-21.228418891204242</v>
      </c>
      <c r="Q9">
        <f t="shared" si="4"/>
        <v>-9.2193851839807497</v>
      </c>
      <c r="R9">
        <f t="shared" si="5"/>
        <v>-22.328650938421628</v>
      </c>
      <c r="S9">
        <f t="shared" si="6"/>
        <v>1.1002320472173857</v>
      </c>
      <c r="U9" s="2">
        <f t="shared" si="7"/>
        <v>1.8600693691079209E-7</v>
      </c>
      <c r="V9" s="2">
        <f t="shared" si="8"/>
        <v>-1.9031908484585376E-7</v>
      </c>
      <c r="W9" s="2">
        <f t="shared" si="9"/>
        <v>-3.8638178421611077E-6</v>
      </c>
    </row>
    <row r="10" spans="1:35" x14ac:dyDescent="0.3">
      <c r="A10" s="5">
        <v>7</v>
      </c>
      <c r="B10" s="7">
        <v>230</v>
      </c>
      <c r="C10" s="6">
        <v>425</v>
      </c>
      <c r="D10" s="11">
        <f>'Raw Data and Corrections'!CG29</f>
        <v>0.65499775538179439</v>
      </c>
      <c r="E10">
        <v>0.1685298892422378</v>
      </c>
      <c r="F10">
        <f t="shared" si="0"/>
        <v>25500</v>
      </c>
      <c r="G10" s="11">
        <v>4.8885443360909573</v>
      </c>
      <c r="H10" s="2">
        <f t="shared" si="10"/>
        <v>3.3449194610665318E-2</v>
      </c>
      <c r="I10" s="2">
        <f t="shared" si="14"/>
        <v>3.4646718585756409E-2</v>
      </c>
      <c r="K10" s="2">
        <f t="shared" si="11"/>
        <v>9.9534146570826617E-10</v>
      </c>
      <c r="L10" s="2">
        <f t="shared" si="12"/>
        <v>1.0203924533561627E-9</v>
      </c>
      <c r="M10" s="2">
        <f t="shared" si="13"/>
        <v>1.9168711127986769E-8</v>
      </c>
      <c r="N10" s="2">
        <f t="shared" si="1"/>
        <v>9.9534146570826617E-10</v>
      </c>
      <c r="O10">
        <f t="shared" si="2"/>
        <v>19.880715705765407</v>
      </c>
      <c r="P10">
        <f t="shared" si="3"/>
        <v>-20.727935256026949</v>
      </c>
      <c r="Q10">
        <f t="shared" si="4"/>
        <v>-9.0020279029403714</v>
      </c>
      <c r="R10">
        <f t="shared" si="5"/>
        <v>-21.550003924726415</v>
      </c>
      <c r="S10">
        <f t="shared" si="6"/>
        <v>0.82206866869946538</v>
      </c>
      <c r="U10">
        <f t="shared" si="7"/>
        <v>2.3713698601308339E-7</v>
      </c>
      <c r="V10" s="2">
        <f t="shared" si="8"/>
        <v>-2.4379133640893604E-7</v>
      </c>
      <c r="W10" s="2">
        <f t="shared" si="9"/>
        <v>-4.1159851291528291E-6</v>
      </c>
    </row>
    <row r="11" spans="1:35" x14ac:dyDescent="0.3">
      <c r="A11" s="5">
        <v>8</v>
      </c>
      <c r="B11" s="7">
        <v>225</v>
      </c>
      <c r="C11" s="6">
        <v>908</v>
      </c>
      <c r="D11" s="11">
        <f>'Raw Data and Corrections'!CG33</f>
        <v>0.59544779050878804</v>
      </c>
      <c r="E11">
        <v>7.1632251066584746E-2</v>
      </c>
      <c r="F11">
        <f t="shared" si="0"/>
        <v>54480</v>
      </c>
      <c r="G11" s="11">
        <v>5.6841898534713735</v>
      </c>
      <c r="H11" s="2">
        <f t="shared" si="10"/>
        <v>3.8893290014583089E-2</v>
      </c>
      <c r="I11" s="2">
        <f t="shared" si="14"/>
        <v>3.9402287786003215E-2</v>
      </c>
      <c r="K11" s="2">
        <f t="shared" si="11"/>
        <v>5.0023305112814323E-10</v>
      </c>
      <c r="L11" s="2">
        <f t="shared" si="12"/>
        <v>5.1517677116836279E-10</v>
      </c>
      <c r="M11" s="2">
        <f t="shared" si="13"/>
        <v>8.1992153697689461E-9</v>
      </c>
      <c r="N11" s="2">
        <f t="shared" si="1"/>
        <v>5.0023305112814323E-10</v>
      </c>
      <c r="O11">
        <f t="shared" si="2"/>
        <v>20.080321285140563</v>
      </c>
      <c r="P11">
        <f t="shared" si="3"/>
        <v>-21.415947023841984</v>
      </c>
      <c r="Q11">
        <f t="shared" si="4"/>
        <v>-9.3008276171869433</v>
      </c>
      <c r="R11">
        <f t="shared" si="5"/>
        <v>-21.935418561023344</v>
      </c>
      <c r="S11">
        <f t="shared" si="6"/>
        <v>0.51947153718136008</v>
      </c>
      <c r="U11">
        <f t="shared" si="7"/>
        <v>1.2622974572028322E-7</v>
      </c>
      <c r="V11" s="2">
        <f t="shared" si="8"/>
        <v>-1.3027546964958991E-7</v>
      </c>
      <c r="W11" s="2">
        <f t="shared" si="9"/>
        <v>-1.9360724618940555E-6</v>
      </c>
    </row>
    <row r="12" spans="1:35" x14ac:dyDescent="0.3">
      <c r="A12" s="5">
        <v>9</v>
      </c>
      <c r="B12" s="7">
        <v>215</v>
      </c>
      <c r="C12" s="6">
        <v>450</v>
      </c>
      <c r="D12" s="11">
        <f>'Raw Data and Corrections'!CG38</f>
        <v>7.4518051949426151E-2</v>
      </c>
      <c r="E12">
        <v>3.4933248288563416E-2</v>
      </c>
      <c r="F12">
        <f t="shared" si="0"/>
        <v>27000</v>
      </c>
      <c r="G12" s="11">
        <v>5.8529134968853125</v>
      </c>
      <c r="H12" s="2">
        <f t="shared" si="10"/>
        <v>4.0047758419892922E-2</v>
      </c>
      <c r="I12" s="2">
        <f t="shared" si="14"/>
        <v>4.0295983838787221E-2</v>
      </c>
      <c r="K12" s="2">
        <f t="shared" si="11"/>
        <v>1.6575027225165323E-10</v>
      </c>
      <c r="L12" s="2">
        <f t="shared" si="12"/>
        <v>1.7110785532535017E-10</v>
      </c>
      <c r="M12" s="2">
        <f t="shared" si="13"/>
        <v>2.5224198958404826E-9</v>
      </c>
      <c r="N12" s="2">
        <f t="shared" si="1"/>
        <v>1.6575027225165323E-10</v>
      </c>
      <c r="O12">
        <f t="shared" si="2"/>
        <v>20.491803278688526</v>
      </c>
      <c r="P12">
        <f t="shared" si="3"/>
        <v>-22.520538844320015</v>
      </c>
      <c r="Q12">
        <f t="shared" si="4"/>
        <v>-9.7805457495760191</v>
      </c>
      <c r="R12">
        <f t="shared" si="5"/>
        <v>-22.729941356340365</v>
      </c>
      <c r="S12">
        <f t="shared" si="6"/>
        <v>0.20940251202035043</v>
      </c>
      <c r="U12">
        <f t="shared" si="7"/>
        <v>2.6048059011750405E-7</v>
      </c>
      <c r="V12" s="2">
        <f t="shared" si="8"/>
        <v>-2.6902540039669307E-7</v>
      </c>
      <c r="W12" s="2">
        <f t="shared" si="9"/>
        <v>-3.9102018622451199E-6</v>
      </c>
    </row>
    <row r="13" spans="1:35" x14ac:dyDescent="0.3">
      <c r="A13" s="5">
        <v>10</v>
      </c>
      <c r="B13" s="7">
        <v>205</v>
      </c>
      <c r="C13" s="6">
        <v>520</v>
      </c>
      <c r="D13" s="11">
        <f>'Raw Data and Corrections'!CG43</f>
        <v>4.3759118106731998E-2</v>
      </c>
      <c r="E13">
        <v>1.8384882019502679E-2</v>
      </c>
      <c r="F13">
        <f t="shared" si="0"/>
        <v>31200</v>
      </c>
      <c r="G13" s="11">
        <v>5.9491316303760451</v>
      </c>
      <c r="H13" s="2">
        <f t="shared" si="10"/>
        <v>4.0706117810938157E-2</v>
      </c>
      <c r="I13" s="2">
        <f t="shared" si="14"/>
        <v>4.0836755391586717E-2</v>
      </c>
      <c r="K13" s="2">
        <f t="shared" si="11"/>
        <v>9.2921199881071095E-11</v>
      </c>
      <c r="L13" s="2">
        <f t="shared" si="12"/>
        <v>9.5985499609327246E-11</v>
      </c>
      <c r="M13" s="2">
        <f t="shared" si="13"/>
        <v>1.388119668814958E-9</v>
      </c>
      <c r="N13" s="2">
        <f t="shared" si="1"/>
        <v>9.2921199881071095E-11</v>
      </c>
      <c r="O13">
        <f t="shared" si="2"/>
        <v>20.92050209205021</v>
      </c>
      <c r="P13">
        <f t="shared" si="3"/>
        <v>-23.099269295054707</v>
      </c>
      <c r="Q13">
        <f t="shared" si="4"/>
        <v>-10.031885190839477</v>
      </c>
      <c r="R13">
        <f t="shared" si="5"/>
        <v>-23.557707783260607</v>
      </c>
      <c r="S13">
        <f t="shared" si="6"/>
        <v>0.45843848820589983</v>
      </c>
      <c r="U13">
        <f t="shared" si="7"/>
        <v>2.284409735303636E-7</v>
      </c>
      <c r="V13" s="2">
        <f t="shared" si="8"/>
        <v>-2.3603905226923203E-7</v>
      </c>
      <c r="W13" s="2">
        <f t="shared" si="9"/>
        <v>-3.3857363206365597E-6</v>
      </c>
    </row>
    <row r="14" spans="1:35" x14ac:dyDescent="0.3">
      <c r="A14" s="5">
        <v>11</v>
      </c>
      <c r="B14" s="7">
        <v>195</v>
      </c>
      <c r="C14" s="6">
        <v>1106</v>
      </c>
      <c r="D14" s="11">
        <f>'Raw Data and Corrections'!CG47</f>
        <v>4.9883991870649902E-2</v>
      </c>
      <c r="E14">
        <v>7.9879961726194802E-3</v>
      </c>
      <c r="F14">
        <f t="shared" si="0"/>
        <v>66360</v>
      </c>
      <c r="G14" s="11">
        <v>6.024602455718326</v>
      </c>
      <c r="H14" s="2">
        <f t="shared" si="10"/>
        <v>4.1222516589540646E-2</v>
      </c>
      <c r="I14" s="2">
        <f t="shared" si="14"/>
        <v>4.1279276948030519E-2</v>
      </c>
      <c r="K14" s="2">
        <f t="shared" si="11"/>
        <v>4.1628158159609306E-11</v>
      </c>
      <c r="L14" s="2">
        <f t="shared" si="12"/>
        <v>4.3019529186657011E-11</v>
      </c>
      <c r="M14" s="2">
        <f t="shared" si="13"/>
        <v>6.1419636081208687E-10</v>
      </c>
      <c r="N14" s="2">
        <f t="shared" si="1"/>
        <v>4.1628158159609306E-11</v>
      </c>
      <c r="O14">
        <f t="shared" si="2"/>
        <v>21.367521367521366</v>
      </c>
      <c r="P14">
        <f t="shared" si="3"/>
        <v>-23.902244298803726</v>
      </c>
      <c r="Q14">
        <f t="shared" si="4"/>
        <v>-10.38061280407392</v>
      </c>
      <c r="R14">
        <f t="shared" si="5"/>
        <v>-24.420848843809917</v>
      </c>
      <c r="S14">
        <f t="shared" si="6"/>
        <v>0.51860454500619113</v>
      </c>
      <c r="U14">
        <f t="shared" si="7"/>
        <v>1.0856830855722253E-7</v>
      </c>
      <c r="V14" s="2">
        <f t="shared" si="8"/>
        <v>-1.1221995158818978E-7</v>
      </c>
      <c r="W14" s="2">
        <f t="shared" si="9"/>
        <v>-1.5925818515804919E-6</v>
      </c>
    </row>
    <row r="15" spans="1:35" x14ac:dyDescent="0.3">
      <c r="A15" s="5">
        <v>12</v>
      </c>
      <c r="B15" s="7">
        <v>185</v>
      </c>
      <c r="C15" s="6">
        <v>740</v>
      </c>
      <c r="D15" s="11">
        <f>'Raw Data and Corrections'!CG51</f>
        <v>1.5343943181577242E-2</v>
      </c>
      <c r="E15">
        <v>4.9499189764554766E-3</v>
      </c>
      <c r="F15">
        <f t="shared" si="0"/>
        <v>44400</v>
      </c>
      <c r="G15" s="11">
        <v>6.0610322665028766</v>
      </c>
      <c r="H15" s="2">
        <f t="shared" si="10"/>
        <v>4.1471782576874727E-2</v>
      </c>
      <c r="I15" s="2">
        <f t="shared" si="14"/>
        <v>4.1506955249661234E-2</v>
      </c>
      <c r="K15" s="2">
        <f t="shared" si="11"/>
        <v>3.1309879606011827E-11</v>
      </c>
      <c r="L15" s="2">
        <f t="shared" si="12"/>
        <v>3.2365522332139376E-11</v>
      </c>
      <c r="M15" s="2">
        <f t="shared" si="13"/>
        <v>4.5826027135788619E-10</v>
      </c>
      <c r="N15" s="2">
        <f t="shared" si="1"/>
        <v>3.1309879606011827E-11</v>
      </c>
      <c r="O15">
        <f t="shared" si="2"/>
        <v>21.834061135371179</v>
      </c>
      <c r="P15">
        <f t="shared" si="3"/>
        <v>-24.187087425822416</v>
      </c>
      <c r="Q15">
        <f t="shared" si="4"/>
        <v>-10.504318602346203</v>
      </c>
      <c r="R15">
        <f t="shared" si="5"/>
        <v>-25.321681653728202</v>
      </c>
      <c r="S15">
        <f t="shared" si="6"/>
        <v>1.1345942279057866</v>
      </c>
      <c r="U15">
        <f t="shared" si="7"/>
        <v>1.6316059269921926E-7</v>
      </c>
      <c r="V15" s="2">
        <f t="shared" si="8"/>
        <v>-1.6867983141311668E-7</v>
      </c>
      <c r="W15" s="2">
        <f t="shared" si="9"/>
        <v>-2.3808296294811341E-6</v>
      </c>
    </row>
    <row r="16" spans="1:35" x14ac:dyDescent="0.3">
      <c r="A16" s="5">
        <v>13</v>
      </c>
      <c r="B16" s="7">
        <v>175</v>
      </c>
      <c r="C16" s="6">
        <v>920</v>
      </c>
      <c r="D16" s="11">
        <f>'Raw Data and Corrections'!CG55</f>
        <v>1.3399586543539767E-2</v>
      </c>
      <c r="E16">
        <v>3.572625329078016E-3</v>
      </c>
      <c r="F16">
        <f t="shared" si="0"/>
        <v>55200</v>
      </c>
      <c r="G16" s="11">
        <v>6.0813780844820462</v>
      </c>
      <c r="H16" s="2">
        <f t="shared" si="10"/>
        <v>4.1610996047861191E-2</v>
      </c>
      <c r="I16" s="2">
        <f t="shared" si="14"/>
        <v>4.1636382075851984E-2</v>
      </c>
      <c r="K16" s="2">
        <f t="shared" si="11"/>
        <v>1.3671205131066533E-11</v>
      </c>
      <c r="L16" s="2">
        <f t="shared" si="12"/>
        <v>1.4134263182769123E-11</v>
      </c>
      <c r="M16" s="2">
        <f t="shared" si="13"/>
        <v>1.9925051753421293E-10</v>
      </c>
      <c r="N16" s="2">
        <f t="shared" si="1"/>
        <v>1.3671205131066533E-11</v>
      </c>
      <c r="O16">
        <f t="shared" si="2"/>
        <v>22.321428571428573</v>
      </c>
      <c r="P16">
        <f t="shared" si="3"/>
        <v>-25.01572931025866</v>
      </c>
      <c r="Q16">
        <f t="shared" si="4"/>
        <v>-10.864193200230776</v>
      </c>
      <c r="R16">
        <f t="shared" si="5"/>
        <v>-26.262730214089263</v>
      </c>
      <c r="S16">
        <f t="shared" si="6"/>
        <v>1.2470009038306031</v>
      </c>
      <c r="U16">
        <f t="shared" si="7"/>
        <v>1.3164709344963199E-7</v>
      </c>
      <c r="V16" s="2">
        <f t="shared" si="8"/>
        <v>-1.3611473561518019E-7</v>
      </c>
      <c r="W16" s="2">
        <f t="shared" si="9"/>
        <v>-1.9152737591902858E-6</v>
      </c>
    </row>
    <row r="17" spans="1:31" x14ac:dyDescent="0.3">
      <c r="A17" s="5">
        <v>14</v>
      </c>
      <c r="B17" s="7">
        <v>200</v>
      </c>
      <c r="C17" s="6">
        <v>260</v>
      </c>
      <c r="D17" s="11">
        <f>'Raw Data and Corrections'!CG59</f>
        <v>1.9065481284652311E-2</v>
      </c>
      <c r="E17">
        <v>1.6342933054712922E-2</v>
      </c>
      <c r="F17">
        <f t="shared" si="0"/>
        <v>15600</v>
      </c>
      <c r="G17" s="11">
        <v>6.1080940573054585</v>
      </c>
      <c r="H17" s="2">
        <f t="shared" si="10"/>
        <v>4.1793796430295307E-2</v>
      </c>
      <c r="I17" s="2">
        <f t="shared" si="14"/>
        <v>4.1909924520358882E-2</v>
      </c>
      <c r="K17" s="2">
        <f t="shared" si="11"/>
        <v>7.346665712198516E-11</v>
      </c>
      <c r="L17" s="2">
        <f t="shared" si="12"/>
        <v>7.5964753598768502E-11</v>
      </c>
      <c r="M17" s="2">
        <f t="shared" si="13"/>
        <v>1.0669039920725466E-9</v>
      </c>
      <c r="N17" s="2">
        <f t="shared" si="1"/>
        <v>7.346665712198516E-11</v>
      </c>
      <c r="O17">
        <f t="shared" si="2"/>
        <v>21.141649048625794</v>
      </c>
      <c r="P17">
        <f t="shared" si="3"/>
        <v>-23.334189457236437</v>
      </c>
      <c r="Q17">
        <f t="shared" si="4"/>
        <v>-10.133909720962821</v>
      </c>
      <c r="R17">
        <f t="shared" si="5"/>
        <v>-23.98471625718987</v>
      </c>
      <c r="S17">
        <f t="shared" si="6"/>
        <v>0.65052679995343254</v>
      </c>
      <c r="U17">
        <f t="shared" si="7"/>
        <v>4.6888857188626134E-7</v>
      </c>
      <c r="V17" s="2">
        <f t="shared" si="8"/>
        <v>-4.8490953629105373E-7</v>
      </c>
      <c r="W17" s="2">
        <f t="shared" si="9"/>
        <v>-6.7790574556667991E-6</v>
      </c>
    </row>
    <row r="18" spans="1:31" x14ac:dyDescent="0.3">
      <c r="A18" s="5">
        <v>15</v>
      </c>
      <c r="B18" s="7">
        <v>209.99</v>
      </c>
      <c r="C18" s="6">
        <v>520</v>
      </c>
      <c r="D18" s="11">
        <f>'Raw Data and Corrections'!CG61</f>
        <v>6.7600295145090153E-2</v>
      </c>
      <c r="E18">
        <v>1.814151817891772E-2</v>
      </c>
      <c r="F18">
        <f t="shared" si="0"/>
        <v>31200</v>
      </c>
      <c r="G18" s="11">
        <v>6.1913588302030496</v>
      </c>
      <c r="H18" s="2">
        <f t="shared" si="10"/>
        <v>4.2363524226830228E-2</v>
      </c>
      <c r="I18" s="2">
        <f t="shared" si="14"/>
        <v>4.2492432535388945E-2</v>
      </c>
      <c r="K18" s="2">
        <f t="shared" si="11"/>
        <v>1.0691934998482006E-10</v>
      </c>
      <c r="L18" s="2">
        <f t="shared" si="12"/>
        <v>1.1059313134274825E-10</v>
      </c>
      <c r="M18" s="2">
        <f t="shared" si="13"/>
        <v>1.5378533066252581E-9</v>
      </c>
      <c r="N18" s="2">
        <f t="shared" si="1"/>
        <v>1.0691934998482006E-10</v>
      </c>
      <c r="O18">
        <f t="shared" si="2"/>
        <v>20.704362409159611</v>
      </c>
      <c r="P18">
        <f t="shared" si="3"/>
        <v>-22.95894630412992</v>
      </c>
      <c r="Q18">
        <f t="shared" si="4"/>
        <v>-9.9709436901966821</v>
      </c>
      <c r="R18">
        <f t="shared" si="5"/>
        <v>-23.140367759342507</v>
      </c>
      <c r="S18">
        <f t="shared" si="6"/>
        <v>0.18142145521258612</v>
      </c>
      <c r="U18">
        <f t="shared" si="7"/>
        <v>2.3770283811669842E-7</v>
      </c>
      <c r="V18" s="2">
        <f t="shared" si="8"/>
        <v>-2.4594190808885627E-7</v>
      </c>
      <c r="W18" s="2">
        <f t="shared" si="9"/>
        <v>-3.3915907769682856E-6</v>
      </c>
    </row>
    <row r="19" spans="1:31" x14ac:dyDescent="0.3">
      <c r="A19" s="5">
        <v>16</v>
      </c>
      <c r="B19" s="7">
        <v>219.98</v>
      </c>
      <c r="C19" s="6">
        <v>1167</v>
      </c>
      <c r="D19" s="11">
        <f>'Raw Data and Corrections'!CG65</f>
        <v>0.55972270606039765</v>
      </c>
      <c r="E19">
        <v>4.4707783184792398E-2</v>
      </c>
      <c r="F19">
        <f t="shared" si="0"/>
        <v>70020</v>
      </c>
      <c r="G19" s="11">
        <v>6.7796477858176338</v>
      </c>
      <c r="H19" s="2">
        <f t="shared" si="10"/>
        <v>4.6388810776525777E-2</v>
      </c>
      <c r="I19" s="2">
        <f t="shared" si="14"/>
        <v>4.6706491174214812E-2</v>
      </c>
      <c r="K19" s="2">
        <f t="shared" si="11"/>
        <v>4.3161496681168499E-10</v>
      </c>
      <c r="L19" s="2">
        <f t="shared" si="12"/>
        <v>4.4729982241630559E-10</v>
      </c>
      <c r="M19" s="2">
        <f t="shared" si="13"/>
        <v>5.9004098603862963E-9</v>
      </c>
      <c r="N19" s="2">
        <f t="shared" si="1"/>
        <v>4.3161496681168499E-10</v>
      </c>
      <c r="O19">
        <f t="shared" si="2"/>
        <v>20.28479857195018</v>
      </c>
      <c r="P19">
        <f t="shared" si="3"/>
        <v>-21.5634872056396</v>
      </c>
      <c r="Q19">
        <f t="shared" si="4"/>
        <v>-9.3649035040006492</v>
      </c>
      <c r="R19">
        <f t="shared" si="5"/>
        <v>-22.33023988502347</v>
      </c>
      <c r="S19">
        <f t="shared" si="6"/>
        <v>0.76675267938387037</v>
      </c>
      <c r="U19">
        <f t="shared" si="7"/>
        <v>1.1642131577316779E-7</v>
      </c>
      <c r="V19" s="2">
        <f t="shared" si="8"/>
        <v>-1.2087388444853585E-7</v>
      </c>
      <c r="W19" s="2">
        <f t="shared" si="9"/>
        <v>-1.5179291891546219E-6</v>
      </c>
    </row>
    <row r="20" spans="1:31" x14ac:dyDescent="0.3">
      <c r="A20" s="5">
        <v>17</v>
      </c>
      <c r="B20" s="7">
        <v>229.99</v>
      </c>
      <c r="C20" s="6">
        <v>370</v>
      </c>
      <c r="D20" s="11">
        <f>'Raw Data and Corrections'!CG69</f>
        <v>0.31580142768148484</v>
      </c>
      <c r="E20">
        <v>9.0299256925921001E-2</v>
      </c>
      <c r="F20">
        <f t="shared" si="0"/>
        <v>22200</v>
      </c>
      <c r="G20" s="11">
        <v>7.1562740942855676</v>
      </c>
      <c r="H20" s="2">
        <f t="shared" si="10"/>
        <v>4.8965824672959832E-2</v>
      </c>
      <c r="I20" s="2">
        <f t="shared" si="14"/>
        <v>4.9607464714307464E-2</v>
      </c>
      <c r="K20" s="2">
        <f t="shared" si="11"/>
        <v>8.4969101466754098E-10</v>
      </c>
      <c r="L20" s="2">
        <f t="shared" si="12"/>
        <v>8.8301482637637386E-10</v>
      </c>
      <c r="M20" s="2">
        <f t="shared" si="13"/>
        <v>1.0829692868773331E-8</v>
      </c>
      <c r="N20" s="2">
        <f t="shared" si="1"/>
        <v>8.4969101466754098E-10</v>
      </c>
      <c r="O20">
        <f t="shared" si="2"/>
        <v>19.881110956480249</v>
      </c>
      <c r="P20">
        <f t="shared" si="3"/>
        <v>-20.886148344686578</v>
      </c>
      <c r="Q20">
        <f t="shared" si="4"/>
        <v>-9.0707389743101192</v>
      </c>
      <c r="R20">
        <f t="shared" si="5"/>
        <v>-21.550767106852806</v>
      </c>
      <c r="S20">
        <f t="shared" si="6"/>
        <v>0.66461876216622784</v>
      </c>
      <c r="U20">
        <f t="shared" si="7"/>
        <v>3.9000612289710519E-7</v>
      </c>
      <c r="V20" s="2">
        <f t="shared" si="8"/>
        <v>-4.0589057243986426E-7</v>
      </c>
      <c r="W20" s="2">
        <f t="shared" si="9"/>
        <v>-4.802244453460928E-6</v>
      </c>
    </row>
    <row r="21" spans="1:31" x14ac:dyDescent="0.3">
      <c r="A21" s="5">
        <v>18</v>
      </c>
      <c r="B21" s="7">
        <v>240</v>
      </c>
      <c r="C21" s="6">
        <v>320</v>
      </c>
      <c r="D21" s="11">
        <f>'Raw Data and Corrections'!CG73</f>
        <v>0.59316970440482464</v>
      </c>
      <c r="E21">
        <v>0.17759559976861111</v>
      </c>
      <c r="F21">
        <f t="shared" si="0"/>
        <v>19200</v>
      </c>
      <c r="G21" s="11">
        <v>7.858151969738925</v>
      </c>
      <c r="H21" s="2">
        <f t="shared" si="10"/>
        <v>5.3768327838499871E-2</v>
      </c>
      <c r="I21" s="2">
        <f t="shared" si="14"/>
        <v>5.5030270094261424E-2</v>
      </c>
      <c r="K21" s="2">
        <f t="shared" si="11"/>
        <v>1.955007486764943E-9</v>
      </c>
      <c r="L21" s="2">
        <f t="shared" si="12"/>
        <v>2.0381794783221376E-9</v>
      </c>
      <c r="M21" s="2">
        <f t="shared" si="13"/>
        <v>2.3154310795006426E-8</v>
      </c>
      <c r="N21" s="2">
        <f t="shared" si="1"/>
        <v>2.0381794783221376E-9</v>
      </c>
      <c r="O21">
        <f t="shared" si="2"/>
        <v>19.49317738791423</v>
      </c>
      <c r="P21">
        <f t="shared" si="3"/>
        <v>-20.011208840114652</v>
      </c>
      <c r="Q21">
        <f t="shared" si="4"/>
        <v>-8.6907575754753648</v>
      </c>
      <c r="R21">
        <f t="shared" si="5"/>
        <v>-20.801713519752273</v>
      </c>
      <c r="S21">
        <f t="shared" si="6"/>
        <v>0.79050467963762117</v>
      </c>
      <c r="U21">
        <f t="shared" si="7"/>
        <v>5.0023927156595421E-7</v>
      </c>
      <c r="V21" s="2">
        <f t="shared" si="8"/>
        <v>-5.2295346049206152E-7</v>
      </c>
      <c r="W21" s="2">
        <f t="shared" si="9"/>
        <v>-5.5844592841065489E-6</v>
      </c>
      <c r="Y21" s="2"/>
      <c r="Z21" s="2"/>
    </row>
    <row r="22" spans="1:31" x14ac:dyDescent="0.3">
      <c r="A22" s="5">
        <v>19</v>
      </c>
      <c r="B22" s="7">
        <v>245</v>
      </c>
      <c r="C22" s="6">
        <v>250</v>
      </c>
      <c r="D22" s="11">
        <f>'Raw Data and Corrections'!CG77</f>
        <v>0.39120549724002174</v>
      </c>
      <c r="E22">
        <v>0.18878938039918705</v>
      </c>
      <c r="F22">
        <f t="shared" si="0"/>
        <v>15000</v>
      </c>
      <c r="G22" s="11">
        <v>8.4743294157646964</v>
      </c>
      <c r="H22" s="2">
        <f t="shared" si="10"/>
        <v>5.798443756152219E-2</v>
      </c>
      <c r="I22" s="2">
        <f t="shared" si="14"/>
        <v>5.9325919540102627E-2</v>
      </c>
      <c r="K22" s="2">
        <f t="shared" si="11"/>
        <v>1.9423441861162489E-9</v>
      </c>
      <c r="L22" s="2">
        <f t="shared" si="12"/>
        <v>2.0330531069256614E-9</v>
      </c>
      <c r="M22" s="2">
        <f t="shared" si="13"/>
        <v>2.1149784276808463E-8</v>
      </c>
      <c r="N22" s="2">
        <f t="shared" si="1"/>
        <v>2.0330531069256614E-9</v>
      </c>
      <c r="O22">
        <f t="shared" si="2"/>
        <v>19.305019305019304</v>
      </c>
      <c r="P22">
        <f t="shared" si="3"/>
        <v>-20.013727180198856</v>
      </c>
      <c r="Q22">
        <f t="shared" si="4"/>
        <v>-8.6918512766774914</v>
      </c>
      <c r="R22">
        <f t="shared" si="5"/>
        <v>-20.438402637800539</v>
      </c>
      <c r="S22">
        <f t="shared" si="6"/>
        <v>0.42467545760168335</v>
      </c>
      <c r="U22">
        <f t="shared" si="7"/>
        <v>6.9028841849868726E-7</v>
      </c>
      <c r="V22" s="2">
        <f t="shared" si="8"/>
        <v>-7.2421308917948462E-7</v>
      </c>
      <c r="W22" s="2">
        <f t="shared" si="9"/>
        <v>-7.1807501837973927E-6</v>
      </c>
    </row>
    <row r="23" spans="1:31" x14ac:dyDescent="0.3">
      <c r="A23" s="5">
        <v>20</v>
      </c>
      <c r="B23" s="7">
        <v>249.99</v>
      </c>
      <c r="C23" s="6">
        <v>210</v>
      </c>
      <c r="D23" s="11">
        <f>'Raw Data and Corrections'!CG81</f>
        <v>0.52250712169195213</v>
      </c>
      <c r="E23">
        <v>0.27862586861561084</v>
      </c>
      <c r="F23">
        <f t="shared" si="0"/>
        <v>12600</v>
      </c>
      <c r="G23" s="11">
        <v>9.2085717420240716</v>
      </c>
      <c r="H23" s="2">
        <f t="shared" si="10"/>
        <v>6.3008390045929091E-2</v>
      </c>
      <c r="I23" s="2">
        <f t="shared" si="14"/>
        <v>6.4988223767104711E-2</v>
      </c>
      <c r="K23" s="2">
        <f t="shared" si="11"/>
        <v>3.1200702983823226E-9</v>
      </c>
      <c r="L23" s="2">
        <f t="shared" si="12"/>
        <v>3.2784904592996827E-9</v>
      </c>
      <c r="M23" s="2">
        <f t="shared" si="13"/>
        <v>3.1541421955443235E-8</v>
      </c>
      <c r="N23" s="2">
        <f t="shared" si="1"/>
        <v>3.2784904592996827E-9</v>
      </c>
      <c r="O23">
        <f t="shared" si="2"/>
        <v>19.120824489952007</v>
      </c>
      <c r="P23">
        <f t="shared" si="3"/>
        <v>-19.535882746310033</v>
      </c>
      <c r="Q23">
        <f t="shared" si="4"/>
        <v>-8.4843260758313939</v>
      </c>
      <c r="R23">
        <f t="shared" si="5"/>
        <v>-20.082744354704577</v>
      </c>
      <c r="S23">
        <f t="shared" si="6"/>
        <v>0.54686160839454345</v>
      </c>
      <c r="U23">
        <f t="shared" si="7"/>
        <v>9.0020514266572204E-7</v>
      </c>
      <c r="V23" s="2">
        <f t="shared" si="8"/>
        <v>-9.4892423542335274E-7</v>
      </c>
      <c r="W23" s="2">
        <f t="shared" si="9"/>
        <v>-8.6002807510468771E-6</v>
      </c>
    </row>
    <row r="24" spans="1:31" x14ac:dyDescent="0.3">
      <c r="A24" s="5">
        <v>21</v>
      </c>
      <c r="B24" s="7">
        <v>244.909999999999</v>
      </c>
      <c r="C24" s="6">
        <v>270</v>
      </c>
      <c r="D24" s="11">
        <f>'Raw Data and Corrections'!CG85</f>
        <v>0.2172616012813697</v>
      </c>
      <c r="E24">
        <v>0.14127452017396488</v>
      </c>
      <c r="F24">
        <f t="shared" si="0"/>
        <v>16200</v>
      </c>
      <c r="G24" s="11">
        <v>9.7206471019714762</v>
      </c>
      <c r="H24" s="2">
        <f t="shared" si="10"/>
        <v>6.6512195512875877E-2</v>
      </c>
      <c r="I24" s="2">
        <f t="shared" si="14"/>
        <v>6.7516050827434601E-2</v>
      </c>
      <c r="K24" s="2">
        <f t="shared" si="11"/>
        <v>1.0795342118491127E-9</v>
      </c>
      <c r="L24" s="2">
        <f t="shared" si="12"/>
        <v>1.1386885578948157E-9</v>
      </c>
      <c r="M24" s="2">
        <f t="shared" si="13"/>
        <v>1.0202327080021199E-8</v>
      </c>
      <c r="N24" s="2">
        <f t="shared" si="1"/>
        <v>1.1386885578948157E-9</v>
      </c>
      <c r="O24">
        <f t="shared" si="2"/>
        <v>19.308374041821978</v>
      </c>
      <c r="P24">
        <f t="shared" si="3"/>
        <v>-20.593388624555541</v>
      </c>
      <c r="Q24">
        <f t="shared" si="4"/>
        <v>-8.9435950433336675</v>
      </c>
      <c r="R24">
        <f t="shared" si="5"/>
        <v>-20.444880235614793</v>
      </c>
      <c r="S24">
        <f t="shared" si="6"/>
        <v>-0.14850838894074769</v>
      </c>
      <c r="U24">
        <f t="shared" si="7"/>
        <v>7.273934474583801E-7</v>
      </c>
      <c r="V24" s="2">
        <f t="shared" si="8"/>
        <v>-7.6838767498730583E-7</v>
      </c>
      <c r="W24" s="2">
        <f t="shared" si="9"/>
        <v>-6.7072404383431613E-6</v>
      </c>
    </row>
    <row r="25" spans="1:31" x14ac:dyDescent="0.3">
      <c r="A25" s="5">
        <v>22</v>
      </c>
      <c r="B25" s="7">
        <v>239.99</v>
      </c>
      <c r="C25" s="6">
        <v>320</v>
      </c>
      <c r="D25" s="11">
        <f>'Raw Data and Corrections'!CG89</f>
        <v>0.15556755234021669</v>
      </c>
      <c r="E25">
        <v>7.4898461636162775E-2</v>
      </c>
      <c r="F25">
        <f t="shared" si="0"/>
        <v>19200</v>
      </c>
      <c r="G25" s="11">
        <v>10.035706839866055</v>
      </c>
      <c r="H25" s="2">
        <f t="shared" si="10"/>
        <v>6.8667948588288896E-2</v>
      </c>
      <c r="I25" s="2">
        <f t="shared" si="14"/>
        <v>6.9200155094268523E-2</v>
      </c>
      <c r="K25" s="2">
        <f t="shared" si="11"/>
        <v>7.1299447015468515E-10</v>
      </c>
      <c r="L25" s="2">
        <f t="shared" si="12"/>
        <v>7.5354287509945798E-10</v>
      </c>
      <c r="M25" s="2">
        <f t="shared" si="13"/>
        <v>6.5228888042493087E-9</v>
      </c>
      <c r="N25" s="2">
        <f t="shared" si="1"/>
        <v>7.5354287509945798E-10</v>
      </c>
      <c r="O25">
        <f t="shared" si="2"/>
        <v>19.493557379286145</v>
      </c>
      <c r="P25">
        <f t="shared" si="3"/>
        <v>-21.00623519822075</v>
      </c>
      <c r="Q25">
        <f t="shared" si="4"/>
        <v>-9.1228920321491334</v>
      </c>
      <c r="R25">
        <f t="shared" si="5"/>
        <v>-20.80244723790214</v>
      </c>
      <c r="S25">
        <f t="shared" si="6"/>
        <v>-0.20378796031861057</v>
      </c>
      <c r="U25">
        <f t="shared" si="7"/>
        <v>6.2904716108630875E-7</v>
      </c>
      <c r="V25" s="2">
        <f t="shared" si="8"/>
        <v>-6.6544032113701791E-7</v>
      </c>
      <c r="W25" s="2">
        <f t="shared" si="9"/>
        <v>-5.6694734214381097E-6</v>
      </c>
      <c r="AB25" t="s">
        <v>371</v>
      </c>
      <c r="AC25" t="s">
        <v>632</v>
      </c>
    </row>
    <row r="26" spans="1:31" x14ac:dyDescent="0.3">
      <c r="A26" s="5">
        <v>23</v>
      </c>
      <c r="B26" s="7">
        <v>235</v>
      </c>
      <c r="C26" s="6">
        <v>370</v>
      </c>
      <c r="D26" s="11">
        <f>'Raw Data and Corrections'!CG93</f>
        <v>0.15080182383775825</v>
      </c>
      <c r="E26">
        <v>5.1711581889084063E-2</v>
      </c>
      <c r="F26">
        <f t="shared" si="0"/>
        <v>22200</v>
      </c>
      <c r="G26" s="11">
        <v>10.273567996054735</v>
      </c>
      <c r="H26" s="2">
        <f t="shared" si="10"/>
        <v>7.02954809489824E-2</v>
      </c>
      <c r="I26" s="2">
        <f t="shared" si="14"/>
        <v>7.0662928286546689E-2</v>
      </c>
      <c r="K26" s="2">
        <f t="shared" si="11"/>
        <v>6.0061802012536461E-10</v>
      </c>
      <c r="L26" s="2">
        <f t="shared" si="12"/>
        <v>6.3566019373495918E-10</v>
      </c>
      <c r="M26" s="2">
        <f t="shared" si="13"/>
        <v>5.3739048441362499E-9</v>
      </c>
      <c r="N26" s="2">
        <f t="shared" si="1"/>
        <v>6.3566019373495918E-10</v>
      </c>
      <c r="O26">
        <f t="shared" si="2"/>
        <v>19.685039370078741</v>
      </c>
      <c r="P26">
        <f t="shared" si="3"/>
        <v>-21.176356981950615</v>
      </c>
      <c r="Q26">
        <f t="shared" si="4"/>
        <v>-9.1967749840745512</v>
      </c>
      <c r="R26">
        <f t="shared" si="5"/>
        <v>-21.172176190718805</v>
      </c>
      <c r="S26">
        <f t="shared" si="6"/>
        <v>-4.1807912318105878E-3</v>
      </c>
      <c r="U26">
        <f t="shared" si="7"/>
        <v>5.5554088184724098E-7</v>
      </c>
      <c r="V26" s="2">
        <f t="shared" si="8"/>
        <v>-5.8840572211639001E-7</v>
      </c>
      <c r="W26" s="2">
        <f t="shared" si="9"/>
        <v>-4.9110461856122221E-6</v>
      </c>
      <c r="Z26" t="s">
        <v>365</v>
      </c>
      <c r="AA26">
        <f>-10000*1.987046*AH2</f>
        <v>38367.4952269688</v>
      </c>
      <c r="AB26">
        <f>2*AH3*10000*1.987046</f>
        <v>4650.3054358181726</v>
      </c>
      <c r="AC26">
        <f>AA26*8.314/(1000*1.987)</f>
        <v>160.5371692586908</v>
      </c>
      <c r="AD26">
        <f>AB26*8.314/(1000*1.987)</f>
        <v>19.457795366578907</v>
      </c>
    </row>
    <row r="27" spans="1:31" x14ac:dyDescent="0.3">
      <c r="A27" s="5">
        <v>24</v>
      </c>
      <c r="B27" s="7">
        <v>230</v>
      </c>
      <c r="C27" s="6">
        <v>420</v>
      </c>
      <c r="D27" s="11">
        <f>'Raw Data and Corrections'!CG97</f>
        <v>9.224516356454468E-2</v>
      </c>
      <c r="E27">
        <v>3.0308677971326085E-2</v>
      </c>
      <c r="F27">
        <f t="shared" si="0"/>
        <v>25200</v>
      </c>
      <c r="G27" s="11">
        <v>10.427938422059281</v>
      </c>
      <c r="H27" s="2">
        <f t="shared" si="10"/>
        <v>7.1351739431376848E-2</v>
      </c>
      <c r="I27" s="2">
        <f t="shared" si="14"/>
        <v>7.1567104009655352E-2</v>
      </c>
      <c r="K27" s="2">
        <f t="shared" si="11"/>
        <v>3.3875069775345026E-10</v>
      </c>
      <c r="L27" s="2">
        <f t="shared" si="12"/>
        <v>3.5889495347841417E-10</v>
      </c>
      <c r="M27" s="2">
        <f t="shared" si="13"/>
        <v>2.9811759811034053E-9</v>
      </c>
      <c r="N27" s="2">
        <f t="shared" si="1"/>
        <v>3.5889495347841417E-10</v>
      </c>
      <c r="O27">
        <f t="shared" si="2"/>
        <v>19.880715705765407</v>
      </c>
      <c r="P27">
        <f t="shared" si="3"/>
        <v>-21.74799137895377</v>
      </c>
      <c r="Q27">
        <f t="shared" si="4"/>
        <v>-9.4450326483591152</v>
      </c>
      <c r="R27">
        <f t="shared" si="5"/>
        <v>-21.550003924726415</v>
      </c>
      <c r="S27">
        <f t="shared" si="6"/>
        <v>-0.19798745422735564</v>
      </c>
      <c r="U27">
        <f t="shared" si="7"/>
        <v>4.956673020181435E-7</v>
      </c>
      <c r="V27" s="2">
        <f t="shared" si="8"/>
        <v>-5.253904932332012E-7</v>
      </c>
      <c r="W27" s="2">
        <f t="shared" si="9"/>
        <v>-4.3306111921854753E-6</v>
      </c>
      <c r="Z27" t="s">
        <v>374</v>
      </c>
      <c r="AA27">
        <f>EXP(AI2)</f>
        <v>20527866.252504103</v>
      </c>
      <c r="AB27">
        <f>EXP(AI2)*AI3*2</f>
        <v>93610497.437829494</v>
      </c>
    </row>
    <row r="28" spans="1:31" x14ac:dyDescent="0.3">
      <c r="A28" s="5">
        <v>25</v>
      </c>
      <c r="B28" s="7">
        <v>225</v>
      </c>
      <c r="C28" s="6">
        <v>652</v>
      </c>
      <c r="D28" s="11">
        <f>'Raw Data and Corrections'!CG101</f>
        <v>0.12134926876672238</v>
      </c>
      <c r="E28">
        <v>2.0604758975768092E-2</v>
      </c>
      <c r="F28">
        <f t="shared" si="0"/>
        <v>39120</v>
      </c>
      <c r="G28" s="11">
        <v>10.590813349093992</v>
      </c>
      <c r="H28" s="2">
        <f t="shared" si="10"/>
        <v>7.2466188796469114E-2</v>
      </c>
      <c r="I28" s="2">
        <f t="shared" si="14"/>
        <v>7.2612600171836419E-2</v>
      </c>
      <c r="K28" s="2">
        <f t="shared" si="11"/>
        <v>2.8887640073368638E-10</v>
      </c>
      <c r="L28" s="2">
        <f t="shared" si="12"/>
        <v>3.0631558339419889E-10</v>
      </c>
      <c r="M28" s="2">
        <f t="shared" si="13"/>
        <v>2.5093538457658099E-9</v>
      </c>
      <c r="N28" s="2">
        <f t="shared" si="1"/>
        <v>3.0631558339419889E-10</v>
      </c>
      <c r="O28">
        <f t="shared" si="2"/>
        <v>20.080321285140563</v>
      </c>
      <c r="P28">
        <f t="shared" si="3"/>
        <v>-21.90640522713781</v>
      </c>
      <c r="Q28">
        <f t="shared" si="4"/>
        <v>-9.5138309084825039</v>
      </c>
      <c r="R28">
        <f t="shared" si="5"/>
        <v>-21.935418561023344</v>
      </c>
      <c r="S28">
        <f t="shared" si="6"/>
        <v>2.9013333885533399E-2</v>
      </c>
      <c r="U28">
        <f t="shared" si="7"/>
        <v>3.2395934341327859E-7</v>
      </c>
      <c r="V28" s="2">
        <f t="shared" si="8"/>
        <v>-3.4368902125215639E-7</v>
      </c>
      <c r="W28" s="2">
        <f t="shared" si="9"/>
        <v>-2.7928024548189148E-6</v>
      </c>
      <c r="Z28" t="s">
        <v>631</v>
      </c>
      <c r="AA28">
        <f>AD32</f>
        <v>101.12804757470911</v>
      </c>
      <c r="AB28">
        <v>9.1999999999999993</v>
      </c>
    </row>
    <row r="29" spans="1:31" x14ac:dyDescent="0.3">
      <c r="A29" s="5">
        <v>26</v>
      </c>
      <c r="B29" s="7">
        <v>230</v>
      </c>
      <c r="C29" s="6">
        <v>500</v>
      </c>
      <c r="D29" s="11">
        <f>'Raw Data and Corrections'!CG105</f>
        <v>0.1357554648497544</v>
      </c>
      <c r="E29">
        <v>2.7068038215287464E-2</v>
      </c>
      <c r="F29">
        <f t="shared" si="0"/>
        <v>30000</v>
      </c>
      <c r="G29" s="11">
        <v>10.758153502747934</v>
      </c>
      <c r="H29" s="2">
        <f t="shared" si="10"/>
        <v>7.3611190862713061E-2</v>
      </c>
      <c r="I29" s="2">
        <f t="shared" si="14"/>
        <v>7.3803528405134974E-2</v>
      </c>
      <c r="K29" s="2">
        <f t="shared" si="11"/>
        <v>4.2474831989574517E-10</v>
      </c>
      <c r="L29" s="2">
        <f t="shared" si="12"/>
        <v>4.5080676026191548E-10</v>
      </c>
      <c r="M29" s="2">
        <f t="shared" si="13"/>
        <v>3.6386413157102999E-9</v>
      </c>
      <c r="N29" s="2">
        <f t="shared" si="1"/>
        <v>4.5080676026191548E-10</v>
      </c>
      <c r="O29">
        <f t="shared" si="2"/>
        <v>19.880715705765407</v>
      </c>
      <c r="P29">
        <f t="shared" si="3"/>
        <v>-21.519982337730923</v>
      </c>
      <c r="Q29">
        <f t="shared" si="4"/>
        <v>-9.346009579931982</v>
      </c>
      <c r="R29">
        <f t="shared" si="5"/>
        <v>-21.550003924726415</v>
      </c>
      <c r="S29">
        <f t="shared" si="6"/>
        <v>3.0021586995491845E-2</v>
      </c>
      <c r="U29">
        <f t="shared" si="7"/>
        <v>4.2937152341958826E-7</v>
      </c>
      <c r="V29" s="2">
        <f t="shared" si="8"/>
        <v>-4.5597959631368822E-7</v>
      </c>
      <c r="W29" s="2">
        <f t="shared" si="9"/>
        <v>-3.6464971435944419E-6</v>
      </c>
    </row>
    <row r="30" spans="1:31" x14ac:dyDescent="0.3">
      <c r="A30" s="5">
        <v>27</v>
      </c>
      <c r="B30" s="7">
        <v>234.89999999999901</v>
      </c>
      <c r="C30" s="6">
        <v>450</v>
      </c>
      <c r="D30" s="11">
        <f>'Raw Data and Corrections'!CG109</f>
        <v>0.16988824268817432</v>
      </c>
      <c r="E30">
        <v>3.6124189715508598E-2</v>
      </c>
      <c r="F30">
        <f t="shared" si="0"/>
        <v>27000</v>
      </c>
      <c r="G30" s="11">
        <v>10.963814310649528</v>
      </c>
      <c r="H30" s="2">
        <f t="shared" si="10"/>
        <v>7.5018396753534125E-2</v>
      </c>
      <c r="I30" s="2">
        <f t="shared" si="14"/>
        <v>7.5275084652989641E-2</v>
      </c>
      <c r="K30" s="2">
        <f t="shared" si="11"/>
        <v>5.8435900824982807E-10</v>
      </c>
      <c r="L30" s="2">
        <f t="shared" si="12"/>
        <v>6.2089144692529145E-10</v>
      </c>
      <c r="M30" s="2">
        <f t="shared" si="13"/>
        <v>4.9254687485403488E-9</v>
      </c>
      <c r="N30" s="2">
        <f t="shared" si="1"/>
        <v>6.2089144692529145E-10</v>
      </c>
      <c r="O30">
        <f t="shared" si="2"/>
        <v>19.68891514077578</v>
      </c>
      <c r="P30">
        <f t="shared" si="3"/>
        <v>-21.199864852937989</v>
      </c>
      <c r="Q30">
        <f t="shared" si="4"/>
        <v>-9.2069843227256616</v>
      </c>
      <c r="R30">
        <f t="shared" si="5"/>
        <v>-21.17965984302074</v>
      </c>
      <c r="S30">
        <f t="shared" si="6"/>
        <v>-2.0205009917248162E-2</v>
      </c>
      <c r="U30">
        <f t="shared" si="7"/>
        <v>4.8659187848597128E-7</v>
      </c>
      <c r="V30" s="2">
        <f t="shared" si="8"/>
        <v>-5.1738969861178322E-7</v>
      </c>
      <c r="W30" s="2">
        <f t="shared" si="9"/>
        <v>-4.0581110867868071E-6</v>
      </c>
      <c r="Z30" t="s">
        <v>363</v>
      </c>
    </row>
    <row r="31" spans="1:31" ht="15" thickBot="1" x14ac:dyDescent="0.35">
      <c r="A31" s="5">
        <v>28</v>
      </c>
      <c r="B31" s="7">
        <v>240</v>
      </c>
      <c r="C31" s="6">
        <v>400</v>
      </c>
      <c r="D31" s="11">
        <f>'Raw Data and Corrections'!CG113</f>
        <v>0.20885295374871937</v>
      </c>
      <c r="E31">
        <v>4.8305325147797132E-2</v>
      </c>
      <c r="F31">
        <f t="shared" si="0"/>
        <v>24000</v>
      </c>
      <c r="G31" s="11">
        <v>11.232763688426983</v>
      </c>
      <c r="H31" s="2">
        <f t="shared" si="10"/>
        <v>7.6858646009591608E-2</v>
      </c>
      <c r="I31" s="2">
        <f t="shared" si="14"/>
        <v>7.7201889485565833E-2</v>
      </c>
      <c r="K31" s="2">
        <f t="shared" si="11"/>
        <v>8.7598474006401326E-10</v>
      </c>
      <c r="L31" s="2">
        <f t="shared" si="12"/>
        <v>9.3205564910483139E-10</v>
      </c>
      <c r="M31" s="2">
        <f t="shared" si="13"/>
        <v>7.2357486470110701E-9</v>
      </c>
      <c r="N31" s="2">
        <f t="shared" si="1"/>
        <v>9.3205564910483139E-10</v>
      </c>
      <c r="O31">
        <f t="shared" si="2"/>
        <v>19.49317738791423</v>
      </c>
      <c r="P31">
        <f t="shared" si="3"/>
        <v>-20.79362859368554</v>
      </c>
      <c r="Q31">
        <f t="shared" si="4"/>
        <v>-9.0305581569833056</v>
      </c>
      <c r="R31">
        <f t="shared" si="5"/>
        <v>-20.801713519752273</v>
      </c>
      <c r="S31">
        <f t="shared" si="6"/>
        <v>8.0849260667328338E-3</v>
      </c>
      <c r="U31">
        <f t="shared" si="7"/>
        <v>5.614279834516313E-7</v>
      </c>
      <c r="V31" s="2">
        <f t="shared" si="8"/>
        <v>-5.9793815958944405E-7</v>
      </c>
      <c r="W31" s="2">
        <f t="shared" si="9"/>
        <v>-4.5749074873418614E-6</v>
      </c>
      <c r="Z31" t="s">
        <v>362</v>
      </c>
      <c r="AA31">
        <f>EXP(AI2)</f>
        <v>20527866.252504103</v>
      </c>
      <c r="AB31">
        <v>346</v>
      </c>
      <c r="AC31">
        <f>(AA32/1.987)/(LN((AA31*AB31^2*55*1.987)/(AA32*AA33)))</f>
        <v>375.31067591141743</v>
      </c>
      <c r="AD31" t="s">
        <v>621</v>
      </c>
      <c r="AE31" t="s">
        <v>371</v>
      </c>
    </row>
    <row r="32" spans="1:31" ht="15" thickBot="1" x14ac:dyDescent="0.35">
      <c r="A32" s="5">
        <v>29</v>
      </c>
      <c r="B32" s="7">
        <v>245</v>
      </c>
      <c r="C32" s="6">
        <v>350</v>
      </c>
      <c r="D32" s="11">
        <f>'Raw Data and Corrections'!CG117</f>
        <v>0.27023669704739411</v>
      </c>
      <c r="E32">
        <v>6.9005485077693107E-2</v>
      </c>
      <c r="F32">
        <f t="shared" si="0"/>
        <v>21000</v>
      </c>
      <c r="G32" s="11">
        <v>11.568938563985556</v>
      </c>
      <c r="H32" s="2">
        <f t="shared" si="10"/>
        <v>7.9158876520493873E-2</v>
      </c>
      <c r="I32" s="2">
        <f t="shared" si="14"/>
        <v>7.9649209263041101E-2</v>
      </c>
      <c r="K32" s="2">
        <f t="shared" si="11"/>
        <v>1.2715803703823294E-9</v>
      </c>
      <c r="L32" s="2">
        <f t="shared" si="12"/>
        <v>1.3554028529600234E-9</v>
      </c>
      <c r="M32" s="2">
        <f t="shared" si="13"/>
        <v>1.0242904544305366E-8</v>
      </c>
      <c r="N32" s="2">
        <f t="shared" si="1"/>
        <v>1.3554028529600234E-9</v>
      </c>
      <c r="O32">
        <f t="shared" si="2"/>
        <v>19.305019305019304</v>
      </c>
      <c r="P32">
        <f t="shared" si="3"/>
        <v>-20.419167118344568</v>
      </c>
      <c r="Q32">
        <f t="shared" si="4"/>
        <v>-8.86793160455737</v>
      </c>
      <c r="R32">
        <f t="shared" si="5"/>
        <v>-20.438402637800539</v>
      </c>
      <c r="S32">
        <f t="shared" si="6"/>
        <v>1.9235519455971684E-2</v>
      </c>
      <c r="U32">
        <f t="shared" si="7"/>
        <v>6.6197188011906354E-7</v>
      </c>
      <c r="V32" s="2">
        <f t="shared" si="8"/>
        <v>-7.0648788747683871E-7</v>
      </c>
      <c r="W32" s="2">
        <f t="shared" si="9"/>
        <v>-5.2423687981180972E-6</v>
      </c>
      <c r="Z32" t="s">
        <v>361</v>
      </c>
      <c r="AA32">
        <f>AA26</f>
        <v>38367.4952269688</v>
      </c>
      <c r="AB32">
        <f>AC31</f>
        <v>375.31067591141743</v>
      </c>
      <c r="AC32">
        <f>(AA32/1.987)/(LN((AA31*AB32^2*55*1.987)/(AA32*AA33)))</f>
        <v>374.12804757470911</v>
      </c>
      <c r="AD32" s="19">
        <f>AC32-273</f>
        <v>101.12804757470911</v>
      </c>
      <c r="AE32">
        <f>AE34-AD32</f>
        <v>-101.12804757470911</v>
      </c>
    </row>
    <row r="33" spans="1:31" ht="15" thickBot="1" x14ac:dyDescent="0.35">
      <c r="A33" s="5">
        <v>30</v>
      </c>
      <c r="B33" s="7">
        <v>250</v>
      </c>
      <c r="C33" s="6">
        <v>300</v>
      </c>
      <c r="D33" s="11">
        <f>'Raw Data and Corrections'!CG121</f>
        <v>0.30787735805608957</v>
      </c>
      <c r="E33">
        <v>9.39472857834414E-2</v>
      </c>
      <c r="F33">
        <f t="shared" si="0"/>
        <v>18000</v>
      </c>
      <c r="G33" s="11">
        <v>11.962657896853452</v>
      </c>
      <c r="H33" s="2">
        <f t="shared" si="10"/>
        <v>8.1852847093666664E-2</v>
      </c>
      <c r="I33" s="2">
        <f t="shared" si="14"/>
        <v>8.2520408958367694E-2</v>
      </c>
      <c r="K33" s="2">
        <f t="shared" si="11"/>
        <v>1.7254133052883437E-9</v>
      </c>
      <c r="L33" s="2">
        <f t="shared" si="12"/>
        <v>1.8431793668360295E-9</v>
      </c>
      <c r="M33" s="2">
        <f t="shared" si="13"/>
        <v>1.3493823465668224E-8</v>
      </c>
      <c r="N33" s="2">
        <f t="shared" si="1"/>
        <v>1.8431793668360295E-9</v>
      </c>
      <c r="O33">
        <f t="shared" si="2"/>
        <v>19.120458891013385</v>
      </c>
      <c r="P33">
        <f t="shared" si="3"/>
        <v>-20.111773839697516</v>
      </c>
      <c r="Q33">
        <f t="shared" si="4"/>
        <v>-8.7344323998668063</v>
      </c>
      <c r="R33">
        <f t="shared" si="5"/>
        <v>-20.082038426631822</v>
      </c>
      <c r="S33">
        <f t="shared" si="6"/>
        <v>-2.9735413065694161E-2</v>
      </c>
      <c r="U33">
        <f t="shared" si="7"/>
        <v>8.0014046467541148E-7</v>
      </c>
      <c r="V33" s="2">
        <f t="shared" si="8"/>
        <v>-8.560393433937848E-7</v>
      </c>
      <c r="W33" s="2">
        <f t="shared" si="9"/>
        <v>-6.1352369052764238E-6</v>
      </c>
      <c r="Z33" t="s">
        <v>360</v>
      </c>
      <c r="AA33">
        <f>AA35/(1000000*365*24*60*60)</f>
        <v>3.1709791983764587E-13</v>
      </c>
      <c r="AD33" t="s">
        <v>619</v>
      </c>
      <c r="AE33" t="s">
        <v>620</v>
      </c>
    </row>
    <row r="34" spans="1:31" ht="15" thickBot="1" x14ac:dyDescent="0.35">
      <c r="A34" s="5">
        <v>31</v>
      </c>
      <c r="B34" s="7">
        <v>249.97</v>
      </c>
      <c r="C34" s="6">
        <v>300</v>
      </c>
      <c r="D34" s="11">
        <f>'Raw Data and Corrections'!CG126</f>
        <v>0.27922519856259981</v>
      </c>
      <c r="E34">
        <v>8.9890592394904045E-2</v>
      </c>
      <c r="F34">
        <f t="shared" si="0"/>
        <v>18000</v>
      </c>
      <c r="G34" s="11">
        <v>12.348988726856295</v>
      </c>
      <c r="H34" s="2">
        <f t="shared" si="10"/>
        <v>8.4496262848631098E-2</v>
      </c>
      <c r="I34" s="2">
        <f t="shared" si="14"/>
        <v>8.5134999039653644E-2</v>
      </c>
      <c r="K34" s="2">
        <f t="shared" si="11"/>
        <v>1.5998877691882055E-9</v>
      </c>
      <c r="L34" s="2">
        <f t="shared" si="12"/>
        <v>1.7131083513404668E-9</v>
      </c>
      <c r="M34" s="2">
        <f t="shared" si="13"/>
        <v>1.2135403605379574E-8</v>
      </c>
      <c r="N34" s="2">
        <f t="shared" si="1"/>
        <v>1.7131083513404668E-9</v>
      </c>
      <c r="O34">
        <f t="shared" si="2"/>
        <v>19.121555729774173</v>
      </c>
      <c r="P34">
        <f t="shared" si="3"/>
        <v>-20.184956367216881</v>
      </c>
      <c r="Q34">
        <f t="shared" si="4"/>
        <v>-8.7662151677401994</v>
      </c>
      <c r="R34">
        <f t="shared" si="5"/>
        <v>-20.084156291840745</v>
      </c>
      <c r="S34">
        <f t="shared" si="6"/>
        <v>-0.10080007537613511</v>
      </c>
      <c r="U34">
        <f t="shared" si="7"/>
        <v>8.2549224551342585E-7</v>
      </c>
      <c r="V34" s="2">
        <f t="shared" si="8"/>
        <v>-8.8513731219306617E-7</v>
      </c>
      <c r="W34" s="2">
        <f t="shared" si="9"/>
        <v>-6.1527707813587273E-6</v>
      </c>
      <c r="Z34" t="s">
        <v>359</v>
      </c>
      <c r="AB34">
        <f>0.97*AA32</f>
        <v>37216.470370159732</v>
      </c>
      <c r="AC34" t="s">
        <v>358</v>
      </c>
      <c r="AD34" s="19"/>
    </row>
    <row r="35" spans="1:31" x14ac:dyDescent="0.3">
      <c r="A35" s="5">
        <v>32</v>
      </c>
      <c r="B35" s="6">
        <v>249.98</v>
      </c>
      <c r="C35" s="6">
        <v>300</v>
      </c>
      <c r="D35" s="12">
        <f>'Raw Data and Corrections'!CG130</f>
        <v>0.26214511884371838</v>
      </c>
      <c r="E35">
        <v>8.5238772110251049E-2</v>
      </c>
      <c r="F35">
        <f t="shared" si="0"/>
        <v>18000</v>
      </c>
      <c r="G35" s="11">
        <v>12.716739144357899</v>
      </c>
      <c r="H35" s="2">
        <f t="shared" si="10"/>
        <v>8.7012544677630699E-2</v>
      </c>
      <c r="I35" s="2">
        <f t="shared" si="14"/>
        <v>8.7618226397759486E-2</v>
      </c>
      <c r="K35" s="2">
        <f t="shared" si="11"/>
        <v>1.566989908145812E-9</v>
      </c>
      <c r="L35" s="2">
        <f t="shared" si="12"/>
        <v>1.6815671433403417E-9</v>
      </c>
      <c r="M35" s="2">
        <f t="shared" si="13"/>
        <v>1.1563978180149617E-8</v>
      </c>
      <c r="N35" s="2">
        <f t="shared" si="1"/>
        <v>1.6815671433403417E-9</v>
      </c>
      <c r="O35">
        <f t="shared" si="2"/>
        <v>19.121190102872003</v>
      </c>
      <c r="P35">
        <f t="shared" si="3"/>
        <v>-20.203539654923759</v>
      </c>
      <c r="Q35">
        <f t="shared" si="4"/>
        <v>-8.7742857870469173</v>
      </c>
      <c r="R35">
        <f t="shared" si="5"/>
        <v>-20.083450309773706</v>
      </c>
      <c r="S35">
        <f t="shared" si="6"/>
        <v>-0.12008934515005265</v>
      </c>
      <c r="U35">
        <f t="shared" si="7"/>
        <v>8.4957029744372988E-7</v>
      </c>
      <c r="V35" s="2">
        <f t="shared" si="8"/>
        <v>-9.1289507453623168E-7</v>
      </c>
      <c r="W35" s="2">
        <f t="shared" si="9"/>
        <v>-6.1695167633308374E-6</v>
      </c>
      <c r="Z35" t="s">
        <v>357</v>
      </c>
      <c r="AA35">
        <v>10</v>
      </c>
      <c r="AD35">
        <v>64439823.670807518</v>
      </c>
      <c r="AE35">
        <v>4828742.7687072773</v>
      </c>
    </row>
    <row r="36" spans="1:31" x14ac:dyDescent="0.3">
      <c r="A36" s="5">
        <v>33</v>
      </c>
      <c r="B36" s="6">
        <v>250</v>
      </c>
      <c r="C36" s="6">
        <v>10250</v>
      </c>
      <c r="D36" s="12">
        <f>'Raw Data and Corrections'!CG133</f>
        <v>8.4041594308923333</v>
      </c>
      <c r="E36">
        <v>4.9443126792458318E-2</v>
      </c>
      <c r="F36">
        <f t="shared" si="0"/>
        <v>615000</v>
      </c>
      <c r="G36" s="12">
        <v>21.218729546930575</v>
      </c>
      <c r="H36" s="2">
        <f t="shared" si="10"/>
        <v>0.14518624875025565</v>
      </c>
      <c r="I36" s="2">
        <f t="shared" si="14"/>
        <v>0.14553757711108031</v>
      </c>
      <c r="K36" s="2">
        <f t="shared" si="11"/>
        <v>1.9017126301359417E-9</v>
      </c>
      <c r="L36" s="2">
        <f t="shared" si="12"/>
        <v>2.1002551034458806E-9</v>
      </c>
      <c r="M36" s="2">
        <f t="shared" si="13"/>
        <v>1.0737558315271053E-8</v>
      </c>
      <c r="N36" s="2">
        <f t="shared" si="1"/>
        <v>2.1002551034458806E-9</v>
      </c>
      <c r="O36">
        <f t="shared" si="2"/>
        <v>19.120458891013385</v>
      </c>
      <c r="P36">
        <f t="shared" si="3"/>
        <v>-19.981207021763495</v>
      </c>
      <c r="Q36">
        <f t="shared" si="4"/>
        <v>-8.6777279513183956</v>
      </c>
      <c r="R36">
        <f t="shared" si="5"/>
        <v>-20.082038426631822</v>
      </c>
      <c r="S36">
        <f t="shared" si="6"/>
        <v>0.10083140486832676</v>
      </c>
      <c r="U36">
        <f t="shared" si="7"/>
        <v>4.1302600096967294E-8</v>
      </c>
      <c r="V36" s="2">
        <f t="shared" si="8"/>
        <v>-4.6716010064992609E-8</v>
      </c>
      <c r="W36" s="2">
        <f t="shared" si="9"/>
        <v>-1.9281116136663595E-7</v>
      </c>
    </row>
    <row r="37" spans="1:31" x14ac:dyDescent="0.3">
      <c r="A37" s="5">
        <v>34</v>
      </c>
      <c r="B37" s="6">
        <v>240</v>
      </c>
      <c r="C37" s="6">
        <v>785</v>
      </c>
      <c r="D37" s="12">
        <f>'Raw Data and Corrections'!CG135</f>
        <v>0.17976426939123377</v>
      </c>
      <c r="E37">
        <v>2.0888872296387254E-2</v>
      </c>
      <c r="F37">
        <f t="shared" si="0"/>
        <v>47100</v>
      </c>
      <c r="G37" s="12">
        <v>21.56138498792928</v>
      </c>
      <c r="H37" s="2">
        <f t="shared" si="10"/>
        <v>0.14753082164197542</v>
      </c>
      <c r="I37" s="2">
        <f t="shared" si="14"/>
        <v>0.14767925184328876</v>
      </c>
      <c r="K37" s="2">
        <f t="shared" si="11"/>
        <v>1.0823208812886875E-9</v>
      </c>
      <c r="L37" s="2">
        <f t="shared" si="12"/>
        <v>1.2252964854591122E-9</v>
      </c>
      <c r="M37" s="2">
        <f t="shared" si="13"/>
        <v>5.0240505785369176E-9</v>
      </c>
      <c r="N37" s="2">
        <f t="shared" si="1"/>
        <v>1.2252964854591122E-9</v>
      </c>
      <c r="O37">
        <f t="shared" si="2"/>
        <v>19.49317738791423</v>
      </c>
      <c r="P37">
        <f t="shared" si="3"/>
        <v>-20.520082993287787</v>
      </c>
      <c r="Q37">
        <f t="shared" si="4"/>
        <v>-8.9117588121816489</v>
      </c>
      <c r="R37">
        <f t="shared" si="5"/>
        <v>-20.801713519752273</v>
      </c>
      <c r="S37">
        <f t="shared" si="6"/>
        <v>0.28163052646448605</v>
      </c>
      <c r="U37">
        <f t="shared" si="7"/>
        <v>5.4723761816290732E-7</v>
      </c>
      <c r="V37" s="2">
        <f t="shared" si="8"/>
        <v>-6.2017652576298344E-7</v>
      </c>
      <c r="W37" s="2">
        <f t="shared" si="9"/>
        <v>-2.5239240782307381E-6</v>
      </c>
      <c r="AB37">
        <v>98.9</v>
      </c>
      <c r="AC37">
        <v>99.09</v>
      </c>
    </row>
    <row r="38" spans="1:31" x14ac:dyDescent="0.3">
      <c r="A38" t="s">
        <v>298</v>
      </c>
      <c r="D38" s="6" cm="1">
        <f t="array" ref="D38:E38">'Raw Data and Corrections'!AG138:AH138</f>
        <v>124.54078707011602</v>
      </c>
      <c r="E38" s="6">
        <v>1.0730577113002813</v>
      </c>
      <c r="F38">
        <f>3600*C38</f>
        <v>0</v>
      </c>
      <c r="G38" s="2">
        <f>'Raw Data and Corrections'!AQ138</f>
        <v>146.14834207494607</v>
      </c>
      <c r="I38" s="2">
        <f>G38/$G$38</f>
        <v>1</v>
      </c>
      <c r="AB38">
        <v>18003069.985226665</v>
      </c>
      <c r="AC38">
        <v>17354426.675797403</v>
      </c>
    </row>
    <row r="39" spans="1:31" x14ac:dyDescent="0.3">
      <c r="D39" s="7">
        <f>SUM(D4:D38)</f>
        <v>140.7319542219754</v>
      </c>
      <c r="E39" s="6">
        <v>1.0726345452392398</v>
      </c>
      <c r="AB39">
        <v>38038.944164075619</v>
      </c>
      <c r="AC39">
        <v>38032.636907850479</v>
      </c>
    </row>
    <row r="43" spans="1:31" x14ac:dyDescent="0.3">
      <c r="A43" t="s">
        <v>622</v>
      </c>
      <c r="G43" s="7" t="s">
        <v>352</v>
      </c>
      <c r="H43" s="7" t="s">
        <v>647</v>
      </c>
      <c r="I43" s="7" t="s">
        <v>709</v>
      </c>
      <c r="K43" t="s">
        <v>290</v>
      </c>
      <c r="L43" t="s">
        <v>291</v>
      </c>
      <c r="M43" t="s">
        <v>292</v>
      </c>
      <c r="N43" t="s">
        <v>293</v>
      </c>
      <c r="O43" t="s">
        <v>295</v>
      </c>
      <c r="P43" t="s">
        <v>294</v>
      </c>
      <c r="Q43" t="s">
        <v>296</v>
      </c>
      <c r="R43" t="s">
        <v>366</v>
      </c>
      <c r="S43" t="s">
        <v>368</v>
      </c>
      <c r="U43" t="s">
        <v>348</v>
      </c>
    </row>
    <row r="44" spans="1:31" x14ac:dyDescent="0.3">
      <c r="G44" s="7"/>
      <c r="H44" s="7"/>
      <c r="I44" s="7"/>
      <c r="K44" t="s">
        <v>342</v>
      </c>
      <c r="L44" t="s">
        <v>343</v>
      </c>
      <c r="M44" t="s">
        <v>344</v>
      </c>
      <c r="U44" t="s">
        <v>345</v>
      </c>
      <c r="V44" t="s">
        <v>346</v>
      </c>
      <c r="W44" t="s">
        <v>347</v>
      </c>
    </row>
    <row r="45" spans="1:31" ht="30.6" x14ac:dyDescent="0.3">
      <c r="A45" t="s">
        <v>297</v>
      </c>
      <c r="B45" s="7" t="s">
        <v>300</v>
      </c>
      <c r="C45" s="7" t="s">
        <v>301</v>
      </c>
      <c r="D45" s="7" t="s">
        <v>354</v>
      </c>
      <c r="E45" s="4" t="s">
        <v>708</v>
      </c>
      <c r="F45" t="s">
        <v>302</v>
      </c>
      <c r="I45">
        <v>0</v>
      </c>
      <c r="U45">
        <v>0</v>
      </c>
      <c r="V45">
        <v>0</v>
      </c>
      <c r="W45">
        <v>0</v>
      </c>
    </row>
    <row r="46" spans="1:31" x14ac:dyDescent="0.3">
      <c r="A46" s="5">
        <v>1</v>
      </c>
      <c r="B46" s="7">
        <v>170</v>
      </c>
      <c r="C46" s="6">
        <v>300</v>
      </c>
      <c r="D46" s="11">
        <f>'Raw Data and Corrections'!CI5</f>
        <v>0</v>
      </c>
      <c r="E46">
        <v>2.8019871939759675E-2</v>
      </c>
      <c r="F46">
        <v>18000</v>
      </c>
      <c r="G46">
        <v>1.9201957516247901E-2</v>
      </c>
      <c r="H46" s="2">
        <f>G46/$G$80</f>
        <v>1.3168700895593849E-4</v>
      </c>
      <c r="I46" s="2">
        <f>(G46+E46)/$G$80</f>
        <v>3.2384726782294101E-4</v>
      </c>
      <c r="K46" s="2">
        <f>((H46^2-I45^2)*PI())/(36*F46)</f>
        <v>8.4073810958264453E-14</v>
      </c>
      <c r="L46" s="2">
        <f>(1/(PI()*PI()*F46))*(-(H46-I45)*PI()*PI()/3-2*PI()*(SQRT(1-PI()/3*H46)-SQRT(1-PI()/3*I45)))</f>
        <v>8.4079607449748214E-14</v>
      </c>
      <c r="M46" s="2">
        <f>(1/(PI()^2*F46))*LN((1-I45)/(1-H46))</f>
        <v>7.4130901244017478E-10</v>
      </c>
      <c r="N46" s="2">
        <f t="shared" ref="N46:N79" si="15">(I46&lt;0.05)*K46+((I46&gt;=0.05)*(I46&lt;0.9))*L46+(I46&gt;=0.9)*M46</f>
        <v>8.4073810958264453E-14</v>
      </c>
      <c r="O46">
        <f t="shared" ref="O46:O79" si="16">10000/(273+B46)</f>
        <v>22.573363431151243</v>
      </c>
      <c r="P46">
        <f t="shared" ref="P46:P79" si="17">LN(N46)</f>
        <v>-30.107081280015766</v>
      </c>
      <c r="Q46">
        <f t="shared" ref="Q46:Q79" si="18">LOG10(N46)</f>
        <v>-13.075339266123539</v>
      </c>
      <c r="R46">
        <f t="shared" ref="R46:R79" si="19">$AI$2+$AH$2*O46</f>
        <v>-26.749186467639337</v>
      </c>
      <c r="S46">
        <f t="shared" ref="S46:S79" si="20">P46-R46</f>
        <v>-3.3578948123764292</v>
      </c>
      <c r="U46" s="2">
        <f t="shared" ref="U46:U79" si="21" xml:space="preserve"> (I46 * PI()) / (18 * F46)</f>
        <v>3.1401117206101165E-9</v>
      </c>
      <c r="V46" s="2">
        <f t="shared" ref="V46:V79" si="22" xml:space="preserve"> (1 / (PI()^2 * F46)) * (PI()^2 / 3 - PI()^2 / (3 * SQRT(1 - (PI() / 3) * I46)))</f>
        <v>-3.1409106308228985E-9</v>
      </c>
      <c r="W46" s="2">
        <f t="shared" ref="W46:W79" si="23" xml:space="preserve"> (-1) / (PI()^2 * F46 * (1 - I46))</f>
        <v>-5.6307781589190266E-6</v>
      </c>
    </row>
    <row r="47" spans="1:31" x14ac:dyDescent="0.3">
      <c r="A47" s="5">
        <v>2</v>
      </c>
      <c r="B47" s="7">
        <v>180</v>
      </c>
      <c r="C47" s="6">
        <v>463</v>
      </c>
      <c r="D47" s="11">
        <f>'Raw Data and Corrections'!CI9</f>
        <v>0</v>
      </c>
      <c r="E47">
        <v>1.5177050086118013E-2</v>
      </c>
      <c r="F47">
        <v>27780</v>
      </c>
      <c r="G47" s="2">
        <v>6.5965821544759856E-2</v>
      </c>
      <c r="H47" s="2">
        <f t="shared" ref="H47:H79" si="24">G47/$G$80</f>
        <v>4.5239355025133174E-4</v>
      </c>
      <c r="I47" s="2">
        <f t="shared" ref="I47:I79" si="25">(G47+E47)/$G$80</f>
        <v>5.5647774734031083E-4</v>
      </c>
      <c r="K47" s="2">
        <f t="shared" ref="K47:K79" si="26">((H47^2-I46^2)*PI())/(36*F47)</f>
        <v>3.1345205968204094E-13</v>
      </c>
      <c r="L47" s="2">
        <f t="shared" ref="L47:L79" si="27">(1/(PI()*PI()*F47))*(-(H47-I46)*PI()*PI()/3-2*PI()*(SQRT(1-PI()/3*H47)-SQRT(1-PI()/3*I46)))</f>
        <v>3.1354851737085779E-13</v>
      </c>
      <c r="M47" s="2">
        <f t="shared" ref="M47:M79" si="28">(1/(PI()^2*F47))*LN((1-I46)/(1-H47))</f>
        <v>4.6902514501295496E-10</v>
      </c>
      <c r="N47" s="2">
        <f t="shared" si="15"/>
        <v>3.1345205968204094E-13</v>
      </c>
      <c r="O47">
        <f t="shared" si="16"/>
        <v>22.075055187637968</v>
      </c>
      <c r="P47">
        <f t="shared" si="17"/>
        <v>-28.791129966205627</v>
      </c>
      <c r="Q47">
        <f t="shared" si="18"/>
        <v>-12.50382887208246</v>
      </c>
      <c r="R47">
        <f t="shared" si="19"/>
        <v>-25.78701250918267</v>
      </c>
      <c r="S47">
        <f t="shared" si="20"/>
        <v>-3.0041174570229572</v>
      </c>
      <c r="U47">
        <f t="shared" si="21"/>
        <v>3.4961731120120742E-9</v>
      </c>
      <c r="V47" s="2">
        <f t="shared" si="22"/>
        <v>-3.4977018799637324E-9</v>
      </c>
      <c r="W47" s="2">
        <f t="shared" si="23"/>
        <v>-3.6493015845829583E-6</v>
      </c>
    </row>
    <row r="48" spans="1:31" x14ac:dyDescent="0.3">
      <c r="A48" s="5">
        <v>3</v>
      </c>
      <c r="B48" s="7">
        <v>190</v>
      </c>
      <c r="C48" s="6">
        <v>550</v>
      </c>
      <c r="D48" s="11">
        <f>'Raw Data and Corrections'!CI13</f>
        <v>0</v>
      </c>
      <c r="E48">
        <v>1.7949879911869703E-2</v>
      </c>
      <c r="F48">
        <v>33000</v>
      </c>
      <c r="G48" s="2">
        <v>0.13751482998502546</v>
      </c>
      <c r="H48" s="2">
        <f t="shared" si="24"/>
        <v>9.4307659166985411E-4</v>
      </c>
      <c r="I48" s="2">
        <f t="shared" si="25"/>
        <v>1.0661768534380766E-3</v>
      </c>
      <c r="K48" s="2">
        <f t="shared" si="26"/>
        <v>1.5330495475524228E-12</v>
      </c>
      <c r="L48" s="2">
        <f t="shared" si="27"/>
        <v>1.5339729519768016E-12</v>
      </c>
      <c r="M48" s="2">
        <f t="shared" si="28"/>
        <v>1.1878801299717317E-9</v>
      </c>
      <c r="N48" s="2">
        <f t="shared" si="15"/>
        <v>1.5330495475524228E-12</v>
      </c>
      <c r="O48">
        <f t="shared" si="16"/>
        <v>21.598272138228943</v>
      </c>
      <c r="P48">
        <f t="shared" si="17"/>
        <v>-27.2037621959138</v>
      </c>
      <c r="Q48">
        <f t="shared" si="18"/>
        <v>-11.814443808693651</v>
      </c>
      <c r="R48">
        <f t="shared" si="19"/>
        <v>-24.866401140724147</v>
      </c>
      <c r="S48">
        <f t="shared" si="20"/>
        <v>-2.3373610551896533</v>
      </c>
      <c r="U48">
        <f t="shared" si="21"/>
        <v>5.6388777275901395E-9</v>
      </c>
      <c r="V48" s="2">
        <f t="shared" si="22"/>
        <v>-5.643603971050937E-9</v>
      </c>
      <c r="W48" s="2">
        <f t="shared" si="23"/>
        <v>-3.0736159163990832E-6</v>
      </c>
    </row>
    <row r="49" spans="1:26" x14ac:dyDescent="0.3">
      <c r="A49" s="5">
        <v>4</v>
      </c>
      <c r="B49" s="7">
        <v>200</v>
      </c>
      <c r="C49" s="6">
        <v>500</v>
      </c>
      <c r="D49" s="11">
        <f>'Raw Data and Corrections'!CI17</f>
        <v>8.5425877305520981E-2</v>
      </c>
      <c r="E49">
        <v>3.1329647377433434E-2</v>
      </c>
      <c r="F49">
        <v>30000</v>
      </c>
      <c r="G49" s="2">
        <v>0.2499547833128809</v>
      </c>
      <c r="H49" s="2">
        <f t="shared" si="24"/>
        <v>1.7141896997142625E-3</v>
      </c>
      <c r="I49" s="2">
        <f t="shared" si="25"/>
        <v>1.9290483958283159E-3</v>
      </c>
      <c r="K49" s="2">
        <f t="shared" si="26"/>
        <v>5.2409713801810115E-12</v>
      </c>
      <c r="L49" s="2">
        <f t="shared" si="27"/>
        <v>5.2468046644090033E-12</v>
      </c>
      <c r="M49" s="2">
        <f t="shared" si="28"/>
        <v>2.1916277944453862E-9</v>
      </c>
      <c r="N49" s="2">
        <f t="shared" si="15"/>
        <v>5.2409713801810115E-12</v>
      </c>
      <c r="O49">
        <f t="shared" si="16"/>
        <v>21.141649048625794</v>
      </c>
      <c r="P49">
        <f t="shared" si="17"/>
        <v>-25.974514256878816</v>
      </c>
      <c r="Q49">
        <f t="shared" si="18"/>
        <v>-11.280588211879815</v>
      </c>
      <c r="R49">
        <f t="shared" si="19"/>
        <v>-23.98471625718987</v>
      </c>
      <c r="S49">
        <f t="shared" si="20"/>
        <v>-1.9897979996889461</v>
      </c>
      <c r="U49">
        <f t="shared" si="21"/>
        <v>1.1222748645839653E-8</v>
      </c>
      <c r="V49" s="2">
        <f t="shared" si="22"/>
        <v>-1.1239780581792987E-8</v>
      </c>
      <c r="W49" s="2">
        <f t="shared" si="23"/>
        <v>-3.3839004959011864E-6</v>
      </c>
    </row>
    <row r="50" spans="1:26" x14ac:dyDescent="0.3">
      <c r="A50" s="5">
        <v>5</v>
      </c>
      <c r="B50" s="7">
        <v>210</v>
      </c>
      <c r="C50" s="6">
        <v>475</v>
      </c>
      <c r="D50" s="11">
        <f>'Raw Data and Corrections'!CI21</f>
        <v>0.11631748643863513</v>
      </c>
      <c r="E50">
        <v>4.0403541112893668E-2</v>
      </c>
      <c r="F50">
        <v>28500</v>
      </c>
      <c r="G50" s="2">
        <v>0.40553743215273907</v>
      </c>
      <c r="H50" s="2">
        <f t="shared" si="24"/>
        <v>2.7811753783268081E-3</v>
      </c>
      <c r="I50" s="2">
        <f t="shared" si="25"/>
        <v>3.0582628302641001E-3</v>
      </c>
      <c r="K50" s="2">
        <f t="shared" si="26"/>
        <v>1.2289900575431478E-11</v>
      </c>
      <c r="L50" s="2">
        <f t="shared" si="27"/>
        <v>1.231292956884858E-11</v>
      </c>
      <c r="M50" s="2">
        <f t="shared" si="28"/>
        <v>3.0365732145638628E-9</v>
      </c>
      <c r="N50" s="2">
        <f t="shared" si="15"/>
        <v>1.2289900575431478E-11</v>
      </c>
      <c r="O50">
        <f t="shared" si="16"/>
        <v>20.703933747412009</v>
      </c>
      <c r="P50">
        <f t="shared" si="17"/>
        <v>-25.122243282258715</v>
      </c>
      <c r="Q50">
        <f t="shared" si="18"/>
        <v>-10.910451630515999</v>
      </c>
      <c r="R50">
        <f t="shared" si="19"/>
        <v>-23.139540064485164</v>
      </c>
      <c r="S50">
        <f t="shared" si="20"/>
        <v>-1.9827032177735511</v>
      </c>
      <c r="U50">
        <f t="shared" si="21"/>
        <v>1.8728686238410186E-8</v>
      </c>
      <c r="V50" s="2">
        <f t="shared" si="22"/>
        <v>-1.877379207768652E-8</v>
      </c>
      <c r="W50" s="2">
        <f t="shared" si="23"/>
        <v>-3.5660351232772786E-6</v>
      </c>
    </row>
    <row r="51" spans="1:26" x14ac:dyDescent="0.3">
      <c r="A51" s="5">
        <v>6</v>
      </c>
      <c r="B51" s="7">
        <v>220</v>
      </c>
      <c r="C51" s="6">
        <v>450</v>
      </c>
      <c r="D51" s="11">
        <f>'Raw Data and Corrections'!CI25</f>
        <v>0.17074188319803077</v>
      </c>
      <c r="E51">
        <v>5.2955344862849356E-2</v>
      </c>
      <c r="F51">
        <v>27000</v>
      </c>
      <c r="G51" s="2">
        <v>0.63194775582281049</v>
      </c>
      <c r="H51" s="2">
        <f t="shared" si="24"/>
        <v>4.3338971930495605E-3</v>
      </c>
      <c r="I51" s="2">
        <f t="shared" si="25"/>
        <v>4.6970649048475961E-3</v>
      </c>
      <c r="K51" s="2">
        <f t="shared" si="26"/>
        <v>3.0477628935726783E-11</v>
      </c>
      <c r="L51" s="2">
        <f t="shared" si="27"/>
        <v>3.0567275379644147E-11</v>
      </c>
      <c r="M51" s="2">
        <f t="shared" si="28"/>
        <v>4.8047513821794566E-9</v>
      </c>
      <c r="N51" s="2">
        <f t="shared" si="15"/>
        <v>3.0477628935726783E-11</v>
      </c>
      <c r="O51">
        <f t="shared" si="16"/>
        <v>20.28397565922921</v>
      </c>
      <c r="P51">
        <f t="shared" si="17"/>
        <v>-24.214028178958579</v>
      </c>
      <c r="Q51">
        <f t="shared" si="18"/>
        <v>-10.516018822771557</v>
      </c>
      <c r="R51">
        <f t="shared" si="19"/>
        <v>-22.328650938421628</v>
      </c>
      <c r="S51">
        <f t="shared" si="20"/>
        <v>-1.8853772405369504</v>
      </c>
      <c r="U51">
        <f t="shared" si="21"/>
        <v>3.0362684359061009E-8</v>
      </c>
      <c r="V51" s="2">
        <f t="shared" si="22"/>
        <v>-3.0475155419537688E-8</v>
      </c>
      <c r="W51" s="2">
        <f t="shared" si="23"/>
        <v>-3.7703459910313006E-6</v>
      </c>
    </row>
    <row r="52" spans="1:26" x14ac:dyDescent="0.3">
      <c r="A52" s="5">
        <v>7</v>
      </c>
      <c r="B52" s="7">
        <v>230</v>
      </c>
      <c r="C52" s="6">
        <v>425</v>
      </c>
      <c r="D52" s="11">
        <f>'Raw Data and Corrections'!CI29</f>
        <v>0.27408399043494747</v>
      </c>
      <c r="E52">
        <v>7.6028074622824196E-2</v>
      </c>
      <c r="F52">
        <v>25500</v>
      </c>
      <c r="G52" s="2">
        <v>0.97991452293274905</v>
      </c>
      <c r="H52" s="2">
        <f t="shared" si="24"/>
        <v>6.720252997555542E-3</v>
      </c>
      <c r="I52" s="2">
        <f t="shared" si="25"/>
        <v>7.2416534711940731E-3</v>
      </c>
      <c r="K52" s="2">
        <f t="shared" si="26"/>
        <v>7.9051032280826386E-11</v>
      </c>
      <c r="L52" s="2">
        <f t="shared" si="27"/>
        <v>7.9411003975337208E-11</v>
      </c>
      <c r="M52" s="2">
        <f t="shared" si="28"/>
        <v>8.085052178579451E-9</v>
      </c>
      <c r="N52" s="2">
        <f t="shared" si="15"/>
        <v>7.9051032280826386E-11</v>
      </c>
      <c r="O52">
        <f t="shared" si="16"/>
        <v>19.880715705765407</v>
      </c>
      <c r="P52">
        <f t="shared" si="17"/>
        <v>-23.260927493777352</v>
      </c>
      <c r="Q52">
        <f t="shared" si="18"/>
        <v>-10.102092454499141</v>
      </c>
      <c r="R52">
        <f t="shared" si="19"/>
        <v>-21.550003924726415</v>
      </c>
      <c r="S52">
        <f t="shared" si="20"/>
        <v>-1.7109235690509372</v>
      </c>
      <c r="U52">
        <f t="shared" si="21"/>
        <v>4.956497896502467E-8</v>
      </c>
      <c r="V52" s="2">
        <f t="shared" si="22"/>
        <v>-4.9848677224286501E-8</v>
      </c>
      <c r="W52" s="2">
        <f t="shared" si="23"/>
        <v>-4.0023634800683298E-6</v>
      </c>
    </row>
    <row r="53" spans="1:26" x14ac:dyDescent="0.3">
      <c r="A53" s="5">
        <v>8</v>
      </c>
      <c r="B53" s="7">
        <v>225</v>
      </c>
      <c r="C53" s="6">
        <v>908</v>
      </c>
      <c r="D53" s="11">
        <f>'Raw Data and Corrections'!CI33</f>
        <v>0.27605772194931955</v>
      </c>
      <c r="E53">
        <v>3.6262949410074727E-2</v>
      </c>
      <c r="F53">
        <v>54480</v>
      </c>
      <c r="G53" s="2">
        <v>1.34871133895702</v>
      </c>
      <c r="H53" s="2">
        <f t="shared" si="24"/>
        <v>9.2494612604951641E-3</v>
      </c>
      <c r="I53" s="2">
        <f t="shared" si="25"/>
        <v>9.4981525379179248E-3</v>
      </c>
      <c r="K53" s="2">
        <f t="shared" si="26"/>
        <v>5.303742381417357E-11</v>
      </c>
      <c r="L53" s="2">
        <f t="shared" si="27"/>
        <v>5.338512123220767E-11</v>
      </c>
      <c r="M53" s="2">
        <f t="shared" si="28"/>
        <v>3.7651413427702898E-9</v>
      </c>
      <c r="N53" s="2">
        <f t="shared" si="15"/>
        <v>5.303742381417357E-11</v>
      </c>
      <c r="O53">
        <f t="shared" si="16"/>
        <v>20.080321285140563</v>
      </c>
      <c r="P53">
        <f t="shared" si="17"/>
        <v>-23.660023341853201</v>
      </c>
      <c r="Q53">
        <f t="shared" si="18"/>
        <v>-10.275417579068982</v>
      </c>
      <c r="R53">
        <f t="shared" si="19"/>
        <v>-21.935418561023344</v>
      </c>
      <c r="S53">
        <f t="shared" si="20"/>
        <v>-1.724604780829857</v>
      </c>
      <c r="U53">
        <f t="shared" si="21"/>
        <v>3.0428420455822933E-8</v>
      </c>
      <c r="V53" s="2">
        <f t="shared" si="22"/>
        <v>-3.0657309329353869E-8</v>
      </c>
      <c r="W53" s="2">
        <f t="shared" si="23"/>
        <v>-1.8776207054446161E-6</v>
      </c>
    </row>
    <row r="54" spans="1:26" x14ac:dyDescent="0.3">
      <c r="A54" s="5">
        <v>9</v>
      </c>
      <c r="B54" s="7">
        <v>215</v>
      </c>
      <c r="C54" s="6">
        <v>450</v>
      </c>
      <c r="D54" s="11">
        <f>'Raw Data and Corrections'!CI38</f>
        <v>3.6965703242042319E-2</v>
      </c>
      <c r="E54">
        <v>1.9598846304267926E-2</v>
      </c>
      <c r="F54">
        <v>27000</v>
      </c>
      <c r="G54" s="2">
        <v>1.4359486872794978</v>
      </c>
      <c r="H54" s="2">
        <f t="shared" si="24"/>
        <v>9.8477349240064897E-3</v>
      </c>
      <c r="I54" s="2">
        <f t="shared" si="25"/>
        <v>9.9821437959463598E-3</v>
      </c>
      <c r="K54" s="2">
        <f t="shared" si="26"/>
        <v>2.1858573041745282E-11</v>
      </c>
      <c r="L54" s="2">
        <f t="shared" si="27"/>
        <v>2.2026067922986821E-11</v>
      </c>
      <c r="M54" s="2">
        <f t="shared" si="28"/>
        <v>1.3246690606486271E-9</v>
      </c>
      <c r="N54" s="2">
        <f t="shared" si="15"/>
        <v>2.1858573041745282E-11</v>
      </c>
      <c r="O54">
        <f t="shared" si="16"/>
        <v>20.491803278688526</v>
      </c>
      <c r="P54">
        <f t="shared" si="17"/>
        <v>-24.546427912449627</v>
      </c>
      <c r="Q54">
        <f t="shared" si="18"/>
        <v>-10.66037819281283</v>
      </c>
      <c r="R54">
        <f t="shared" si="19"/>
        <v>-22.729941356340365</v>
      </c>
      <c r="S54">
        <f t="shared" si="20"/>
        <v>-1.8164865561092611</v>
      </c>
      <c r="U54">
        <f t="shared" si="21"/>
        <v>6.4526398387699625E-8</v>
      </c>
      <c r="V54" s="2">
        <f t="shared" si="22"/>
        <v>-6.5036730082254961E-8</v>
      </c>
      <c r="W54" s="2">
        <f t="shared" si="23"/>
        <v>-3.7904734825552836E-6</v>
      </c>
    </row>
    <row r="55" spans="1:26" x14ac:dyDescent="0.3">
      <c r="A55" s="5">
        <v>10</v>
      </c>
      <c r="B55" s="7">
        <v>205</v>
      </c>
      <c r="C55" s="6">
        <v>520</v>
      </c>
      <c r="D55" s="11">
        <f>'Raw Data and Corrections'!CI43</f>
        <v>1.9867157962814682E-2</v>
      </c>
      <c r="E55">
        <v>1.0286564269391755E-2</v>
      </c>
      <c r="F55">
        <v>31200</v>
      </c>
      <c r="G55" s="2">
        <v>1.4912304433243895</v>
      </c>
      <c r="H55" s="2">
        <f t="shared" si="24"/>
        <v>1.0226857161789992E-2</v>
      </c>
      <c r="I55" s="2">
        <f t="shared" si="25"/>
        <v>1.0297402411144022E-2</v>
      </c>
      <c r="K55" s="2">
        <f t="shared" si="26"/>
        <v>1.3832329089721145E-11</v>
      </c>
      <c r="L55" s="2">
        <f t="shared" si="27"/>
        <v>1.3943085758730824E-11</v>
      </c>
      <c r="M55" s="2">
        <f t="shared" si="28"/>
        <v>8.0281227362684973E-10</v>
      </c>
      <c r="N55" s="2">
        <f t="shared" si="15"/>
        <v>1.3832329089721145E-11</v>
      </c>
      <c r="O55">
        <f t="shared" si="16"/>
        <v>20.92050209205021</v>
      </c>
      <c r="P55">
        <f t="shared" si="17"/>
        <v>-25.004012575918988</v>
      </c>
      <c r="Q55">
        <f t="shared" si="18"/>
        <v>-10.85910468716113</v>
      </c>
      <c r="R55">
        <f t="shared" si="19"/>
        <v>-23.557707783260607</v>
      </c>
      <c r="S55">
        <f t="shared" si="20"/>
        <v>-1.4463047926583812</v>
      </c>
      <c r="U55">
        <f t="shared" si="21"/>
        <v>5.7603710409380127E-8</v>
      </c>
      <c r="V55" s="2">
        <f t="shared" si="22"/>
        <v>-5.8073810238644829E-8</v>
      </c>
      <c r="W55" s="2">
        <f t="shared" si="23"/>
        <v>-3.2812623131452922E-6</v>
      </c>
    </row>
    <row r="56" spans="1:26" x14ac:dyDescent="0.3">
      <c r="A56" s="5">
        <v>11</v>
      </c>
      <c r="B56" s="7">
        <v>195</v>
      </c>
      <c r="C56" s="6">
        <v>1106</v>
      </c>
      <c r="D56" s="11">
        <f>'Raw Data and Corrections'!CI47</f>
        <v>2.3825861397308169E-2</v>
      </c>
      <c r="E56">
        <v>4.2852357100173722E-3</v>
      </c>
      <c r="F56">
        <v>66360</v>
      </c>
      <c r="G56" s="2">
        <v>1.5467152370384845</v>
      </c>
      <c r="H56" s="2">
        <f t="shared" si="24"/>
        <v>1.0607371831742983E-2</v>
      </c>
      <c r="I56" s="2">
        <f t="shared" si="25"/>
        <v>1.0636759974740688E-2</v>
      </c>
      <c r="K56" s="2">
        <f t="shared" si="26"/>
        <v>8.5212896521839698E-12</v>
      </c>
      <c r="L56" s="2">
        <f t="shared" si="27"/>
        <v>8.5918928720983531E-12</v>
      </c>
      <c r="M56" s="2">
        <f t="shared" si="28"/>
        <v>4.7827319003432633E-10</v>
      </c>
      <c r="N56" s="2">
        <f t="shared" si="15"/>
        <v>8.5212896521839698E-12</v>
      </c>
      <c r="O56">
        <f t="shared" si="16"/>
        <v>21.367521367521366</v>
      </c>
      <c r="P56">
        <f t="shared" si="17"/>
        <v>-25.488453418915022</v>
      </c>
      <c r="Q56">
        <f t="shared" si="18"/>
        <v>-11.069494672082866</v>
      </c>
      <c r="R56">
        <f t="shared" si="19"/>
        <v>-24.420848843809917</v>
      </c>
      <c r="S56">
        <f t="shared" si="20"/>
        <v>-1.0676045751051042</v>
      </c>
      <c r="U56">
        <f t="shared" si="21"/>
        <v>2.7975660533992449E-8</v>
      </c>
      <c r="V56" s="2">
        <f t="shared" si="22"/>
        <v>-2.8211562510183122E-8</v>
      </c>
      <c r="W56" s="2">
        <f t="shared" si="23"/>
        <v>-1.5432564729489157E-6</v>
      </c>
    </row>
    <row r="57" spans="1:26" x14ac:dyDescent="0.3">
      <c r="A57" s="5">
        <v>12</v>
      </c>
      <c r="B57" s="7">
        <v>185</v>
      </c>
      <c r="C57" s="6">
        <v>740</v>
      </c>
      <c r="D57" s="11">
        <f>'Raw Data and Corrections'!CI51</f>
        <v>3.8521578559998328E-3</v>
      </c>
      <c r="E57">
        <v>1.9098529718839911E-3</v>
      </c>
      <c r="F57">
        <v>44400</v>
      </c>
      <c r="G57" s="2">
        <v>1.602041375714798</v>
      </c>
      <c r="H57" s="2">
        <f t="shared" si="24"/>
        <v>1.098679844557651E-2</v>
      </c>
      <c r="I57" s="2">
        <f t="shared" si="25"/>
        <v>1.0999896215697092E-2</v>
      </c>
      <c r="K57" s="2">
        <f t="shared" si="26"/>
        <v>1.4876725296476541E-11</v>
      </c>
      <c r="L57" s="2">
        <f t="shared" si="27"/>
        <v>1.5004266955398797E-11</v>
      </c>
      <c r="M57" s="2">
        <f t="shared" si="28"/>
        <v>8.0752156822584646E-10</v>
      </c>
      <c r="N57" s="2">
        <f t="shared" si="15"/>
        <v>1.4876725296476541E-11</v>
      </c>
      <c r="O57">
        <f t="shared" si="16"/>
        <v>21.834061135371179</v>
      </c>
      <c r="P57">
        <f t="shared" si="17"/>
        <v>-24.931223184904997</v>
      </c>
      <c r="Q57">
        <f t="shared" si="18"/>
        <v>-10.827492656302656</v>
      </c>
      <c r="R57">
        <f t="shared" si="19"/>
        <v>-25.321681653728202</v>
      </c>
      <c r="S57">
        <f t="shared" si="20"/>
        <v>0.3904584688232049</v>
      </c>
      <c r="U57">
        <f t="shared" si="21"/>
        <v>4.3239731158013201E-8</v>
      </c>
      <c r="V57" s="2">
        <f t="shared" si="22"/>
        <v>-4.3616914508556959E-8</v>
      </c>
      <c r="W57" s="2">
        <f t="shared" si="23"/>
        <v>-2.3073896876869193E-6</v>
      </c>
    </row>
    <row r="58" spans="1:26" x14ac:dyDescent="0.3">
      <c r="A58" s="5">
        <v>13</v>
      </c>
      <c r="B58" s="7">
        <v>175</v>
      </c>
      <c r="C58" s="6">
        <v>920</v>
      </c>
      <c r="D58" s="11">
        <f>'Raw Data and Corrections'!CI55</f>
        <v>1.3378357497085281E-2</v>
      </c>
      <c r="E58">
        <v>3.3303786853332933E-3</v>
      </c>
      <c r="F58">
        <v>55200</v>
      </c>
      <c r="G58" s="2">
        <v>1.6351145558218827</v>
      </c>
      <c r="H58" s="2">
        <f t="shared" si="24"/>
        <v>1.1213614287725821E-2</v>
      </c>
      <c r="I58" s="2">
        <f t="shared" si="25"/>
        <v>1.1236454022028485E-2</v>
      </c>
      <c r="K58" s="2">
        <f t="shared" si="26"/>
        <v>7.5052772402858115E-12</v>
      </c>
      <c r="L58" s="2">
        <f t="shared" si="27"/>
        <v>7.5713906374365491E-12</v>
      </c>
      <c r="M58" s="2">
        <f t="shared" si="28"/>
        <v>3.9669161076152516E-10</v>
      </c>
      <c r="N58" s="2">
        <f t="shared" si="15"/>
        <v>7.5052772402858115E-12</v>
      </c>
      <c r="O58">
        <f t="shared" si="16"/>
        <v>22.321428571428573</v>
      </c>
      <c r="P58">
        <f t="shared" si="17"/>
        <v>-25.615414710781138</v>
      </c>
      <c r="Q58">
        <f t="shared" si="18"/>
        <v>-11.12463326055563</v>
      </c>
      <c r="R58">
        <f t="shared" si="19"/>
        <v>-26.262730214089263</v>
      </c>
      <c r="S58">
        <f t="shared" si="20"/>
        <v>0.64731550330812482</v>
      </c>
      <c r="U58">
        <f t="shared" si="21"/>
        <v>3.5527738937202266E-8</v>
      </c>
      <c r="V58" s="2">
        <f t="shared" si="22"/>
        <v>-3.5844380857554548E-8</v>
      </c>
      <c r="W58" s="2">
        <f t="shared" si="23"/>
        <v>-1.8563879065315774E-6</v>
      </c>
    </row>
    <row r="59" spans="1:26" x14ac:dyDescent="0.3">
      <c r="A59" s="5">
        <v>14</v>
      </c>
      <c r="B59" s="7">
        <v>200</v>
      </c>
      <c r="C59" s="6">
        <v>260</v>
      </c>
      <c r="D59" s="11">
        <f>'Raw Data and Corrections'!CI59</f>
        <v>7.4973184341620572E-3</v>
      </c>
      <c r="E59">
        <v>9.1026262885347941E-3</v>
      </c>
      <c r="F59">
        <v>15600</v>
      </c>
      <c r="G59" s="2">
        <v>1.6546682514507727</v>
      </c>
      <c r="H59" s="2">
        <f t="shared" si="24"/>
        <v>1.1347713516370843E-2</v>
      </c>
      <c r="I59" s="2">
        <f t="shared" si="25"/>
        <v>1.1410139320019587E-2</v>
      </c>
      <c r="K59" s="2">
        <f t="shared" si="26"/>
        <v>1.4056071003224172E-11</v>
      </c>
      <c r="L59" s="2">
        <f t="shared" si="27"/>
        <v>1.4181973542475039E-11</v>
      </c>
      <c r="M59" s="2">
        <f t="shared" si="28"/>
        <v>7.3087772675458353E-10</v>
      </c>
      <c r="N59" s="2">
        <f t="shared" si="15"/>
        <v>1.4056071003224172E-11</v>
      </c>
      <c r="O59">
        <f t="shared" si="16"/>
        <v>21.141649048625794</v>
      </c>
      <c r="P59">
        <f t="shared" si="17"/>
        <v>-24.987966713603452</v>
      </c>
      <c r="Q59">
        <f t="shared" si="18"/>
        <v>-10.852136057700115</v>
      </c>
      <c r="R59">
        <f t="shared" si="19"/>
        <v>-23.98471625718987</v>
      </c>
      <c r="S59">
        <f t="shared" si="20"/>
        <v>-1.003250456413582</v>
      </c>
      <c r="U59">
        <f t="shared" si="21"/>
        <v>1.276567302856466E-7</v>
      </c>
      <c r="V59" s="2">
        <f t="shared" si="22"/>
        <v>-1.2881223780453105E-7</v>
      </c>
      <c r="W59" s="2">
        <f t="shared" si="23"/>
        <v>-6.5699112723179421E-6</v>
      </c>
    </row>
    <row r="60" spans="1:26" x14ac:dyDescent="0.3">
      <c r="A60" s="5">
        <v>15</v>
      </c>
      <c r="B60" s="7">
        <v>209.99</v>
      </c>
      <c r="C60" s="6">
        <v>520</v>
      </c>
      <c r="D60" s="11">
        <f>'Raw Data and Corrections'!CI61</f>
        <v>0.20896575086991656</v>
      </c>
      <c r="E60">
        <v>5.3482889981913369E-2</v>
      </c>
      <c r="F60">
        <v>31200</v>
      </c>
      <c r="G60" s="2">
        <v>1.8713997936537554</v>
      </c>
      <c r="H60" s="2">
        <f t="shared" si="24"/>
        <v>1.2834058255701121E-2</v>
      </c>
      <c r="I60" s="2">
        <f t="shared" si="25"/>
        <v>1.3200843871494623E-2</v>
      </c>
      <c r="K60" s="2">
        <f t="shared" si="26"/>
        <v>9.6557465572222834E-11</v>
      </c>
      <c r="L60" s="2">
        <f t="shared" si="27"/>
        <v>9.7487683092868903E-11</v>
      </c>
      <c r="M60" s="2">
        <f t="shared" si="28"/>
        <v>4.6808824058810197E-9</v>
      </c>
      <c r="N60" s="2">
        <f t="shared" si="15"/>
        <v>9.6557465572222834E-11</v>
      </c>
      <c r="O60">
        <f t="shared" si="16"/>
        <v>20.704362409159611</v>
      </c>
      <c r="P60">
        <f t="shared" si="17"/>
        <v>-23.060882786664525</v>
      </c>
      <c r="Q60">
        <f t="shared" si="18"/>
        <v>-10.015214142066089</v>
      </c>
      <c r="R60">
        <f t="shared" si="19"/>
        <v>-23.140367759342507</v>
      </c>
      <c r="S60">
        <f t="shared" si="20"/>
        <v>7.9484972677981602E-2</v>
      </c>
      <c r="U60">
        <f t="shared" si="21"/>
        <v>7.3845573589518081E-8</v>
      </c>
      <c r="V60" s="2">
        <f t="shared" si="22"/>
        <v>-7.4620126439267127E-8</v>
      </c>
      <c r="W60" s="2">
        <f t="shared" si="23"/>
        <v>-3.2909167124048629E-6</v>
      </c>
    </row>
    <row r="61" spans="1:26" x14ac:dyDescent="0.3">
      <c r="A61" s="5">
        <v>16</v>
      </c>
      <c r="B61" s="7">
        <v>219.98</v>
      </c>
      <c r="C61" s="6">
        <v>1167</v>
      </c>
      <c r="D61" s="11">
        <f>'Raw Data and Corrections'!CI65</f>
        <v>0.26791643021461004</v>
      </c>
      <c r="E61">
        <v>2.6943849939813705E-2</v>
      </c>
      <c r="F61">
        <v>70020</v>
      </c>
      <c r="G61" s="2">
        <v>2.6765802826323815</v>
      </c>
      <c r="H61" s="2">
        <f t="shared" si="24"/>
        <v>1.8355985391179653E-2</v>
      </c>
      <c r="I61" s="2">
        <f t="shared" si="25"/>
        <v>1.8540766292050277E-2</v>
      </c>
      <c r="K61" s="2">
        <f t="shared" si="26"/>
        <v>2.02749231946145E-10</v>
      </c>
      <c r="L61" s="2">
        <f t="shared" si="27"/>
        <v>2.0532017356219686E-10</v>
      </c>
      <c r="M61" s="2">
        <f t="shared" si="28"/>
        <v>7.5792607374015769E-9</v>
      </c>
      <c r="N61" s="2">
        <f t="shared" si="15"/>
        <v>2.02749231946145E-10</v>
      </c>
      <c r="O61">
        <f t="shared" si="16"/>
        <v>20.28479857195018</v>
      </c>
      <c r="P61">
        <f t="shared" si="17"/>
        <v>-22.319051211121977</v>
      </c>
      <c r="Q61">
        <f t="shared" si="18"/>
        <v>-9.6930407823063636</v>
      </c>
      <c r="R61">
        <f t="shared" si="19"/>
        <v>-22.33023988502347</v>
      </c>
      <c r="S61">
        <f t="shared" si="20"/>
        <v>1.1188673901493473E-2</v>
      </c>
      <c r="U61">
        <f t="shared" si="21"/>
        <v>4.6214998234655509E-8</v>
      </c>
      <c r="V61" s="2">
        <f t="shared" si="22"/>
        <v>-4.6899052633996113E-8</v>
      </c>
      <c r="W61" s="2">
        <f t="shared" si="23"/>
        <v>-1.4743679545521281E-6</v>
      </c>
    </row>
    <row r="62" spans="1:26" x14ac:dyDescent="0.3">
      <c r="A62" s="5">
        <v>17</v>
      </c>
      <c r="B62" s="7">
        <v>229.99</v>
      </c>
      <c r="C62" s="6">
        <v>370</v>
      </c>
      <c r="D62" s="11">
        <f>'Raw Data and Corrections'!CI69</f>
        <v>0.18557846724071747</v>
      </c>
      <c r="E62">
        <v>5.8963091818407115E-2</v>
      </c>
      <c r="F62">
        <v>22200</v>
      </c>
      <c r="G62" s="2">
        <v>3.1616484034204646</v>
      </c>
      <c r="H62" s="2">
        <f t="shared" si="24"/>
        <v>2.1682582167180765E-2</v>
      </c>
      <c r="I62" s="2">
        <f t="shared" si="25"/>
        <v>2.2086951002690907E-2</v>
      </c>
      <c r="K62" s="2">
        <f t="shared" si="26"/>
        <v>4.9676769826539504E-10</v>
      </c>
      <c r="L62" s="2">
        <f t="shared" si="27"/>
        <v>5.0477161176341759E-10</v>
      </c>
      <c r="M62" s="2">
        <f t="shared" si="28"/>
        <v>1.463362084814959E-8</v>
      </c>
      <c r="N62" s="2">
        <f t="shared" si="15"/>
        <v>4.9676769826539504E-10</v>
      </c>
      <c r="O62">
        <f t="shared" si="16"/>
        <v>19.881110956480249</v>
      </c>
      <c r="P62">
        <f t="shared" si="17"/>
        <v>-21.42289860701776</v>
      </c>
      <c r="Q62">
        <f t="shared" si="18"/>
        <v>-9.3038466514006739</v>
      </c>
      <c r="R62">
        <f t="shared" si="19"/>
        <v>-21.550767106852806</v>
      </c>
      <c r="S62">
        <f t="shared" si="20"/>
        <v>0.12786849983504567</v>
      </c>
      <c r="U62">
        <f t="shared" si="21"/>
        <v>1.7364415167730595E-7</v>
      </c>
      <c r="V62" s="2">
        <f t="shared" si="22"/>
        <v>-1.767156245079476E-7</v>
      </c>
      <c r="W62" s="2">
        <f t="shared" si="23"/>
        <v>-4.6670992741798923E-6</v>
      </c>
    </row>
    <row r="63" spans="1:26" x14ac:dyDescent="0.3">
      <c r="A63" s="5">
        <v>18</v>
      </c>
      <c r="B63" s="7">
        <v>240</v>
      </c>
      <c r="C63" s="6">
        <v>320</v>
      </c>
      <c r="D63" s="11">
        <f>'Raw Data and Corrections'!CI73</f>
        <v>0.37272823094361257</v>
      </c>
      <c r="E63">
        <v>0.12426166694170741</v>
      </c>
      <c r="F63">
        <v>19200</v>
      </c>
      <c r="G63" s="2">
        <v>3.6430418162593958</v>
      </c>
      <c r="H63" s="2">
        <f t="shared" si="24"/>
        <v>2.4983977799069305E-2</v>
      </c>
      <c r="I63" s="2">
        <f t="shared" si="25"/>
        <v>2.5836164209417634E-2</v>
      </c>
      <c r="K63" s="2">
        <f t="shared" si="26"/>
        <v>6.1979978802902895E-10</v>
      </c>
      <c r="L63" s="2">
        <f t="shared" si="27"/>
        <v>6.3151250105985318E-10</v>
      </c>
      <c r="M63" s="2">
        <f t="shared" si="28"/>
        <v>1.5656525225557085E-8</v>
      </c>
      <c r="N63" s="2">
        <f t="shared" si="15"/>
        <v>6.1979978802902895E-10</v>
      </c>
      <c r="O63">
        <f t="shared" si="16"/>
        <v>19.49317738791423</v>
      </c>
      <c r="P63">
        <f t="shared" si="17"/>
        <v>-21.201624612573944</v>
      </c>
      <c r="Q63">
        <f t="shared" si="18"/>
        <v>-9.2077485766250327</v>
      </c>
      <c r="R63">
        <f t="shared" si="19"/>
        <v>-20.801713519752273</v>
      </c>
      <c r="S63">
        <f t="shared" si="20"/>
        <v>-0.39991109282167159</v>
      </c>
      <c r="U63">
        <f t="shared" si="21"/>
        <v>2.348573601772164E-7</v>
      </c>
      <c r="V63" s="2">
        <f t="shared" si="22"/>
        <v>-2.3973306460327337E-7</v>
      </c>
      <c r="W63" s="2">
        <f t="shared" si="23"/>
        <v>-5.4171021213172974E-6</v>
      </c>
      <c r="Y63" s="2"/>
      <c r="Z63" s="2"/>
    </row>
    <row r="64" spans="1:26" x14ac:dyDescent="0.3">
      <c r="A64" s="5">
        <v>19</v>
      </c>
      <c r="B64" s="7">
        <v>245</v>
      </c>
      <c r="C64" s="6">
        <v>250</v>
      </c>
      <c r="D64" s="11">
        <f>'Raw Data and Corrections'!CI77</f>
        <v>0.28106510118020112</v>
      </c>
      <c r="E64">
        <v>0.15214280836708616</v>
      </c>
      <c r="F64">
        <v>15000</v>
      </c>
      <c r="G64" s="2">
        <v>4.2358768242785416</v>
      </c>
      <c r="H64" s="2">
        <f t="shared" si="24"/>
        <v>2.9049639799641518E-2</v>
      </c>
      <c r="I64" s="2">
        <f t="shared" si="25"/>
        <v>3.0093035055102593E-2</v>
      </c>
      <c r="K64" s="2">
        <f t="shared" si="26"/>
        <v>1.026103452015765E-9</v>
      </c>
      <c r="L64" s="2">
        <f t="shared" si="27"/>
        <v>1.0487901838928793E-9</v>
      </c>
      <c r="M64" s="2">
        <f t="shared" si="28"/>
        <v>2.2318720227218821E-8</v>
      </c>
      <c r="N64" s="2">
        <f t="shared" si="15"/>
        <v>1.026103452015765E-9</v>
      </c>
      <c r="O64">
        <f t="shared" si="16"/>
        <v>19.305019305019304</v>
      </c>
      <c r="P64">
        <f t="shared" si="17"/>
        <v>-20.697497264856157</v>
      </c>
      <c r="Q64">
        <f t="shared" si="18"/>
        <v>-8.9888088513346762</v>
      </c>
      <c r="R64">
        <f t="shared" si="19"/>
        <v>-20.438402637800539</v>
      </c>
      <c r="S64">
        <f t="shared" si="20"/>
        <v>-0.25909462705561737</v>
      </c>
      <c r="U64">
        <f t="shared" si="21"/>
        <v>3.5014836241974229E-7</v>
      </c>
      <c r="V64" s="2">
        <f t="shared" si="22"/>
        <v>-3.5864762260167302E-7</v>
      </c>
      <c r="W64" s="2">
        <f t="shared" si="23"/>
        <v>-6.9643231982972764E-6</v>
      </c>
    </row>
    <row r="65" spans="1:23" x14ac:dyDescent="0.3">
      <c r="A65" s="5">
        <v>20</v>
      </c>
      <c r="B65" s="7">
        <v>249.99</v>
      </c>
      <c r="C65" s="6">
        <v>210</v>
      </c>
      <c r="D65" s="11">
        <f>'Raw Data and Corrections'!CI81</f>
        <v>0.30373831202651314</v>
      </c>
      <c r="E65">
        <v>0.20199919944560826</v>
      </c>
      <c r="F65">
        <v>12600</v>
      </c>
      <c r="G65" s="2">
        <v>4.7263353878919219</v>
      </c>
      <c r="H65" s="2">
        <f t="shared" si="24"/>
        <v>3.2413204228133825E-2</v>
      </c>
      <c r="I65" s="2">
        <f t="shared" si="25"/>
        <v>3.3798514572872265E-2</v>
      </c>
      <c r="K65" s="2">
        <f t="shared" si="26"/>
        <v>1.0044304014945668E-9</v>
      </c>
      <c r="L65" s="2">
        <f t="shared" si="27"/>
        <v>1.0297898652486419E-9</v>
      </c>
      <c r="M65" s="2">
        <f t="shared" si="28"/>
        <v>1.9259244753003772E-8</v>
      </c>
      <c r="N65" s="2">
        <f t="shared" si="15"/>
        <v>1.0044304014945668E-9</v>
      </c>
      <c r="O65">
        <f t="shared" si="16"/>
        <v>19.120824489952007</v>
      </c>
      <c r="P65">
        <f t="shared" si="17"/>
        <v>-20.718845220789209</v>
      </c>
      <c r="Q65">
        <f t="shared" si="18"/>
        <v>-8.998080150796314</v>
      </c>
      <c r="R65">
        <f t="shared" si="19"/>
        <v>-20.082744354704577</v>
      </c>
      <c r="S65">
        <f t="shared" si="20"/>
        <v>-0.63610086608463234</v>
      </c>
      <c r="U65">
        <f t="shared" si="21"/>
        <v>4.6817092188881427E-7</v>
      </c>
      <c r="V65" s="2">
        <f t="shared" si="22"/>
        <v>-4.8097693420162805E-7</v>
      </c>
      <c r="W65" s="2">
        <f t="shared" si="23"/>
        <v>-8.3226572329094303E-6</v>
      </c>
    </row>
    <row r="66" spans="1:23" x14ac:dyDescent="0.3">
      <c r="A66" s="5">
        <v>21</v>
      </c>
      <c r="B66" s="7">
        <v>244.909999999999</v>
      </c>
      <c r="C66" s="6">
        <v>270</v>
      </c>
      <c r="D66" s="11">
        <f>'Raw Data and Corrections'!CI85</f>
        <v>0.12905586826405124</v>
      </c>
      <c r="E66">
        <v>0.10527623198998548</v>
      </c>
      <c r="F66">
        <v>16200</v>
      </c>
      <c r="G66" s="2">
        <v>5.0845761497510589</v>
      </c>
      <c r="H66" s="2">
        <f t="shared" si="24"/>
        <v>3.4870019080234627E-2</v>
      </c>
      <c r="I66" s="2">
        <f t="shared" si="25"/>
        <v>3.559200339319761E-2</v>
      </c>
      <c r="K66" s="2">
        <f t="shared" si="26"/>
        <v>3.9635481022887964E-10</v>
      </c>
      <c r="L66" s="2">
        <f t="shared" si="27"/>
        <v>4.073745455059887E-10</v>
      </c>
      <c r="M66" s="2">
        <f t="shared" si="28"/>
        <v>6.9398880740083129E-9</v>
      </c>
      <c r="N66" s="2">
        <f t="shared" si="15"/>
        <v>3.9635481022887964E-10</v>
      </c>
      <c r="O66">
        <f t="shared" si="16"/>
        <v>19.308374041821978</v>
      </c>
      <c r="P66">
        <f t="shared" si="17"/>
        <v>-21.648711320402946</v>
      </c>
      <c r="Q66">
        <f t="shared" si="18"/>
        <v>-9.4019158667674603</v>
      </c>
      <c r="R66">
        <f t="shared" si="19"/>
        <v>-20.444880235614793</v>
      </c>
      <c r="S66">
        <f t="shared" si="20"/>
        <v>-1.2038310847881526</v>
      </c>
      <c r="U66">
        <f t="shared" si="21"/>
        <v>3.8345533740264955E-7</v>
      </c>
      <c r="V66" s="2">
        <f t="shared" si="22"/>
        <v>-3.9451857536434808E-7</v>
      </c>
      <c r="W66" s="2">
        <f t="shared" si="23"/>
        <v>-6.485215877514266E-6</v>
      </c>
    </row>
    <row r="67" spans="1:23" x14ac:dyDescent="0.3">
      <c r="A67" s="5">
        <v>22</v>
      </c>
      <c r="B67" s="7">
        <v>239.99</v>
      </c>
      <c r="C67" s="6">
        <v>320</v>
      </c>
      <c r="D67" s="11">
        <f>'Raw Data and Corrections'!CI89</f>
        <v>9.3092332420297824E-2</v>
      </c>
      <c r="E67">
        <v>5.5862832423451719E-2</v>
      </c>
      <c r="F67">
        <v>19200</v>
      </c>
      <c r="G67" s="2">
        <v>5.303111570911577</v>
      </c>
      <c r="H67" s="2">
        <f t="shared" si="24"/>
        <v>3.636873481998168E-2</v>
      </c>
      <c r="I67" s="2">
        <f t="shared" si="25"/>
        <v>3.6751842079094529E-2</v>
      </c>
      <c r="K67" s="2">
        <f t="shared" si="26"/>
        <v>2.5404615740863021E-10</v>
      </c>
      <c r="L67" s="2">
        <f t="shared" si="27"/>
        <v>2.6145864005236977E-10</v>
      </c>
      <c r="M67" s="2">
        <f t="shared" si="28"/>
        <v>4.2519098585957789E-9</v>
      </c>
      <c r="N67" s="2">
        <f t="shared" si="15"/>
        <v>2.5404615740863021E-10</v>
      </c>
      <c r="O67">
        <f t="shared" si="16"/>
        <v>19.493557379286145</v>
      </c>
      <c r="P67">
        <f t="shared" si="17"/>
        <v>-22.093505143338248</v>
      </c>
      <c r="Q67">
        <f t="shared" si="18"/>
        <v>-9.595087369652914</v>
      </c>
      <c r="R67">
        <f t="shared" si="19"/>
        <v>-20.80244723790214</v>
      </c>
      <c r="S67">
        <f t="shared" si="20"/>
        <v>-1.2910579054361087</v>
      </c>
      <c r="U67">
        <f t="shared" si="21"/>
        <v>3.3408367211104053E-7</v>
      </c>
      <c r="V67" s="2">
        <f t="shared" si="22"/>
        <v>-3.4404700860985447E-7</v>
      </c>
      <c r="W67" s="2">
        <f t="shared" si="23"/>
        <v>-5.4784895646850311E-6</v>
      </c>
    </row>
    <row r="68" spans="1:23" x14ac:dyDescent="0.3">
      <c r="A68" s="5">
        <v>23</v>
      </c>
      <c r="B68" s="7">
        <v>235</v>
      </c>
      <c r="C68" s="6">
        <v>370</v>
      </c>
      <c r="D68" s="11">
        <f>'Raw Data and Corrections'!CI93</f>
        <v>9.873894513472431E-2</v>
      </c>
      <c r="E68">
        <v>3.9304060536724465E-2</v>
      </c>
      <c r="F68">
        <v>22200</v>
      </c>
      <c r="G68" s="2">
        <v>5.4714195120880476</v>
      </c>
      <c r="H68" s="2">
        <f t="shared" si="24"/>
        <v>3.7522990543040494E-2</v>
      </c>
      <c r="I68" s="2">
        <f t="shared" si="25"/>
        <v>3.7792537758084839E-2</v>
      </c>
      <c r="K68" s="2">
        <f t="shared" si="26"/>
        <v>2.2515110208767628E-10</v>
      </c>
      <c r="L68" s="2">
        <f t="shared" si="27"/>
        <v>2.3193882930995245E-10</v>
      </c>
      <c r="M68" s="2">
        <f t="shared" si="28"/>
        <v>3.6552828654458719E-9</v>
      </c>
      <c r="N68" s="2">
        <f t="shared" si="15"/>
        <v>2.2515110208767628E-10</v>
      </c>
      <c r="O68">
        <f t="shared" si="16"/>
        <v>19.685039370078741</v>
      </c>
      <c r="P68">
        <f t="shared" si="17"/>
        <v>-22.214249374288766</v>
      </c>
      <c r="Q68">
        <f t="shared" si="18"/>
        <v>-9.6475259228763761</v>
      </c>
      <c r="R68">
        <f t="shared" si="19"/>
        <v>-21.172176190718805</v>
      </c>
      <c r="S68">
        <f t="shared" si="20"/>
        <v>-1.0420731835699613</v>
      </c>
      <c r="U68">
        <f t="shared" si="21"/>
        <v>2.9711901646975524E-7</v>
      </c>
      <c r="V68" s="2">
        <f t="shared" si="22"/>
        <v>-3.0623946111627171E-7</v>
      </c>
      <c r="W68" s="2">
        <f t="shared" si="23"/>
        <v>-4.7432777860113041E-6</v>
      </c>
    </row>
    <row r="69" spans="1:23" x14ac:dyDescent="0.3">
      <c r="A69" s="5">
        <v>24</v>
      </c>
      <c r="B69" s="7">
        <v>230</v>
      </c>
      <c r="C69" s="6">
        <v>420</v>
      </c>
      <c r="D69" s="11">
        <f>'Raw Data and Corrections'!CI97</f>
        <v>6.1836962361749043E-2</v>
      </c>
      <c r="E69">
        <v>2.3579154160969555E-2</v>
      </c>
      <c r="F69">
        <v>25200</v>
      </c>
      <c r="G69" s="2">
        <v>5.5835195846451295</v>
      </c>
      <c r="H69" s="2">
        <f t="shared" si="24"/>
        <v>3.8291772749036668E-2</v>
      </c>
      <c r="I69" s="2">
        <f t="shared" si="25"/>
        <v>3.8453478569005363E-2</v>
      </c>
      <c r="K69" s="2">
        <f t="shared" si="26"/>
        <v>1.3153670468109602E-10</v>
      </c>
      <c r="L69" s="2">
        <f t="shared" si="27"/>
        <v>1.3560204053499032E-10</v>
      </c>
      <c r="M69" s="2">
        <f t="shared" si="28"/>
        <v>2.0866456292998464E-9</v>
      </c>
      <c r="N69" s="2">
        <f t="shared" si="15"/>
        <v>1.3153670468109602E-10</v>
      </c>
      <c r="O69">
        <f t="shared" si="16"/>
        <v>19.880715705765407</v>
      </c>
      <c r="P69">
        <f t="shared" si="17"/>
        <v>-22.751735180208161</v>
      </c>
      <c r="Q69">
        <f t="shared" si="18"/>
        <v>-9.8809530424884908</v>
      </c>
      <c r="R69">
        <f t="shared" si="19"/>
        <v>-21.550003924726415</v>
      </c>
      <c r="S69">
        <f t="shared" si="20"/>
        <v>-1.2017312554817465</v>
      </c>
      <c r="U69">
        <f t="shared" si="21"/>
        <v>2.6632532137865914E-7</v>
      </c>
      <c r="V69" s="2">
        <f t="shared" si="22"/>
        <v>-2.7464846943775424E-7</v>
      </c>
      <c r="W69" s="2">
        <f t="shared" si="23"/>
        <v>-4.1814741158704338E-6</v>
      </c>
    </row>
    <row r="70" spans="1:23" x14ac:dyDescent="0.3">
      <c r="A70" s="5">
        <v>25</v>
      </c>
      <c r="B70" s="7">
        <v>225</v>
      </c>
      <c r="C70" s="6">
        <v>652</v>
      </c>
      <c r="D70" s="11">
        <f>'Raw Data and Corrections'!CI101</f>
        <v>7.7154148124146019E-2</v>
      </c>
      <c r="E70">
        <v>1.5050137012872311E-2</v>
      </c>
      <c r="F70">
        <v>39120</v>
      </c>
      <c r="G70" s="2">
        <v>5.6968567520636615</v>
      </c>
      <c r="H70" s="2">
        <f t="shared" si="24"/>
        <v>3.9069038950581794E-2</v>
      </c>
      <c r="I70" s="2">
        <f t="shared" si="25"/>
        <v>3.9172252777918158E-2</v>
      </c>
      <c r="K70" s="2">
        <f t="shared" si="26"/>
        <v>1.0645034023238594E-10</v>
      </c>
      <c r="L70" s="2">
        <f t="shared" si="27"/>
        <v>1.0980474430199436E-10</v>
      </c>
      <c r="M70" s="2">
        <f t="shared" si="28"/>
        <v>1.6585967783533156E-9</v>
      </c>
      <c r="N70" s="2">
        <f t="shared" si="15"/>
        <v>1.0645034023238594E-10</v>
      </c>
      <c r="O70">
        <f t="shared" si="16"/>
        <v>20.080321285140563</v>
      </c>
      <c r="P70">
        <f t="shared" si="17"/>
        <v>-22.963342528423325</v>
      </c>
      <c r="Q70">
        <f t="shared" si="18"/>
        <v>-9.9728529461485174</v>
      </c>
      <c r="R70">
        <f t="shared" si="19"/>
        <v>-21.935418561023344</v>
      </c>
      <c r="S70">
        <f t="shared" si="20"/>
        <v>-1.0279239673999818</v>
      </c>
      <c r="U70">
        <f t="shared" si="21"/>
        <v>1.7476604969278296E-7</v>
      </c>
      <c r="V70" s="2">
        <f t="shared" si="22"/>
        <v>-1.8033352260959571E-7</v>
      </c>
      <c r="W70" s="2">
        <f t="shared" si="23"/>
        <v>-2.6956026345995821E-6</v>
      </c>
    </row>
    <row r="71" spans="1:23" x14ac:dyDescent="0.3">
      <c r="A71" s="5">
        <v>26</v>
      </c>
      <c r="B71" s="7">
        <v>230</v>
      </c>
      <c r="C71" s="6">
        <v>500</v>
      </c>
      <c r="D71" s="11">
        <f>'Raw Data and Corrections'!CI105</f>
        <v>9.0745866145226228E-2</v>
      </c>
      <c r="E71">
        <v>2.0227350984826028E-2</v>
      </c>
      <c r="F71">
        <v>30000</v>
      </c>
      <c r="G71" s="2">
        <v>5.82512444228069</v>
      </c>
      <c r="H71" s="2">
        <f t="shared" si="24"/>
        <v>3.9948698665278837E-2</v>
      </c>
      <c r="I71" s="2">
        <f t="shared" si="25"/>
        <v>4.0087417821804409E-2</v>
      </c>
      <c r="K71" s="2">
        <f t="shared" si="26"/>
        <v>1.7870175277077573E-10</v>
      </c>
      <c r="L71" s="2">
        <f t="shared" si="27"/>
        <v>1.8445324706882485E-10</v>
      </c>
      <c r="M71" s="2">
        <f t="shared" si="28"/>
        <v>2.7303617645037235E-9</v>
      </c>
      <c r="N71" s="2">
        <f t="shared" si="15"/>
        <v>1.7870175277077573E-10</v>
      </c>
      <c r="O71">
        <f t="shared" si="16"/>
        <v>19.880715705765407</v>
      </c>
      <c r="P71">
        <f t="shared" si="17"/>
        <v>-22.445302885357012</v>
      </c>
      <c r="Q71">
        <f t="shared" si="18"/>
        <v>-9.7478711877576867</v>
      </c>
      <c r="R71">
        <f t="shared" si="19"/>
        <v>-21.550003924726415</v>
      </c>
      <c r="S71">
        <f t="shared" si="20"/>
        <v>-0.89529896063059766</v>
      </c>
      <c r="U71">
        <f t="shared" si="21"/>
        <v>2.3321914320438014E-7</v>
      </c>
      <c r="V71" s="2">
        <f t="shared" si="22"/>
        <v>-2.4082862969197491E-7</v>
      </c>
      <c r="W71" s="2">
        <f t="shared" si="23"/>
        <v>-3.5184170421166121E-6</v>
      </c>
    </row>
    <row r="72" spans="1:23" x14ac:dyDescent="0.3">
      <c r="A72" s="5">
        <v>27</v>
      </c>
      <c r="B72" s="7">
        <v>234.89999999999901</v>
      </c>
      <c r="C72" s="6">
        <v>450</v>
      </c>
      <c r="D72" s="11">
        <f>'Raw Data and Corrections'!CI109</f>
        <v>0.11767744922584733</v>
      </c>
      <c r="E72">
        <v>2.792695523407504E-2</v>
      </c>
      <c r="F72">
        <v>27000</v>
      </c>
      <c r="G72" s="2">
        <v>5.976241516357085</v>
      </c>
      <c r="H72" s="2">
        <f t="shared" si="24"/>
        <v>4.0985059435812508E-2</v>
      </c>
      <c r="I72" s="2">
        <f t="shared" si="25"/>
        <v>4.1176582471987848E-2</v>
      </c>
      <c r="K72" s="2">
        <f t="shared" si="26"/>
        <v>2.3521230034748613E-10</v>
      </c>
      <c r="L72" s="2">
        <f t="shared" si="27"/>
        <v>2.4297624774850615E-10</v>
      </c>
      <c r="M72" s="2">
        <f t="shared" si="28"/>
        <v>3.5108390792924544E-9</v>
      </c>
      <c r="N72" s="2">
        <f t="shared" si="15"/>
        <v>2.3521230034748613E-10</v>
      </c>
      <c r="O72">
        <f t="shared" si="16"/>
        <v>19.68891514077578</v>
      </c>
      <c r="P72">
        <f t="shared" si="17"/>
        <v>-22.170532603875763</v>
      </c>
      <c r="Q72">
        <f t="shared" si="18"/>
        <v>-9.6285399707193768</v>
      </c>
      <c r="R72">
        <f t="shared" si="19"/>
        <v>-21.17965984302074</v>
      </c>
      <c r="S72">
        <f t="shared" si="20"/>
        <v>-0.99087276085502296</v>
      </c>
      <c r="U72">
        <f t="shared" si="21"/>
        <v>2.6617294031673101E-7</v>
      </c>
      <c r="V72" s="2">
        <f t="shared" si="22"/>
        <v>-2.7510243405348829E-7</v>
      </c>
      <c r="W72" s="2">
        <f t="shared" si="23"/>
        <v>-3.9137930536495911E-6</v>
      </c>
    </row>
    <row r="73" spans="1:23" x14ac:dyDescent="0.3">
      <c r="A73" s="5">
        <v>28</v>
      </c>
      <c r="B73" s="7">
        <v>240</v>
      </c>
      <c r="C73" s="6">
        <v>400</v>
      </c>
      <c r="D73" s="11">
        <f>'Raw Data and Corrections'!CI113</f>
        <v>0.15154041570390805</v>
      </c>
      <c r="E73">
        <v>3.9041494980822052E-2</v>
      </c>
      <c r="F73">
        <v>24000</v>
      </c>
      <c r="G73" s="2">
        <v>6.1806957263039592</v>
      </c>
      <c r="H73" s="2">
        <f t="shared" si="24"/>
        <v>4.2387206240562567E-2</v>
      </c>
      <c r="I73" s="2">
        <f t="shared" si="25"/>
        <v>4.2654952781239076E-2</v>
      </c>
      <c r="K73" s="2">
        <f t="shared" si="26"/>
        <v>3.6784380712424643E-10</v>
      </c>
      <c r="L73" s="2">
        <f t="shared" si="27"/>
        <v>3.8037336900759365E-10</v>
      </c>
      <c r="M73" s="2">
        <f t="shared" si="28"/>
        <v>5.3337652101003778E-9</v>
      </c>
      <c r="N73" s="2">
        <f t="shared" si="15"/>
        <v>3.6784380712424643E-10</v>
      </c>
      <c r="O73">
        <f t="shared" si="16"/>
        <v>19.49317738791423</v>
      </c>
      <c r="P73">
        <f t="shared" si="17"/>
        <v>-21.723362705020939</v>
      </c>
      <c r="Q73">
        <f t="shared" si="18"/>
        <v>-9.4343365511734909</v>
      </c>
      <c r="R73">
        <f t="shared" si="19"/>
        <v>-20.801713519752273</v>
      </c>
      <c r="S73">
        <f t="shared" si="20"/>
        <v>-0.92164918526866657</v>
      </c>
      <c r="U73">
        <f t="shared" si="21"/>
        <v>3.1019557013138935E-7</v>
      </c>
      <c r="V73" s="2">
        <f t="shared" si="22"/>
        <v>-3.20990044762802E-7</v>
      </c>
      <c r="W73" s="2">
        <f t="shared" si="23"/>
        <v>-4.4098164996645273E-6</v>
      </c>
    </row>
    <row r="74" spans="1:23" x14ac:dyDescent="0.3">
      <c r="A74" s="5">
        <v>29</v>
      </c>
      <c r="B74" s="7">
        <v>245</v>
      </c>
      <c r="C74" s="6">
        <v>350</v>
      </c>
      <c r="D74" s="11">
        <f>'Raw Data and Corrections'!CI117</f>
        <v>0.19343603525804792</v>
      </c>
      <c r="E74">
        <v>5.5587238243525364E-2</v>
      </c>
      <c r="F74">
        <v>21000</v>
      </c>
      <c r="G74" s="2">
        <v>6.4384632442205705</v>
      </c>
      <c r="H74" s="2">
        <f t="shared" si="24"/>
        <v>4.4154975667805192E-2</v>
      </c>
      <c r="I74" s="2">
        <f t="shared" si="25"/>
        <v>4.4536192902257306E-2</v>
      </c>
      <c r="K74" s="2">
        <f t="shared" si="26"/>
        <v>5.4112221146610806E-10</v>
      </c>
      <c r="L74" s="2">
        <f t="shared" si="27"/>
        <v>5.6029893648249536E-10</v>
      </c>
      <c r="M74" s="2">
        <f t="shared" si="28"/>
        <v>7.5657295290752558E-9</v>
      </c>
      <c r="N74" s="2">
        <f t="shared" si="15"/>
        <v>5.4112221146610806E-10</v>
      </c>
      <c r="O74">
        <f t="shared" si="16"/>
        <v>19.305019305019304</v>
      </c>
      <c r="P74">
        <f t="shared" si="17"/>
        <v>-21.337375963395466</v>
      </c>
      <c r="Q74">
        <f t="shared" si="18"/>
        <v>-9.2667046391977337</v>
      </c>
      <c r="R74">
        <f t="shared" si="19"/>
        <v>-20.438402637800539</v>
      </c>
      <c r="S74">
        <f t="shared" si="20"/>
        <v>-0.89897332559492682</v>
      </c>
      <c r="U74">
        <f t="shared" si="21"/>
        <v>3.7014438211796148E-7</v>
      </c>
      <c r="V74" s="2">
        <f t="shared" si="22"/>
        <v>-3.8361615868450509E-7</v>
      </c>
      <c r="W74" s="2">
        <f t="shared" si="23"/>
        <v>-5.0497132731153035E-6</v>
      </c>
    </row>
    <row r="75" spans="1:23" x14ac:dyDescent="0.3">
      <c r="A75" s="5">
        <v>30</v>
      </c>
      <c r="B75" s="7">
        <v>250</v>
      </c>
      <c r="C75" s="6">
        <v>300</v>
      </c>
      <c r="D75" s="11">
        <f>'Raw Data and Corrections'!CI121</f>
        <v>0.22492479201061219</v>
      </c>
      <c r="E75">
        <v>7.583389724102918E-2</v>
      </c>
      <c r="F75">
        <v>18000</v>
      </c>
      <c r="G75" s="2">
        <v>6.737421723432611</v>
      </c>
      <c r="H75" s="2">
        <f t="shared" si="24"/>
        <v>4.6205232673953517E-2</v>
      </c>
      <c r="I75" s="2">
        <f t="shared" si="25"/>
        <v>4.6725301479266367E-2</v>
      </c>
      <c r="K75" s="2">
        <f t="shared" si="26"/>
        <v>7.3425540198882084E-10</v>
      </c>
      <c r="L75" s="2">
        <f t="shared" si="27"/>
        <v>7.6150418137202899E-10</v>
      </c>
      <c r="M75" s="2">
        <f t="shared" si="28"/>
        <v>9.8414658942710346E-9</v>
      </c>
      <c r="N75" s="2">
        <f t="shared" si="15"/>
        <v>7.3425540198882084E-10</v>
      </c>
      <c r="O75">
        <f t="shared" si="16"/>
        <v>19.120458891013385</v>
      </c>
      <c r="P75">
        <f t="shared" si="17"/>
        <v>-21.032164188724931</v>
      </c>
      <c r="Q75">
        <f t="shared" si="18"/>
        <v>-9.134152849646421</v>
      </c>
      <c r="R75">
        <f t="shared" si="19"/>
        <v>-20.082038426631822</v>
      </c>
      <c r="S75">
        <f t="shared" si="20"/>
        <v>-0.95012576209310851</v>
      </c>
      <c r="U75">
        <f t="shared" si="21"/>
        <v>4.5306130822231946E-7</v>
      </c>
      <c r="V75" s="2">
        <f t="shared" si="22"/>
        <v>-4.7039605222126783E-7</v>
      </c>
      <c r="W75" s="2">
        <f t="shared" si="23"/>
        <v>-5.9048610600191165E-6</v>
      </c>
    </row>
    <row r="76" spans="1:23" x14ac:dyDescent="0.3">
      <c r="A76" s="5">
        <v>31</v>
      </c>
      <c r="B76" s="7">
        <v>249.97</v>
      </c>
      <c r="C76" s="6">
        <v>300</v>
      </c>
      <c r="D76" s="11">
        <f>'Raw Data and Corrections'!CI126</f>
        <v>0.19350575959393279</v>
      </c>
      <c r="E76">
        <v>7.2508644731792679E-2</v>
      </c>
      <c r="F76">
        <v>18000</v>
      </c>
      <c r="G76" s="2">
        <v>7.0230790145470259</v>
      </c>
      <c r="H76" s="2">
        <f t="shared" si="24"/>
        <v>4.8164270142997123E-2</v>
      </c>
      <c r="I76" s="2">
        <f t="shared" si="25"/>
        <v>4.8661534369318783E-2</v>
      </c>
      <c r="K76" s="2">
        <f t="shared" si="26"/>
        <v>6.6197972675813397E-10</v>
      </c>
      <c r="L76" s="2">
        <f t="shared" si="27"/>
        <v>6.8771705010990653E-10</v>
      </c>
      <c r="M76" s="2">
        <f t="shared" si="28"/>
        <v>8.5033295351315212E-9</v>
      </c>
      <c r="N76" s="2">
        <f t="shared" si="15"/>
        <v>6.6197972675813397E-10</v>
      </c>
      <c r="O76">
        <f t="shared" si="16"/>
        <v>19.121555729774173</v>
      </c>
      <c r="P76">
        <f t="shared" si="17"/>
        <v>-21.135786184692897</v>
      </c>
      <c r="Q76">
        <f t="shared" si="18"/>
        <v>-9.1791553106991088</v>
      </c>
      <c r="R76">
        <f t="shared" si="19"/>
        <v>-20.084156291840745</v>
      </c>
      <c r="S76">
        <f t="shared" si="20"/>
        <v>-1.0516298928521515</v>
      </c>
      <c r="U76">
        <f t="shared" si="21"/>
        <v>4.7183555212055283E-7</v>
      </c>
      <c r="V76" s="2">
        <f t="shared" si="22"/>
        <v>-4.906700433536139E-7</v>
      </c>
      <c r="W76" s="2">
        <f t="shared" si="23"/>
        <v>-5.9168790605611414E-6</v>
      </c>
    </row>
    <row r="77" spans="1:23" x14ac:dyDescent="0.3">
      <c r="A77" s="5">
        <v>32</v>
      </c>
      <c r="B77" s="6">
        <v>249.98</v>
      </c>
      <c r="C77" s="6">
        <v>300</v>
      </c>
      <c r="D77" s="12">
        <f>'Raw Data and Corrections'!CI130</f>
        <v>0.18013935344358759</v>
      </c>
      <c r="E77">
        <v>6.7986136399718677E-2</v>
      </c>
      <c r="F77">
        <v>18000</v>
      </c>
      <c r="G77" s="2">
        <v>7.290110745592326</v>
      </c>
      <c r="H77" s="2">
        <f t="shared" si="24"/>
        <v>4.999557353630623E-2</v>
      </c>
      <c r="I77" s="2">
        <f t="shared" si="25"/>
        <v>5.0461822404182011E-2</v>
      </c>
      <c r="K77" s="2">
        <f t="shared" si="26"/>
        <v>6.3807514448269346E-10</v>
      </c>
      <c r="L77" s="2">
        <f t="shared" si="27"/>
        <v>6.6391213091293506E-10</v>
      </c>
      <c r="M77" s="2">
        <f t="shared" si="28"/>
        <v>7.898887919138611E-9</v>
      </c>
      <c r="N77" s="2">
        <f t="shared" si="15"/>
        <v>6.6391213091293506E-10</v>
      </c>
      <c r="O77">
        <f t="shared" si="16"/>
        <v>19.121190102872003</v>
      </c>
      <c r="P77">
        <f t="shared" si="17"/>
        <v>-21.132871308171339</v>
      </c>
      <c r="Q77">
        <f t="shared" si="18"/>
        <v>-9.177889395910368</v>
      </c>
      <c r="R77">
        <f t="shared" si="19"/>
        <v>-20.083450309773706</v>
      </c>
      <c r="S77">
        <f t="shared" si="20"/>
        <v>-1.0494209983976326</v>
      </c>
      <c r="U77">
        <f t="shared" si="21"/>
        <v>4.8929163750534279E-7</v>
      </c>
      <c r="V77" s="2">
        <f t="shared" si="22"/>
        <v>-5.0957895369411528E-7</v>
      </c>
      <c r="W77" s="2">
        <f t="shared" si="23"/>
        <v>-5.9280972367522573E-6</v>
      </c>
    </row>
    <row r="78" spans="1:23" x14ac:dyDescent="0.3">
      <c r="A78" s="5">
        <v>33</v>
      </c>
      <c r="B78" s="6">
        <v>250</v>
      </c>
      <c r="C78" s="6">
        <v>10250</v>
      </c>
      <c r="D78" s="12">
        <f>'Raw Data and Corrections'!CI133</f>
        <v>6.7397469200670574</v>
      </c>
      <c r="E78">
        <v>4.2986872947873671E-2</v>
      </c>
      <c r="F78">
        <v>615000</v>
      </c>
      <c r="G78" s="2">
        <v>14.115555357703972</v>
      </c>
      <c r="H78" s="2">
        <f t="shared" si="24"/>
        <v>9.6804467108894454E-2</v>
      </c>
      <c r="I78" s="2">
        <f t="shared" si="25"/>
        <v>9.7099271048445124E-2</v>
      </c>
      <c r="K78" s="2">
        <f t="shared" si="26"/>
        <v>9.6840364498365852E-10</v>
      </c>
      <c r="L78" s="2">
        <f t="shared" si="27"/>
        <v>1.0305273100436344E-9</v>
      </c>
      <c r="M78" s="2">
        <f t="shared" si="28"/>
        <v>8.2435360816272865E-9</v>
      </c>
      <c r="N78" s="2">
        <f t="shared" si="15"/>
        <v>1.0305273100436344E-9</v>
      </c>
      <c r="O78">
        <f t="shared" si="16"/>
        <v>19.120458891013385</v>
      </c>
      <c r="P78">
        <f t="shared" si="17"/>
        <v>-20.69319521420865</v>
      </c>
      <c r="Q78">
        <f t="shared" si="18"/>
        <v>-8.9869404944775972</v>
      </c>
      <c r="R78">
        <f t="shared" si="19"/>
        <v>-20.082038426631822</v>
      </c>
      <c r="S78">
        <f t="shared" si="20"/>
        <v>-0.61115678757682801</v>
      </c>
      <c r="U78">
        <f t="shared" si="21"/>
        <v>2.7556129773687378E-8</v>
      </c>
      <c r="V78" s="2">
        <f t="shared" si="22"/>
        <v>-2.9853114854362978E-8</v>
      </c>
      <c r="W78" s="2">
        <f t="shared" si="23"/>
        <v>-1.8246733756951244E-7</v>
      </c>
    </row>
    <row r="79" spans="1:23" x14ac:dyDescent="0.3">
      <c r="A79" s="5">
        <v>34</v>
      </c>
      <c r="B79" s="6">
        <v>240</v>
      </c>
      <c r="C79" s="6">
        <v>785</v>
      </c>
      <c r="D79" s="12">
        <f>'Raw Data and Corrections'!CI135</f>
        <v>0.14407283889979672</v>
      </c>
      <c r="E79">
        <v>1.8687270374551351E-2</v>
      </c>
      <c r="F79">
        <v>47100</v>
      </c>
      <c r="G79" s="2">
        <v>14.344331494195403</v>
      </c>
      <c r="H79" s="2">
        <f t="shared" si="24"/>
        <v>9.8373413666012918E-2</v>
      </c>
      <c r="I79" s="2">
        <f t="shared" si="25"/>
        <v>9.8501570950971659E-2</v>
      </c>
      <c r="K79" s="2">
        <f t="shared" si="26"/>
        <v>4.6145630565341076E-10</v>
      </c>
      <c r="L79" s="2">
        <f t="shared" si="27"/>
        <v>5.001985222382062E-10</v>
      </c>
      <c r="M79" s="2">
        <f t="shared" si="28"/>
        <v>3.0378337109015758E-9</v>
      </c>
      <c r="N79" s="2">
        <f t="shared" si="15"/>
        <v>5.001985222382062E-10</v>
      </c>
      <c r="O79">
        <f t="shared" si="16"/>
        <v>19.49317738791423</v>
      </c>
      <c r="P79">
        <f t="shared" si="17"/>
        <v>-21.416016051831246</v>
      </c>
      <c r="Q79">
        <f t="shared" si="18"/>
        <v>-9.3008575956617747</v>
      </c>
      <c r="R79">
        <f t="shared" si="19"/>
        <v>-20.801713519752273</v>
      </c>
      <c r="S79">
        <f t="shared" si="20"/>
        <v>-0.61430253207897323</v>
      </c>
      <c r="U79">
        <f t="shared" si="21"/>
        <v>3.6500567547372768E-7</v>
      </c>
      <c r="V79" s="2">
        <f t="shared" si="22"/>
        <v>-3.9591243643758818E-7</v>
      </c>
      <c r="W79" s="2">
        <f t="shared" si="23"/>
        <v>-2.3862413836013095E-6</v>
      </c>
    </row>
    <row r="80" spans="1:23" x14ac:dyDescent="0.3">
      <c r="A80" t="s">
        <v>298</v>
      </c>
      <c r="D80" s="6">
        <f>'Raw Data and Corrections'!AI138</f>
        <v>133.18435333935949</v>
      </c>
      <c r="E80" s="6">
        <v>0</v>
      </c>
      <c r="F80">
        <f>3600*C80</f>
        <v>0</v>
      </c>
      <c r="G80" s="2">
        <f>'Raw Data and Corrections'!AS138</f>
        <v>145.81512381887825</v>
      </c>
      <c r="I80" s="2"/>
    </row>
    <row r="81" spans="5:5" x14ac:dyDescent="0.3">
      <c r="E81" s="7">
        <v>1.1024229619583501</v>
      </c>
    </row>
  </sheetData>
  <mergeCells count="1">
    <mergeCell ref="U1:W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F614C-76D2-46EF-AF64-0CBD98364BBB}">
  <dimension ref="A1:AB8"/>
  <sheetViews>
    <sheetView topLeftCell="O1" workbookViewId="0">
      <selection activeCell="T6" sqref="T6"/>
    </sheetView>
  </sheetViews>
  <sheetFormatPr defaultRowHeight="14.4" x14ac:dyDescent="0.3"/>
  <cols>
    <col min="22" max="22" width="10" bestFit="1" customWidth="1"/>
  </cols>
  <sheetData>
    <row r="1" spans="1:28" x14ac:dyDescent="0.3">
      <c r="D1" t="s">
        <v>624</v>
      </c>
      <c r="F1" t="s">
        <v>625</v>
      </c>
      <c r="H1" t="s">
        <v>626</v>
      </c>
      <c r="J1" t="s">
        <v>628</v>
      </c>
      <c r="K1" t="s">
        <v>629</v>
      </c>
      <c r="L1" t="s">
        <v>627</v>
      </c>
      <c r="O1" t="s">
        <v>268</v>
      </c>
      <c r="Q1" t="s">
        <v>630</v>
      </c>
      <c r="S1" t="s">
        <v>625</v>
      </c>
      <c r="T1" t="s">
        <v>624</v>
      </c>
      <c r="V1" t="s">
        <v>303</v>
      </c>
      <c r="W1" t="s">
        <v>304</v>
      </c>
      <c r="X1" t="s">
        <v>305</v>
      </c>
      <c r="Y1" t="s">
        <v>306</v>
      </c>
    </row>
    <row r="2" spans="1:28" x14ac:dyDescent="0.3">
      <c r="A2" t="s">
        <v>307</v>
      </c>
      <c r="B2" t="s">
        <v>308</v>
      </c>
      <c r="C2" s="1">
        <v>45518.905150462961</v>
      </c>
      <c r="D2">
        <v>0.15943199999999999</v>
      </c>
      <c r="E2">
        <v>4.5300000000000001E-4</v>
      </c>
      <c r="F2">
        <v>61.292948000000003</v>
      </c>
      <c r="G2">
        <v>1.023E-3</v>
      </c>
      <c r="H2">
        <v>1.8851329999999999</v>
      </c>
      <c r="I2">
        <v>5.594E-3</v>
      </c>
      <c r="J2">
        <v>515</v>
      </c>
      <c r="K2">
        <v>9.35</v>
      </c>
      <c r="L2">
        <v>1</v>
      </c>
      <c r="M2">
        <v>0.14327000000000001</v>
      </c>
      <c r="N2">
        <v>4.2499999999999998E-4</v>
      </c>
      <c r="O2">
        <v>82.107544000000004</v>
      </c>
      <c r="P2">
        <v>0.23311899999999999</v>
      </c>
      <c r="Q2">
        <v>573.08905900000002</v>
      </c>
      <c r="R2">
        <v>9.5619999999999993E-3</v>
      </c>
      <c r="S2">
        <f>Q2*$X$5*(1/L2)</f>
        <v>60.390605399658952</v>
      </c>
      <c r="T2">
        <f>O2*$Y$5*(1/L2)</f>
        <v>0.17130855846234613</v>
      </c>
      <c r="V2">
        <v>60.64</v>
      </c>
      <c r="W2">
        <v>0.1706</v>
      </c>
      <c r="X2">
        <f>V2/Q2</f>
        <v>0.10581252433227835</v>
      </c>
      <c r="Y2">
        <f>W2/O2</f>
        <v>2.077762793635625E-3</v>
      </c>
    </row>
    <row r="3" spans="1:28" x14ac:dyDescent="0.3">
      <c r="A3" t="s">
        <v>309</v>
      </c>
      <c r="B3" t="s">
        <v>310</v>
      </c>
      <c r="C3" s="1">
        <v>45518.935520833336</v>
      </c>
      <c r="D3">
        <v>1.74E-4</v>
      </c>
      <c r="E3">
        <v>3.8000000000000002E-5</v>
      </c>
      <c r="F3">
        <v>0.108775</v>
      </c>
      <c r="G3">
        <v>2.1800000000000001E-4</v>
      </c>
      <c r="H3">
        <v>0.45619500000000002</v>
      </c>
      <c r="I3">
        <v>6.7360000000000003E-2</v>
      </c>
      <c r="J3">
        <v>539.86906699999997</v>
      </c>
      <c r="K3">
        <v>9.5989090000000008</v>
      </c>
      <c r="L3">
        <v>0.627</v>
      </c>
      <c r="M3">
        <v>3.5575000000000002E-2</v>
      </c>
      <c r="N3">
        <v>5.2529999999999999E-3</v>
      </c>
      <c r="O3">
        <v>5.8789000000000001E-2</v>
      </c>
      <c r="P3">
        <v>1.2739E-2</v>
      </c>
      <c r="Q3">
        <v>0.65466400000000002</v>
      </c>
      <c r="R3">
        <v>1.3140000000000001E-3</v>
      </c>
      <c r="S3">
        <f t="shared" ref="S3:S8" si="0">Q3*$X$5*(1/L3)</f>
        <v>0.1100267246781023</v>
      </c>
      <c r="T3">
        <f t="shared" ref="T3:T8" si="1">O3*$Y$5*(1/L3)</f>
        <v>1.9562507930000894E-4</v>
      </c>
    </row>
    <row r="4" spans="1:28" x14ac:dyDescent="0.3">
      <c r="A4" t="s">
        <v>311</v>
      </c>
      <c r="B4" t="s">
        <v>312</v>
      </c>
      <c r="C4" s="1">
        <v>45519.382673611108</v>
      </c>
      <c r="D4">
        <v>0.15811900000000001</v>
      </c>
      <c r="E4">
        <v>4.9600000000000002E-4</v>
      </c>
      <c r="F4">
        <v>61.801288999999997</v>
      </c>
      <c r="G4">
        <v>9.59E-4</v>
      </c>
      <c r="H4">
        <v>1.854195</v>
      </c>
      <c r="I4">
        <v>6.0600000000000003E-3</v>
      </c>
      <c r="J4">
        <v>515</v>
      </c>
      <c r="K4">
        <v>9.35</v>
      </c>
      <c r="L4">
        <v>1</v>
      </c>
      <c r="M4">
        <v>0.14091899999999999</v>
      </c>
      <c r="N4">
        <v>4.6099999999999998E-4</v>
      </c>
      <c r="O4">
        <v>81.431122999999999</v>
      </c>
      <c r="P4">
        <v>0.25520799999999999</v>
      </c>
      <c r="Q4">
        <v>577.84204999999997</v>
      </c>
      <c r="R4">
        <v>8.9680000000000003E-3</v>
      </c>
      <c r="S4">
        <f t="shared" si="0"/>
        <v>60.891462987919297</v>
      </c>
      <c r="T4">
        <f t="shared" si="1"/>
        <v>0.16989727880668307</v>
      </c>
      <c r="V4">
        <v>60.64</v>
      </c>
      <c r="W4">
        <v>0.1706</v>
      </c>
      <c r="X4">
        <f>V4/Q4</f>
        <v>0.10494217234623199</v>
      </c>
      <c r="Y4">
        <f>W4/O4</f>
        <v>2.0950220715978581E-3</v>
      </c>
    </row>
    <row r="5" spans="1:28" x14ac:dyDescent="0.3">
      <c r="A5" t="s">
        <v>309</v>
      </c>
      <c r="B5" t="s">
        <v>313</v>
      </c>
      <c r="C5" s="1">
        <v>45519.413043981483</v>
      </c>
      <c r="D5">
        <v>2.1900000000000001E-4</v>
      </c>
      <c r="E5">
        <v>3.1000000000000001E-5</v>
      </c>
      <c r="F5">
        <v>8.7799000000000002E-2</v>
      </c>
      <c r="G5">
        <v>9.2E-5</v>
      </c>
      <c r="H5">
        <v>0.17388300000000001</v>
      </c>
      <c r="I5">
        <v>9.9790000000000004E-2</v>
      </c>
      <c r="J5">
        <v>539.89431300000001</v>
      </c>
      <c r="K5">
        <v>9.599119</v>
      </c>
      <c r="L5">
        <v>0.627</v>
      </c>
      <c r="M5">
        <v>1.3559999999999999E-2</v>
      </c>
      <c r="N5">
        <v>7.7819999999999999E-3</v>
      </c>
      <c r="O5">
        <v>7.4235999999999996E-2</v>
      </c>
      <c r="P5">
        <v>1.0333E-2</v>
      </c>
      <c r="Q5">
        <v>0.52843300000000004</v>
      </c>
      <c r="R5">
        <v>5.5099999999999995E-4</v>
      </c>
      <c r="S5">
        <f t="shared" si="0"/>
        <v>8.8811592208863838E-2</v>
      </c>
      <c r="T5">
        <f t="shared" si="1"/>
        <v>2.4702620195811225E-4</v>
      </c>
      <c r="X5">
        <f>AVERAGE(X2:X4)</f>
        <v>0.10537734833925516</v>
      </c>
      <c r="Y5">
        <f>AVERAGE(Y2:Y4)</f>
        <v>2.0863924326167413E-3</v>
      </c>
      <c r="Z5" t="s">
        <v>320</v>
      </c>
    </row>
    <row r="6" spans="1:28" ht="15" thickBot="1" x14ac:dyDescent="0.35">
      <c r="A6" t="s">
        <v>314</v>
      </c>
      <c r="B6" t="s">
        <v>315</v>
      </c>
      <c r="C6" s="1">
        <v>45519.48238425926</v>
      </c>
      <c r="D6">
        <v>6.0549999999999996E-3</v>
      </c>
      <c r="E6">
        <v>7.7399999999999995E-4</v>
      </c>
      <c r="F6">
        <v>0.310448</v>
      </c>
      <c r="G6">
        <v>5.2129999999999998E-3</v>
      </c>
      <c r="H6">
        <v>-0.243566</v>
      </c>
      <c r="I6">
        <v>0.25450899999999999</v>
      </c>
      <c r="J6">
        <v>539.99517200000003</v>
      </c>
      <c r="K6">
        <v>9.5999599999999994</v>
      </c>
      <c r="L6">
        <v>8.0999999999999996E-3</v>
      </c>
      <c r="M6">
        <v>-1.8998000000000001E-2</v>
      </c>
      <c r="N6">
        <v>1.9852000000000002E-2</v>
      </c>
      <c r="O6">
        <v>2.6485999999999999E-2</v>
      </c>
      <c r="P6">
        <v>3.3839999999999999E-3</v>
      </c>
      <c r="Q6">
        <v>2.4140000000000002E-2</v>
      </c>
      <c r="R6">
        <v>4.0499999999999998E-4</v>
      </c>
      <c r="S6">
        <f t="shared" si="0"/>
        <v>0.31405051714933579</v>
      </c>
      <c r="T6">
        <f t="shared" si="1"/>
        <v>6.8222456753440752E-3</v>
      </c>
      <c r="V6" t="s">
        <v>625</v>
      </c>
      <c r="W6" t="s">
        <v>624</v>
      </c>
      <c r="X6">
        <f>_xlfn.STDEV.P(X4,X2)</f>
        <v>4.351759930231805E-4</v>
      </c>
      <c r="Y6">
        <f>_xlfn.STDEV.P(Y4,Y2)</f>
        <v>8.6296389811165147E-6</v>
      </c>
      <c r="Z6" t="s">
        <v>339</v>
      </c>
    </row>
    <row r="7" spans="1:28" x14ac:dyDescent="0.3">
      <c r="A7" t="s">
        <v>316</v>
      </c>
      <c r="B7" t="s">
        <v>317</v>
      </c>
      <c r="C7" s="1">
        <v>45519.523946759262</v>
      </c>
      <c r="D7">
        <v>110.91497099999999</v>
      </c>
      <c r="E7">
        <v>0.133687</v>
      </c>
      <c r="F7">
        <v>132.17713599999999</v>
      </c>
      <c r="G7">
        <v>5.4980000000000003E-3</v>
      </c>
      <c r="H7">
        <v>605.42457400000001</v>
      </c>
      <c r="I7">
        <v>0.71680200000000005</v>
      </c>
      <c r="J7">
        <v>537.94804299999998</v>
      </c>
      <c r="K7">
        <v>9.5829000000000004</v>
      </c>
      <c r="L7">
        <v>8.0999999999999996E-3</v>
      </c>
      <c r="M7">
        <v>47.057476000000001</v>
      </c>
      <c r="N7">
        <v>5.5714E-2</v>
      </c>
      <c r="O7">
        <v>483.29858000000002</v>
      </c>
      <c r="P7">
        <v>0.58252499999999996</v>
      </c>
      <c r="Q7">
        <v>10.259786999999999</v>
      </c>
      <c r="R7">
        <v>4.2700000000000002E-4</v>
      </c>
      <c r="S7">
        <f t="shared" si="0"/>
        <v>133.47520352908168</v>
      </c>
      <c r="T7">
        <f t="shared" si="1"/>
        <v>124.48771605017492</v>
      </c>
      <c r="V7" s="134">
        <f>(((Q7-Q6)*$X$5)/L7)+(((Q8-Q5)*$X$5)/L8)</f>
        <v>133.18435333935949</v>
      </c>
      <c r="W7" s="135">
        <f>(((O7-O6)*$Y$5)/L7)+(((O8-O5)*$Y$5)/L8)</f>
        <v>124.54078707011602</v>
      </c>
      <c r="X7" s="38"/>
      <c r="Y7" s="38"/>
      <c r="Z7" s="38" t="s">
        <v>321</v>
      </c>
      <c r="AA7" s="38"/>
      <c r="AB7" s="14"/>
    </row>
    <row r="8" spans="1:28" ht="15" thickBot="1" x14ac:dyDescent="0.35">
      <c r="A8" t="s">
        <v>318</v>
      </c>
      <c r="B8" t="s">
        <v>319</v>
      </c>
      <c r="C8" s="1">
        <v>45519.585798611108</v>
      </c>
      <c r="D8">
        <v>5.3393000000000003E-2</v>
      </c>
      <c r="E8">
        <v>3.2699999999999998E-4</v>
      </c>
      <c r="F8">
        <v>0.110738</v>
      </c>
      <c r="G8">
        <v>5.8E-5</v>
      </c>
      <c r="H8">
        <v>289.291292</v>
      </c>
      <c r="I8">
        <v>1.5073810000000001</v>
      </c>
      <c r="J8">
        <v>539.86670500000002</v>
      </c>
      <c r="K8">
        <v>9.5988889999999998</v>
      </c>
      <c r="L8">
        <v>0.627</v>
      </c>
      <c r="M8">
        <v>22.559578999999999</v>
      </c>
      <c r="N8">
        <v>0.117549</v>
      </c>
      <c r="O8">
        <v>18.073284000000001</v>
      </c>
      <c r="P8">
        <v>0.110624</v>
      </c>
      <c r="Q8">
        <v>0.66647599999999996</v>
      </c>
      <c r="R8">
        <v>3.5E-4</v>
      </c>
      <c r="S8">
        <f t="shared" si="0"/>
        <v>0.11201191963597036</v>
      </c>
      <c r="T8">
        <f t="shared" si="1"/>
        <v>6.0140291818394302E-2</v>
      </c>
      <c r="V8" s="17">
        <f>2*SQRT(
(R5 * (-$X$5 / L8))^2 +
(R6 * (-$X$5 / L7))^2 +
(R7 * ($X$5 / L7))^2 +
(R8 * ($X$5 / L8))^2 +
($X$6 * ((Q7 - Q6) / L7 + (Q8 - Q5) / L8))^2
)</f>
        <v>1.1001273148073354</v>
      </c>
      <c r="W8" s="43">
        <f>2*SQRT(
(P5 * (-$Y$5 / L8))^2 +
(P6 * (-$Y$5 / L7))^2 +
(P7 * ($Y$5 / L7))^2 +
(P8 * ($Y$5 / L8))^2 +
($Y$6 * ((O7 - O6) / L7 + (O8 - O5) / L8))^2
)</f>
        <v>1.0730577113002813</v>
      </c>
      <c r="X8" s="43"/>
      <c r="Y8" s="43"/>
      <c r="Z8" s="43" t="s">
        <v>371</v>
      </c>
      <c r="AA8" s="43"/>
      <c r="AB8" s="1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6AB4C-07F0-4F56-9D9B-38457899B652}">
  <dimension ref="A20:G220"/>
  <sheetViews>
    <sheetView zoomScale="66" workbookViewId="0">
      <selection activeCell="Q36" sqref="Q36"/>
    </sheetView>
  </sheetViews>
  <sheetFormatPr defaultRowHeight="14.4" x14ac:dyDescent="0.3"/>
  <sheetData>
    <row r="20" spans="1:7" x14ac:dyDescent="0.3">
      <c r="E20" t="s">
        <v>268</v>
      </c>
      <c r="G20" t="s">
        <v>270</v>
      </c>
    </row>
    <row r="21" spans="1:7" x14ac:dyDescent="0.3">
      <c r="A21" t="s">
        <v>410</v>
      </c>
      <c r="B21" t="s">
        <v>411</v>
      </c>
      <c r="C21" s="1">
        <v>45292.204861111109</v>
      </c>
      <c r="D21">
        <v>0</v>
      </c>
      <c r="E21" s="2">
        <v>603</v>
      </c>
      <c r="F21" s="2">
        <v>0</v>
      </c>
      <c r="G21" s="2">
        <v>6300</v>
      </c>
    </row>
    <row r="22" spans="1:7" x14ac:dyDescent="0.3">
      <c r="A22" t="s">
        <v>412</v>
      </c>
      <c r="B22" t="s">
        <v>411</v>
      </c>
      <c r="C22" s="1">
        <v>45292.462500000001</v>
      </c>
      <c r="D22">
        <v>0</v>
      </c>
      <c r="E22" s="2">
        <v>607</v>
      </c>
      <c r="F22" s="2">
        <v>0</v>
      </c>
      <c r="G22" s="2">
        <v>6310</v>
      </c>
    </row>
    <row r="23" spans="1:7" x14ac:dyDescent="0.3">
      <c r="A23" t="s">
        <v>413</v>
      </c>
      <c r="B23" t="s">
        <v>411</v>
      </c>
      <c r="C23" s="1">
        <v>45292.731944444444</v>
      </c>
      <c r="D23">
        <v>0</v>
      </c>
      <c r="E23" s="2">
        <v>606</v>
      </c>
      <c r="F23" s="2">
        <v>0</v>
      </c>
      <c r="G23" s="2">
        <v>6300</v>
      </c>
    </row>
    <row r="24" spans="1:7" x14ac:dyDescent="0.3">
      <c r="A24" t="s">
        <v>414</v>
      </c>
      <c r="B24" t="s">
        <v>411</v>
      </c>
      <c r="C24" s="1">
        <v>45293.009722222225</v>
      </c>
      <c r="D24">
        <v>0</v>
      </c>
      <c r="E24" s="2">
        <v>608</v>
      </c>
      <c r="F24" s="2">
        <v>0</v>
      </c>
      <c r="G24" s="2">
        <v>6300</v>
      </c>
    </row>
    <row r="25" spans="1:7" x14ac:dyDescent="0.3">
      <c r="A25" t="s">
        <v>415</v>
      </c>
      <c r="B25" t="s">
        <v>411</v>
      </c>
      <c r="C25" s="1">
        <v>45293.273611111108</v>
      </c>
      <c r="D25">
        <v>0</v>
      </c>
      <c r="E25" s="2">
        <v>605</v>
      </c>
      <c r="F25" s="2">
        <v>0</v>
      </c>
      <c r="G25" s="2">
        <v>6290</v>
      </c>
    </row>
    <row r="26" spans="1:7" x14ac:dyDescent="0.3">
      <c r="A26" t="s">
        <v>416</v>
      </c>
      <c r="B26" t="s">
        <v>411</v>
      </c>
      <c r="C26" s="1">
        <v>45293.567361111112</v>
      </c>
      <c r="D26">
        <v>0</v>
      </c>
      <c r="E26" s="2">
        <v>604</v>
      </c>
      <c r="F26" s="2">
        <v>0</v>
      </c>
      <c r="G26" s="2">
        <v>6300</v>
      </c>
    </row>
    <row r="27" spans="1:7" x14ac:dyDescent="0.3">
      <c r="A27" t="s">
        <v>417</v>
      </c>
      <c r="B27" t="s">
        <v>411</v>
      </c>
      <c r="C27" s="1">
        <v>45293.856249999997</v>
      </c>
      <c r="D27">
        <v>0</v>
      </c>
      <c r="E27" s="2">
        <v>608</v>
      </c>
      <c r="F27" s="2">
        <v>0</v>
      </c>
      <c r="G27" s="2">
        <v>6300</v>
      </c>
    </row>
    <row r="28" spans="1:7" x14ac:dyDescent="0.3">
      <c r="A28" t="s">
        <v>418</v>
      </c>
      <c r="B28" t="s">
        <v>411</v>
      </c>
      <c r="C28" s="1">
        <v>45294.12777777778</v>
      </c>
      <c r="D28">
        <v>0</v>
      </c>
      <c r="E28" s="2">
        <v>607</v>
      </c>
      <c r="F28" s="2">
        <v>0</v>
      </c>
      <c r="G28" s="2">
        <v>6290</v>
      </c>
    </row>
    <row r="29" spans="1:7" x14ac:dyDescent="0.3">
      <c r="A29" t="s">
        <v>419</v>
      </c>
      <c r="B29" t="s">
        <v>411</v>
      </c>
      <c r="C29" s="1">
        <v>45294.419444444444</v>
      </c>
      <c r="D29">
        <v>0</v>
      </c>
      <c r="E29" s="2">
        <v>607</v>
      </c>
      <c r="F29" s="2">
        <v>0</v>
      </c>
      <c r="G29" s="2">
        <v>6290</v>
      </c>
    </row>
    <row r="30" spans="1:7" x14ac:dyDescent="0.3">
      <c r="A30" t="s">
        <v>420</v>
      </c>
      <c r="B30" t="s">
        <v>411</v>
      </c>
      <c r="C30" s="1">
        <v>45294.731944444444</v>
      </c>
      <c r="D30">
        <v>0</v>
      </c>
      <c r="E30" s="2">
        <v>605</v>
      </c>
      <c r="F30" s="2">
        <v>2.6099999999999999E-3</v>
      </c>
      <c r="G30" s="2">
        <v>6280</v>
      </c>
    </row>
    <row r="31" spans="1:7" x14ac:dyDescent="0.3">
      <c r="A31" t="s">
        <v>421</v>
      </c>
      <c r="B31" t="s">
        <v>411</v>
      </c>
      <c r="C31" s="1">
        <v>45295.054166666669</v>
      </c>
      <c r="D31">
        <v>0</v>
      </c>
      <c r="E31" s="2">
        <v>606</v>
      </c>
      <c r="F31" s="2">
        <v>1.57E-3</v>
      </c>
      <c r="G31" s="2">
        <v>6290</v>
      </c>
    </row>
    <row r="32" spans="1:7" x14ac:dyDescent="0.3">
      <c r="A32" t="s">
        <v>422</v>
      </c>
      <c r="B32" t="s">
        <v>411</v>
      </c>
      <c r="C32" s="1">
        <v>45295.356944444444</v>
      </c>
      <c r="D32">
        <v>0</v>
      </c>
      <c r="E32" s="2">
        <v>606</v>
      </c>
      <c r="F32" s="2">
        <v>0</v>
      </c>
      <c r="G32" s="2">
        <v>6270</v>
      </c>
    </row>
    <row r="33" spans="1:7" x14ac:dyDescent="0.3">
      <c r="A33" t="s">
        <v>423</v>
      </c>
      <c r="B33" t="s">
        <v>411</v>
      </c>
      <c r="C33" s="1">
        <v>45295.669444444444</v>
      </c>
      <c r="D33">
        <v>0</v>
      </c>
      <c r="E33" s="2">
        <v>598</v>
      </c>
      <c r="F33" s="2">
        <v>0</v>
      </c>
      <c r="G33" s="2">
        <v>6260</v>
      </c>
    </row>
    <row r="34" spans="1:7" x14ac:dyDescent="0.3">
      <c r="A34" t="s">
        <v>424</v>
      </c>
      <c r="B34" t="s">
        <v>411</v>
      </c>
      <c r="C34" s="1">
        <v>45295.981944444444</v>
      </c>
      <c r="D34">
        <v>0</v>
      </c>
      <c r="E34" s="2">
        <v>604</v>
      </c>
      <c r="F34" s="2">
        <v>0</v>
      </c>
      <c r="G34" s="2">
        <v>6270</v>
      </c>
    </row>
    <row r="35" spans="1:7" x14ac:dyDescent="0.3">
      <c r="A35" t="s">
        <v>425</v>
      </c>
      <c r="B35" t="s">
        <v>411</v>
      </c>
      <c r="C35" s="1">
        <v>45296.294444444444</v>
      </c>
      <c r="D35">
        <v>0</v>
      </c>
      <c r="E35" s="2">
        <v>605</v>
      </c>
      <c r="F35" s="2">
        <v>0</v>
      </c>
      <c r="G35" s="2">
        <v>6270</v>
      </c>
    </row>
    <row r="36" spans="1:7" x14ac:dyDescent="0.3">
      <c r="A36" t="s">
        <v>426</v>
      </c>
      <c r="B36" t="s">
        <v>411</v>
      </c>
      <c r="C36" s="1">
        <v>45296.62777777778</v>
      </c>
      <c r="D36">
        <v>0</v>
      </c>
      <c r="E36" s="2">
        <v>602</v>
      </c>
      <c r="F36" s="2">
        <v>0</v>
      </c>
      <c r="G36" s="2">
        <v>6260</v>
      </c>
    </row>
    <row r="37" spans="1:7" x14ac:dyDescent="0.3">
      <c r="A37" t="s">
        <v>427</v>
      </c>
      <c r="B37" t="s">
        <v>411</v>
      </c>
      <c r="C37" s="1">
        <v>45296.961111111108</v>
      </c>
      <c r="D37">
        <v>0</v>
      </c>
      <c r="E37" s="2">
        <v>591</v>
      </c>
      <c r="F37" s="2">
        <v>5.8700000000000002E-3</v>
      </c>
      <c r="G37" s="2">
        <v>6240</v>
      </c>
    </row>
    <row r="38" spans="1:7" x14ac:dyDescent="0.3">
      <c r="A38" t="s">
        <v>428</v>
      </c>
      <c r="B38" t="s">
        <v>411</v>
      </c>
      <c r="C38" s="1">
        <v>45297.294444444444</v>
      </c>
      <c r="D38">
        <v>0</v>
      </c>
      <c r="E38" s="2">
        <v>601</v>
      </c>
      <c r="F38" s="2">
        <v>0</v>
      </c>
      <c r="G38" s="2">
        <v>6250</v>
      </c>
    </row>
    <row r="39" spans="1:7" x14ac:dyDescent="0.3">
      <c r="A39" t="s">
        <v>429</v>
      </c>
      <c r="B39" t="s">
        <v>411</v>
      </c>
      <c r="C39" s="1">
        <v>45297.62777777778</v>
      </c>
      <c r="D39">
        <v>0</v>
      </c>
      <c r="E39" s="2">
        <v>596</v>
      </c>
      <c r="F39" s="2">
        <v>0</v>
      </c>
      <c r="G39" s="2">
        <v>6230</v>
      </c>
    </row>
    <row r="40" spans="1:7" x14ac:dyDescent="0.3">
      <c r="A40" t="s">
        <v>430</v>
      </c>
      <c r="B40" t="s">
        <v>411</v>
      </c>
      <c r="C40" s="1">
        <v>45297.961111111108</v>
      </c>
      <c r="D40">
        <v>0</v>
      </c>
      <c r="E40" s="2">
        <v>593</v>
      </c>
      <c r="F40" s="2">
        <v>0</v>
      </c>
      <c r="G40" s="2">
        <v>6240</v>
      </c>
    </row>
    <row r="41" spans="1:7" x14ac:dyDescent="0.3">
      <c r="A41" t="s">
        <v>431</v>
      </c>
      <c r="B41" t="s">
        <v>411</v>
      </c>
      <c r="C41" s="1">
        <v>45298.29791666667</v>
      </c>
      <c r="D41">
        <v>0</v>
      </c>
      <c r="E41" s="2">
        <v>602</v>
      </c>
      <c r="F41" s="2">
        <v>0</v>
      </c>
      <c r="G41" s="2">
        <v>6250</v>
      </c>
    </row>
    <row r="42" spans="1:7" x14ac:dyDescent="0.3">
      <c r="A42" t="s">
        <v>432</v>
      </c>
      <c r="B42" t="s">
        <v>411</v>
      </c>
      <c r="C42" s="1">
        <v>45298.62777777778</v>
      </c>
      <c r="D42">
        <v>0</v>
      </c>
      <c r="E42" s="2">
        <v>592</v>
      </c>
      <c r="F42" s="2">
        <v>0</v>
      </c>
      <c r="G42" s="2">
        <v>6220</v>
      </c>
    </row>
    <row r="43" spans="1:7" x14ac:dyDescent="0.3">
      <c r="A43" t="s">
        <v>433</v>
      </c>
      <c r="B43" t="s">
        <v>411</v>
      </c>
      <c r="C43" s="1">
        <v>45298.961111111108</v>
      </c>
      <c r="D43">
        <v>0</v>
      </c>
      <c r="E43" s="2">
        <v>603</v>
      </c>
      <c r="F43" s="2">
        <v>0</v>
      </c>
      <c r="G43" s="2">
        <v>6250</v>
      </c>
    </row>
    <row r="44" spans="1:7" x14ac:dyDescent="0.3">
      <c r="A44" t="s">
        <v>434</v>
      </c>
      <c r="B44" t="s">
        <v>411</v>
      </c>
      <c r="C44" s="1">
        <v>45299.294444444444</v>
      </c>
      <c r="D44">
        <v>0</v>
      </c>
      <c r="E44" s="2">
        <v>604</v>
      </c>
      <c r="F44" s="2">
        <v>0</v>
      </c>
      <c r="G44" s="2">
        <v>6240</v>
      </c>
    </row>
    <row r="45" spans="1:7" x14ac:dyDescent="0.3">
      <c r="A45" t="s">
        <v>435</v>
      </c>
      <c r="B45" t="s">
        <v>411</v>
      </c>
      <c r="C45" s="1">
        <v>45299.709722222222</v>
      </c>
      <c r="D45">
        <v>0</v>
      </c>
      <c r="E45" s="2">
        <v>602</v>
      </c>
      <c r="F45" s="2">
        <v>0</v>
      </c>
      <c r="G45" s="2">
        <v>6240</v>
      </c>
    </row>
    <row r="46" spans="1:7" x14ac:dyDescent="0.3">
      <c r="A46" t="s">
        <v>436</v>
      </c>
      <c r="B46" t="s">
        <v>411</v>
      </c>
      <c r="C46" s="1">
        <v>45300.043055555558</v>
      </c>
      <c r="D46">
        <v>0</v>
      </c>
      <c r="E46" s="2">
        <v>602</v>
      </c>
      <c r="F46" s="2">
        <v>0</v>
      </c>
      <c r="G46" s="2">
        <v>6250</v>
      </c>
    </row>
    <row r="47" spans="1:7" x14ac:dyDescent="0.3">
      <c r="A47" t="s">
        <v>437</v>
      </c>
      <c r="B47" t="s">
        <v>411</v>
      </c>
      <c r="C47" s="1">
        <v>45300.376388888886</v>
      </c>
      <c r="D47">
        <v>0</v>
      </c>
      <c r="E47" s="2">
        <v>603</v>
      </c>
      <c r="F47" s="2">
        <v>0</v>
      </c>
      <c r="G47" s="2">
        <v>6240</v>
      </c>
    </row>
    <row r="48" spans="1:7" x14ac:dyDescent="0.3">
      <c r="A48" t="s">
        <v>438</v>
      </c>
      <c r="B48" t="s">
        <v>411</v>
      </c>
      <c r="C48" s="1">
        <v>45300.709722222222</v>
      </c>
      <c r="D48">
        <v>0</v>
      </c>
      <c r="E48" s="2">
        <v>610</v>
      </c>
      <c r="F48" s="2">
        <v>0</v>
      </c>
      <c r="G48" s="2">
        <v>6260</v>
      </c>
    </row>
    <row r="49" spans="1:7" x14ac:dyDescent="0.3">
      <c r="A49" t="s">
        <v>439</v>
      </c>
      <c r="B49" t="s">
        <v>411</v>
      </c>
      <c r="C49" s="1">
        <v>45301.043055555558</v>
      </c>
      <c r="D49">
        <v>0</v>
      </c>
      <c r="E49" s="2">
        <v>607</v>
      </c>
      <c r="F49" s="2">
        <v>0</v>
      </c>
      <c r="G49" s="2">
        <v>6260</v>
      </c>
    </row>
    <row r="50" spans="1:7" x14ac:dyDescent="0.3">
      <c r="A50" t="s">
        <v>440</v>
      </c>
      <c r="B50" t="s">
        <v>411</v>
      </c>
      <c r="C50" s="1">
        <v>45301.376388888886</v>
      </c>
      <c r="D50">
        <v>0</v>
      </c>
      <c r="E50" s="2">
        <v>602</v>
      </c>
      <c r="F50" s="2">
        <v>4.45E-3</v>
      </c>
      <c r="G50" s="2">
        <v>6240</v>
      </c>
    </row>
    <row r="51" spans="1:7" x14ac:dyDescent="0.3">
      <c r="A51" t="s">
        <v>441</v>
      </c>
      <c r="B51" t="s">
        <v>411</v>
      </c>
      <c r="C51" s="1">
        <v>45301.87222222222</v>
      </c>
      <c r="D51">
        <v>0</v>
      </c>
      <c r="E51" s="2">
        <v>606</v>
      </c>
      <c r="F51" s="2">
        <v>0</v>
      </c>
      <c r="G51" s="2">
        <v>6250</v>
      </c>
    </row>
    <row r="52" spans="1:7" x14ac:dyDescent="0.3">
      <c r="A52" t="s">
        <v>442</v>
      </c>
      <c r="B52" t="s">
        <v>411</v>
      </c>
      <c r="C52" s="1">
        <v>45302.209722222222</v>
      </c>
      <c r="D52">
        <v>0</v>
      </c>
      <c r="E52" s="2">
        <v>605</v>
      </c>
      <c r="F52" s="2">
        <v>0</v>
      </c>
      <c r="G52" s="2">
        <v>6230</v>
      </c>
    </row>
    <row r="53" spans="1:7" x14ac:dyDescent="0.3">
      <c r="A53" t="s">
        <v>443</v>
      </c>
      <c r="B53" t="s">
        <v>411</v>
      </c>
      <c r="C53" s="1">
        <v>45302.555555555555</v>
      </c>
      <c r="D53">
        <v>0</v>
      </c>
      <c r="E53" s="2">
        <v>602</v>
      </c>
      <c r="F53" s="2">
        <v>4.5199999999999997E-3</v>
      </c>
      <c r="G53" s="2">
        <v>6230</v>
      </c>
    </row>
    <row r="54" spans="1:7" x14ac:dyDescent="0.3">
      <c r="A54" t="s">
        <v>444</v>
      </c>
      <c r="B54" t="s">
        <v>411</v>
      </c>
      <c r="C54" s="1">
        <v>45302.87222222222</v>
      </c>
      <c r="D54">
        <v>0</v>
      </c>
      <c r="E54" s="2">
        <v>602</v>
      </c>
      <c r="F54" s="2">
        <v>0</v>
      </c>
      <c r="G54" s="2">
        <v>6230</v>
      </c>
    </row>
    <row r="55" spans="1:7" x14ac:dyDescent="0.3">
      <c r="A55" t="s">
        <v>445</v>
      </c>
      <c r="B55" t="s">
        <v>411</v>
      </c>
      <c r="C55" s="1">
        <v>45303.205555555556</v>
      </c>
      <c r="D55">
        <v>0</v>
      </c>
      <c r="E55" s="2">
        <v>601</v>
      </c>
      <c r="F55" s="2">
        <v>0</v>
      </c>
      <c r="G55" s="2">
        <v>6210</v>
      </c>
    </row>
    <row r="56" spans="1:7" x14ac:dyDescent="0.3">
      <c r="A56" t="s">
        <v>446</v>
      </c>
      <c r="B56" t="s">
        <v>411</v>
      </c>
      <c r="C56" s="1">
        <v>45303.538888888892</v>
      </c>
      <c r="D56">
        <v>0</v>
      </c>
      <c r="E56" s="2">
        <v>599</v>
      </c>
      <c r="F56" s="2">
        <v>0</v>
      </c>
      <c r="G56" s="2">
        <v>6210</v>
      </c>
    </row>
    <row r="57" spans="1:7" x14ac:dyDescent="0.3">
      <c r="A57" t="s">
        <v>447</v>
      </c>
      <c r="B57" t="s">
        <v>411</v>
      </c>
      <c r="C57" s="1">
        <v>45303.917361111111</v>
      </c>
      <c r="D57">
        <v>0</v>
      </c>
      <c r="E57" s="2">
        <v>598</v>
      </c>
      <c r="F57" s="2">
        <v>0</v>
      </c>
      <c r="G57" s="2">
        <v>6190</v>
      </c>
    </row>
    <row r="58" spans="1:7" x14ac:dyDescent="0.3">
      <c r="A58" t="s">
        <v>448</v>
      </c>
      <c r="B58" t="s">
        <v>411</v>
      </c>
      <c r="C58" s="1">
        <v>45304.250694444447</v>
      </c>
      <c r="D58">
        <v>0</v>
      </c>
      <c r="E58" s="2">
        <v>600</v>
      </c>
      <c r="F58" s="2">
        <v>0</v>
      </c>
      <c r="G58" s="2">
        <v>6190</v>
      </c>
    </row>
    <row r="59" spans="1:7" x14ac:dyDescent="0.3">
      <c r="A59" t="s">
        <v>449</v>
      </c>
      <c r="B59" t="s">
        <v>411</v>
      </c>
      <c r="C59" s="1">
        <v>45304.584027777775</v>
      </c>
      <c r="D59">
        <v>0</v>
      </c>
      <c r="E59" s="2">
        <v>598</v>
      </c>
      <c r="F59" s="2">
        <v>0</v>
      </c>
      <c r="G59" s="2">
        <v>6190</v>
      </c>
    </row>
    <row r="60" spans="1:7" x14ac:dyDescent="0.3">
      <c r="A60" t="s">
        <v>450</v>
      </c>
      <c r="B60" t="s">
        <v>411</v>
      </c>
      <c r="C60" s="1">
        <v>45304.917361111111</v>
      </c>
      <c r="D60">
        <v>0</v>
      </c>
      <c r="E60" s="2">
        <v>604</v>
      </c>
      <c r="F60" s="2">
        <v>0</v>
      </c>
      <c r="G60" s="2">
        <v>6190</v>
      </c>
    </row>
    <row r="61" spans="1:7" x14ac:dyDescent="0.3">
      <c r="A61" t="s">
        <v>451</v>
      </c>
      <c r="B61" t="s">
        <v>411</v>
      </c>
      <c r="C61" s="1">
        <v>45305.250694444447</v>
      </c>
      <c r="D61">
        <v>0</v>
      </c>
      <c r="E61" s="2">
        <v>605</v>
      </c>
      <c r="F61" s="2">
        <v>0</v>
      </c>
      <c r="G61" s="2">
        <v>6190</v>
      </c>
    </row>
    <row r="62" spans="1:7" x14ac:dyDescent="0.3">
      <c r="A62" t="s">
        <v>452</v>
      </c>
      <c r="B62" t="s">
        <v>411</v>
      </c>
      <c r="C62" s="1">
        <v>45305.584027777775</v>
      </c>
      <c r="D62">
        <v>0</v>
      </c>
      <c r="E62" s="2">
        <v>603</v>
      </c>
      <c r="F62" s="2">
        <v>0</v>
      </c>
      <c r="G62" s="2">
        <v>6190</v>
      </c>
    </row>
    <row r="63" spans="1:7" x14ac:dyDescent="0.3">
      <c r="A63" t="s">
        <v>453</v>
      </c>
      <c r="B63" t="s">
        <v>411</v>
      </c>
      <c r="C63" s="1">
        <v>45305.934027777781</v>
      </c>
      <c r="D63">
        <v>0</v>
      </c>
      <c r="E63" s="2">
        <v>599</v>
      </c>
      <c r="F63" s="2">
        <v>0</v>
      </c>
      <c r="G63" s="2">
        <v>6190</v>
      </c>
    </row>
    <row r="64" spans="1:7" x14ac:dyDescent="0.3">
      <c r="A64" t="s">
        <v>454</v>
      </c>
      <c r="B64" t="s">
        <v>411</v>
      </c>
      <c r="C64" s="1">
        <v>45306.250694444447</v>
      </c>
      <c r="D64">
        <v>0</v>
      </c>
      <c r="E64" s="2">
        <v>598</v>
      </c>
      <c r="F64" s="2">
        <v>0</v>
      </c>
      <c r="G64" s="2">
        <v>6180</v>
      </c>
    </row>
    <row r="65" spans="1:7" x14ac:dyDescent="0.3">
      <c r="A65" t="s">
        <v>455</v>
      </c>
      <c r="B65" t="s">
        <v>411</v>
      </c>
      <c r="C65" s="1">
        <v>45306.584027777775</v>
      </c>
      <c r="D65">
        <v>0</v>
      </c>
      <c r="E65" s="2">
        <v>599</v>
      </c>
      <c r="F65" s="2">
        <v>0</v>
      </c>
      <c r="G65" s="2">
        <v>6180</v>
      </c>
    </row>
    <row r="66" spans="1:7" x14ac:dyDescent="0.3">
      <c r="A66" t="s">
        <v>456</v>
      </c>
      <c r="B66" t="s">
        <v>411</v>
      </c>
      <c r="C66" s="1">
        <v>45306.917361111111</v>
      </c>
      <c r="D66">
        <v>0</v>
      </c>
      <c r="E66" s="2">
        <v>600</v>
      </c>
      <c r="F66" s="2">
        <v>0</v>
      </c>
      <c r="G66" s="2">
        <v>6180</v>
      </c>
    </row>
    <row r="67" spans="1:7" x14ac:dyDescent="0.3">
      <c r="A67" t="s">
        <v>457</v>
      </c>
      <c r="B67" t="s">
        <v>411</v>
      </c>
      <c r="C67" s="1">
        <v>45307.250694444447</v>
      </c>
      <c r="D67">
        <v>0</v>
      </c>
      <c r="E67" s="2">
        <v>602</v>
      </c>
      <c r="F67" s="2">
        <v>0</v>
      </c>
      <c r="G67" s="2">
        <v>6170</v>
      </c>
    </row>
    <row r="68" spans="1:7" x14ac:dyDescent="0.3">
      <c r="A68" t="s">
        <v>458</v>
      </c>
      <c r="B68" t="s">
        <v>411</v>
      </c>
      <c r="C68" s="1">
        <v>45307.584027777775</v>
      </c>
      <c r="D68">
        <v>0</v>
      </c>
      <c r="E68" s="2">
        <v>598</v>
      </c>
      <c r="F68" s="2">
        <v>0</v>
      </c>
      <c r="G68" s="2">
        <v>6180</v>
      </c>
    </row>
    <row r="69" spans="1:7" x14ac:dyDescent="0.3">
      <c r="A69" t="s">
        <v>459</v>
      </c>
      <c r="B69" t="s">
        <v>411</v>
      </c>
      <c r="C69" s="1">
        <v>45307.917361111111</v>
      </c>
      <c r="D69">
        <v>0</v>
      </c>
      <c r="E69" s="2">
        <v>601</v>
      </c>
      <c r="F69" s="2">
        <v>4.1700000000000001E-3</v>
      </c>
      <c r="G69" s="2">
        <v>6180</v>
      </c>
    </row>
    <row r="70" spans="1:7" x14ac:dyDescent="0.3">
      <c r="A70" t="s">
        <v>460</v>
      </c>
      <c r="B70" t="s">
        <v>411</v>
      </c>
      <c r="C70" s="1">
        <v>45308.250694444447</v>
      </c>
      <c r="D70">
        <v>0</v>
      </c>
      <c r="E70" s="2">
        <v>599</v>
      </c>
      <c r="F70" s="2">
        <v>0</v>
      </c>
      <c r="G70" s="2">
        <v>6170</v>
      </c>
    </row>
    <row r="71" spans="1:7" x14ac:dyDescent="0.3">
      <c r="A71" t="s">
        <v>461</v>
      </c>
      <c r="B71" t="s">
        <v>411</v>
      </c>
      <c r="C71" s="1">
        <v>45308.584027777775</v>
      </c>
      <c r="D71">
        <v>0</v>
      </c>
      <c r="E71" s="2">
        <v>598</v>
      </c>
      <c r="F71" s="2">
        <v>0</v>
      </c>
      <c r="G71" s="2">
        <v>6170</v>
      </c>
    </row>
    <row r="72" spans="1:7" x14ac:dyDescent="0.3">
      <c r="A72" t="s">
        <v>462</v>
      </c>
      <c r="B72" t="s">
        <v>411</v>
      </c>
      <c r="C72" s="1">
        <v>45308.917361111111</v>
      </c>
      <c r="D72">
        <v>0</v>
      </c>
      <c r="E72" s="2">
        <v>599</v>
      </c>
      <c r="F72" s="2">
        <v>0</v>
      </c>
      <c r="G72" s="2">
        <v>6170</v>
      </c>
    </row>
    <row r="73" spans="1:7" x14ac:dyDescent="0.3">
      <c r="A73" t="s">
        <v>463</v>
      </c>
      <c r="B73" t="s">
        <v>411</v>
      </c>
      <c r="C73" s="1">
        <v>45309.250694444447</v>
      </c>
      <c r="D73">
        <v>0</v>
      </c>
      <c r="E73" s="2">
        <v>601</v>
      </c>
      <c r="F73" s="2">
        <v>0</v>
      </c>
      <c r="G73" s="2">
        <v>6160</v>
      </c>
    </row>
    <row r="74" spans="1:7" x14ac:dyDescent="0.3">
      <c r="A74" t="s">
        <v>464</v>
      </c>
      <c r="B74" t="s">
        <v>411</v>
      </c>
      <c r="C74" s="1">
        <v>45309.598611111112</v>
      </c>
      <c r="D74">
        <v>0</v>
      </c>
      <c r="E74" s="2">
        <v>601</v>
      </c>
      <c r="F74" s="2">
        <v>0</v>
      </c>
      <c r="G74" s="2">
        <v>6170</v>
      </c>
    </row>
    <row r="75" spans="1:7" x14ac:dyDescent="0.3">
      <c r="A75" t="s">
        <v>465</v>
      </c>
      <c r="B75" t="s">
        <v>411</v>
      </c>
      <c r="C75" s="1">
        <v>45310.250694444447</v>
      </c>
      <c r="D75">
        <v>0</v>
      </c>
      <c r="E75" s="2">
        <v>602</v>
      </c>
      <c r="F75" s="2">
        <v>0</v>
      </c>
      <c r="G75" s="2">
        <v>6170</v>
      </c>
    </row>
    <row r="76" spans="1:7" x14ac:dyDescent="0.3">
      <c r="A76" t="s">
        <v>466</v>
      </c>
      <c r="B76" t="s">
        <v>411</v>
      </c>
      <c r="C76" s="1">
        <v>45310.584027777775</v>
      </c>
      <c r="D76">
        <v>0</v>
      </c>
      <c r="E76" s="2">
        <v>598</v>
      </c>
      <c r="F76" s="2">
        <v>3.2000000000000002E-3</v>
      </c>
      <c r="G76" s="2">
        <v>6160</v>
      </c>
    </row>
    <row r="77" spans="1:7" x14ac:dyDescent="0.3">
      <c r="A77" t="s">
        <v>467</v>
      </c>
      <c r="B77" t="s">
        <v>411</v>
      </c>
      <c r="C77" s="1">
        <v>45310.917361111111</v>
      </c>
      <c r="D77">
        <v>0</v>
      </c>
      <c r="E77" s="2">
        <v>602</v>
      </c>
      <c r="F77" s="2">
        <v>0</v>
      </c>
      <c r="G77" s="2">
        <v>6150</v>
      </c>
    </row>
    <row r="78" spans="1:7" x14ac:dyDescent="0.3">
      <c r="A78" t="s">
        <v>468</v>
      </c>
      <c r="B78" t="s">
        <v>411</v>
      </c>
      <c r="C78" s="1">
        <v>45314.855555555558</v>
      </c>
      <c r="D78">
        <v>0</v>
      </c>
      <c r="E78" s="2">
        <v>599</v>
      </c>
      <c r="F78" s="2">
        <v>0</v>
      </c>
      <c r="G78" s="2">
        <v>6150</v>
      </c>
    </row>
    <row r="79" spans="1:7" x14ac:dyDescent="0.3">
      <c r="A79" t="s">
        <v>469</v>
      </c>
      <c r="B79" t="s">
        <v>411</v>
      </c>
      <c r="C79" s="1">
        <v>45315.186805555553</v>
      </c>
      <c r="D79">
        <v>0</v>
      </c>
      <c r="E79" s="2">
        <v>603</v>
      </c>
      <c r="F79" s="2">
        <v>0</v>
      </c>
      <c r="G79" s="2">
        <v>6140</v>
      </c>
    </row>
    <row r="80" spans="1:7" x14ac:dyDescent="0.3">
      <c r="A80" t="s">
        <v>470</v>
      </c>
      <c r="B80" t="s">
        <v>411</v>
      </c>
      <c r="C80" s="1">
        <v>45317.613194444442</v>
      </c>
      <c r="D80">
        <v>0</v>
      </c>
      <c r="E80" s="2">
        <v>598</v>
      </c>
      <c r="F80" s="2">
        <v>0</v>
      </c>
      <c r="G80" s="2">
        <v>6130</v>
      </c>
    </row>
    <row r="81" spans="1:7" x14ac:dyDescent="0.3">
      <c r="A81" t="s">
        <v>471</v>
      </c>
      <c r="B81" t="s">
        <v>411</v>
      </c>
      <c r="C81" s="1">
        <v>45317.754166666666</v>
      </c>
      <c r="D81">
        <v>0</v>
      </c>
      <c r="E81" s="2">
        <v>586</v>
      </c>
      <c r="F81" s="2">
        <v>0</v>
      </c>
      <c r="G81" s="2">
        <v>6150</v>
      </c>
    </row>
    <row r="82" spans="1:7" x14ac:dyDescent="0.3">
      <c r="A82" t="s">
        <v>472</v>
      </c>
      <c r="B82" t="s">
        <v>411</v>
      </c>
      <c r="C82" s="1">
        <v>45317.872916666667</v>
      </c>
      <c r="D82">
        <v>0</v>
      </c>
      <c r="E82" s="2">
        <v>587</v>
      </c>
      <c r="F82" s="2">
        <v>0</v>
      </c>
      <c r="G82" s="2">
        <v>6140</v>
      </c>
    </row>
    <row r="83" spans="1:7" x14ac:dyDescent="0.3">
      <c r="A83" t="s">
        <v>473</v>
      </c>
      <c r="B83" t="s">
        <v>411</v>
      </c>
      <c r="C83" s="1">
        <v>45317.956250000003</v>
      </c>
      <c r="D83">
        <v>0</v>
      </c>
      <c r="E83" s="2">
        <v>582</v>
      </c>
      <c r="F83" s="2">
        <v>0</v>
      </c>
      <c r="G83" s="2">
        <v>6120</v>
      </c>
    </row>
    <row r="84" spans="1:7" x14ac:dyDescent="0.3">
      <c r="A84" t="s">
        <v>474</v>
      </c>
      <c r="B84" t="s">
        <v>411</v>
      </c>
      <c r="C84" s="1">
        <v>45318.039583333331</v>
      </c>
      <c r="D84">
        <v>0</v>
      </c>
      <c r="E84" s="2">
        <v>579</v>
      </c>
      <c r="F84" s="2">
        <v>0</v>
      </c>
      <c r="G84" s="2">
        <v>6060</v>
      </c>
    </row>
    <row r="85" spans="1:7" x14ac:dyDescent="0.3">
      <c r="A85" t="s">
        <v>475</v>
      </c>
      <c r="B85" t="s">
        <v>411</v>
      </c>
      <c r="C85" s="1">
        <v>45318.122916666667</v>
      </c>
      <c r="D85">
        <v>0</v>
      </c>
      <c r="E85" s="2">
        <v>579</v>
      </c>
      <c r="F85" s="2">
        <v>0</v>
      </c>
      <c r="G85" s="2">
        <v>6000</v>
      </c>
    </row>
    <row r="86" spans="1:7" x14ac:dyDescent="0.3">
      <c r="A86" t="s">
        <v>476</v>
      </c>
      <c r="B86" t="s">
        <v>411</v>
      </c>
      <c r="C86" s="1">
        <v>45318.206250000003</v>
      </c>
      <c r="D86">
        <v>0</v>
      </c>
      <c r="E86" s="2">
        <v>580</v>
      </c>
      <c r="F86" s="2">
        <v>0</v>
      </c>
      <c r="G86" s="2">
        <v>5990</v>
      </c>
    </row>
    <row r="87" spans="1:7" x14ac:dyDescent="0.3">
      <c r="A87" t="s">
        <v>477</v>
      </c>
      <c r="B87" t="s">
        <v>411</v>
      </c>
      <c r="C87" s="1">
        <v>45318.289583333331</v>
      </c>
      <c r="D87">
        <v>0</v>
      </c>
      <c r="E87" s="2">
        <v>580</v>
      </c>
      <c r="F87" s="2">
        <v>0</v>
      </c>
      <c r="G87" s="2">
        <v>5900</v>
      </c>
    </row>
    <row r="88" spans="1:7" x14ac:dyDescent="0.3">
      <c r="A88" t="s">
        <v>478</v>
      </c>
      <c r="B88" t="s">
        <v>411</v>
      </c>
      <c r="C88" s="1">
        <v>45318.372916666667</v>
      </c>
      <c r="D88">
        <v>0</v>
      </c>
      <c r="E88" s="2">
        <v>578</v>
      </c>
      <c r="F88" s="2">
        <v>0</v>
      </c>
      <c r="G88" s="2">
        <v>5880</v>
      </c>
    </row>
    <row r="89" spans="1:7" x14ac:dyDescent="0.3">
      <c r="A89" t="s">
        <v>479</v>
      </c>
      <c r="B89" t="s">
        <v>411</v>
      </c>
      <c r="C89" s="1">
        <v>45318.456250000003</v>
      </c>
      <c r="D89">
        <v>0</v>
      </c>
      <c r="E89" s="2">
        <v>574</v>
      </c>
      <c r="F89" s="2">
        <v>2.4299999999999999E-3</v>
      </c>
      <c r="G89" s="2">
        <v>5750</v>
      </c>
    </row>
    <row r="90" spans="1:7" x14ac:dyDescent="0.3">
      <c r="A90" t="s">
        <v>480</v>
      </c>
      <c r="B90" t="s">
        <v>411</v>
      </c>
      <c r="C90" s="1">
        <v>45318.984722222223</v>
      </c>
      <c r="D90">
        <v>0</v>
      </c>
      <c r="E90" s="2">
        <v>580</v>
      </c>
      <c r="F90" s="2">
        <v>0</v>
      </c>
      <c r="G90" s="2">
        <v>5840</v>
      </c>
    </row>
    <row r="91" spans="1:7" x14ac:dyDescent="0.3">
      <c r="A91" t="s">
        <v>481</v>
      </c>
      <c r="B91" t="s">
        <v>411</v>
      </c>
      <c r="C91" s="1">
        <v>45319.151388888888</v>
      </c>
      <c r="D91">
        <v>0</v>
      </c>
      <c r="E91" s="2">
        <v>580</v>
      </c>
      <c r="F91" s="2">
        <v>0</v>
      </c>
      <c r="G91" s="2">
        <v>5910</v>
      </c>
    </row>
    <row r="92" spans="1:7" x14ac:dyDescent="0.3">
      <c r="A92" t="s">
        <v>482</v>
      </c>
      <c r="B92" t="s">
        <v>411</v>
      </c>
      <c r="C92" s="1">
        <v>45319.318055555559</v>
      </c>
      <c r="D92">
        <v>0</v>
      </c>
      <c r="E92" s="2">
        <v>584</v>
      </c>
      <c r="F92" s="2">
        <v>0</v>
      </c>
      <c r="G92" s="2">
        <v>5930</v>
      </c>
    </row>
    <row r="93" spans="1:7" x14ac:dyDescent="0.3">
      <c r="A93" t="s">
        <v>483</v>
      </c>
      <c r="B93" t="s">
        <v>411</v>
      </c>
      <c r="C93" s="1">
        <v>45319.484722222223</v>
      </c>
      <c r="D93">
        <v>0</v>
      </c>
      <c r="E93" s="2">
        <v>580</v>
      </c>
      <c r="F93" s="2">
        <v>1.8E-3</v>
      </c>
      <c r="G93" s="2">
        <v>5810</v>
      </c>
    </row>
    <row r="94" spans="1:7" x14ac:dyDescent="0.3">
      <c r="A94" t="s">
        <v>484</v>
      </c>
      <c r="B94" t="s">
        <v>411</v>
      </c>
      <c r="C94" s="1">
        <v>45319.651388888888</v>
      </c>
      <c r="D94">
        <v>0</v>
      </c>
      <c r="E94" s="2">
        <v>578</v>
      </c>
      <c r="F94" s="2">
        <v>0</v>
      </c>
      <c r="G94" s="2">
        <v>5810</v>
      </c>
    </row>
    <row r="95" spans="1:7" x14ac:dyDescent="0.3">
      <c r="A95" t="s">
        <v>485</v>
      </c>
      <c r="B95" t="s">
        <v>411</v>
      </c>
      <c r="C95" s="1">
        <v>45319.818055555559</v>
      </c>
      <c r="D95">
        <v>0</v>
      </c>
      <c r="E95" s="2">
        <v>582</v>
      </c>
      <c r="F95" s="2">
        <v>0</v>
      </c>
      <c r="G95" s="2">
        <v>5850</v>
      </c>
    </row>
    <row r="96" spans="1:7" x14ac:dyDescent="0.3">
      <c r="A96" t="s">
        <v>486</v>
      </c>
      <c r="B96" t="s">
        <v>411</v>
      </c>
      <c r="C96" s="1">
        <v>45319.984722222223</v>
      </c>
      <c r="D96">
        <v>0</v>
      </c>
      <c r="E96" s="2">
        <v>579</v>
      </c>
      <c r="F96" s="2">
        <v>0</v>
      </c>
      <c r="G96" s="2">
        <v>5880</v>
      </c>
    </row>
    <row r="97" spans="1:7" x14ac:dyDescent="0.3">
      <c r="A97" t="s">
        <v>487</v>
      </c>
      <c r="B97" t="s">
        <v>411</v>
      </c>
      <c r="C97" s="1">
        <v>45320.802083333336</v>
      </c>
      <c r="D97">
        <v>0</v>
      </c>
      <c r="E97" s="2">
        <v>552</v>
      </c>
      <c r="F97" s="2">
        <v>0</v>
      </c>
      <c r="G97" s="2">
        <v>6100</v>
      </c>
    </row>
    <row r="98" spans="1:7" x14ac:dyDescent="0.3">
      <c r="A98" t="s">
        <v>488</v>
      </c>
      <c r="B98" t="s">
        <v>411</v>
      </c>
      <c r="C98" s="1">
        <v>45321.09375</v>
      </c>
      <c r="D98">
        <v>0</v>
      </c>
      <c r="E98" s="2">
        <v>556</v>
      </c>
      <c r="F98" s="2">
        <v>1.5499999999999999E-3</v>
      </c>
      <c r="G98" s="2">
        <v>6100</v>
      </c>
    </row>
    <row r="99" spans="1:7" x14ac:dyDescent="0.3">
      <c r="A99" t="s">
        <v>489</v>
      </c>
      <c r="B99" t="s">
        <v>411</v>
      </c>
      <c r="C99" s="1">
        <v>45321.385416666664</v>
      </c>
      <c r="D99">
        <v>0</v>
      </c>
      <c r="E99" s="2">
        <v>554</v>
      </c>
      <c r="F99" s="2">
        <v>0</v>
      </c>
      <c r="G99" s="2">
        <v>6100</v>
      </c>
    </row>
    <row r="100" spans="1:7" x14ac:dyDescent="0.3">
      <c r="A100" t="s">
        <v>490</v>
      </c>
      <c r="B100" t="s">
        <v>411</v>
      </c>
      <c r="C100" s="1">
        <v>45321.604861111111</v>
      </c>
      <c r="D100">
        <v>0</v>
      </c>
      <c r="E100" s="2">
        <v>571</v>
      </c>
      <c r="F100" s="2">
        <v>2.0100000000000001E-3</v>
      </c>
      <c r="G100" s="2">
        <v>6110</v>
      </c>
    </row>
    <row r="101" spans="1:7" x14ac:dyDescent="0.3">
      <c r="A101" t="s">
        <v>491</v>
      </c>
      <c r="B101" t="s">
        <v>411</v>
      </c>
      <c r="C101" s="1">
        <v>45322.547222222223</v>
      </c>
      <c r="D101">
        <v>0</v>
      </c>
      <c r="E101" s="2">
        <v>572</v>
      </c>
      <c r="F101" s="2">
        <v>0</v>
      </c>
      <c r="G101" s="2">
        <v>6130</v>
      </c>
    </row>
    <row r="102" spans="1:7" x14ac:dyDescent="0.3">
      <c r="A102" t="s">
        <v>492</v>
      </c>
      <c r="B102" t="s">
        <v>411</v>
      </c>
      <c r="C102" s="1">
        <v>45322.681250000001</v>
      </c>
      <c r="D102">
        <v>0</v>
      </c>
      <c r="E102" s="2">
        <v>573</v>
      </c>
      <c r="F102" s="2">
        <v>0</v>
      </c>
      <c r="G102" s="2">
        <v>6120</v>
      </c>
    </row>
    <row r="103" spans="1:7" x14ac:dyDescent="0.3">
      <c r="A103" t="s">
        <v>493</v>
      </c>
      <c r="B103" t="s">
        <v>411</v>
      </c>
      <c r="C103" s="1">
        <v>45322.847916666666</v>
      </c>
      <c r="D103">
        <v>0</v>
      </c>
      <c r="E103" s="2">
        <v>570</v>
      </c>
      <c r="F103" s="2">
        <v>0</v>
      </c>
      <c r="G103" s="2">
        <v>6120</v>
      </c>
    </row>
    <row r="104" spans="1:7" x14ac:dyDescent="0.3">
      <c r="A104" t="s">
        <v>494</v>
      </c>
      <c r="B104" t="s">
        <v>411</v>
      </c>
      <c r="C104" s="1">
        <v>45323.036111111112</v>
      </c>
      <c r="D104">
        <v>0</v>
      </c>
      <c r="E104" s="2">
        <v>571</v>
      </c>
      <c r="F104" s="2">
        <v>0</v>
      </c>
      <c r="G104" s="2">
        <v>6110</v>
      </c>
    </row>
    <row r="105" spans="1:7" x14ac:dyDescent="0.3">
      <c r="A105" t="s">
        <v>495</v>
      </c>
      <c r="B105" t="s">
        <v>411</v>
      </c>
      <c r="C105" s="1">
        <v>45323.181250000001</v>
      </c>
      <c r="D105">
        <v>0</v>
      </c>
      <c r="E105" s="2">
        <v>571</v>
      </c>
      <c r="F105" s="2">
        <v>0</v>
      </c>
      <c r="G105" s="2">
        <v>6110</v>
      </c>
    </row>
    <row r="106" spans="1:7" x14ac:dyDescent="0.3">
      <c r="A106" t="s">
        <v>496</v>
      </c>
      <c r="B106" t="s">
        <v>411</v>
      </c>
      <c r="C106" s="1">
        <v>45323.356249999997</v>
      </c>
      <c r="D106">
        <v>0</v>
      </c>
      <c r="E106" s="2">
        <v>571</v>
      </c>
      <c r="F106" s="2">
        <v>0</v>
      </c>
      <c r="G106" s="2">
        <v>6110</v>
      </c>
    </row>
    <row r="107" spans="1:7" x14ac:dyDescent="0.3">
      <c r="A107" t="s">
        <v>497</v>
      </c>
      <c r="B107" t="s">
        <v>411</v>
      </c>
      <c r="C107" s="1">
        <v>45323.63958333333</v>
      </c>
      <c r="D107">
        <v>0</v>
      </c>
      <c r="E107" s="2">
        <v>572</v>
      </c>
      <c r="F107" s="2">
        <v>0</v>
      </c>
      <c r="G107" s="2">
        <v>6100</v>
      </c>
    </row>
    <row r="108" spans="1:7" x14ac:dyDescent="0.3">
      <c r="A108" t="s">
        <v>498</v>
      </c>
      <c r="B108" t="s">
        <v>411</v>
      </c>
      <c r="C108" s="1">
        <v>45323.940972222219</v>
      </c>
      <c r="D108">
        <v>0</v>
      </c>
      <c r="E108" s="2">
        <v>573</v>
      </c>
      <c r="F108" s="2">
        <v>0</v>
      </c>
      <c r="G108" s="2">
        <v>6100</v>
      </c>
    </row>
    <row r="109" spans="1:7" x14ac:dyDescent="0.3">
      <c r="A109" t="s">
        <v>499</v>
      </c>
      <c r="B109" t="s">
        <v>411</v>
      </c>
      <c r="C109" s="1">
        <v>45324.222916666666</v>
      </c>
      <c r="D109">
        <v>0</v>
      </c>
      <c r="E109" s="2">
        <v>570</v>
      </c>
      <c r="F109" s="2">
        <v>0</v>
      </c>
      <c r="G109" s="2">
        <v>6100</v>
      </c>
    </row>
    <row r="110" spans="1:7" x14ac:dyDescent="0.3">
      <c r="A110" t="s">
        <v>500</v>
      </c>
      <c r="B110" t="s">
        <v>411</v>
      </c>
      <c r="C110" s="1">
        <v>45324.521527777775</v>
      </c>
      <c r="D110">
        <v>0</v>
      </c>
      <c r="E110" s="2">
        <v>573</v>
      </c>
      <c r="F110" s="2">
        <v>0</v>
      </c>
      <c r="G110" s="2">
        <v>6100</v>
      </c>
    </row>
    <row r="111" spans="1:7" x14ac:dyDescent="0.3">
      <c r="A111" t="s">
        <v>501</v>
      </c>
      <c r="B111" t="s">
        <v>411</v>
      </c>
      <c r="C111" s="1">
        <v>45324.806250000001</v>
      </c>
      <c r="D111">
        <v>0</v>
      </c>
      <c r="E111" s="2">
        <v>571</v>
      </c>
      <c r="F111" s="2">
        <v>0</v>
      </c>
      <c r="G111" s="2">
        <v>6090</v>
      </c>
    </row>
    <row r="112" spans="1:7" x14ac:dyDescent="0.3">
      <c r="A112" t="s">
        <v>502</v>
      </c>
      <c r="B112" t="s">
        <v>411</v>
      </c>
      <c r="C112" s="1">
        <v>45325.097916666666</v>
      </c>
      <c r="D112">
        <v>0</v>
      </c>
      <c r="E112" s="2">
        <v>576</v>
      </c>
      <c r="F112" s="2">
        <v>0</v>
      </c>
      <c r="G112" s="2">
        <v>6100</v>
      </c>
    </row>
    <row r="113" spans="1:7" x14ac:dyDescent="0.3">
      <c r="A113" t="s">
        <v>503</v>
      </c>
      <c r="B113" t="s">
        <v>411</v>
      </c>
      <c r="C113" s="1">
        <v>45325.390277777777</v>
      </c>
      <c r="D113">
        <v>0</v>
      </c>
      <c r="E113" s="2">
        <v>572</v>
      </c>
      <c r="F113" s="2">
        <v>3.16E-3</v>
      </c>
      <c r="G113" s="2">
        <v>6100</v>
      </c>
    </row>
    <row r="114" spans="1:7" x14ac:dyDescent="0.3">
      <c r="A114" t="s">
        <v>504</v>
      </c>
      <c r="B114" t="s">
        <v>411</v>
      </c>
      <c r="C114" s="1">
        <v>45325.681250000001</v>
      </c>
      <c r="D114">
        <v>0</v>
      </c>
      <c r="E114" s="2">
        <v>576</v>
      </c>
      <c r="F114" s="2">
        <v>0</v>
      </c>
      <c r="G114" s="2">
        <v>6090</v>
      </c>
    </row>
    <row r="115" spans="1:7" x14ac:dyDescent="0.3">
      <c r="A115" t="s">
        <v>505</v>
      </c>
      <c r="B115" t="s">
        <v>411</v>
      </c>
      <c r="C115" s="1">
        <v>45325.972916666666</v>
      </c>
      <c r="D115">
        <v>0</v>
      </c>
      <c r="E115" s="2">
        <v>573</v>
      </c>
      <c r="F115" s="2">
        <v>0</v>
      </c>
      <c r="G115" s="2">
        <v>6090</v>
      </c>
    </row>
    <row r="116" spans="1:7" x14ac:dyDescent="0.3">
      <c r="A116" t="s">
        <v>506</v>
      </c>
      <c r="B116" t="s">
        <v>411</v>
      </c>
      <c r="C116" s="1">
        <v>45326.269444444442</v>
      </c>
      <c r="D116">
        <v>0</v>
      </c>
      <c r="E116" s="2">
        <v>574</v>
      </c>
      <c r="F116" s="2">
        <v>0</v>
      </c>
      <c r="G116" s="2">
        <v>6090</v>
      </c>
    </row>
    <row r="117" spans="1:7" x14ac:dyDescent="0.3">
      <c r="A117" t="s">
        <v>507</v>
      </c>
      <c r="B117" t="s">
        <v>411</v>
      </c>
      <c r="C117" s="1">
        <v>45326.556250000001</v>
      </c>
      <c r="D117">
        <v>0</v>
      </c>
      <c r="E117" s="2">
        <v>573</v>
      </c>
      <c r="F117" s="2">
        <v>0</v>
      </c>
      <c r="G117" s="2">
        <v>6080</v>
      </c>
    </row>
    <row r="118" spans="1:7" x14ac:dyDescent="0.3">
      <c r="A118" t="s">
        <v>508</v>
      </c>
      <c r="B118" t="s">
        <v>411</v>
      </c>
      <c r="C118" s="1">
        <v>45326.861805555556</v>
      </c>
      <c r="D118">
        <v>0</v>
      </c>
      <c r="E118" s="2">
        <v>578</v>
      </c>
      <c r="F118" s="2">
        <v>0</v>
      </c>
      <c r="G118" s="2">
        <v>6090</v>
      </c>
    </row>
    <row r="119" spans="1:7" x14ac:dyDescent="0.3">
      <c r="A119" t="s">
        <v>509</v>
      </c>
      <c r="B119" t="s">
        <v>411</v>
      </c>
      <c r="C119" s="1">
        <v>45327.13958333333</v>
      </c>
      <c r="D119">
        <v>0</v>
      </c>
      <c r="E119" s="2">
        <v>574</v>
      </c>
      <c r="F119" s="2">
        <v>3.16E-3</v>
      </c>
      <c r="G119" s="2">
        <v>6080</v>
      </c>
    </row>
    <row r="120" spans="1:7" x14ac:dyDescent="0.3">
      <c r="A120" t="s">
        <v>510</v>
      </c>
      <c r="B120" t="s">
        <v>411</v>
      </c>
      <c r="C120" s="1">
        <v>45327.436805555553</v>
      </c>
      <c r="D120">
        <v>0</v>
      </c>
      <c r="E120" s="2">
        <v>575</v>
      </c>
      <c r="F120" s="2">
        <v>0</v>
      </c>
      <c r="G120" s="2">
        <v>6080</v>
      </c>
    </row>
    <row r="121" spans="1:7" x14ac:dyDescent="0.3">
      <c r="A121" t="s">
        <v>511</v>
      </c>
      <c r="B121" t="s">
        <v>411</v>
      </c>
      <c r="C121" s="1">
        <v>45327.722916666666</v>
      </c>
      <c r="D121">
        <v>0</v>
      </c>
      <c r="E121" s="2">
        <v>572</v>
      </c>
      <c r="F121" s="2">
        <v>0</v>
      </c>
      <c r="G121" s="2">
        <v>6080</v>
      </c>
    </row>
    <row r="122" spans="1:7" x14ac:dyDescent="0.3">
      <c r="A122" t="s">
        <v>512</v>
      </c>
      <c r="B122" t="s">
        <v>411</v>
      </c>
      <c r="C122" s="1">
        <v>45328.01458333333</v>
      </c>
      <c r="D122">
        <v>0</v>
      </c>
      <c r="E122" s="2">
        <v>574</v>
      </c>
      <c r="F122" s="2">
        <v>0</v>
      </c>
      <c r="G122" s="2">
        <v>6070</v>
      </c>
    </row>
    <row r="123" spans="1:7" x14ac:dyDescent="0.3">
      <c r="A123" t="s">
        <v>513</v>
      </c>
      <c r="B123" t="s">
        <v>411</v>
      </c>
      <c r="C123" s="1">
        <v>45328.306250000001</v>
      </c>
      <c r="D123">
        <v>0</v>
      </c>
      <c r="E123" s="2">
        <v>574</v>
      </c>
      <c r="F123" s="2">
        <v>0</v>
      </c>
      <c r="G123" s="2">
        <v>6070</v>
      </c>
    </row>
    <row r="124" spans="1:7" x14ac:dyDescent="0.3">
      <c r="A124" t="s">
        <v>514</v>
      </c>
      <c r="B124" t="s">
        <v>411</v>
      </c>
      <c r="C124" s="1">
        <v>45328.597916666666</v>
      </c>
      <c r="D124">
        <v>0</v>
      </c>
      <c r="E124" s="2">
        <v>575</v>
      </c>
      <c r="F124" s="2">
        <v>2.48E-3</v>
      </c>
      <c r="G124" s="2">
        <v>6070</v>
      </c>
    </row>
    <row r="125" spans="1:7" x14ac:dyDescent="0.3">
      <c r="A125" t="s">
        <v>515</v>
      </c>
      <c r="B125" t="s">
        <v>411</v>
      </c>
      <c r="C125" s="1">
        <v>45328.88958333333</v>
      </c>
      <c r="D125">
        <v>0</v>
      </c>
      <c r="E125" s="2">
        <v>575</v>
      </c>
      <c r="F125" s="2">
        <v>0</v>
      </c>
      <c r="G125" s="2">
        <v>6070</v>
      </c>
    </row>
    <row r="126" spans="1:7" x14ac:dyDescent="0.3">
      <c r="A126" t="s">
        <v>516</v>
      </c>
      <c r="B126" t="s">
        <v>411</v>
      </c>
      <c r="C126" s="1">
        <v>45329.181250000001</v>
      </c>
      <c r="D126">
        <v>0</v>
      </c>
      <c r="E126" s="2">
        <v>573</v>
      </c>
      <c r="F126" s="2">
        <v>2.7599999999999999E-3</v>
      </c>
      <c r="G126" s="2">
        <v>6060</v>
      </c>
    </row>
    <row r="127" spans="1:7" x14ac:dyDescent="0.3">
      <c r="A127" t="s">
        <v>517</v>
      </c>
      <c r="B127" t="s">
        <v>411</v>
      </c>
      <c r="C127" s="1">
        <v>45329.472916666666</v>
      </c>
      <c r="D127">
        <v>0</v>
      </c>
      <c r="E127" s="2">
        <v>570</v>
      </c>
      <c r="F127" s="2">
        <v>0</v>
      </c>
      <c r="G127" s="2">
        <v>6060</v>
      </c>
    </row>
    <row r="128" spans="1:7" x14ac:dyDescent="0.3">
      <c r="A128" t="s">
        <v>518</v>
      </c>
      <c r="B128" t="s">
        <v>411</v>
      </c>
      <c r="C128" s="1">
        <v>45329.773611111108</v>
      </c>
      <c r="D128">
        <v>0</v>
      </c>
      <c r="E128" s="2">
        <v>571</v>
      </c>
      <c r="F128" s="2">
        <v>0</v>
      </c>
      <c r="G128" s="2">
        <v>6060</v>
      </c>
    </row>
    <row r="129" spans="1:7" x14ac:dyDescent="0.3">
      <c r="A129" t="s">
        <v>519</v>
      </c>
      <c r="B129" t="s">
        <v>411</v>
      </c>
      <c r="C129" s="1">
        <v>45330.056250000001</v>
      </c>
      <c r="D129">
        <v>0</v>
      </c>
      <c r="E129" s="2">
        <v>572</v>
      </c>
      <c r="F129" s="2">
        <v>0</v>
      </c>
      <c r="G129" s="2">
        <v>6050</v>
      </c>
    </row>
    <row r="130" spans="1:7" x14ac:dyDescent="0.3">
      <c r="A130" t="s">
        <v>520</v>
      </c>
      <c r="B130" t="s">
        <v>411</v>
      </c>
      <c r="C130" s="1">
        <v>45330.347916666666</v>
      </c>
      <c r="D130">
        <v>0</v>
      </c>
      <c r="E130" s="2">
        <v>574</v>
      </c>
      <c r="F130" s="2">
        <v>0</v>
      </c>
      <c r="G130" s="2">
        <v>6050</v>
      </c>
    </row>
    <row r="131" spans="1:7" x14ac:dyDescent="0.3">
      <c r="A131" t="s">
        <v>521</v>
      </c>
      <c r="B131" t="s">
        <v>411</v>
      </c>
      <c r="C131" s="1">
        <v>45330.63958333333</v>
      </c>
      <c r="D131">
        <v>0</v>
      </c>
      <c r="E131" s="2">
        <v>571</v>
      </c>
      <c r="F131" s="2">
        <v>0</v>
      </c>
      <c r="G131" s="2">
        <v>6050</v>
      </c>
    </row>
    <row r="132" spans="1:7" x14ac:dyDescent="0.3">
      <c r="A132" t="s">
        <v>522</v>
      </c>
      <c r="B132" t="s">
        <v>411</v>
      </c>
      <c r="C132" s="1">
        <v>45330.931250000001</v>
      </c>
      <c r="D132">
        <v>0</v>
      </c>
      <c r="E132" s="2">
        <v>513</v>
      </c>
      <c r="F132" s="2">
        <v>0</v>
      </c>
      <c r="G132" s="2">
        <v>5280</v>
      </c>
    </row>
    <row r="133" spans="1:7" x14ac:dyDescent="0.3">
      <c r="A133" t="s">
        <v>523</v>
      </c>
      <c r="B133" t="s">
        <v>411</v>
      </c>
      <c r="C133" s="1">
        <v>45331.222916666666</v>
      </c>
      <c r="D133">
        <v>0</v>
      </c>
      <c r="E133" s="2">
        <v>572</v>
      </c>
      <c r="F133" s="2">
        <v>0</v>
      </c>
      <c r="G133" s="2">
        <v>6040</v>
      </c>
    </row>
    <row r="134" spans="1:7" x14ac:dyDescent="0.3">
      <c r="A134" t="s">
        <v>524</v>
      </c>
      <c r="B134" t="s">
        <v>411</v>
      </c>
      <c r="C134" s="1">
        <v>45331.51458333333</v>
      </c>
      <c r="D134">
        <v>0</v>
      </c>
      <c r="E134" s="2">
        <v>577</v>
      </c>
      <c r="F134" s="2">
        <v>0</v>
      </c>
      <c r="G134" s="2">
        <v>6050</v>
      </c>
    </row>
    <row r="135" spans="1:7" x14ac:dyDescent="0.3">
      <c r="A135" t="s">
        <v>525</v>
      </c>
      <c r="B135" t="s">
        <v>411</v>
      </c>
      <c r="C135" s="1">
        <v>45331.806250000001</v>
      </c>
      <c r="D135">
        <v>0</v>
      </c>
      <c r="E135" s="2">
        <v>573</v>
      </c>
      <c r="F135" s="2">
        <v>0</v>
      </c>
      <c r="G135" s="2">
        <v>6030</v>
      </c>
    </row>
    <row r="136" spans="1:7" x14ac:dyDescent="0.3">
      <c r="A136" t="s">
        <v>526</v>
      </c>
      <c r="B136" t="s">
        <v>411</v>
      </c>
      <c r="C136" s="1">
        <v>45332.097916666666</v>
      </c>
      <c r="D136">
        <v>0</v>
      </c>
      <c r="E136" s="2">
        <v>581</v>
      </c>
      <c r="F136" s="2">
        <v>3.14E-3</v>
      </c>
      <c r="G136" s="2">
        <v>6050</v>
      </c>
    </row>
    <row r="137" spans="1:7" x14ac:dyDescent="0.3">
      <c r="A137" t="s">
        <v>527</v>
      </c>
      <c r="B137" t="s">
        <v>411</v>
      </c>
      <c r="C137" s="1">
        <v>45333.114583333336</v>
      </c>
      <c r="D137">
        <v>0</v>
      </c>
      <c r="E137" s="2">
        <v>575</v>
      </c>
      <c r="F137" s="2">
        <v>0</v>
      </c>
      <c r="G137" s="2">
        <v>6050</v>
      </c>
    </row>
    <row r="138" spans="1:7" x14ac:dyDescent="0.3">
      <c r="A138" t="s">
        <v>528</v>
      </c>
      <c r="B138" t="s">
        <v>411</v>
      </c>
      <c r="C138" s="1">
        <v>45333.40625</v>
      </c>
      <c r="D138">
        <v>0</v>
      </c>
      <c r="E138" s="2">
        <v>573</v>
      </c>
      <c r="F138" s="2">
        <v>2.9499999999999999E-3</v>
      </c>
      <c r="G138" s="2">
        <v>6040</v>
      </c>
    </row>
    <row r="139" spans="1:7" x14ac:dyDescent="0.3">
      <c r="A139" t="s">
        <v>529</v>
      </c>
      <c r="B139" t="s">
        <v>411</v>
      </c>
      <c r="C139" s="1">
        <v>45333.698611111111</v>
      </c>
      <c r="D139">
        <v>0</v>
      </c>
      <c r="E139" s="2">
        <v>573</v>
      </c>
      <c r="F139" s="2">
        <v>0</v>
      </c>
      <c r="G139" s="2">
        <v>6030</v>
      </c>
    </row>
    <row r="140" spans="1:7" x14ac:dyDescent="0.3">
      <c r="A140" t="s">
        <v>530</v>
      </c>
      <c r="B140" t="s">
        <v>411</v>
      </c>
      <c r="C140" s="1">
        <v>45333.989583333336</v>
      </c>
      <c r="D140">
        <v>0</v>
      </c>
      <c r="E140" s="2">
        <v>570</v>
      </c>
      <c r="F140" s="2">
        <v>5.2399999999999999E-3</v>
      </c>
      <c r="G140" s="2">
        <v>6030</v>
      </c>
    </row>
    <row r="141" spans="1:7" x14ac:dyDescent="0.3">
      <c r="A141" t="s">
        <v>531</v>
      </c>
      <c r="B141" t="s">
        <v>411</v>
      </c>
      <c r="C141" s="1">
        <v>45334.28125</v>
      </c>
      <c r="D141">
        <v>0</v>
      </c>
      <c r="E141" s="2">
        <v>570</v>
      </c>
      <c r="F141" s="2">
        <v>1.5900000000000001E-3</v>
      </c>
      <c r="G141" s="2">
        <v>6030</v>
      </c>
    </row>
    <row r="142" spans="1:7" x14ac:dyDescent="0.3">
      <c r="A142" t="s">
        <v>532</v>
      </c>
      <c r="B142" t="s">
        <v>411</v>
      </c>
      <c r="C142" s="1">
        <v>45334.572916666664</v>
      </c>
      <c r="D142">
        <v>0</v>
      </c>
      <c r="E142" s="2">
        <v>571</v>
      </c>
      <c r="F142" s="2">
        <v>0</v>
      </c>
      <c r="G142" s="2">
        <v>6020</v>
      </c>
    </row>
    <row r="143" spans="1:7" x14ac:dyDescent="0.3">
      <c r="A143" t="s">
        <v>533</v>
      </c>
      <c r="B143" t="s">
        <v>411</v>
      </c>
      <c r="C143" s="1">
        <v>45334.864583333336</v>
      </c>
      <c r="D143">
        <v>0</v>
      </c>
      <c r="E143" s="2">
        <v>575</v>
      </c>
      <c r="F143" s="2">
        <v>0</v>
      </c>
      <c r="G143" s="2">
        <v>6030</v>
      </c>
    </row>
    <row r="144" spans="1:7" x14ac:dyDescent="0.3">
      <c r="A144" t="s">
        <v>534</v>
      </c>
      <c r="B144" t="s">
        <v>411</v>
      </c>
      <c r="C144" s="1">
        <v>45335.15625</v>
      </c>
      <c r="D144">
        <v>0</v>
      </c>
      <c r="E144" s="2">
        <v>570</v>
      </c>
      <c r="F144" s="2">
        <v>0</v>
      </c>
      <c r="G144" s="2">
        <v>6020</v>
      </c>
    </row>
    <row r="145" spans="1:7" x14ac:dyDescent="0.3">
      <c r="A145" t="s">
        <v>535</v>
      </c>
      <c r="B145" t="s">
        <v>411</v>
      </c>
      <c r="C145" s="1">
        <v>45335.447916666664</v>
      </c>
      <c r="D145">
        <v>0</v>
      </c>
      <c r="E145" s="2">
        <v>572</v>
      </c>
      <c r="F145" s="2">
        <v>0</v>
      </c>
      <c r="G145" s="2">
        <v>6020</v>
      </c>
    </row>
    <row r="146" spans="1:7" x14ac:dyDescent="0.3">
      <c r="A146" t="s">
        <v>536</v>
      </c>
      <c r="B146" t="s">
        <v>411</v>
      </c>
      <c r="C146" s="1">
        <v>45335.84652777778</v>
      </c>
      <c r="D146">
        <v>0</v>
      </c>
      <c r="E146" s="2">
        <v>587</v>
      </c>
      <c r="F146" s="2">
        <v>0</v>
      </c>
      <c r="G146" s="2">
        <v>6040</v>
      </c>
    </row>
    <row r="147" spans="1:7" x14ac:dyDescent="0.3">
      <c r="A147" t="s">
        <v>537</v>
      </c>
      <c r="B147" t="s">
        <v>411</v>
      </c>
      <c r="C147" s="1">
        <v>45336.138888888891</v>
      </c>
      <c r="D147">
        <v>0</v>
      </c>
      <c r="E147" s="2">
        <v>598</v>
      </c>
      <c r="F147" s="2">
        <v>3.8300000000000001E-3</v>
      </c>
      <c r="G147" s="2">
        <v>6020</v>
      </c>
    </row>
    <row r="148" spans="1:7" x14ac:dyDescent="0.3">
      <c r="A148" t="s">
        <v>538</v>
      </c>
      <c r="B148" t="s">
        <v>411</v>
      </c>
      <c r="C148" s="1">
        <v>45336.443055555559</v>
      </c>
      <c r="D148">
        <v>0</v>
      </c>
      <c r="E148" s="2">
        <v>595</v>
      </c>
      <c r="F148" s="2">
        <v>0</v>
      </c>
      <c r="G148" s="2">
        <v>6010</v>
      </c>
    </row>
    <row r="149" spans="1:7" x14ac:dyDescent="0.3">
      <c r="A149" t="s">
        <v>539</v>
      </c>
      <c r="B149" t="s">
        <v>411</v>
      </c>
      <c r="C149" s="1">
        <v>45336.719444444447</v>
      </c>
      <c r="D149">
        <v>0</v>
      </c>
      <c r="E149" s="2">
        <v>588</v>
      </c>
      <c r="F149" s="2">
        <v>0</v>
      </c>
      <c r="G149" s="2">
        <v>6010</v>
      </c>
    </row>
    <row r="150" spans="1:7" x14ac:dyDescent="0.3">
      <c r="A150" t="s">
        <v>540</v>
      </c>
      <c r="B150" t="s">
        <v>411</v>
      </c>
      <c r="C150" s="1">
        <v>45337.001388888886</v>
      </c>
      <c r="D150">
        <v>0</v>
      </c>
      <c r="E150" s="2">
        <v>566</v>
      </c>
      <c r="F150" s="2">
        <v>0</v>
      </c>
      <c r="G150" s="2">
        <v>5990</v>
      </c>
    </row>
    <row r="151" spans="1:7" x14ac:dyDescent="0.3">
      <c r="A151" t="s">
        <v>541</v>
      </c>
      <c r="B151" t="s">
        <v>411</v>
      </c>
      <c r="C151" s="1">
        <v>45337.293055555558</v>
      </c>
      <c r="D151">
        <v>0</v>
      </c>
      <c r="E151" s="2">
        <v>565</v>
      </c>
      <c r="F151" s="2">
        <v>4.1700000000000001E-3</v>
      </c>
      <c r="G151" s="2">
        <v>5980</v>
      </c>
    </row>
    <row r="152" spans="1:7" x14ac:dyDescent="0.3">
      <c r="A152" t="s">
        <v>542</v>
      </c>
      <c r="B152" t="s">
        <v>411</v>
      </c>
      <c r="C152" s="1">
        <v>45337.591666666667</v>
      </c>
      <c r="D152">
        <v>0</v>
      </c>
      <c r="E152" s="2">
        <v>562</v>
      </c>
      <c r="F152" s="2">
        <v>5.5199999999999997E-3</v>
      </c>
      <c r="G152" s="2">
        <v>5980</v>
      </c>
    </row>
    <row r="153" spans="1:7" x14ac:dyDescent="0.3">
      <c r="A153" t="s">
        <v>543</v>
      </c>
      <c r="B153" t="s">
        <v>411</v>
      </c>
      <c r="C153" s="1">
        <v>45337.876388888886</v>
      </c>
      <c r="D153">
        <v>0</v>
      </c>
      <c r="E153" s="2">
        <v>584</v>
      </c>
      <c r="F153" s="2">
        <v>1.9300000000000001E-3</v>
      </c>
      <c r="G153" s="2">
        <v>6010</v>
      </c>
    </row>
    <row r="154" spans="1:7" x14ac:dyDescent="0.3">
      <c r="A154" t="s">
        <v>544</v>
      </c>
      <c r="B154" t="s">
        <v>411</v>
      </c>
      <c r="C154" s="1">
        <v>45338.168055555558</v>
      </c>
      <c r="D154">
        <v>0</v>
      </c>
      <c r="E154" s="2">
        <v>567</v>
      </c>
      <c r="F154" s="2">
        <v>3.65E-3</v>
      </c>
      <c r="G154" s="2">
        <v>5990</v>
      </c>
    </row>
    <row r="155" spans="1:7" x14ac:dyDescent="0.3">
      <c r="A155" t="s">
        <v>545</v>
      </c>
      <c r="B155" t="s">
        <v>411</v>
      </c>
      <c r="C155" s="1">
        <v>45338.459722222222</v>
      </c>
      <c r="D155">
        <v>0</v>
      </c>
      <c r="E155" s="2">
        <v>566</v>
      </c>
      <c r="F155" s="2">
        <v>0</v>
      </c>
      <c r="G155" s="2">
        <v>5980</v>
      </c>
    </row>
    <row r="156" spans="1:7" x14ac:dyDescent="0.3">
      <c r="A156" t="s">
        <v>546</v>
      </c>
      <c r="B156" t="s">
        <v>411</v>
      </c>
      <c r="C156" s="1">
        <v>45338.759722222225</v>
      </c>
      <c r="D156">
        <v>0</v>
      </c>
      <c r="E156" s="2">
        <v>570</v>
      </c>
      <c r="F156" s="2">
        <v>0</v>
      </c>
      <c r="G156" s="2">
        <v>5990</v>
      </c>
    </row>
    <row r="157" spans="1:7" x14ac:dyDescent="0.3">
      <c r="A157" t="s">
        <v>547</v>
      </c>
      <c r="B157" t="s">
        <v>411</v>
      </c>
      <c r="C157" s="1">
        <v>45339.051388888889</v>
      </c>
      <c r="D157">
        <v>0</v>
      </c>
      <c r="E157" s="2">
        <v>566</v>
      </c>
      <c r="F157" s="2">
        <v>0</v>
      </c>
      <c r="G157" s="2">
        <v>5980</v>
      </c>
    </row>
    <row r="158" spans="1:7" x14ac:dyDescent="0.3">
      <c r="A158" t="s">
        <v>548</v>
      </c>
      <c r="B158" t="s">
        <v>411</v>
      </c>
      <c r="C158" s="1">
        <v>45339.343055555553</v>
      </c>
      <c r="D158">
        <v>0</v>
      </c>
      <c r="E158" s="2">
        <v>566</v>
      </c>
      <c r="F158" s="2">
        <v>0</v>
      </c>
      <c r="G158" s="2">
        <v>5970</v>
      </c>
    </row>
    <row r="159" spans="1:7" x14ac:dyDescent="0.3">
      <c r="A159" t="s">
        <v>549</v>
      </c>
      <c r="B159" t="s">
        <v>411</v>
      </c>
      <c r="C159" s="1">
        <v>45339.634722222225</v>
      </c>
      <c r="D159">
        <v>0</v>
      </c>
      <c r="E159" s="2">
        <v>567</v>
      </c>
      <c r="F159" s="2">
        <v>3.0400000000000002E-3</v>
      </c>
      <c r="G159" s="2">
        <v>5970</v>
      </c>
    </row>
    <row r="160" spans="1:7" x14ac:dyDescent="0.3">
      <c r="A160" t="s">
        <v>550</v>
      </c>
      <c r="B160" t="s">
        <v>411</v>
      </c>
      <c r="C160" s="1">
        <v>45339.926388888889</v>
      </c>
      <c r="D160">
        <v>0</v>
      </c>
      <c r="E160" s="2">
        <v>565</v>
      </c>
      <c r="F160" s="2">
        <v>0</v>
      </c>
      <c r="G160" s="2">
        <v>5970</v>
      </c>
    </row>
    <row r="161" spans="1:7" x14ac:dyDescent="0.3">
      <c r="A161" t="s">
        <v>551</v>
      </c>
      <c r="B161" t="s">
        <v>411</v>
      </c>
      <c r="C161" s="1">
        <v>45340.218055555553</v>
      </c>
      <c r="D161">
        <v>0</v>
      </c>
      <c r="E161" s="2">
        <v>561</v>
      </c>
      <c r="F161" s="2">
        <v>0</v>
      </c>
      <c r="G161" s="2">
        <v>5960</v>
      </c>
    </row>
    <row r="162" spans="1:7" x14ac:dyDescent="0.3">
      <c r="A162" t="s">
        <v>552</v>
      </c>
      <c r="B162" t="s">
        <v>411</v>
      </c>
      <c r="C162" s="1">
        <v>45340.509722222225</v>
      </c>
      <c r="D162">
        <v>0</v>
      </c>
      <c r="E162" s="2">
        <v>563</v>
      </c>
      <c r="F162" s="2">
        <v>0</v>
      </c>
      <c r="G162" s="2">
        <v>5970</v>
      </c>
    </row>
    <row r="163" spans="1:7" x14ac:dyDescent="0.3">
      <c r="A163" t="s">
        <v>553</v>
      </c>
      <c r="B163" t="s">
        <v>411</v>
      </c>
      <c r="C163" s="1">
        <v>45340.801388888889</v>
      </c>
      <c r="D163">
        <v>0</v>
      </c>
      <c r="E163" s="2">
        <v>562</v>
      </c>
      <c r="F163" s="2">
        <v>0</v>
      </c>
      <c r="G163" s="2">
        <v>5960</v>
      </c>
    </row>
    <row r="164" spans="1:7" x14ac:dyDescent="0.3">
      <c r="A164" t="s">
        <v>554</v>
      </c>
      <c r="B164" t="s">
        <v>411</v>
      </c>
      <c r="C164" s="1">
        <v>45341.093055555553</v>
      </c>
      <c r="D164">
        <v>0</v>
      </c>
      <c r="E164" s="2">
        <v>561</v>
      </c>
      <c r="F164" s="2">
        <v>0</v>
      </c>
      <c r="G164" s="2">
        <v>5960</v>
      </c>
    </row>
    <row r="165" spans="1:7" x14ac:dyDescent="0.3">
      <c r="A165" t="s">
        <v>555</v>
      </c>
      <c r="B165" t="s">
        <v>411</v>
      </c>
      <c r="C165" s="1">
        <v>45341.390277777777</v>
      </c>
      <c r="D165">
        <v>0</v>
      </c>
      <c r="E165" s="2">
        <v>564</v>
      </c>
      <c r="F165" s="2">
        <v>2.5100000000000001E-3</v>
      </c>
      <c r="G165" s="2">
        <v>5960</v>
      </c>
    </row>
    <row r="166" spans="1:7" x14ac:dyDescent="0.3">
      <c r="A166" t="s">
        <v>556</v>
      </c>
      <c r="B166" t="s">
        <v>411</v>
      </c>
      <c r="C166" s="1">
        <v>45341.676388888889</v>
      </c>
      <c r="D166">
        <v>0</v>
      </c>
      <c r="E166" s="2">
        <v>564</v>
      </c>
      <c r="F166" s="2">
        <v>0</v>
      </c>
      <c r="G166" s="2">
        <v>5950</v>
      </c>
    </row>
    <row r="167" spans="1:7" x14ac:dyDescent="0.3">
      <c r="A167" t="s">
        <v>557</v>
      </c>
      <c r="B167" t="s">
        <v>411</v>
      </c>
      <c r="C167" s="1">
        <v>45341.974305555559</v>
      </c>
      <c r="D167">
        <v>0</v>
      </c>
      <c r="E167" s="2">
        <v>563</v>
      </c>
      <c r="F167" s="2">
        <v>0</v>
      </c>
      <c r="G167" s="2">
        <v>5960</v>
      </c>
    </row>
    <row r="168" spans="1:7" x14ac:dyDescent="0.3">
      <c r="A168" t="s">
        <v>558</v>
      </c>
      <c r="B168" t="s">
        <v>411</v>
      </c>
      <c r="C168" s="1">
        <v>45342.259722222225</v>
      </c>
      <c r="D168">
        <v>0</v>
      </c>
      <c r="E168" s="2">
        <v>565</v>
      </c>
      <c r="F168" s="2">
        <v>0</v>
      </c>
      <c r="G168" s="2">
        <v>5950</v>
      </c>
    </row>
    <row r="169" spans="1:7" x14ac:dyDescent="0.3">
      <c r="A169" t="s">
        <v>559</v>
      </c>
      <c r="B169" t="s">
        <v>411</v>
      </c>
      <c r="C169" s="1">
        <v>45342.551388888889</v>
      </c>
      <c r="D169">
        <v>0</v>
      </c>
      <c r="E169" s="2">
        <v>565</v>
      </c>
      <c r="F169" s="2">
        <v>0</v>
      </c>
      <c r="G169" s="2">
        <v>5950</v>
      </c>
    </row>
    <row r="170" spans="1:7" x14ac:dyDescent="0.3">
      <c r="A170" t="s">
        <v>560</v>
      </c>
      <c r="B170" t="s">
        <v>411</v>
      </c>
      <c r="C170" s="1">
        <v>45342.968055555553</v>
      </c>
      <c r="D170">
        <v>0</v>
      </c>
      <c r="E170" s="2">
        <v>562</v>
      </c>
      <c r="F170" s="2">
        <v>0</v>
      </c>
      <c r="G170" s="2">
        <v>5950</v>
      </c>
    </row>
    <row r="171" spans="1:7" x14ac:dyDescent="0.3">
      <c r="A171" t="s">
        <v>561</v>
      </c>
      <c r="B171" t="s">
        <v>411</v>
      </c>
      <c r="C171" s="1">
        <v>45343.178472222222</v>
      </c>
      <c r="D171">
        <v>0</v>
      </c>
      <c r="E171" s="2">
        <v>564</v>
      </c>
      <c r="F171" s="2">
        <v>0</v>
      </c>
      <c r="G171" s="2">
        <v>5950</v>
      </c>
    </row>
    <row r="172" spans="1:7" x14ac:dyDescent="0.3">
      <c r="A172" t="s">
        <v>562</v>
      </c>
      <c r="B172" t="s">
        <v>411</v>
      </c>
      <c r="C172" s="1">
        <v>45343.399305555555</v>
      </c>
      <c r="D172">
        <v>0</v>
      </c>
      <c r="E172" s="2">
        <v>566</v>
      </c>
      <c r="F172" s="2">
        <v>0</v>
      </c>
      <c r="G172" s="2">
        <v>5960</v>
      </c>
    </row>
    <row r="173" spans="1:7" x14ac:dyDescent="0.3">
      <c r="A173" t="s">
        <v>563</v>
      </c>
      <c r="B173" t="s">
        <v>411</v>
      </c>
      <c r="C173" s="1">
        <v>45343.684027777781</v>
      </c>
      <c r="D173">
        <v>0</v>
      </c>
      <c r="E173" s="2">
        <v>566</v>
      </c>
      <c r="F173" s="2">
        <v>0</v>
      </c>
      <c r="G173" s="2">
        <v>5950</v>
      </c>
    </row>
    <row r="174" spans="1:7" x14ac:dyDescent="0.3">
      <c r="A174" t="s">
        <v>564</v>
      </c>
      <c r="B174" t="s">
        <v>411</v>
      </c>
      <c r="C174" s="1">
        <v>45343.867361111108</v>
      </c>
      <c r="D174">
        <v>0</v>
      </c>
      <c r="E174" s="2">
        <v>568</v>
      </c>
      <c r="F174" s="2">
        <v>0</v>
      </c>
      <c r="G174" s="2">
        <v>5950</v>
      </c>
    </row>
    <row r="175" spans="1:7" x14ac:dyDescent="0.3">
      <c r="A175" t="s">
        <v>565</v>
      </c>
      <c r="B175" t="s">
        <v>411</v>
      </c>
      <c r="C175" s="1">
        <v>45344.072222222225</v>
      </c>
      <c r="D175">
        <v>0</v>
      </c>
      <c r="E175" s="2">
        <v>563</v>
      </c>
      <c r="F175" s="2">
        <v>0</v>
      </c>
      <c r="G175" s="2">
        <v>5940</v>
      </c>
    </row>
    <row r="176" spans="1:7" x14ac:dyDescent="0.3">
      <c r="A176" t="s">
        <v>566</v>
      </c>
      <c r="B176" t="s">
        <v>411</v>
      </c>
      <c r="C176" s="1">
        <v>45344.301388888889</v>
      </c>
      <c r="D176">
        <v>0</v>
      </c>
      <c r="E176" s="2">
        <v>566</v>
      </c>
      <c r="F176" s="2">
        <v>2.5799999999999998E-3</v>
      </c>
      <c r="G176" s="2">
        <v>5930</v>
      </c>
    </row>
    <row r="177" spans="1:7" x14ac:dyDescent="0.3">
      <c r="A177" t="s">
        <v>567</v>
      </c>
      <c r="B177" t="s">
        <v>411</v>
      </c>
      <c r="C177" s="1">
        <v>45344.546527777777</v>
      </c>
      <c r="D177">
        <v>0</v>
      </c>
      <c r="E177" s="2">
        <v>567</v>
      </c>
      <c r="F177" s="2">
        <v>0</v>
      </c>
      <c r="G177" s="2">
        <v>5940</v>
      </c>
    </row>
    <row r="178" spans="1:7" x14ac:dyDescent="0.3">
      <c r="A178" t="s">
        <v>568</v>
      </c>
      <c r="B178" t="s">
        <v>411</v>
      </c>
      <c r="C178" s="1">
        <v>45344.759722222225</v>
      </c>
      <c r="D178">
        <v>0</v>
      </c>
      <c r="E178" s="2">
        <v>568</v>
      </c>
      <c r="F178" s="2">
        <v>0</v>
      </c>
      <c r="G178" s="2">
        <v>5930</v>
      </c>
    </row>
    <row r="179" spans="1:7" x14ac:dyDescent="0.3">
      <c r="A179" t="s">
        <v>569</v>
      </c>
      <c r="B179" t="s">
        <v>411</v>
      </c>
      <c r="C179" s="1">
        <v>45344.988888888889</v>
      </c>
      <c r="D179">
        <v>0</v>
      </c>
      <c r="E179" s="2">
        <v>567</v>
      </c>
      <c r="F179" s="2">
        <v>0</v>
      </c>
      <c r="G179" s="2">
        <v>5920</v>
      </c>
    </row>
    <row r="180" spans="1:7" x14ac:dyDescent="0.3">
      <c r="A180" t="s">
        <v>570</v>
      </c>
      <c r="B180" t="s">
        <v>411</v>
      </c>
      <c r="C180" s="1">
        <v>45345.218055555553</v>
      </c>
      <c r="D180">
        <v>0</v>
      </c>
      <c r="E180" s="2">
        <v>564</v>
      </c>
      <c r="F180" s="2">
        <v>0</v>
      </c>
      <c r="G180" s="2">
        <v>5920</v>
      </c>
    </row>
    <row r="181" spans="1:7" x14ac:dyDescent="0.3">
      <c r="A181" t="s">
        <v>571</v>
      </c>
      <c r="B181" t="s">
        <v>411</v>
      </c>
      <c r="C181" s="1">
        <v>45345.449305555558</v>
      </c>
      <c r="D181">
        <v>0</v>
      </c>
      <c r="E181" s="2">
        <v>564</v>
      </c>
      <c r="F181" s="2">
        <v>0</v>
      </c>
      <c r="G181" s="2">
        <v>5930</v>
      </c>
    </row>
    <row r="182" spans="1:7" x14ac:dyDescent="0.3">
      <c r="A182" t="s">
        <v>572</v>
      </c>
      <c r="B182" t="s">
        <v>411</v>
      </c>
      <c r="C182" s="1">
        <v>45345.719444444447</v>
      </c>
      <c r="D182">
        <v>0</v>
      </c>
      <c r="E182" s="2">
        <v>566</v>
      </c>
      <c r="F182" s="2">
        <v>0</v>
      </c>
      <c r="G182" s="2">
        <v>5920</v>
      </c>
    </row>
    <row r="183" spans="1:7" x14ac:dyDescent="0.3">
      <c r="A183" t="s">
        <v>573</v>
      </c>
      <c r="B183" t="s">
        <v>411</v>
      </c>
      <c r="C183" s="1">
        <v>45345.947222222225</v>
      </c>
      <c r="D183">
        <v>0</v>
      </c>
      <c r="E183" s="2">
        <v>565</v>
      </c>
      <c r="F183" s="2">
        <v>0</v>
      </c>
      <c r="G183" s="2">
        <v>5910</v>
      </c>
    </row>
    <row r="184" spans="1:7" x14ac:dyDescent="0.3">
      <c r="A184" t="s">
        <v>574</v>
      </c>
      <c r="B184" t="s">
        <v>411</v>
      </c>
      <c r="C184" s="1">
        <v>45346.197222222225</v>
      </c>
      <c r="D184">
        <v>0</v>
      </c>
      <c r="E184" s="2">
        <v>565</v>
      </c>
      <c r="F184" s="2">
        <v>0</v>
      </c>
      <c r="G184" s="2">
        <v>5910</v>
      </c>
    </row>
    <row r="185" spans="1:7" x14ac:dyDescent="0.3">
      <c r="A185" t="s">
        <v>575</v>
      </c>
      <c r="B185" t="s">
        <v>411</v>
      </c>
      <c r="C185" s="1">
        <v>45346.447222222225</v>
      </c>
      <c r="D185">
        <v>0</v>
      </c>
      <c r="E185" s="2">
        <v>566</v>
      </c>
      <c r="F185" s="2">
        <v>0</v>
      </c>
      <c r="G185" s="2">
        <v>5910</v>
      </c>
    </row>
    <row r="186" spans="1:7" x14ac:dyDescent="0.3">
      <c r="A186" t="s">
        <v>576</v>
      </c>
      <c r="B186" t="s">
        <v>411</v>
      </c>
      <c r="C186" s="1">
        <v>45346.697222222225</v>
      </c>
      <c r="D186">
        <v>0</v>
      </c>
      <c r="E186" s="2">
        <v>567</v>
      </c>
      <c r="F186" s="2">
        <v>0</v>
      </c>
      <c r="G186" s="2">
        <v>5910</v>
      </c>
    </row>
    <row r="187" spans="1:7" x14ac:dyDescent="0.3">
      <c r="A187" t="s">
        <v>577</v>
      </c>
      <c r="B187" t="s">
        <v>411</v>
      </c>
      <c r="C187" s="1">
        <v>45346.947222222225</v>
      </c>
      <c r="D187">
        <v>0</v>
      </c>
      <c r="E187" s="2">
        <v>560</v>
      </c>
      <c r="F187" s="2">
        <v>3.3899999999999998E-3</v>
      </c>
      <c r="G187" s="2">
        <v>5910</v>
      </c>
    </row>
    <row r="188" spans="1:7" x14ac:dyDescent="0.3">
      <c r="A188" t="s">
        <v>578</v>
      </c>
      <c r="B188" t="s">
        <v>411</v>
      </c>
      <c r="C188" s="1">
        <v>45347.197916666664</v>
      </c>
      <c r="D188">
        <v>0</v>
      </c>
      <c r="E188" s="2">
        <v>567</v>
      </c>
      <c r="F188" s="2">
        <v>0</v>
      </c>
      <c r="G188" s="2">
        <v>5920</v>
      </c>
    </row>
    <row r="189" spans="1:7" x14ac:dyDescent="0.3">
      <c r="A189" t="s">
        <v>579</v>
      </c>
      <c r="B189" t="s">
        <v>411</v>
      </c>
      <c r="C189" s="1">
        <v>45347.447916666664</v>
      </c>
      <c r="D189">
        <v>0</v>
      </c>
      <c r="E189" s="2">
        <v>592</v>
      </c>
      <c r="F189" s="2">
        <v>0</v>
      </c>
      <c r="G189" s="2">
        <v>5960</v>
      </c>
    </row>
    <row r="190" spans="1:7" x14ac:dyDescent="0.3">
      <c r="A190" t="s">
        <v>580</v>
      </c>
      <c r="B190" t="s">
        <v>411</v>
      </c>
      <c r="C190" s="1">
        <v>45347.697222222225</v>
      </c>
      <c r="D190">
        <v>0</v>
      </c>
      <c r="E190" s="2">
        <v>571</v>
      </c>
      <c r="F190" s="2">
        <v>3.3400000000000001E-3</v>
      </c>
      <c r="G190" s="2">
        <v>5930</v>
      </c>
    </row>
    <row r="191" spans="1:7" x14ac:dyDescent="0.3">
      <c r="A191" t="s">
        <v>581</v>
      </c>
      <c r="B191" t="s">
        <v>411</v>
      </c>
      <c r="C191" s="1">
        <v>45347.947916666664</v>
      </c>
      <c r="D191">
        <v>0</v>
      </c>
      <c r="E191" s="2">
        <v>570</v>
      </c>
      <c r="F191" s="2">
        <v>0</v>
      </c>
      <c r="G191" s="2">
        <v>5930</v>
      </c>
    </row>
    <row r="192" spans="1:7" x14ac:dyDescent="0.3">
      <c r="A192" t="s">
        <v>582</v>
      </c>
      <c r="B192" t="s">
        <v>411</v>
      </c>
      <c r="C192" s="1">
        <v>45348.20208333333</v>
      </c>
      <c r="D192">
        <v>0</v>
      </c>
      <c r="E192" s="2">
        <v>572</v>
      </c>
      <c r="F192" s="2">
        <v>0</v>
      </c>
      <c r="G192" s="2">
        <v>5930</v>
      </c>
    </row>
    <row r="193" spans="1:7" x14ac:dyDescent="0.3">
      <c r="A193" t="s">
        <v>583</v>
      </c>
      <c r="B193" t="s">
        <v>411</v>
      </c>
      <c r="C193" s="1">
        <v>45348.447916666664</v>
      </c>
      <c r="D193">
        <v>0</v>
      </c>
      <c r="E193" s="2">
        <v>571</v>
      </c>
      <c r="F193" s="2">
        <v>0</v>
      </c>
      <c r="G193" s="2">
        <v>5910</v>
      </c>
    </row>
    <row r="194" spans="1:7" x14ac:dyDescent="0.3">
      <c r="A194" t="s">
        <v>584</v>
      </c>
      <c r="B194" t="s">
        <v>411</v>
      </c>
      <c r="C194" s="1">
        <v>45348.697916666664</v>
      </c>
      <c r="D194">
        <v>0</v>
      </c>
      <c r="E194" s="2">
        <v>567</v>
      </c>
      <c r="F194" s="2">
        <v>0</v>
      </c>
      <c r="G194" s="2">
        <v>5900</v>
      </c>
    </row>
    <row r="195" spans="1:7" x14ac:dyDescent="0.3">
      <c r="A195" t="s">
        <v>585</v>
      </c>
      <c r="B195" t="s">
        <v>411</v>
      </c>
      <c r="C195" s="1">
        <v>45349.132638888892</v>
      </c>
      <c r="D195">
        <v>0</v>
      </c>
      <c r="E195" s="2">
        <v>566</v>
      </c>
      <c r="F195" s="2">
        <v>0</v>
      </c>
      <c r="G195" s="2">
        <v>5890</v>
      </c>
    </row>
    <row r="196" spans="1:7" x14ac:dyDescent="0.3">
      <c r="A196" t="s">
        <v>586</v>
      </c>
      <c r="B196" t="s">
        <v>411</v>
      </c>
      <c r="C196" s="1">
        <v>45349.384027777778</v>
      </c>
      <c r="D196">
        <v>0</v>
      </c>
      <c r="E196" s="2">
        <v>565</v>
      </c>
      <c r="F196" s="2">
        <v>0</v>
      </c>
      <c r="G196" s="2">
        <v>5890</v>
      </c>
    </row>
    <row r="197" spans="1:7" x14ac:dyDescent="0.3">
      <c r="A197" t="s">
        <v>587</v>
      </c>
      <c r="B197" t="s">
        <v>411</v>
      </c>
      <c r="C197" s="1">
        <v>45349.632638888892</v>
      </c>
      <c r="D197">
        <v>0</v>
      </c>
      <c r="E197" s="2">
        <v>566</v>
      </c>
      <c r="F197" s="2">
        <v>0</v>
      </c>
      <c r="G197" s="2">
        <v>5880</v>
      </c>
    </row>
    <row r="198" spans="1:7" x14ac:dyDescent="0.3">
      <c r="A198" t="s">
        <v>588</v>
      </c>
      <c r="B198" t="s">
        <v>411</v>
      </c>
      <c r="C198" s="1">
        <v>45349.974999999999</v>
      </c>
      <c r="D198">
        <v>0</v>
      </c>
      <c r="E198" s="2">
        <v>563</v>
      </c>
      <c r="F198" s="2">
        <v>0</v>
      </c>
      <c r="G198" s="2">
        <v>5880</v>
      </c>
    </row>
    <row r="199" spans="1:7" x14ac:dyDescent="0.3">
      <c r="A199" t="s">
        <v>589</v>
      </c>
      <c r="B199" t="s">
        <v>411</v>
      </c>
      <c r="C199" s="1">
        <v>45350.299305555556</v>
      </c>
      <c r="D199">
        <v>0</v>
      </c>
      <c r="E199" s="2">
        <v>565</v>
      </c>
      <c r="F199" s="2">
        <v>0</v>
      </c>
      <c r="G199" s="2">
        <v>5870</v>
      </c>
    </row>
    <row r="200" spans="1:7" x14ac:dyDescent="0.3">
      <c r="A200" t="s">
        <v>590</v>
      </c>
      <c r="B200" t="s">
        <v>411</v>
      </c>
      <c r="C200" s="1">
        <v>45355.494444444441</v>
      </c>
      <c r="D200">
        <v>0</v>
      </c>
      <c r="E200" s="2">
        <v>561</v>
      </c>
      <c r="F200" s="2">
        <v>0</v>
      </c>
      <c r="G200" s="2">
        <v>5830</v>
      </c>
    </row>
    <row r="201" spans="1:7" x14ac:dyDescent="0.3">
      <c r="A201" t="s">
        <v>591</v>
      </c>
      <c r="B201" t="s">
        <v>411</v>
      </c>
      <c r="C201" s="1">
        <v>45355.543055555558</v>
      </c>
      <c r="D201">
        <v>0</v>
      </c>
      <c r="E201" s="2">
        <v>561</v>
      </c>
      <c r="F201" s="2">
        <v>0</v>
      </c>
      <c r="G201" s="2">
        <v>5820</v>
      </c>
    </row>
    <row r="202" spans="1:7" x14ac:dyDescent="0.3">
      <c r="A202" t="s">
        <v>592</v>
      </c>
      <c r="B202" t="s">
        <v>411</v>
      </c>
      <c r="C202" s="1">
        <v>45355.65625</v>
      </c>
      <c r="D202">
        <v>0</v>
      </c>
      <c r="E202" s="2">
        <v>563</v>
      </c>
      <c r="F202" s="2">
        <v>0</v>
      </c>
      <c r="G202" s="2">
        <v>5820</v>
      </c>
    </row>
    <row r="203" spans="1:7" x14ac:dyDescent="0.3">
      <c r="A203" t="s">
        <v>593</v>
      </c>
      <c r="B203" t="s">
        <v>411</v>
      </c>
      <c r="C203" s="1">
        <v>45355.947916666664</v>
      </c>
      <c r="D203">
        <v>0</v>
      </c>
      <c r="E203" s="2">
        <v>563</v>
      </c>
      <c r="F203" s="2">
        <v>0</v>
      </c>
      <c r="G203" s="2">
        <v>5810</v>
      </c>
    </row>
    <row r="204" spans="1:7" x14ac:dyDescent="0.3">
      <c r="A204" t="s">
        <v>594</v>
      </c>
      <c r="B204" t="s">
        <v>411</v>
      </c>
      <c r="C204" s="1">
        <v>45356.239583333336</v>
      </c>
      <c r="D204">
        <v>0</v>
      </c>
      <c r="E204" s="2">
        <v>562</v>
      </c>
      <c r="F204" s="2">
        <v>0</v>
      </c>
      <c r="G204" s="2">
        <v>5810</v>
      </c>
    </row>
    <row r="205" spans="1:7" x14ac:dyDescent="0.3">
      <c r="A205" t="s">
        <v>595</v>
      </c>
      <c r="B205" t="s">
        <v>411</v>
      </c>
      <c r="C205" s="1">
        <v>45356.53125</v>
      </c>
      <c r="D205">
        <v>0</v>
      </c>
      <c r="E205" s="2">
        <v>564</v>
      </c>
      <c r="F205" s="2">
        <v>0</v>
      </c>
      <c r="G205" s="2">
        <v>5810</v>
      </c>
    </row>
    <row r="206" spans="1:7" x14ac:dyDescent="0.3">
      <c r="A206" t="s">
        <v>596</v>
      </c>
      <c r="B206" t="s">
        <v>411</v>
      </c>
      <c r="C206" s="1">
        <v>45356.822916666664</v>
      </c>
      <c r="D206">
        <v>0</v>
      </c>
      <c r="E206" s="2">
        <v>562</v>
      </c>
      <c r="F206" s="2">
        <v>0</v>
      </c>
      <c r="G206" s="2">
        <v>5820</v>
      </c>
    </row>
    <row r="207" spans="1:7" x14ac:dyDescent="0.3">
      <c r="A207" t="s">
        <v>597</v>
      </c>
      <c r="B207" t="s">
        <v>411</v>
      </c>
      <c r="C207" s="1">
        <v>45357.114583333336</v>
      </c>
      <c r="D207">
        <v>0</v>
      </c>
      <c r="E207" s="2">
        <v>563</v>
      </c>
      <c r="F207" s="2">
        <v>0</v>
      </c>
      <c r="G207" s="2">
        <v>5810</v>
      </c>
    </row>
    <row r="208" spans="1:7" x14ac:dyDescent="0.3">
      <c r="A208" t="s">
        <v>598</v>
      </c>
      <c r="B208" t="s">
        <v>411</v>
      </c>
      <c r="C208" s="1">
        <v>45357.40625</v>
      </c>
      <c r="D208">
        <v>0</v>
      </c>
      <c r="E208" s="2">
        <v>563</v>
      </c>
      <c r="F208" s="2">
        <v>0</v>
      </c>
      <c r="G208" s="2">
        <v>5810</v>
      </c>
    </row>
    <row r="209" spans="1:7" x14ac:dyDescent="0.3">
      <c r="A209" t="s">
        <v>599</v>
      </c>
      <c r="B209" t="s">
        <v>411</v>
      </c>
      <c r="C209" s="1">
        <v>45358.072222222225</v>
      </c>
      <c r="D209">
        <v>0</v>
      </c>
      <c r="E209" s="2">
        <v>565</v>
      </c>
      <c r="F209" s="2">
        <v>0</v>
      </c>
      <c r="G209" s="2">
        <v>5810</v>
      </c>
    </row>
    <row r="210" spans="1:7" x14ac:dyDescent="0.3">
      <c r="A210" t="s">
        <v>600</v>
      </c>
      <c r="B210" t="s">
        <v>411</v>
      </c>
      <c r="C210" s="1">
        <v>45358.363888888889</v>
      </c>
      <c r="D210">
        <v>0</v>
      </c>
      <c r="E210" s="2">
        <v>565</v>
      </c>
      <c r="F210" s="2">
        <v>3.1900000000000001E-3</v>
      </c>
      <c r="G210" s="2">
        <v>5800</v>
      </c>
    </row>
    <row r="211" spans="1:7" x14ac:dyDescent="0.3">
      <c r="A211" t="s">
        <v>601</v>
      </c>
      <c r="B211" t="s">
        <v>411</v>
      </c>
      <c r="C211" s="1">
        <v>45358.655555555553</v>
      </c>
      <c r="D211">
        <v>0</v>
      </c>
      <c r="E211" s="2">
        <v>563</v>
      </c>
      <c r="F211" s="2">
        <v>0</v>
      </c>
      <c r="G211" s="2">
        <v>5800</v>
      </c>
    </row>
    <row r="212" spans="1:7" x14ac:dyDescent="0.3">
      <c r="A212" t="s">
        <v>602</v>
      </c>
      <c r="B212" t="s">
        <v>411</v>
      </c>
      <c r="C212" s="1">
        <v>45362.784722222219</v>
      </c>
      <c r="D212">
        <v>0</v>
      </c>
      <c r="E212" s="2">
        <v>560</v>
      </c>
      <c r="F212" s="2">
        <v>0</v>
      </c>
      <c r="G212" s="2">
        <v>5800</v>
      </c>
    </row>
    <row r="213" spans="1:7" x14ac:dyDescent="0.3">
      <c r="A213" t="s">
        <v>603</v>
      </c>
      <c r="B213" t="s">
        <v>411</v>
      </c>
      <c r="C213" s="1">
        <v>45362.969444444447</v>
      </c>
      <c r="D213">
        <v>0</v>
      </c>
      <c r="E213" s="2">
        <v>556</v>
      </c>
      <c r="F213" s="2">
        <v>0</v>
      </c>
      <c r="G213" s="2">
        <v>5790</v>
      </c>
    </row>
    <row r="214" spans="1:7" x14ac:dyDescent="0.3">
      <c r="A214" t="s">
        <v>604</v>
      </c>
      <c r="B214" t="s">
        <v>611</v>
      </c>
      <c r="C214" s="1">
        <v>45363.261111111111</v>
      </c>
      <c r="D214">
        <v>0</v>
      </c>
      <c r="E214" s="2">
        <v>557</v>
      </c>
      <c r="F214" s="2">
        <v>5.7200000000000003E-3</v>
      </c>
      <c r="G214" s="2">
        <v>5800</v>
      </c>
    </row>
    <row r="215" spans="1:7" x14ac:dyDescent="0.3">
      <c r="A215" t="s">
        <v>605</v>
      </c>
      <c r="B215" t="s">
        <v>611</v>
      </c>
      <c r="C215" s="1">
        <v>45363.785416666666</v>
      </c>
      <c r="D215">
        <v>0</v>
      </c>
      <c r="E215" s="2">
        <v>508</v>
      </c>
      <c r="F215" s="2">
        <v>0</v>
      </c>
      <c r="G215" s="2">
        <v>5790</v>
      </c>
    </row>
    <row r="216" spans="1:7" x14ac:dyDescent="0.3">
      <c r="A216" t="s">
        <v>606</v>
      </c>
      <c r="B216" t="s">
        <v>411</v>
      </c>
      <c r="C216" s="1">
        <v>45364.431250000001</v>
      </c>
      <c r="D216">
        <v>0</v>
      </c>
      <c r="E216" s="2">
        <v>570</v>
      </c>
      <c r="F216" s="2">
        <v>0</v>
      </c>
      <c r="G216" s="2">
        <v>5800</v>
      </c>
    </row>
    <row r="217" spans="1:7" x14ac:dyDescent="0.3">
      <c r="A217" t="s">
        <v>607</v>
      </c>
      <c r="B217" t="s">
        <v>411</v>
      </c>
      <c r="C217" s="1">
        <v>45364.548611111109</v>
      </c>
      <c r="D217">
        <v>0</v>
      </c>
      <c r="E217" s="2">
        <v>579</v>
      </c>
      <c r="F217" s="2">
        <v>0</v>
      </c>
      <c r="G217" s="2">
        <v>5830</v>
      </c>
    </row>
    <row r="218" spans="1:7" x14ac:dyDescent="0.3">
      <c r="A218" t="s">
        <v>608</v>
      </c>
      <c r="B218" t="s">
        <v>411</v>
      </c>
      <c r="C218" s="1">
        <v>45364.831250000003</v>
      </c>
      <c r="D218">
        <v>0</v>
      </c>
      <c r="E218" s="2">
        <v>567</v>
      </c>
      <c r="F218" s="2">
        <v>0</v>
      </c>
      <c r="G218" s="2">
        <v>5800</v>
      </c>
    </row>
    <row r="219" spans="1:7" x14ac:dyDescent="0.3">
      <c r="A219" t="s">
        <v>609</v>
      </c>
      <c r="B219" t="s">
        <v>411</v>
      </c>
      <c r="C219" s="1">
        <v>45365.123611111114</v>
      </c>
      <c r="D219">
        <v>0</v>
      </c>
      <c r="E219" s="2">
        <v>566</v>
      </c>
      <c r="F219" s="2">
        <v>0</v>
      </c>
      <c r="G219" s="2">
        <v>5790</v>
      </c>
    </row>
    <row r="220" spans="1:7" x14ac:dyDescent="0.3">
      <c r="A220" t="s">
        <v>610</v>
      </c>
      <c r="B220" t="s">
        <v>411</v>
      </c>
      <c r="C220" s="1">
        <v>45365.415972222225</v>
      </c>
      <c r="D220">
        <v>0</v>
      </c>
      <c r="E220" s="2">
        <v>565</v>
      </c>
      <c r="F220" s="2">
        <v>0</v>
      </c>
      <c r="G220" s="2">
        <v>5790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39D05-73EB-47EC-A035-5BA9F773CB91}">
  <dimension ref="A1:D728"/>
  <sheetViews>
    <sheetView topLeftCell="A7" zoomScale="115" zoomScaleNormal="115" workbookViewId="0">
      <selection activeCell="D13" sqref="D13"/>
    </sheetView>
  </sheetViews>
  <sheetFormatPr defaultRowHeight="14.4" x14ac:dyDescent="0.3"/>
  <sheetData>
    <row r="1" spans="1:4" x14ac:dyDescent="0.3">
      <c r="B1" t="s">
        <v>697</v>
      </c>
      <c r="C1" t="s">
        <v>696</v>
      </c>
      <c r="D1" t="s">
        <v>695</v>
      </c>
    </row>
    <row r="2" spans="1:4" x14ac:dyDescent="0.3">
      <c r="A2">
        <v>0</v>
      </c>
      <c r="B2">
        <v>95</v>
      </c>
      <c r="C2">
        <v>71</v>
      </c>
      <c r="D2">
        <v>-0.16117983599999999</v>
      </c>
    </row>
    <row r="3" spans="1:4" x14ac:dyDescent="0.3">
      <c r="A3">
        <v>1</v>
      </c>
      <c r="B3">
        <v>94.5</v>
      </c>
      <c r="C3">
        <v>70.5</v>
      </c>
      <c r="D3">
        <v>-0.120870266</v>
      </c>
    </row>
    <row r="4" spans="1:4" x14ac:dyDescent="0.3">
      <c r="A4">
        <v>2</v>
      </c>
      <c r="B4">
        <v>93.5</v>
      </c>
      <c r="C4">
        <v>69.5</v>
      </c>
      <c r="D4">
        <v>-0.120865396</v>
      </c>
    </row>
    <row r="5" spans="1:4" x14ac:dyDescent="0.3">
      <c r="A5">
        <v>3</v>
      </c>
      <c r="B5">
        <v>92.5</v>
      </c>
      <c r="C5">
        <v>68.5</v>
      </c>
      <c r="D5">
        <v>-0.120860527</v>
      </c>
    </row>
    <row r="6" spans="1:4" x14ac:dyDescent="0.3">
      <c r="A6">
        <v>4</v>
      </c>
      <c r="B6">
        <v>86</v>
      </c>
      <c r="C6">
        <v>62</v>
      </c>
      <c r="D6">
        <v>-8.0580177000000003E-2</v>
      </c>
    </row>
    <row r="7" spans="1:4" x14ac:dyDescent="0.3">
      <c r="A7">
        <v>5</v>
      </c>
      <c r="B7">
        <v>85.5</v>
      </c>
      <c r="C7">
        <v>61.5</v>
      </c>
      <c r="D7">
        <v>-0.120860527</v>
      </c>
    </row>
    <row r="8" spans="1:4" x14ac:dyDescent="0.3">
      <c r="A8">
        <v>6</v>
      </c>
      <c r="B8">
        <v>85</v>
      </c>
      <c r="C8">
        <v>61</v>
      </c>
      <c r="D8">
        <v>-8.0573685000000006E-2</v>
      </c>
    </row>
    <row r="9" spans="1:4" x14ac:dyDescent="0.3">
      <c r="A9">
        <v>7</v>
      </c>
      <c r="B9">
        <v>86</v>
      </c>
      <c r="C9">
        <v>62</v>
      </c>
      <c r="D9">
        <v>-8.0593165999999994E-2</v>
      </c>
    </row>
    <row r="10" spans="1:4" x14ac:dyDescent="0.3">
      <c r="A10">
        <v>8</v>
      </c>
      <c r="B10">
        <v>85.5</v>
      </c>
      <c r="C10">
        <v>61.5</v>
      </c>
      <c r="D10">
        <v>-0.120870266</v>
      </c>
    </row>
    <row r="11" spans="1:4" x14ac:dyDescent="0.3">
      <c r="A11">
        <v>9</v>
      </c>
      <c r="B11">
        <v>85</v>
      </c>
      <c r="C11">
        <v>61</v>
      </c>
      <c r="D11">
        <v>-8.0586670999999999E-2</v>
      </c>
    </row>
    <row r="12" spans="1:4" x14ac:dyDescent="0.3">
      <c r="A12">
        <v>10</v>
      </c>
      <c r="B12">
        <v>84.5</v>
      </c>
      <c r="C12">
        <v>60.5</v>
      </c>
      <c r="D12">
        <v>-0.120884877</v>
      </c>
    </row>
    <row r="13" spans="1:4" x14ac:dyDescent="0.3">
      <c r="A13">
        <v>11</v>
      </c>
      <c r="B13">
        <v>84</v>
      </c>
      <c r="C13">
        <v>60</v>
      </c>
      <c r="D13">
        <v>-8.0576931000000004E-2</v>
      </c>
    </row>
    <row r="14" spans="1:4" x14ac:dyDescent="0.3">
      <c r="A14">
        <v>12</v>
      </c>
      <c r="B14">
        <v>85.5</v>
      </c>
      <c r="C14">
        <v>61.5</v>
      </c>
      <c r="D14">
        <v>-9.6689979999999995E-2</v>
      </c>
    </row>
    <row r="15" spans="1:4" x14ac:dyDescent="0.3">
      <c r="A15">
        <v>13</v>
      </c>
      <c r="B15">
        <v>85.5</v>
      </c>
      <c r="C15">
        <v>61.5</v>
      </c>
      <c r="D15">
        <v>-9.6693096000000006E-2</v>
      </c>
    </row>
    <row r="16" spans="1:4" x14ac:dyDescent="0.3">
      <c r="A16">
        <v>14</v>
      </c>
      <c r="B16">
        <v>85</v>
      </c>
      <c r="C16">
        <v>61</v>
      </c>
      <c r="D16">
        <v>-8.0576931000000004E-2</v>
      </c>
    </row>
    <row r="17" spans="1:4" x14ac:dyDescent="0.3">
      <c r="A17">
        <v>15</v>
      </c>
      <c r="B17">
        <v>84</v>
      </c>
      <c r="C17">
        <v>60</v>
      </c>
      <c r="D17">
        <v>-8.0576931000000004E-2</v>
      </c>
    </row>
    <row r="18" spans="1:4" x14ac:dyDescent="0.3">
      <c r="A18">
        <v>16</v>
      </c>
      <c r="B18">
        <v>83.5</v>
      </c>
      <c r="C18">
        <v>59.5</v>
      </c>
      <c r="D18">
        <v>-4.0286842000000003E-2</v>
      </c>
    </row>
    <row r="19" spans="1:4" x14ac:dyDescent="0.3">
      <c r="A19">
        <v>17</v>
      </c>
      <c r="B19">
        <v>180.5</v>
      </c>
      <c r="C19">
        <v>156.5</v>
      </c>
      <c r="D19">
        <v>-0.354529926</v>
      </c>
    </row>
    <row r="20" spans="1:4" x14ac:dyDescent="0.3">
      <c r="A20">
        <v>18</v>
      </c>
      <c r="B20">
        <v>178.5</v>
      </c>
      <c r="C20">
        <v>154.5</v>
      </c>
      <c r="D20">
        <v>-0.354575637</v>
      </c>
    </row>
    <row r="21" spans="1:4" x14ac:dyDescent="0.3">
      <c r="A21">
        <v>19</v>
      </c>
      <c r="B21">
        <v>177</v>
      </c>
      <c r="C21">
        <v>153</v>
      </c>
      <c r="D21">
        <v>-0.32232070899999998</v>
      </c>
    </row>
    <row r="22" spans="1:4" x14ac:dyDescent="0.3">
      <c r="A22">
        <v>20</v>
      </c>
      <c r="B22">
        <v>100.5</v>
      </c>
      <c r="C22">
        <v>76.5</v>
      </c>
      <c r="D22">
        <v>-0.12085079</v>
      </c>
    </row>
    <row r="23" spans="1:4" x14ac:dyDescent="0.3">
      <c r="A23">
        <v>21</v>
      </c>
      <c r="B23">
        <v>99.5</v>
      </c>
      <c r="C23">
        <v>75.5</v>
      </c>
      <c r="D23">
        <v>-0.120841054</v>
      </c>
    </row>
    <row r="24" spans="1:4" x14ac:dyDescent="0.3">
      <c r="A24">
        <v>22</v>
      </c>
      <c r="B24">
        <v>98.5</v>
      </c>
      <c r="C24">
        <v>74.5</v>
      </c>
      <c r="D24">
        <v>-0.120836186</v>
      </c>
    </row>
    <row r="25" spans="1:4" x14ac:dyDescent="0.3">
      <c r="A25">
        <v>23</v>
      </c>
      <c r="B25">
        <v>98</v>
      </c>
      <c r="C25">
        <v>74</v>
      </c>
      <c r="D25">
        <v>-8.0570438999999994E-2</v>
      </c>
    </row>
    <row r="26" spans="1:4" x14ac:dyDescent="0.3">
      <c r="A26">
        <v>24</v>
      </c>
      <c r="B26">
        <v>97.5</v>
      </c>
      <c r="C26">
        <v>73.5</v>
      </c>
      <c r="D26">
        <v>-0.120865396</v>
      </c>
    </row>
    <row r="27" spans="1:4" x14ac:dyDescent="0.3">
      <c r="A27">
        <v>25</v>
      </c>
      <c r="B27">
        <v>96.5</v>
      </c>
      <c r="C27">
        <v>72.5</v>
      </c>
      <c r="D27">
        <v>-0.120884877</v>
      </c>
    </row>
    <row r="28" spans="1:4" x14ac:dyDescent="0.3">
      <c r="A28">
        <v>26</v>
      </c>
      <c r="B28">
        <v>95.5</v>
      </c>
      <c r="C28">
        <v>71.5</v>
      </c>
      <c r="D28">
        <v>-0.12089461999999999</v>
      </c>
    </row>
    <row r="29" spans="1:4" x14ac:dyDescent="0.3">
      <c r="A29">
        <v>27</v>
      </c>
      <c r="B29">
        <v>95.5</v>
      </c>
      <c r="C29">
        <v>71.5</v>
      </c>
      <c r="D29">
        <v>-0.120889749</v>
      </c>
    </row>
    <row r="30" spans="1:4" x14ac:dyDescent="0.3">
      <c r="A30">
        <v>28</v>
      </c>
      <c r="B30">
        <v>100.5</v>
      </c>
      <c r="C30">
        <v>76.5</v>
      </c>
      <c r="D30">
        <v>-0.120880006</v>
      </c>
    </row>
    <row r="31" spans="1:4" x14ac:dyDescent="0.3">
      <c r="A31">
        <v>29</v>
      </c>
      <c r="B31">
        <v>99.5</v>
      </c>
      <c r="C31">
        <v>75.5</v>
      </c>
      <c r="D31">
        <v>-0.12087513599999999</v>
      </c>
    </row>
    <row r="32" spans="1:4" x14ac:dyDescent="0.3">
      <c r="A32">
        <v>30</v>
      </c>
      <c r="B32">
        <v>98.5</v>
      </c>
      <c r="C32">
        <v>74.5</v>
      </c>
      <c r="D32">
        <v>-0.12089461999999999</v>
      </c>
    </row>
    <row r="33" spans="1:4" x14ac:dyDescent="0.3">
      <c r="A33">
        <v>31</v>
      </c>
      <c r="B33">
        <v>98</v>
      </c>
      <c r="C33">
        <v>74</v>
      </c>
      <c r="D33">
        <v>-8.0596413000000006E-2</v>
      </c>
    </row>
    <row r="34" spans="1:4" x14ac:dyDescent="0.3">
      <c r="A34">
        <v>32</v>
      </c>
      <c r="B34">
        <v>97.5</v>
      </c>
      <c r="C34">
        <v>73.5</v>
      </c>
      <c r="D34">
        <v>-0.120899492</v>
      </c>
    </row>
    <row r="35" spans="1:4" x14ac:dyDescent="0.3">
      <c r="A35">
        <v>33</v>
      </c>
      <c r="B35">
        <v>96.5</v>
      </c>
      <c r="C35">
        <v>72.5</v>
      </c>
      <c r="D35">
        <v>-0.120899492</v>
      </c>
    </row>
    <row r="36" spans="1:4" x14ac:dyDescent="0.3">
      <c r="A36">
        <v>34</v>
      </c>
      <c r="B36">
        <v>100</v>
      </c>
      <c r="C36">
        <v>76</v>
      </c>
      <c r="D36">
        <v>-8.0576931000000004E-2</v>
      </c>
    </row>
    <row r="37" spans="1:4" x14ac:dyDescent="0.3">
      <c r="A37">
        <v>35</v>
      </c>
      <c r="B37">
        <v>99.5</v>
      </c>
      <c r="C37">
        <v>75.5</v>
      </c>
      <c r="D37">
        <v>-0.120860527</v>
      </c>
    </row>
    <row r="38" spans="1:4" x14ac:dyDescent="0.3">
      <c r="A38">
        <v>36</v>
      </c>
      <c r="B38">
        <v>98.5</v>
      </c>
      <c r="C38">
        <v>74.5</v>
      </c>
      <c r="D38">
        <v>-0.12085079</v>
      </c>
    </row>
    <row r="39" spans="1:4" x14ac:dyDescent="0.3">
      <c r="A39">
        <v>37</v>
      </c>
      <c r="B39">
        <v>98</v>
      </c>
      <c r="C39">
        <v>74</v>
      </c>
      <c r="D39">
        <v>-8.0554213E-2</v>
      </c>
    </row>
    <row r="40" spans="1:4" x14ac:dyDescent="0.3">
      <c r="A40">
        <v>38</v>
      </c>
      <c r="B40">
        <v>97.5</v>
      </c>
      <c r="C40">
        <v>73.5</v>
      </c>
      <c r="D40">
        <v>-0.120841054</v>
      </c>
    </row>
    <row r="41" spans="1:4" x14ac:dyDescent="0.3">
      <c r="A41">
        <v>39</v>
      </c>
      <c r="B41">
        <v>97</v>
      </c>
      <c r="C41">
        <v>73</v>
      </c>
      <c r="D41">
        <v>-8.0567192999999995E-2</v>
      </c>
    </row>
    <row r="42" spans="1:4" x14ac:dyDescent="0.3">
      <c r="A42">
        <v>40</v>
      </c>
      <c r="B42">
        <v>96</v>
      </c>
      <c r="C42">
        <v>72</v>
      </c>
      <c r="D42">
        <v>-8.0576931000000004E-2</v>
      </c>
    </row>
    <row r="43" spans="1:4" x14ac:dyDescent="0.3">
      <c r="A43">
        <v>41</v>
      </c>
      <c r="B43">
        <v>95.5</v>
      </c>
      <c r="C43">
        <v>71.5</v>
      </c>
      <c r="D43">
        <v>-0.120889749</v>
      </c>
    </row>
    <row r="44" spans="1:4" x14ac:dyDescent="0.3">
      <c r="A44">
        <v>42</v>
      </c>
      <c r="B44">
        <v>94.5</v>
      </c>
      <c r="C44">
        <v>70.5</v>
      </c>
      <c r="D44">
        <v>-0.12089461999999999</v>
      </c>
    </row>
    <row r="45" spans="1:4" x14ac:dyDescent="0.3">
      <c r="A45">
        <v>43</v>
      </c>
      <c r="B45">
        <v>190</v>
      </c>
      <c r="C45">
        <v>166</v>
      </c>
      <c r="D45">
        <v>-0.322294739</v>
      </c>
    </row>
    <row r="46" spans="1:4" x14ac:dyDescent="0.3">
      <c r="A46">
        <v>44</v>
      </c>
      <c r="B46">
        <v>187.5</v>
      </c>
      <c r="C46">
        <v>163.5</v>
      </c>
      <c r="D46">
        <v>-0.36262540799999998</v>
      </c>
    </row>
    <row r="47" spans="1:4" x14ac:dyDescent="0.3">
      <c r="A47">
        <v>45</v>
      </c>
      <c r="B47">
        <v>185.5</v>
      </c>
      <c r="C47">
        <v>161.5</v>
      </c>
      <c r="D47">
        <v>-0.36255236899999999</v>
      </c>
    </row>
    <row r="48" spans="1:4" x14ac:dyDescent="0.3">
      <c r="A48">
        <v>46</v>
      </c>
      <c r="B48">
        <v>104.5</v>
      </c>
      <c r="C48">
        <v>80.5</v>
      </c>
      <c r="D48">
        <v>-0.12087513599999999</v>
      </c>
    </row>
    <row r="49" spans="1:4" x14ac:dyDescent="0.3">
      <c r="A49">
        <v>47</v>
      </c>
      <c r="B49">
        <v>104</v>
      </c>
      <c r="C49">
        <v>80</v>
      </c>
      <c r="D49">
        <v>-0.161173342</v>
      </c>
    </row>
    <row r="50" spans="1:4" x14ac:dyDescent="0.3">
      <c r="A50">
        <v>48</v>
      </c>
      <c r="B50">
        <v>103</v>
      </c>
      <c r="C50">
        <v>79</v>
      </c>
      <c r="D50">
        <v>-8.0596413000000006E-2</v>
      </c>
    </row>
    <row r="51" spans="1:4" x14ac:dyDescent="0.3">
      <c r="A51">
        <v>49</v>
      </c>
      <c r="B51">
        <v>102.5</v>
      </c>
      <c r="C51">
        <v>78.5</v>
      </c>
      <c r="D51">
        <v>-0.120904365</v>
      </c>
    </row>
    <row r="52" spans="1:4" x14ac:dyDescent="0.3">
      <c r="A52">
        <v>50</v>
      </c>
      <c r="B52">
        <v>101.5</v>
      </c>
      <c r="C52">
        <v>77.5</v>
      </c>
      <c r="D52">
        <v>-0.120889749</v>
      </c>
    </row>
    <row r="53" spans="1:4" x14ac:dyDescent="0.3">
      <c r="A53">
        <v>51</v>
      </c>
      <c r="B53">
        <v>100.5</v>
      </c>
      <c r="C53">
        <v>76.5</v>
      </c>
      <c r="D53">
        <v>-0.120880006</v>
      </c>
    </row>
    <row r="54" spans="1:4" x14ac:dyDescent="0.3">
      <c r="A54">
        <v>52</v>
      </c>
      <c r="B54">
        <v>100.5</v>
      </c>
      <c r="C54">
        <v>76.5</v>
      </c>
      <c r="D54">
        <v>-0.120880006</v>
      </c>
    </row>
    <row r="55" spans="1:4" x14ac:dyDescent="0.3">
      <c r="A55">
        <v>53</v>
      </c>
      <c r="B55">
        <v>99.5</v>
      </c>
      <c r="C55">
        <v>75.5</v>
      </c>
      <c r="D55">
        <v>-0.120860527</v>
      </c>
    </row>
    <row r="56" spans="1:4" x14ac:dyDescent="0.3">
      <c r="A56">
        <v>54</v>
      </c>
      <c r="B56">
        <v>98.5</v>
      </c>
      <c r="C56">
        <v>74.5</v>
      </c>
      <c r="D56">
        <v>-0.120860527</v>
      </c>
    </row>
    <row r="57" spans="1:4" x14ac:dyDescent="0.3">
      <c r="A57">
        <v>55</v>
      </c>
      <c r="B57">
        <v>104.5</v>
      </c>
      <c r="C57">
        <v>80.5</v>
      </c>
      <c r="D57">
        <v>-0.120860527</v>
      </c>
    </row>
    <row r="58" spans="1:4" x14ac:dyDescent="0.3">
      <c r="A58">
        <v>56</v>
      </c>
      <c r="B58">
        <v>104</v>
      </c>
      <c r="C58">
        <v>80</v>
      </c>
      <c r="D58">
        <v>-0.161166848</v>
      </c>
    </row>
    <row r="59" spans="1:4" x14ac:dyDescent="0.3">
      <c r="A59">
        <v>57</v>
      </c>
      <c r="B59">
        <v>103</v>
      </c>
      <c r="C59">
        <v>79</v>
      </c>
      <c r="D59">
        <v>-8.0573685000000006E-2</v>
      </c>
    </row>
    <row r="60" spans="1:4" x14ac:dyDescent="0.3">
      <c r="A60">
        <v>58</v>
      </c>
      <c r="B60">
        <v>102.5</v>
      </c>
      <c r="C60">
        <v>78.5</v>
      </c>
      <c r="D60">
        <v>-0.120870266</v>
      </c>
    </row>
    <row r="61" spans="1:4" x14ac:dyDescent="0.3">
      <c r="A61">
        <v>59</v>
      </c>
      <c r="B61">
        <v>102</v>
      </c>
      <c r="C61">
        <v>78</v>
      </c>
      <c r="D61">
        <v>-8.0586670999999999E-2</v>
      </c>
    </row>
    <row r="62" spans="1:4" x14ac:dyDescent="0.3">
      <c r="A62">
        <v>60</v>
      </c>
      <c r="B62">
        <v>100.5</v>
      </c>
      <c r="C62">
        <v>76.5</v>
      </c>
      <c r="D62">
        <v>-0.120880006</v>
      </c>
    </row>
    <row r="63" spans="1:4" x14ac:dyDescent="0.3">
      <c r="A63">
        <v>61</v>
      </c>
      <c r="B63">
        <v>100.5</v>
      </c>
      <c r="C63">
        <v>76.5</v>
      </c>
      <c r="D63">
        <v>-0.120899492</v>
      </c>
    </row>
    <row r="64" spans="1:4" x14ac:dyDescent="0.3">
      <c r="A64">
        <v>62</v>
      </c>
      <c r="B64">
        <v>104</v>
      </c>
      <c r="C64">
        <v>80</v>
      </c>
      <c r="D64">
        <v>-0.12891581799999999</v>
      </c>
    </row>
    <row r="65" spans="1:4" x14ac:dyDescent="0.3">
      <c r="A65">
        <v>63</v>
      </c>
      <c r="B65">
        <v>104</v>
      </c>
      <c r="C65">
        <v>80</v>
      </c>
      <c r="D65">
        <v>-0.128924128</v>
      </c>
    </row>
    <row r="66" spans="1:4" x14ac:dyDescent="0.3">
      <c r="A66">
        <v>64</v>
      </c>
      <c r="B66">
        <v>102.5</v>
      </c>
      <c r="C66">
        <v>78.5</v>
      </c>
      <c r="D66">
        <v>-9.6702446999999997E-2</v>
      </c>
    </row>
    <row r="67" spans="1:4" x14ac:dyDescent="0.3">
      <c r="A67">
        <v>65</v>
      </c>
      <c r="B67">
        <v>101.5</v>
      </c>
      <c r="C67">
        <v>77.5</v>
      </c>
      <c r="D67">
        <v>-0.120889749</v>
      </c>
    </row>
    <row r="68" spans="1:4" x14ac:dyDescent="0.3">
      <c r="A68">
        <v>66</v>
      </c>
      <c r="B68">
        <v>100.5</v>
      </c>
      <c r="C68">
        <v>76.5</v>
      </c>
      <c r="D68">
        <v>-0.120889749</v>
      </c>
    </row>
    <row r="69" spans="1:4" x14ac:dyDescent="0.3">
      <c r="A69">
        <v>67</v>
      </c>
      <c r="B69">
        <v>100.5</v>
      </c>
      <c r="C69">
        <v>76.5</v>
      </c>
      <c r="D69">
        <v>-0.120884877</v>
      </c>
    </row>
    <row r="70" spans="1:4" x14ac:dyDescent="0.3">
      <c r="A70">
        <v>68</v>
      </c>
      <c r="B70">
        <v>197</v>
      </c>
      <c r="C70">
        <v>173</v>
      </c>
      <c r="D70">
        <v>-0.38648587699999998</v>
      </c>
    </row>
    <row r="71" spans="1:4" x14ac:dyDescent="0.3">
      <c r="A71">
        <v>69</v>
      </c>
      <c r="B71">
        <v>195</v>
      </c>
      <c r="C71">
        <v>171</v>
      </c>
      <c r="D71">
        <v>-0.38644853800000001</v>
      </c>
    </row>
    <row r="72" spans="1:4" x14ac:dyDescent="0.3">
      <c r="A72">
        <v>70</v>
      </c>
      <c r="B72">
        <v>192</v>
      </c>
      <c r="C72">
        <v>168</v>
      </c>
      <c r="D72">
        <v>-0.38647343000000001</v>
      </c>
    </row>
    <row r="73" spans="1:4" x14ac:dyDescent="0.3">
      <c r="A73">
        <v>71</v>
      </c>
      <c r="B73">
        <v>109.5</v>
      </c>
      <c r="C73">
        <v>85.5</v>
      </c>
      <c r="D73">
        <v>-0.120855658</v>
      </c>
    </row>
    <row r="74" spans="1:4" x14ac:dyDescent="0.3">
      <c r="A74">
        <v>72</v>
      </c>
      <c r="B74">
        <v>108</v>
      </c>
      <c r="C74">
        <v>84</v>
      </c>
      <c r="D74">
        <v>-0.12891997299999999</v>
      </c>
    </row>
    <row r="75" spans="1:4" x14ac:dyDescent="0.3">
      <c r="A75">
        <v>73</v>
      </c>
      <c r="B75">
        <v>107</v>
      </c>
      <c r="C75">
        <v>83</v>
      </c>
      <c r="D75">
        <v>-0.12889089400000001</v>
      </c>
    </row>
    <row r="76" spans="1:4" x14ac:dyDescent="0.3">
      <c r="A76">
        <v>74</v>
      </c>
      <c r="B76">
        <v>106</v>
      </c>
      <c r="C76">
        <v>82</v>
      </c>
      <c r="D76">
        <v>-0.12889920099999999</v>
      </c>
    </row>
    <row r="77" spans="1:4" x14ac:dyDescent="0.3">
      <c r="A77">
        <v>75</v>
      </c>
      <c r="B77">
        <v>106</v>
      </c>
      <c r="C77">
        <v>82</v>
      </c>
      <c r="D77">
        <v>-0.12889920099999999</v>
      </c>
    </row>
    <row r="78" spans="1:4" x14ac:dyDescent="0.3">
      <c r="A78">
        <v>76</v>
      </c>
      <c r="B78">
        <v>109.5</v>
      </c>
      <c r="C78">
        <v>85.5</v>
      </c>
      <c r="D78">
        <v>-0.12087513599999999</v>
      </c>
    </row>
    <row r="79" spans="1:4" x14ac:dyDescent="0.3">
      <c r="A79">
        <v>77</v>
      </c>
      <c r="B79">
        <v>108.5</v>
      </c>
      <c r="C79">
        <v>84.5</v>
      </c>
      <c r="D79">
        <v>-0.120865396</v>
      </c>
    </row>
    <row r="80" spans="1:4" x14ac:dyDescent="0.3">
      <c r="A80">
        <v>78</v>
      </c>
      <c r="B80">
        <v>107.5</v>
      </c>
      <c r="C80">
        <v>83.5</v>
      </c>
      <c r="D80">
        <v>-0.12087513599999999</v>
      </c>
    </row>
    <row r="81" spans="1:4" x14ac:dyDescent="0.3">
      <c r="A81">
        <v>79</v>
      </c>
      <c r="B81">
        <v>107</v>
      </c>
      <c r="C81">
        <v>83</v>
      </c>
      <c r="D81">
        <v>-8.0573685000000006E-2</v>
      </c>
    </row>
    <row r="82" spans="1:4" x14ac:dyDescent="0.3">
      <c r="A82">
        <v>80</v>
      </c>
      <c r="B82">
        <v>106</v>
      </c>
      <c r="C82">
        <v>82</v>
      </c>
      <c r="D82">
        <v>-0.161088961</v>
      </c>
    </row>
    <row r="83" spans="1:4" x14ac:dyDescent="0.3">
      <c r="A83">
        <v>81</v>
      </c>
      <c r="B83">
        <v>109.5</v>
      </c>
      <c r="C83">
        <v>85.5</v>
      </c>
      <c r="D83">
        <v>-0.120860527</v>
      </c>
    </row>
    <row r="84" spans="1:4" x14ac:dyDescent="0.3">
      <c r="A84">
        <v>82</v>
      </c>
      <c r="B84">
        <v>108.5</v>
      </c>
      <c r="C84">
        <v>84.5</v>
      </c>
      <c r="D84">
        <v>-0.120860527</v>
      </c>
    </row>
    <row r="85" spans="1:4" x14ac:dyDescent="0.3">
      <c r="A85">
        <v>83</v>
      </c>
      <c r="B85">
        <v>107.5</v>
      </c>
      <c r="C85">
        <v>83.5</v>
      </c>
      <c r="D85">
        <v>-0.120865396</v>
      </c>
    </row>
    <row r="86" spans="1:4" x14ac:dyDescent="0.3">
      <c r="A86">
        <v>84</v>
      </c>
      <c r="B86">
        <v>107</v>
      </c>
      <c r="C86">
        <v>83</v>
      </c>
      <c r="D86">
        <v>-8.0580177000000003E-2</v>
      </c>
    </row>
    <row r="87" spans="1:4" x14ac:dyDescent="0.3">
      <c r="A87">
        <v>85</v>
      </c>
      <c r="B87">
        <v>106.5</v>
      </c>
      <c r="C87">
        <v>82.5</v>
      </c>
      <c r="D87">
        <v>-0.12087513599999999</v>
      </c>
    </row>
    <row r="88" spans="1:4" x14ac:dyDescent="0.3">
      <c r="A88">
        <v>86</v>
      </c>
      <c r="B88">
        <v>105.5</v>
      </c>
      <c r="C88">
        <v>81.5</v>
      </c>
      <c r="D88">
        <v>-0.120884877</v>
      </c>
    </row>
    <row r="89" spans="1:4" x14ac:dyDescent="0.3">
      <c r="A89">
        <v>87</v>
      </c>
      <c r="B89">
        <v>104.5</v>
      </c>
      <c r="C89">
        <v>80.5</v>
      </c>
      <c r="D89">
        <v>-0.12089461999999999</v>
      </c>
    </row>
    <row r="90" spans="1:4" x14ac:dyDescent="0.3">
      <c r="A90">
        <v>88</v>
      </c>
      <c r="B90">
        <v>104</v>
      </c>
      <c r="C90">
        <v>80</v>
      </c>
      <c r="D90">
        <v>-0.161173342</v>
      </c>
    </row>
    <row r="91" spans="1:4" x14ac:dyDescent="0.3">
      <c r="A91">
        <v>89</v>
      </c>
      <c r="B91">
        <v>103.5</v>
      </c>
      <c r="C91">
        <v>79.5</v>
      </c>
      <c r="D91">
        <v>-0.12087513599999999</v>
      </c>
    </row>
    <row r="92" spans="1:4" x14ac:dyDescent="0.3">
      <c r="A92">
        <v>90</v>
      </c>
      <c r="B92">
        <v>202.5</v>
      </c>
      <c r="C92">
        <v>178.5</v>
      </c>
      <c r="D92">
        <v>-0.44310171199999998</v>
      </c>
    </row>
    <row r="93" spans="1:4" x14ac:dyDescent="0.3">
      <c r="A93">
        <v>91</v>
      </c>
      <c r="B93">
        <v>200</v>
      </c>
      <c r="C93">
        <v>176</v>
      </c>
      <c r="D93">
        <v>-0.402852194</v>
      </c>
    </row>
    <row r="94" spans="1:4" x14ac:dyDescent="0.3">
      <c r="A94">
        <v>92</v>
      </c>
      <c r="B94">
        <v>82</v>
      </c>
      <c r="C94">
        <v>58</v>
      </c>
      <c r="D94">
        <v>-8.0563947999999996E-2</v>
      </c>
    </row>
    <row r="95" spans="1:4" x14ac:dyDescent="0.3">
      <c r="A95">
        <v>93</v>
      </c>
      <c r="B95">
        <v>81</v>
      </c>
      <c r="C95">
        <v>57</v>
      </c>
      <c r="D95">
        <v>-8.0573685000000006E-2</v>
      </c>
    </row>
    <row r="96" spans="1:4" x14ac:dyDescent="0.3">
      <c r="A96">
        <v>94</v>
      </c>
      <c r="B96">
        <v>80.5</v>
      </c>
      <c r="C96">
        <v>56.5</v>
      </c>
      <c r="D96">
        <v>-0.120865396</v>
      </c>
    </row>
    <row r="97" spans="1:4" x14ac:dyDescent="0.3">
      <c r="A97">
        <v>95</v>
      </c>
      <c r="B97">
        <v>80</v>
      </c>
      <c r="C97">
        <v>56</v>
      </c>
      <c r="D97">
        <v>-8.0589917999999997E-2</v>
      </c>
    </row>
    <row r="98" spans="1:4" x14ac:dyDescent="0.3">
      <c r="A98">
        <v>96</v>
      </c>
      <c r="B98">
        <v>80</v>
      </c>
      <c r="C98">
        <v>56</v>
      </c>
      <c r="D98">
        <v>-8.0583424000000001E-2</v>
      </c>
    </row>
    <row r="99" spans="1:4" x14ac:dyDescent="0.3">
      <c r="A99">
        <v>97</v>
      </c>
      <c r="B99">
        <v>79</v>
      </c>
      <c r="C99">
        <v>55</v>
      </c>
      <c r="D99">
        <v>-8.0580177000000003E-2</v>
      </c>
    </row>
    <row r="100" spans="1:4" x14ac:dyDescent="0.3">
      <c r="A100">
        <v>98</v>
      </c>
      <c r="B100">
        <v>78.5</v>
      </c>
      <c r="C100">
        <v>54.5</v>
      </c>
      <c r="D100">
        <v>-4.0291712E-2</v>
      </c>
    </row>
    <row r="101" spans="1:4" x14ac:dyDescent="0.3">
      <c r="A101">
        <v>99</v>
      </c>
      <c r="B101">
        <v>78</v>
      </c>
      <c r="C101">
        <v>54</v>
      </c>
      <c r="D101">
        <v>-8.0573685000000006E-2</v>
      </c>
    </row>
    <row r="102" spans="1:4" x14ac:dyDescent="0.3">
      <c r="A102">
        <v>100</v>
      </c>
      <c r="B102">
        <v>78</v>
      </c>
      <c r="C102">
        <v>54</v>
      </c>
      <c r="D102">
        <v>-8.0580177000000003E-2</v>
      </c>
    </row>
    <row r="103" spans="1:4" x14ac:dyDescent="0.3">
      <c r="A103">
        <v>101</v>
      </c>
      <c r="B103">
        <v>82</v>
      </c>
      <c r="C103">
        <v>58</v>
      </c>
      <c r="D103">
        <v>-8.0576931000000004E-2</v>
      </c>
    </row>
    <row r="104" spans="1:4" x14ac:dyDescent="0.3">
      <c r="A104">
        <v>102</v>
      </c>
      <c r="B104">
        <v>81.5</v>
      </c>
      <c r="C104">
        <v>57.5</v>
      </c>
      <c r="D104">
        <v>-4.0291712E-2</v>
      </c>
    </row>
    <row r="105" spans="1:4" x14ac:dyDescent="0.3">
      <c r="A105">
        <v>103</v>
      </c>
      <c r="B105">
        <v>81</v>
      </c>
      <c r="C105">
        <v>57</v>
      </c>
      <c r="D105">
        <v>-8.0576931000000004E-2</v>
      </c>
    </row>
    <row r="106" spans="1:4" x14ac:dyDescent="0.3">
      <c r="A106">
        <v>104</v>
      </c>
      <c r="B106">
        <v>80</v>
      </c>
      <c r="C106">
        <v>56</v>
      </c>
      <c r="D106">
        <v>-8.0580177000000003E-2</v>
      </c>
    </row>
    <row r="107" spans="1:4" x14ac:dyDescent="0.3">
      <c r="A107">
        <v>105</v>
      </c>
      <c r="B107">
        <v>80</v>
      </c>
      <c r="C107">
        <v>56</v>
      </c>
      <c r="D107">
        <v>-8.0586670999999999E-2</v>
      </c>
    </row>
    <row r="108" spans="1:4" x14ac:dyDescent="0.3">
      <c r="A108">
        <v>106</v>
      </c>
      <c r="B108">
        <v>79.5</v>
      </c>
      <c r="C108">
        <v>55.5</v>
      </c>
      <c r="D108">
        <v>-0.120870266</v>
      </c>
    </row>
    <row r="109" spans="1:4" x14ac:dyDescent="0.3">
      <c r="A109">
        <v>107</v>
      </c>
      <c r="B109">
        <v>79</v>
      </c>
      <c r="C109">
        <v>55</v>
      </c>
      <c r="D109">
        <v>-8.0583424000000001E-2</v>
      </c>
    </row>
    <row r="110" spans="1:4" x14ac:dyDescent="0.3">
      <c r="A110">
        <v>108</v>
      </c>
      <c r="B110">
        <v>78.5</v>
      </c>
      <c r="C110">
        <v>54.5</v>
      </c>
      <c r="D110">
        <v>-4.0290089000000001E-2</v>
      </c>
    </row>
    <row r="111" spans="1:4" x14ac:dyDescent="0.3">
      <c r="A111">
        <v>109</v>
      </c>
      <c r="B111">
        <v>95.5</v>
      </c>
      <c r="C111">
        <v>71.5</v>
      </c>
      <c r="D111">
        <v>-0.12087513599999999</v>
      </c>
    </row>
    <row r="112" spans="1:4" x14ac:dyDescent="0.3">
      <c r="A112">
        <v>110</v>
      </c>
      <c r="B112">
        <v>95.5</v>
      </c>
      <c r="C112">
        <v>71.5</v>
      </c>
      <c r="D112">
        <v>-0.12087513599999999</v>
      </c>
    </row>
    <row r="113" spans="1:4" x14ac:dyDescent="0.3">
      <c r="A113">
        <v>111</v>
      </c>
      <c r="B113">
        <v>94.5</v>
      </c>
      <c r="C113">
        <v>70.5</v>
      </c>
      <c r="D113">
        <v>-0.120855658</v>
      </c>
    </row>
    <row r="114" spans="1:4" x14ac:dyDescent="0.3">
      <c r="A114">
        <v>112</v>
      </c>
      <c r="B114">
        <v>94</v>
      </c>
      <c r="C114">
        <v>70</v>
      </c>
      <c r="D114">
        <v>-8.0576931000000004E-2</v>
      </c>
    </row>
    <row r="115" spans="1:4" x14ac:dyDescent="0.3">
      <c r="A115">
        <v>113</v>
      </c>
      <c r="B115">
        <v>93</v>
      </c>
      <c r="C115">
        <v>69</v>
      </c>
      <c r="D115">
        <v>-8.0583424000000001E-2</v>
      </c>
    </row>
    <row r="116" spans="1:4" x14ac:dyDescent="0.3">
      <c r="A116">
        <v>114</v>
      </c>
      <c r="B116">
        <v>93</v>
      </c>
      <c r="C116">
        <v>69</v>
      </c>
      <c r="D116">
        <v>-8.0586670999999999E-2</v>
      </c>
    </row>
    <row r="117" spans="1:4" x14ac:dyDescent="0.3">
      <c r="A117">
        <v>115</v>
      </c>
      <c r="B117">
        <v>95.5</v>
      </c>
      <c r="C117">
        <v>71.5</v>
      </c>
      <c r="D117">
        <v>-0.12087513599999999</v>
      </c>
    </row>
    <row r="118" spans="1:4" x14ac:dyDescent="0.3">
      <c r="A118">
        <v>116</v>
      </c>
      <c r="B118">
        <v>94.5</v>
      </c>
      <c r="C118">
        <v>70.5</v>
      </c>
      <c r="D118">
        <v>-0.120841054</v>
      </c>
    </row>
    <row r="119" spans="1:4" x14ac:dyDescent="0.3">
      <c r="A119">
        <v>117</v>
      </c>
      <c r="B119">
        <v>94.5</v>
      </c>
      <c r="C119">
        <v>70.5</v>
      </c>
      <c r="D119">
        <v>-0.120860527</v>
      </c>
    </row>
    <row r="120" spans="1:4" x14ac:dyDescent="0.3">
      <c r="A120">
        <v>118</v>
      </c>
      <c r="B120">
        <v>93</v>
      </c>
      <c r="C120">
        <v>69</v>
      </c>
      <c r="D120">
        <v>-8.0563947999999996E-2</v>
      </c>
    </row>
    <row r="121" spans="1:4" x14ac:dyDescent="0.3">
      <c r="A121">
        <v>119</v>
      </c>
      <c r="B121">
        <v>93</v>
      </c>
      <c r="C121">
        <v>69</v>
      </c>
      <c r="D121">
        <v>-8.0557457999999998E-2</v>
      </c>
    </row>
    <row r="122" spans="1:4" x14ac:dyDescent="0.3">
      <c r="A122">
        <v>120</v>
      </c>
      <c r="B122">
        <v>95.5</v>
      </c>
      <c r="C122">
        <v>71.5</v>
      </c>
      <c r="D122">
        <v>-0.120865396</v>
      </c>
    </row>
    <row r="123" spans="1:4" x14ac:dyDescent="0.3">
      <c r="A123">
        <v>121</v>
      </c>
      <c r="B123">
        <v>94.5</v>
      </c>
      <c r="C123">
        <v>70.5</v>
      </c>
      <c r="D123">
        <v>-0.120860527</v>
      </c>
    </row>
    <row r="124" spans="1:4" x14ac:dyDescent="0.3">
      <c r="A124">
        <v>122</v>
      </c>
      <c r="B124">
        <v>94.5</v>
      </c>
      <c r="C124">
        <v>70.5</v>
      </c>
      <c r="D124">
        <v>-0.120860527</v>
      </c>
    </row>
    <row r="125" spans="1:4" x14ac:dyDescent="0.3">
      <c r="A125">
        <v>123</v>
      </c>
      <c r="B125">
        <v>93</v>
      </c>
      <c r="C125">
        <v>69</v>
      </c>
      <c r="D125">
        <v>-8.0580177000000003E-2</v>
      </c>
    </row>
    <row r="126" spans="1:4" x14ac:dyDescent="0.3">
      <c r="A126">
        <v>124</v>
      </c>
      <c r="B126">
        <v>93</v>
      </c>
      <c r="C126">
        <v>69</v>
      </c>
      <c r="D126">
        <v>-8.0583424000000001E-2</v>
      </c>
    </row>
    <row r="127" spans="1:4" x14ac:dyDescent="0.3">
      <c r="A127">
        <v>125</v>
      </c>
      <c r="B127">
        <v>92</v>
      </c>
      <c r="C127">
        <v>68</v>
      </c>
      <c r="D127">
        <v>-8.0576931000000004E-2</v>
      </c>
    </row>
    <row r="128" spans="1:4" x14ac:dyDescent="0.3">
      <c r="A128">
        <v>126</v>
      </c>
      <c r="B128">
        <v>91.5</v>
      </c>
      <c r="C128">
        <v>67.5</v>
      </c>
      <c r="D128">
        <v>-9.6702446999999997E-2</v>
      </c>
    </row>
    <row r="129" spans="1:4" x14ac:dyDescent="0.3">
      <c r="A129">
        <v>127</v>
      </c>
      <c r="B129">
        <v>95.5</v>
      </c>
      <c r="C129">
        <v>71.5</v>
      </c>
      <c r="D129">
        <v>-0.120889749</v>
      </c>
    </row>
    <row r="130" spans="1:4" x14ac:dyDescent="0.3">
      <c r="A130">
        <v>128</v>
      </c>
      <c r="B130">
        <v>94.5</v>
      </c>
      <c r="C130">
        <v>70.5</v>
      </c>
      <c r="D130">
        <v>-0.120899492</v>
      </c>
    </row>
    <row r="131" spans="1:4" x14ac:dyDescent="0.3">
      <c r="A131">
        <v>129</v>
      </c>
      <c r="B131">
        <v>94.5</v>
      </c>
      <c r="C131">
        <v>70.5</v>
      </c>
      <c r="D131">
        <v>-0.120899492</v>
      </c>
    </row>
    <row r="132" spans="1:4" x14ac:dyDescent="0.3">
      <c r="A132">
        <v>130</v>
      </c>
      <c r="B132">
        <v>93.5</v>
      </c>
      <c r="C132">
        <v>69.5</v>
      </c>
      <c r="D132">
        <v>-0.12089461999999999</v>
      </c>
    </row>
    <row r="133" spans="1:4" x14ac:dyDescent="0.3">
      <c r="A133">
        <v>131</v>
      </c>
      <c r="B133">
        <v>93</v>
      </c>
      <c r="C133">
        <v>69</v>
      </c>
      <c r="D133">
        <v>-8.0596413000000006E-2</v>
      </c>
    </row>
    <row r="134" spans="1:4" x14ac:dyDescent="0.3">
      <c r="A134">
        <v>132</v>
      </c>
      <c r="B134">
        <v>92</v>
      </c>
      <c r="C134">
        <v>68</v>
      </c>
      <c r="D134">
        <v>-8.0589917999999997E-2</v>
      </c>
    </row>
    <row r="135" spans="1:4" x14ac:dyDescent="0.3">
      <c r="A135">
        <v>133</v>
      </c>
      <c r="B135">
        <v>92</v>
      </c>
      <c r="C135">
        <v>68</v>
      </c>
      <c r="D135">
        <v>-8.0586670999999999E-2</v>
      </c>
    </row>
    <row r="136" spans="1:4" x14ac:dyDescent="0.3">
      <c r="A136">
        <v>134</v>
      </c>
      <c r="B136">
        <v>91</v>
      </c>
      <c r="C136">
        <v>67</v>
      </c>
      <c r="D136">
        <v>-8.0589917999999997E-2</v>
      </c>
    </row>
    <row r="137" spans="1:4" x14ac:dyDescent="0.3">
      <c r="A137">
        <v>135</v>
      </c>
      <c r="B137">
        <v>195</v>
      </c>
      <c r="C137">
        <v>171</v>
      </c>
      <c r="D137">
        <v>-0.40288465400000001</v>
      </c>
    </row>
    <row r="138" spans="1:4" x14ac:dyDescent="0.3">
      <c r="A138">
        <v>136</v>
      </c>
      <c r="B138">
        <v>192</v>
      </c>
      <c r="C138">
        <v>168</v>
      </c>
      <c r="D138">
        <v>-0.40286842299999998</v>
      </c>
    </row>
    <row r="139" spans="1:4" x14ac:dyDescent="0.3">
      <c r="A139">
        <v>137</v>
      </c>
      <c r="B139">
        <v>190</v>
      </c>
      <c r="C139">
        <v>166</v>
      </c>
      <c r="D139">
        <v>-0.40286842299999998</v>
      </c>
    </row>
    <row r="140" spans="1:4" x14ac:dyDescent="0.3">
      <c r="A140">
        <v>138</v>
      </c>
      <c r="B140">
        <v>104</v>
      </c>
      <c r="C140">
        <v>80</v>
      </c>
      <c r="D140">
        <v>-0.16119932300000001</v>
      </c>
    </row>
    <row r="141" spans="1:4" x14ac:dyDescent="0.3">
      <c r="A141">
        <v>139</v>
      </c>
      <c r="B141">
        <v>103</v>
      </c>
      <c r="C141">
        <v>79</v>
      </c>
      <c r="D141">
        <v>-8.0596413000000006E-2</v>
      </c>
    </row>
    <row r="142" spans="1:4" x14ac:dyDescent="0.3">
      <c r="A142">
        <v>140</v>
      </c>
      <c r="B142">
        <v>102.5</v>
      </c>
      <c r="C142">
        <v>78.5</v>
      </c>
      <c r="D142">
        <v>-0.120899492</v>
      </c>
    </row>
    <row r="143" spans="1:4" x14ac:dyDescent="0.3">
      <c r="A143">
        <v>141</v>
      </c>
      <c r="B143">
        <v>102</v>
      </c>
      <c r="C143">
        <v>78</v>
      </c>
      <c r="D143">
        <v>-8.0589917999999997E-2</v>
      </c>
    </row>
    <row r="144" spans="1:4" x14ac:dyDescent="0.3">
      <c r="A144">
        <v>142</v>
      </c>
      <c r="B144">
        <v>100.5</v>
      </c>
      <c r="C144">
        <v>76.5</v>
      </c>
      <c r="D144">
        <v>-0.12087513599999999</v>
      </c>
    </row>
    <row r="145" spans="1:4" x14ac:dyDescent="0.3">
      <c r="A145">
        <v>143</v>
      </c>
      <c r="B145">
        <v>103.5</v>
      </c>
      <c r="C145">
        <v>79.5</v>
      </c>
      <c r="D145">
        <v>-0.120841054</v>
      </c>
    </row>
    <row r="146" spans="1:4" x14ac:dyDescent="0.3">
      <c r="A146">
        <v>144</v>
      </c>
      <c r="B146">
        <v>103</v>
      </c>
      <c r="C146">
        <v>79</v>
      </c>
      <c r="D146">
        <v>-8.0550969E-2</v>
      </c>
    </row>
    <row r="147" spans="1:4" x14ac:dyDescent="0.3">
      <c r="A147">
        <v>145</v>
      </c>
      <c r="B147">
        <v>102.5</v>
      </c>
      <c r="C147">
        <v>78.5</v>
      </c>
      <c r="D147">
        <v>-0.12083131900000001</v>
      </c>
    </row>
    <row r="148" spans="1:4" x14ac:dyDescent="0.3">
      <c r="A148">
        <v>146</v>
      </c>
      <c r="B148">
        <v>101.5</v>
      </c>
      <c r="C148">
        <v>77.5</v>
      </c>
      <c r="D148">
        <v>-0.120841054</v>
      </c>
    </row>
    <row r="149" spans="1:4" x14ac:dyDescent="0.3">
      <c r="A149">
        <v>147</v>
      </c>
      <c r="B149">
        <v>100.5</v>
      </c>
      <c r="C149">
        <v>76.5</v>
      </c>
      <c r="D149">
        <v>-0.12085079</v>
      </c>
    </row>
    <row r="150" spans="1:4" x14ac:dyDescent="0.3">
      <c r="A150">
        <v>148</v>
      </c>
      <c r="B150">
        <v>100.5</v>
      </c>
      <c r="C150">
        <v>76.5</v>
      </c>
      <c r="D150">
        <v>-0.12085079</v>
      </c>
    </row>
    <row r="151" spans="1:4" x14ac:dyDescent="0.3">
      <c r="A151">
        <v>149</v>
      </c>
      <c r="B151">
        <v>104.5</v>
      </c>
      <c r="C151">
        <v>80.5</v>
      </c>
      <c r="D151">
        <v>-0.116786048</v>
      </c>
    </row>
    <row r="152" spans="1:4" x14ac:dyDescent="0.3">
      <c r="A152">
        <v>150</v>
      </c>
      <c r="B152">
        <v>103.5</v>
      </c>
      <c r="C152">
        <v>79.5</v>
      </c>
      <c r="D152">
        <v>-0.120884877</v>
      </c>
    </row>
    <row r="153" spans="1:4" x14ac:dyDescent="0.3">
      <c r="A153">
        <v>151</v>
      </c>
      <c r="B153">
        <v>103</v>
      </c>
      <c r="C153">
        <v>79</v>
      </c>
      <c r="D153">
        <v>-8.0586670999999999E-2</v>
      </c>
    </row>
    <row r="154" spans="1:4" x14ac:dyDescent="0.3">
      <c r="A154">
        <v>152</v>
      </c>
      <c r="B154">
        <v>102.5</v>
      </c>
      <c r="C154">
        <v>78.5</v>
      </c>
      <c r="D154">
        <v>-0.120865396</v>
      </c>
    </row>
    <row r="155" spans="1:4" x14ac:dyDescent="0.3">
      <c r="A155">
        <v>153</v>
      </c>
      <c r="B155">
        <v>104.5</v>
      </c>
      <c r="C155">
        <v>80.5</v>
      </c>
      <c r="D155">
        <v>-0.12087513599999999</v>
      </c>
    </row>
    <row r="156" spans="1:4" x14ac:dyDescent="0.3">
      <c r="A156">
        <v>154</v>
      </c>
      <c r="B156">
        <v>104</v>
      </c>
      <c r="C156">
        <v>80</v>
      </c>
      <c r="D156">
        <v>-0.16114736900000001</v>
      </c>
    </row>
    <row r="157" spans="1:4" x14ac:dyDescent="0.3">
      <c r="A157">
        <v>155</v>
      </c>
      <c r="B157">
        <v>103.5</v>
      </c>
      <c r="C157">
        <v>79.5</v>
      </c>
      <c r="D157">
        <v>-0.120870266</v>
      </c>
    </row>
    <row r="158" spans="1:4" x14ac:dyDescent="0.3">
      <c r="A158">
        <v>156</v>
      </c>
      <c r="B158">
        <v>102.5</v>
      </c>
      <c r="C158">
        <v>78.5</v>
      </c>
      <c r="D158">
        <v>-0.120880006</v>
      </c>
    </row>
    <row r="159" spans="1:4" x14ac:dyDescent="0.3">
      <c r="A159">
        <v>157</v>
      </c>
      <c r="B159">
        <v>101.5</v>
      </c>
      <c r="C159">
        <v>77.5</v>
      </c>
      <c r="D159">
        <v>-0.120865396</v>
      </c>
    </row>
    <row r="160" spans="1:4" x14ac:dyDescent="0.3">
      <c r="A160">
        <v>158</v>
      </c>
      <c r="B160">
        <v>100.5</v>
      </c>
      <c r="C160">
        <v>76.5</v>
      </c>
      <c r="D160">
        <v>-0.120865396</v>
      </c>
    </row>
    <row r="161" spans="1:4" x14ac:dyDescent="0.3">
      <c r="A161">
        <v>159</v>
      </c>
      <c r="B161">
        <v>100.5</v>
      </c>
      <c r="C161">
        <v>76.5</v>
      </c>
      <c r="D161">
        <v>-0.120870266</v>
      </c>
    </row>
    <row r="162" spans="1:4" x14ac:dyDescent="0.3">
      <c r="A162">
        <v>160</v>
      </c>
      <c r="B162">
        <v>99.5</v>
      </c>
      <c r="C162">
        <v>75.5</v>
      </c>
      <c r="D162">
        <v>-0.120855658</v>
      </c>
    </row>
    <row r="163" spans="1:4" x14ac:dyDescent="0.3">
      <c r="A163">
        <v>161</v>
      </c>
      <c r="B163">
        <v>188.5</v>
      </c>
      <c r="C163">
        <v>164.5</v>
      </c>
      <c r="D163">
        <v>-0.36269847700000002</v>
      </c>
    </row>
    <row r="164" spans="1:4" x14ac:dyDescent="0.3">
      <c r="A164">
        <v>162</v>
      </c>
      <c r="B164">
        <v>186</v>
      </c>
      <c r="C164">
        <v>162</v>
      </c>
      <c r="D164">
        <v>-0.322333696</v>
      </c>
    </row>
    <row r="165" spans="1:4" x14ac:dyDescent="0.3">
      <c r="A165">
        <v>163</v>
      </c>
      <c r="B165">
        <v>109.5</v>
      </c>
      <c r="C165">
        <v>85.5</v>
      </c>
      <c r="D165">
        <v>-0.120855658</v>
      </c>
    </row>
    <row r="166" spans="1:4" x14ac:dyDescent="0.3">
      <c r="A166">
        <v>164</v>
      </c>
      <c r="B166">
        <v>108.5</v>
      </c>
      <c r="C166">
        <v>84.5</v>
      </c>
      <c r="D166">
        <v>-0.12085079</v>
      </c>
    </row>
    <row r="167" spans="1:4" x14ac:dyDescent="0.3">
      <c r="A167">
        <v>165</v>
      </c>
      <c r="B167">
        <v>108</v>
      </c>
      <c r="C167">
        <v>84</v>
      </c>
      <c r="D167">
        <v>-8.0576931000000004E-2</v>
      </c>
    </row>
    <row r="168" spans="1:4" x14ac:dyDescent="0.3">
      <c r="A168">
        <v>166</v>
      </c>
      <c r="B168">
        <v>107.5</v>
      </c>
      <c r="C168">
        <v>83.5</v>
      </c>
      <c r="D168">
        <v>-0.120884877</v>
      </c>
    </row>
    <row r="169" spans="1:4" x14ac:dyDescent="0.3">
      <c r="A169">
        <v>167</v>
      </c>
      <c r="B169">
        <v>106.5</v>
      </c>
      <c r="C169">
        <v>82.5</v>
      </c>
      <c r="D169">
        <v>-0.120880006</v>
      </c>
    </row>
    <row r="170" spans="1:4" x14ac:dyDescent="0.3">
      <c r="A170">
        <v>168</v>
      </c>
      <c r="B170">
        <v>105.5</v>
      </c>
      <c r="C170">
        <v>81.5</v>
      </c>
      <c r="D170">
        <v>-0.12089461999999999</v>
      </c>
    </row>
    <row r="171" spans="1:4" x14ac:dyDescent="0.3">
      <c r="A171">
        <v>169</v>
      </c>
      <c r="B171">
        <v>105.5</v>
      </c>
      <c r="C171">
        <v>81.5</v>
      </c>
      <c r="D171">
        <v>-0.120880006</v>
      </c>
    </row>
    <row r="172" spans="1:4" x14ac:dyDescent="0.3">
      <c r="A172">
        <v>170</v>
      </c>
      <c r="B172">
        <v>104.5</v>
      </c>
      <c r="C172">
        <v>80.5</v>
      </c>
      <c r="D172">
        <v>-0.120870266</v>
      </c>
    </row>
    <row r="173" spans="1:4" x14ac:dyDescent="0.3">
      <c r="A173">
        <v>171</v>
      </c>
      <c r="B173">
        <v>109.5</v>
      </c>
      <c r="C173">
        <v>85.5</v>
      </c>
      <c r="D173">
        <v>-0.120899492</v>
      </c>
    </row>
    <row r="174" spans="1:4" x14ac:dyDescent="0.3">
      <c r="A174">
        <v>172</v>
      </c>
      <c r="B174">
        <v>109</v>
      </c>
      <c r="C174">
        <v>85</v>
      </c>
      <c r="D174">
        <v>-0.16119282700000001</v>
      </c>
    </row>
    <row r="175" spans="1:4" x14ac:dyDescent="0.3">
      <c r="A175">
        <v>173</v>
      </c>
      <c r="B175">
        <v>108</v>
      </c>
      <c r="C175">
        <v>84</v>
      </c>
      <c r="D175">
        <v>-8.0580177000000003E-2</v>
      </c>
    </row>
    <row r="176" spans="1:4" x14ac:dyDescent="0.3">
      <c r="A176">
        <v>174</v>
      </c>
      <c r="B176">
        <v>107.5</v>
      </c>
      <c r="C176">
        <v>83.5</v>
      </c>
      <c r="D176">
        <v>-0.12087513599999999</v>
      </c>
    </row>
    <row r="177" spans="1:4" x14ac:dyDescent="0.3">
      <c r="A177">
        <v>175</v>
      </c>
      <c r="B177">
        <v>106.5</v>
      </c>
      <c r="C177">
        <v>82.5</v>
      </c>
      <c r="D177">
        <v>-0.120855658</v>
      </c>
    </row>
    <row r="178" spans="1:4" x14ac:dyDescent="0.3">
      <c r="A178">
        <v>176</v>
      </c>
      <c r="B178">
        <v>105.5</v>
      </c>
      <c r="C178">
        <v>81.5</v>
      </c>
      <c r="D178">
        <v>-0.120855658</v>
      </c>
    </row>
    <row r="179" spans="1:4" x14ac:dyDescent="0.3">
      <c r="A179">
        <v>177</v>
      </c>
      <c r="B179">
        <v>105.5</v>
      </c>
      <c r="C179">
        <v>81.5</v>
      </c>
      <c r="D179">
        <v>-0.12085079</v>
      </c>
    </row>
    <row r="180" spans="1:4" x14ac:dyDescent="0.3">
      <c r="A180">
        <v>178</v>
      </c>
      <c r="B180">
        <v>109.5</v>
      </c>
      <c r="C180">
        <v>85.5</v>
      </c>
      <c r="D180">
        <v>-0.12087513599999999</v>
      </c>
    </row>
    <row r="181" spans="1:4" x14ac:dyDescent="0.3">
      <c r="A181">
        <v>179</v>
      </c>
      <c r="B181">
        <v>109</v>
      </c>
      <c r="C181">
        <v>85</v>
      </c>
      <c r="D181">
        <v>-0.161166848</v>
      </c>
    </row>
    <row r="182" spans="1:4" x14ac:dyDescent="0.3">
      <c r="A182">
        <v>180</v>
      </c>
      <c r="B182">
        <v>108.5</v>
      </c>
      <c r="C182">
        <v>84.5</v>
      </c>
      <c r="D182">
        <v>-0.120870266</v>
      </c>
    </row>
    <row r="183" spans="1:4" x14ac:dyDescent="0.3">
      <c r="A183">
        <v>181</v>
      </c>
      <c r="B183">
        <v>107.5</v>
      </c>
      <c r="C183">
        <v>83.5</v>
      </c>
      <c r="D183">
        <v>-0.120865396</v>
      </c>
    </row>
    <row r="184" spans="1:4" x14ac:dyDescent="0.3">
      <c r="A184">
        <v>182</v>
      </c>
      <c r="B184">
        <v>107</v>
      </c>
      <c r="C184">
        <v>83</v>
      </c>
      <c r="D184">
        <v>-8.0576931000000004E-2</v>
      </c>
    </row>
    <row r="185" spans="1:4" x14ac:dyDescent="0.3">
      <c r="A185">
        <v>183</v>
      </c>
      <c r="B185">
        <v>105.5</v>
      </c>
      <c r="C185">
        <v>81.5</v>
      </c>
      <c r="D185">
        <v>-0.12085079</v>
      </c>
    </row>
    <row r="186" spans="1:4" x14ac:dyDescent="0.3">
      <c r="A186">
        <v>184</v>
      </c>
      <c r="B186">
        <v>105.5</v>
      </c>
      <c r="C186">
        <v>81.5</v>
      </c>
      <c r="D186">
        <v>-0.120855658</v>
      </c>
    </row>
    <row r="187" spans="1:4" x14ac:dyDescent="0.3">
      <c r="A187">
        <v>185</v>
      </c>
      <c r="B187">
        <v>104.5</v>
      </c>
      <c r="C187">
        <v>80.5</v>
      </c>
      <c r="D187">
        <v>-0.120860527</v>
      </c>
    </row>
    <row r="188" spans="1:4" x14ac:dyDescent="0.3">
      <c r="A188">
        <v>186</v>
      </c>
      <c r="B188">
        <v>104</v>
      </c>
      <c r="C188">
        <v>80</v>
      </c>
      <c r="D188">
        <v>-0.16116035500000001</v>
      </c>
    </row>
    <row r="189" spans="1:4" x14ac:dyDescent="0.3">
      <c r="A189">
        <v>187</v>
      </c>
      <c r="B189">
        <v>90.5</v>
      </c>
      <c r="C189">
        <v>66.5</v>
      </c>
      <c r="D189">
        <v>-0.120855658</v>
      </c>
    </row>
    <row r="190" spans="1:4" x14ac:dyDescent="0.3">
      <c r="A190">
        <v>188</v>
      </c>
      <c r="B190">
        <v>90</v>
      </c>
      <c r="C190">
        <v>66</v>
      </c>
      <c r="D190">
        <v>-8.0576931000000004E-2</v>
      </c>
    </row>
    <row r="191" spans="1:4" x14ac:dyDescent="0.3">
      <c r="A191">
        <v>189</v>
      </c>
      <c r="B191">
        <v>89.5</v>
      </c>
      <c r="C191">
        <v>65.5</v>
      </c>
      <c r="D191">
        <v>-0.120880006</v>
      </c>
    </row>
    <row r="192" spans="1:4" x14ac:dyDescent="0.3">
      <c r="A192">
        <v>190</v>
      </c>
      <c r="B192">
        <v>89</v>
      </c>
      <c r="C192">
        <v>65</v>
      </c>
      <c r="D192">
        <v>-8.0589917999999997E-2</v>
      </c>
    </row>
    <row r="193" spans="1:4" x14ac:dyDescent="0.3">
      <c r="A193">
        <v>191</v>
      </c>
      <c r="B193">
        <v>88</v>
      </c>
      <c r="C193">
        <v>64</v>
      </c>
      <c r="D193">
        <v>-8.0583424000000001E-2</v>
      </c>
    </row>
    <row r="194" spans="1:4" x14ac:dyDescent="0.3">
      <c r="A194">
        <v>192</v>
      </c>
      <c r="B194">
        <v>88</v>
      </c>
      <c r="C194">
        <v>64</v>
      </c>
      <c r="D194">
        <v>-8.0573685000000006E-2</v>
      </c>
    </row>
    <row r="195" spans="1:4" x14ac:dyDescent="0.3">
      <c r="A195">
        <v>193</v>
      </c>
      <c r="B195">
        <v>91</v>
      </c>
      <c r="C195">
        <v>67</v>
      </c>
      <c r="D195">
        <v>-8.0599661000000003E-2</v>
      </c>
    </row>
    <row r="196" spans="1:4" x14ac:dyDescent="0.3">
      <c r="A196">
        <v>194</v>
      </c>
      <c r="B196">
        <v>90.5</v>
      </c>
      <c r="C196">
        <v>66.5</v>
      </c>
      <c r="D196">
        <v>-0.120889749</v>
      </c>
    </row>
    <row r="197" spans="1:4" x14ac:dyDescent="0.3">
      <c r="A197">
        <v>195</v>
      </c>
      <c r="B197">
        <v>90</v>
      </c>
      <c r="C197">
        <v>66</v>
      </c>
      <c r="D197">
        <v>-8.0589917999999997E-2</v>
      </c>
    </row>
    <row r="198" spans="1:4" x14ac:dyDescent="0.3">
      <c r="A198">
        <v>196</v>
      </c>
      <c r="B198">
        <v>89.5</v>
      </c>
      <c r="C198">
        <v>65.5</v>
      </c>
      <c r="D198">
        <v>-0.12087513599999999</v>
      </c>
    </row>
    <row r="199" spans="1:4" x14ac:dyDescent="0.3">
      <c r="A199">
        <v>197</v>
      </c>
      <c r="B199">
        <v>89</v>
      </c>
      <c r="C199">
        <v>65</v>
      </c>
      <c r="D199">
        <v>-8.0580177000000003E-2</v>
      </c>
    </row>
    <row r="200" spans="1:4" x14ac:dyDescent="0.3">
      <c r="A200">
        <v>198</v>
      </c>
      <c r="B200">
        <v>88</v>
      </c>
      <c r="C200">
        <v>64</v>
      </c>
      <c r="D200">
        <v>-8.0580177000000003E-2</v>
      </c>
    </row>
    <row r="201" spans="1:4" x14ac:dyDescent="0.3">
      <c r="A201">
        <v>199</v>
      </c>
      <c r="B201">
        <v>88</v>
      </c>
      <c r="C201">
        <v>64</v>
      </c>
      <c r="D201">
        <v>-8.0583424000000001E-2</v>
      </c>
    </row>
    <row r="202" spans="1:4" x14ac:dyDescent="0.3">
      <c r="A202">
        <v>200</v>
      </c>
      <c r="B202">
        <v>87</v>
      </c>
      <c r="C202">
        <v>63</v>
      </c>
      <c r="D202">
        <v>-8.0576931000000004E-2</v>
      </c>
    </row>
    <row r="203" spans="1:4" x14ac:dyDescent="0.3">
      <c r="A203">
        <v>201</v>
      </c>
      <c r="B203">
        <v>172</v>
      </c>
      <c r="C203">
        <v>148</v>
      </c>
      <c r="D203">
        <v>-0.32235967300000001</v>
      </c>
    </row>
    <row r="204" spans="1:4" x14ac:dyDescent="0.3">
      <c r="A204">
        <v>202</v>
      </c>
      <c r="B204">
        <v>169.5</v>
      </c>
      <c r="C204">
        <v>145.5</v>
      </c>
      <c r="D204">
        <v>-0.28206471399999999</v>
      </c>
    </row>
    <row r="205" spans="1:4" x14ac:dyDescent="0.3">
      <c r="A205">
        <v>203</v>
      </c>
      <c r="B205">
        <v>168</v>
      </c>
      <c r="C205">
        <v>144</v>
      </c>
      <c r="D205">
        <v>-0.32234668399999999</v>
      </c>
    </row>
    <row r="206" spans="1:4" x14ac:dyDescent="0.3">
      <c r="A206">
        <v>204</v>
      </c>
      <c r="B206">
        <v>90.5</v>
      </c>
      <c r="C206">
        <v>66.5</v>
      </c>
      <c r="D206">
        <v>-0.120880006</v>
      </c>
    </row>
    <row r="207" spans="1:4" x14ac:dyDescent="0.3">
      <c r="A207">
        <v>205</v>
      </c>
      <c r="B207">
        <v>90</v>
      </c>
      <c r="C207">
        <v>66</v>
      </c>
      <c r="D207">
        <v>-8.0599661000000003E-2</v>
      </c>
    </row>
    <row r="208" spans="1:4" x14ac:dyDescent="0.3">
      <c r="A208">
        <v>206</v>
      </c>
      <c r="B208">
        <v>89.5</v>
      </c>
      <c r="C208">
        <v>65.5</v>
      </c>
      <c r="D208">
        <v>-0.120889749</v>
      </c>
    </row>
    <row r="209" spans="1:4" x14ac:dyDescent="0.3">
      <c r="A209">
        <v>207</v>
      </c>
      <c r="B209">
        <v>89</v>
      </c>
      <c r="C209">
        <v>65</v>
      </c>
      <c r="D209">
        <v>-8.0586670999999999E-2</v>
      </c>
    </row>
    <row r="210" spans="1:4" x14ac:dyDescent="0.3">
      <c r="A210">
        <v>208</v>
      </c>
      <c r="B210">
        <v>88</v>
      </c>
      <c r="C210">
        <v>64</v>
      </c>
      <c r="D210">
        <v>-8.0583424000000001E-2</v>
      </c>
    </row>
    <row r="211" spans="1:4" x14ac:dyDescent="0.3">
      <c r="A211">
        <v>209</v>
      </c>
      <c r="B211">
        <v>88</v>
      </c>
      <c r="C211">
        <v>64</v>
      </c>
      <c r="D211">
        <v>-8.0573685000000006E-2</v>
      </c>
    </row>
    <row r="212" spans="1:4" x14ac:dyDescent="0.3">
      <c r="A212">
        <v>210</v>
      </c>
      <c r="B212">
        <v>90.5</v>
      </c>
      <c r="C212">
        <v>66.5</v>
      </c>
      <c r="D212">
        <v>-9.6711799000000001E-2</v>
      </c>
    </row>
    <row r="213" spans="1:4" x14ac:dyDescent="0.3">
      <c r="A213">
        <v>211</v>
      </c>
      <c r="B213">
        <v>90.5</v>
      </c>
      <c r="C213">
        <v>66.5</v>
      </c>
      <c r="D213">
        <v>-9.6711799000000001E-2</v>
      </c>
    </row>
    <row r="214" spans="1:4" x14ac:dyDescent="0.3">
      <c r="A214">
        <v>212</v>
      </c>
      <c r="B214">
        <v>89.5</v>
      </c>
      <c r="C214">
        <v>65.5</v>
      </c>
      <c r="D214">
        <v>-9.6693096000000006E-2</v>
      </c>
    </row>
    <row r="215" spans="1:4" x14ac:dyDescent="0.3">
      <c r="A215">
        <v>213</v>
      </c>
      <c r="B215">
        <v>89</v>
      </c>
      <c r="C215">
        <v>65</v>
      </c>
      <c r="D215">
        <v>-8.0583424000000001E-2</v>
      </c>
    </row>
    <row r="216" spans="1:4" x14ac:dyDescent="0.3">
      <c r="A216">
        <v>214</v>
      </c>
      <c r="B216">
        <v>88</v>
      </c>
      <c r="C216">
        <v>64</v>
      </c>
      <c r="D216">
        <v>-8.0586670999999999E-2</v>
      </c>
    </row>
    <row r="217" spans="1:4" x14ac:dyDescent="0.3">
      <c r="A217">
        <v>215</v>
      </c>
      <c r="B217">
        <v>88</v>
      </c>
      <c r="C217">
        <v>64</v>
      </c>
      <c r="D217">
        <v>-8.0589917999999997E-2</v>
      </c>
    </row>
    <row r="218" spans="1:4" x14ac:dyDescent="0.3">
      <c r="A218">
        <v>216</v>
      </c>
      <c r="B218">
        <v>91</v>
      </c>
      <c r="C218">
        <v>67</v>
      </c>
      <c r="D218">
        <v>-8.0560701999999998E-2</v>
      </c>
    </row>
    <row r="219" spans="1:4" x14ac:dyDescent="0.3">
      <c r="A219">
        <v>217</v>
      </c>
      <c r="B219">
        <v>90.5</v>
      </c>
      <c r="C219">
        <v>66.5</v>
      </c>
      <c r="D219">
        <v>-0.120860527</v>
      </c>
    </row>
    <row r="220" spans="1:4" x14ac:dyDescent="0.3">
      <c r="A220">
        <v>218</v>
      </c>
      <c r="B220">
        <v>90</v>
      </c>
      <c r="C220">
        <v>66</v>
      </c>
      <c r="D220">
        <v>-8.0573685000000006E-2</v>
      </c>
    </row>
    <row r="221" spans="1:4" x14ac:dyDescent="0.3">
      <c r="A221">
        <v>219</v>
      </c>
      <c r="B221">
        <v>89.5</v>
      </c>
      <c r="C221">
        <v>65.5</v>
      </c>
      <c r="D221">
        <v>-0.120865396</v>
      </c>
    </row>
    <row r="222" spans="1:4" x14ac:dyDescent="0.3">
      <c r="A222">
        <v>220</v>
      </c>
      <c r="B222">
        <v>89</v>
      </c>
      <c r="C222">
        <v>65</v>
      </c>
      <c r="D222">
        <v>-8.0576931000000004E-2</v>
      </c>
    </row>
    <row r="223" spans="1:4" x14ac:dyDescent="0.3">
      <c r="A223">
        <v>221</v>
      </c>
      <c r="B223">
        <v>88</v>
      </c>
      <c r="C223">
        <v>64</v>
      </c>
      <c r="D223">
        <v>-8.0570438999999994E-2</v>
      </c>
    </row>
    <row r="224" spans="1:4" x14ac:dyDescent="0.3">
      <c r="A224">
        <v>222</v>
      </c>
      <c r="B224">
        <v>88</v>
      </c>
      <c r="C224">
        <v>64</v>
      </c>
      <c r="D224">
        <v>-8.0573685000000006E-2</v>
      </c>
    </row>
    <row r="225" spans="1:4" x14ac:dyDescent="0.3">
      <c r="A225">
        <v>223</v>
      </c>
      <c r="B225">
        <v>87</v>
      </c>
      <c r="C225">
        <v>63</v>
      </c>
      <c r="D225">
        <v>-8.0576931000000004E-2</v>
      </c>
    </row>
    <row r="226" spans="1:4" x14ac:dyDescent="0.3">
      <c r="A226">
        <v>224</v>
      </c>
      <c r="B226">
        <v>160</v>
      </c>
      <c r="C226">
        <v>136</v>
      </c>
      <c r="D226">
        <v>-0.241769755</v>
      </c>
    </row>
    <row r="227" spans="1:4" x14ac:dyDescent="0.3">
      <c r="A227">
        <v>225</v>
      </c>
      <c r="B227">
        <v>158.5</v>
      </c>
      <c r="C227">
        <v>134.5</v>
      </c>
      <c r="D227">
        <v>-0.28201925799999999</v>
      </c>
    </row>
    <row r="228" spans="1:4" x14ac:dyDescent="0.3">
      <c r="A228">
        <v>226</v>
      </c>
      <c r="B228">
        <v>156.5</v>
      </c>
      <c r="C228">
        <v>132.5</v>
      </c>
      <c r="D228">
        <v>-0.28203062000000001</v>
      </c>
    </row>
    <row r="229" spans="1:4" x14ac:dyDescent="0.3">
      <c r="A229">
        <v>227</v>
      </c>
      <c r="B229">
        <v>108.5</v>
      </c>
      <c r="C229">
        <v>84.5</v>
      </c>
      <c r="D229">
        <v>-0.120884877</v>
      </c>
    </row>
    <row r="230" spans="1:4" x14ac:dyDescent="0.3">
      <c r="A230">
        <v>228</v>
      </c>
      <c r="B230">
        <v>107.5</v>
      </c>
      <c r="C230">
        <v>83.5</v>
      </c>
      <c r="D230">
        <v>-0.120880006</v>
      </c>
    </row>
    <row r="231" spans="1:4" x14ac:dyDescent="0.3">
      <c r="A231">
        <v>229</v>
      </c>
      <c r="B231">
        <v>107</v>
      </c>
      <c r="C231">
        <v>83</v>
      </c>
      <c r="D231">
        <v>-8.0596413000000006E-2</v>
      </c>
    </row>
    <row r="232" spans="1:4" x14ac:dyDescent="0.3">
      <c r="A232">
        <v>230</v>
      </c>
      <c r="B232">
        <v>106</v>
      </c>
      <c r="C232">
        <v>82</v>
      </c>
      <c r="D232">
        <v>-0.16118633099999999</v>
      </c>
    </row>
    <row r="233" spans="1:4" x14ac:dyDescent="0.3">
      <c r="A233">
        <v>231</v>
      </c>
      <c r="B233">
        <v>105.5</v>
      </c>
      <c r="C233">
        <v>81.5</v>
      </c>
      <c r="D233">
        <v>-0.12087513599999999</v>
      </c>
    </row>
    <row r="234" spans="1:4" x14ac:dyDescent="0.3">
      <c r="A234">
        <v>232</v>
      </c>
      <c r="B234">
        <v>104.5</v>
      </c>
      <c r="C234">
        <v>80.5</v>
      </c>
      <c r="D234">
        <v>-0.12087513599999999</v>
      </c>
    </row>
    <row r="235" spans="1:4" x14ac:dyDescent="0.3">
      <c r="A235">
        <v>233</v>
      </c>
      <c r="B235">
        <v>104</v>
      </c>
      <c r="C235">
        <v>80</v>
      </c>
      <c r="D235">
        <v>-0.16116035500000001</v>
      </c>
    </row>
    <row r="236" spans="1:4" x14ac:dyDescent="0.3">
      <c r="A236">
        <v>234</v>
      </c>
      <c r="B236">
        <v>109.5</v>
      </c>
      <c r="C236">
        <v>85.5</v>
      </c>
      <c r="D236">
        <v>-0.120880006</v>
      </c>
    </row>
    <row r="237" spans="1:4" x14ac:dyDescent="0.3">
      <c r="A237">
        <v>235</v>
      </c>
      <c r="B237">
        <v>108.5</v>
      </c>
      <c r="C237">
        <v>84.5</v>
      </c>
      <c r="D237">
        <v>-0.120884877</v>
      </c>
    </row>
    <row r="238" spans="1:4" x14ac:dyDescent="0.3">
      <c r="A238">
        <v>236</v>
      </c>
      <c r="B238">
        <v>107.5</v>
      </c>
      <c r="C238">
        <v>83.5</v>
      </c>
      <c r="D238">
        <v>-0.120865396</v>
      </c>
    </row>
    <row r="239" spans="1:4" x14ac:dyDescent="0.3">
      <c r="A239">
        <v>237</v>
      </c>
      <c r="B239">
        <v>106.5</v>
      </c>
      <c r="C239">
        <v>82.5</v>
      </c>
      <c r="D239">
        <v>-0.120860527</v>
      </c>
    </row>
    <row r="240" spans="1:4" x14ac:dyDescent="0.3">
      <c r="A240">
        <v>238</v>
      </c>
      <c r="B240">
        <v>106</v>
      </c>
      <c r="C240">
        <v>82</v>
      </c>
      <c r="D240">
        <v>-0.16113438599999999</v>
      </c>
    </row>
    <row r="241" spans="1:4" x14ac:dyDescent="0.3">
      <c r="A241">
        <v>239</v>
      </c>
      <c r="B241">
        <v>105.5</v>
      </c>
      <c r="C241">
        <v>81.5</v>
      </c>
      <c r="D241">
        <v>-0.12085079</v>
      </c>
    </row>
    <row r="242" spans="1:4" x14ac:dyDescent="0.3">
      <c r="A242">
        <v>240</v>
      </c>
      <c r="B242">
        <v>104.5</v>
      </c>
      <c r="C242">
        <v>80.5</v>
      </c>
      <c r="D242">
        <v>-0.120855658</v>
      </c>
    </row>
    <row r="243" spans="1:4" x14ac:dyDescent="0.3">
      <c r="A243">
        <v>241</v>
      </c>
      <c r="B243">
        <v>109.5</v>
      </c>
      <c r="C243">
        <v>85.5</v>
      </c>
      <c r="D243">
        <v>-0.120855658</v>
      </c>
    </row>
    <row r="244" spans="1:4" x14ac:dyDescent="0.3">
      <c r="A244">
        <v>242</v>
      </c>
      <c r="B244">
        <v>108.5</v>
      </c>
      <c r="C244">
        <v>84.5</v>
      </c>
      <c r="D244">
        <v>-0.120870266</v>
      </c>
    </row>
    <row r="245" spans="1:4" x14ac:dyDescent="0.3">
      <c r="A245">
        <v>243</v>
      </c>
      <c r="B245">
        <v>107.5</v>
      </c>
      <c r="C245">
        <v>83.5</v>
      </c>
      <c r="D245">
        <v>-0.120870266</v>
      </c>
    </row>
    <row r="246" spans="1:4" x14ac:dyDescent="0.3">
      <c r="A246">
        <v>244</v>
      </c>
      <c r="B246">
        <v>107</v>
      </c>
      <c r="C246">
        <v>83</v>
      </c>
      <c r="D246">
        <v>-8.0589917999999997E-2</v>
      </c>
    </row>
    <row r="247" spans="1:4" x14ac:dyDescent="0.3">
      <c r="A247">
        <v>245</v>
      </c>
      <c r="B247">
        <v>106</v>
      </c>
      <c r="C247">
        <v>82</v>
      </c>
      <c r="D247">
        <v>-0.16117983599999999</v>
      </c>
    </row>
    <row r="248" spans="1:4" x14ac:dyDescent="0.3">
      <c r="A248">
        <v>246</v>
      </c>
      <c r="B248">
        <v>86</v>
      </c>
      <c r="C248">
        <v>62</v>
      </c>
      <c r="D248">
        <v>-7.9872204000000002E-2</v>
      </c>
    </row>
    <row r="249" spans="1:4" x14ac:dyDescent="0.3">
      <c r="A249">
        <v>247</v>
      </c>
      <c r="B249">
        <v>85.5</v>
      </c>
      <c r="C249">
        <v>61.5</v>
      </c>
      <c r="D249">
        <v>-0.119808307</v>
      </c>
    </row>
    <row r="250" spans="1:4" x14ac:dyDescent="0.3">
      <c r="A250">
        <v>248</v>
      </c>
      <c r="B250">
        <v>85</v>
      </c>
      <c r="C250">
        <v>61</v>
      </c>
      <c r="D250">
        <v>-7.6248570000000002E-2</v>
      </c>
    </row>
    <row r="251" spans="1:4" x14ac:dyDescent="0.3">
      <c r="A251">
        <v>249</v>
      </c>
      <c r="B251">
        <v>84.5</v>
      </c>
      <c r="C251">
        <v>60.5</v>
      </c>
      <c r="D251">
        <v>-0.11437285599999999</v>
      </c>
    </row>
    <row r="252" spans="1:4" x14ac:dyDescent="0.3">
      <c r="A252">
        <v>250</v>
      </c>
      <c r="B252">
        <v>84</v>
      </c>
      <c r="C252">
        <v>60</v>
      </c>
      <c r="D252">
        <v>-7.6896459E-2</v>
      </c>
    </row>
    <row r="253" spans="1:4" x14ac:dyDescent="0.3">
      <c r="A253">
        <v>251</v>
      </c>
      <c r="B253">
        <v>83</v>
      </c>
      <c r="C253">
        <v>59</v>
      </c>
      <c r="D253">
        <v>-7.6899415999999998E-2</v>
      </c>
    </row>
    <row r="254" spans="1:4" x14ac:dyDescent="0.3">
      <c r="A254">
        <v>252</v>
      </c>
      <c r="B254">
        <v>83</v>
      </c>
      <c r="C254">
        <v>59</v>
      </c>
      <c r="D254">
        <v>-8.0596413000000006E-2</v>
      </c>
    </row>
    <row r="255" spans="1:4" x14ac:dyDescent="0.3">
      <c r="A255">
        <v>253</v>
      </c>
      <c r="B255">
        <v>190</v>
      </c>
      <c r="C255">
        <v>166</v>
      </c>
      <c r="D255">
        <v>-0.38677238400000002</v>
      </c>
    </row>
    <row r="256" spans="1:4" x14ac:dyDescent="0.3">
      <c r="A256">
        <v>254</v>
      </c>
      <c r="B256">
        <v>187.5</v>
      </c>
      <c r="C256">
        <v>163.5</v>
      </c>
      <c r="D256">
        <v>-0.35449564900000002</v>
      </c>
    </row>
    <row r="257" spans="1:4" x14ac:dyDescent="0.3">
      <c r="A257">
        <v>255</v>
      </c>
      <c r="B257">
        <v>99.5</v>
      </c>
      <c r="C257">
        <v>75.5</v>
      </c>
      <c r="D257">
        <v>-0.12087513599999999</v>
      </c>
    </row>
    <row r="258" spans="1:4" x14ac:dyDescent="0.3">
      <c r="A258">
        <v>256</v>
      </c>
      <c r="B258">
        <v>99.5</v>
      </c>
      <c r="C258">
        <v>75.5</v>
      </c>
      <c r="D258">
        <v>-0.120884877</v>
      </c>
    </row>
    <row r="259" spans="1:4" x14ac:dyDescent="0.3">
      <c r="A259">
        <v>257</v>
      </c>
      <c r="B259">
        <v>98.5</v>
      </c>
      <c r="C259">
        <v>74.5</v>
      </c>
      <c r="D259">
        <v>-0.12087513599999999</v>
      </c>
    </row>
    <row r="260" spans="1:4" x14ac:dyDescent="0.3">
      <c r="A260">
        <v>258</v>
      </c>
      <c r="B260">
        <v>98</v>
      </c>
      <c r="C260">
        <v>74</v>
      </c>
      <c r="D260">
        <v>-8.0586670999999999E-2</v>
      </c>
    </row>
    <row r="261" spans="1:4" x14ac:dyDescent="0.3">
      <c r="A261">
        <v>259</v>
      </c>
      <c r="B261">
        <v>97</v>
      </c>
      <c r="C261">
        <v>73</v>
      </c>
      <c r="D261">
        <v>-8.0586670999999999E-2</v>
      </c>
    </row>
    <row r="262" spans="1:4" x14ac:dyDescent="0.3">
      <c r="A262">
        <v>260</v>
      </c>
      <c r="B262">
        <v>97</v>
      </c>
      <c r="C262">
        <v>73</v>
      </c>
      <c r="D262">
        <v>-8.0583424000000001E-2</v>
      </c>
    </row>
    <row r="263" spans="1:4" x14ac:dyDescent="0.3">
      <c r="A263">
        <v>261</v>
      </c>
      <c r="B263">
        <v>95.5</v>
      </c>
      <c r="C263">
        <v>71.5</v>
      </c>
      <c r="D263">
        <v>-0.120870266</v>
      </c>
    </row>
    <row r="264" spans="1:4" x14ac:dyDescent="0.3">
      <c r="A264">
        <v>262</v>
      </c>
      <c r="B264">
        <v>95.5</v>
      </c>
      <c r="C264">
        <v>71.5</v>
      </c>
      <c r="D264">
        <v>-0.120865396</v>
      </c>
    </row>
    <row r="265" spans="1:4" x14ac:dyDescent="0.3">
      <c r="A265">
        <v>263</v>
      </c>
      <c r="B265">
        <v>100</v>
      </c>
      <c r="C265">
        <v>76</v>
      </c>
      <c r="D265">
        <v>-0.12893659499999999</v>
      </c>
    </row>
    <row r="266" spans="1:4" x14ac:dyDescent="0.3">
      <c r="A266">
        <v>264</v>
      </c>
      <c r="B266">
        <v>99</v>
      </c>
      <c r="C266">
        <v>75</v>
      </c>
      <c r="D266">
        <v>-0.12893659499999999</v>
      </c>
    </row>
    <row r="267" spans="1:4" x14ac:dyDescent="0.3">
      <c r="A267">
        <v>265</v>
      </c>
      <c r="B267">
        <v>98</v>
      </c>
      <c r="C267">
        <v>74</v>
      </c>
      <c r="D267">
        <v>-8.0596413000000006E-2</v>
      </c>
    </row>
    <row r="268" spans="1:4" x14ac:dyDescent="0.3">
      <c r="A268">
        <v>266</v>
      </c>
      <c r="B268">
        <v>97</v>
      </c>
      <c r="C268">
        <v>73</v>
      </c>
      <c r="D268">
        <v>-8.0583424000000001E-2</v>
      </c>
    </row>
    <row r="269" spans="1:4" x14ac:dyDescent="0.3">
      <c r="A269">
        <v>267</v>
      </c>
      <c r="B269">
        <v>97</v>
      </c>
      <c r="C269">
        <v>73</v>
      </c>
      <c r="D269">
        <v>-8.0589917999999997E-2</v>
      </c>
    </row>
    <row r="270" spans="1:4" x14ac:dyDescent="0.3">
      <c r="A270">
        <v>268</v>
      </c>
      <c r="B270">
        <v>96</v>
      </c>
      <c r="C270">
        <v>72</v>
      </c>
      <c r="D270">
        <v>-8.0580177000000003E-2</v>
      </c>
    </row>
    <row r="271" spans="1:4" x14ac:dyDescent="0.3">
      <c r="A271">
        <v>269</v>
      </c>
      <c r="B271">
        <v>95.5</v>
      </c>
      <c r="C271">
        <v>71.5</v>
      </c>
      <c r="D271">
        <v>-0.120880006</v>
      </c>
    </row>
    <row r="272" spans="1:4" x14ac:dyDescent="0.3">
      <c r="A272">
        <v>270</v>
      </c>
      <c r="B272">
        <v>100</v>
      </c>
      <c r="C272">
        <v>76</v>
      </c>
      <c r="D272">
        <v>-0.161166848</v>
      </c>
    </row>
    <row r="273" spans="1:4" x14ac:dyDescent="0.3">
      <c r="A273">
        <v>271</v>
      </c>
      <c r="B273">
        <v>99</v>
      </c>
      <c r="C273">
        <v>75</v>
      </c>
      <c r="D273">
        <v>-0.12893659499999999</v>
      </c>
    </row>
    <row r="274" spans="1:4" x14ac:dyDescent="0.3">
      <c r="A274">
        <v>272</v>
      </c>
      <c r="B274">
        <v>98.5</v>
      </c>
      <c r="C274">
        <v>74.5</v>
      </c>
      <c r="D274">
        <v>-9.6702446999999997E-2</v>
      </c>
    </row>
    <row r="275" spans="1:4" x14ac:dyDescent="0.3">
      <c r="A275">
        <v>273</v>
      </c>
      <c r="B275">
        <v>97.5</v>
      </c>
      <c r="C275">
        <v>73.5</v>
      </c>
      <c r="D275">
        <v>-9.6696213000000003E-2</v>
      </c>
    </row>
    <row r="276" spans="1:4" x14ac:dyDescent="0.3">
      <c r="A276">
        <v>274</v>
      </c>
      <c r="B276">
        <v>97</v>
      </c>
      <c r="C276">
        <v>73</v>
      </c>
      <c r="D276">
        <v>-6.4459985999999997E-2</v>
      </c>
    </row>
    <row r="277" spans="1:4" x14ac:dyDescent="0.3">
      <c r="A277">
        <v>275</v>
      </c>
      <c r="B277">
        <v>95.5</v>
      </c>
      <c r="C277">
        <v>71.5</v>
      </c>
      <c r="D277">
        <v>-0.120865396</v>
      </c>
    </row>
    <row r="278" spans="1:4" x14ac:dyDescent="0.3">
      <c r="A278">
        <v>276</v>
      </c>
      <c r="B278">
        <v>96</v>
      </c>
      <c r="C278">
        <v>72</v>
      </c>
      <c r="D278">
        <v>-8.0570438999999994E-2</v>
      </c>
    </row>
    <row r="279" spans="1:4" x14ac:dyDescent="0.3">
      <c r="A279">
        <v>277</v>
      </c>
      <c r="B279">
        <v>95.5</v>
      </c>
      <c r="C279">
        <v>71.5</v>
      </c>
      <c r="D279">
        <v>-0.120841054</v>
      </c>
    </row>
    <row r="280" spans="1:4" x14ac:dyDescent="0.3">
      <c r="A280">
        <v>278</v>
      </c>
      <c r="B280">
        <v>95</v>
      </c>
      <c r="C280">
        <v>71</v>
      </c>
      <c r="D280">
        <v>-8.0563947999999996E-2</v>
      </c>
    </row>
    <row r="281" spans="1:4" x14ac:dyDescent="0.3">
      <c r="A281">
        <v>279</v>
      </c>
      <c r="B281">
        <v>94.5</v>
      </c>
      <c r="C281">
        <v>70.5</v>
      </c>
      <c r="D281">
        <v>-0.12085079</v>
      </c>
    </row>
    <row r="282" spans="1:4" x14ac:dyDescent="0.3">
      <c r="A282">
        <v>280</v>
      </c>
      <c r="B282">
        <v>93.5</v>
      </c>
      <c r="C282">
        <v>69.5</v>
      </c>
      <c r="D282">
        <v>-0.12087513599999999</v>
      </c>
    </row>
    <row r="283" spans="1:4" x14ac:dyDescent="0.3">
      <c r="A283">
        <v>281</v>
      </c>
      <c r="B283">
        <v>95.5</v>
      </c>
      <c r="C283">
        <v>71.5</v>
      </c>
      <c r="D283">
        <v>-0.120865396</v>
      </c>
    </row>
    <row r="284" spans="1:4" x14ac:dyDescent="0.3">
      <c r="A284">
        <v>282</v>
      </c>
      <c r="B284">
        <v>95</v>
      </c>
      <c r="C284">
        <v>71</v>
      </c>
      <c r="D284">
        <v>-8.0586670999999999E-2</v>
      </c>
    </row>
    <row r="285" spans="1:4" x14ac:dyDescent="0.3">
      <c r="A285">
        <v>283</v>
      </c>
      <c r="B285">
        <v>94.5</v>
      </c>
      <c r="C285">
        <v>70.5</v>
      </c>
      <c r="D285">
        <v>-0.12087513599999999</v>
      </c>
    </row>
    <row r="286" spans="1:4" x14ac:dyDescent="0.3">
      <c r="A286">
        <v>284</v>
      </c>
      <c r="B286">
        <v>94</v>
      </c>
      <c r="C286">
        <v>70</v>
      </c>
      <c r="D286">
        <v>-8.0580177000000003E-2</v>
      </c>
    </row>
    <row r="287" spans="1:4" x14ac:dyDescent="0.3">
      <c r="A287">
        <v>285</v>
      </c>
      <c r="B287">
        <v>93</v>
      </c>
      <c r="C287">
        <v>69</v>
      </c>
      <c r="D287">
        <v>-8.0589917999999997E-2</v>
      </c>
    </row>
    <row r="288" spans="1:4" x14ac:dyDescent="0.3">
      <c r="A288">
        <v>286</v>
      </c>
      <c r="B288">
        <v>93</v>
      </c>
      <c r="C288">
        <v>69</v>
      </c>
      <c r="D288">
        <v>-8.0589917999999997E-2</v>
      </c>
    </row>
    <row r="289" spans="1:4" x14ac:dyDescent="0.3">
      <c r="A289">
        <v>287</v>
      </c>
      <c r="B289">
        <v>92</v>
      </c>
      <c r="C289">
        <v>68</v>
      </c>
      <c r="D289">
        <v>-8.0593165999999994E-2</v>
      </c>
    </row>
    <row r="290" spans="1:4" x14ac:dyDescent="0.3">
      <c r="A290">
        <v>288</v>
      </c>
      <c r="B290">
        <v>92</v>
      </c>
      <c r="C290">
        <v>68</v>
      </c>
      <c r="D290">
        <v>-8.0589917999999997E-2</v>
      </c>
    </row>
    <row r="291" spans="1:4" x14ac:dyDescent="0.3">
      <c r="A291">
        <v>289</v>
      </c>
      <c r="B291">
        <v>95.5</v>
      </c>
      <c r="C291">
        <v>71.5</v>
      </c>
      <c r="D291">
        <v>-0.120880006</v>
      </c>
    </row>
    <row r="292" spans="1:4" x14ac:dyDescent="0.3">
      <c r="A292">
        <v>290</v>
      </c>
      <c r="B292">
        <v>95</v>
      </c>
      <c r="C292">
        <v>71</v>
      </c>
      <c r="D292">
        <v>-8.0567192999999995E-2</v>
      </c>
    </row>
    <row r="293" spans="1:4" x14ac:dyDescent="0.3">
      <c r="A293">
        <v>291</v>
      </c>
      <c r="B293">
        <v>94.5</v>
      </c>
      <c r="C293">
        <v>70.5</v>
      </c>
      <c r="D293">
        <v>-0.120855658</v>
      </c>
    </row>
    <row r="294" spans="1:4" x14ac:dyDescent="0.3">
      <c r="A294">
        <v>292</v>
      </c>
      <c r="B294">
        <v>94</v>
      </c>
      <c r="C294">
        <v>70</v>
      </c>
      <c r="D294">
        <v>-8.0567192999999995E-2</v>
      </c>
    </row>
    <row r="295" spans="1:4" x14ac:dyDescent="0.3">
      <c r="A295">
        <v>293</v>
      </c>
      <c r="B295">
        <v>93</v>
      </c>
      <c r="C295">
        <v>69</v>
      </c>
      <c r="D295">
        <v>-8.0563947999999996E-2</v>
      </c>
    </row>
    <row r="296" spans="1:4" x14ac:dyDescent="0.3">
      <c r="A296">
        <v>294</v>
      </c>
      <c r="B296">
        <v>93</v>
      </c>
      <c r="C296">
        <v>69</v>
      </c>
      <c r="D296">
        <v>-8.0586670999999999E-2</v>
      </c>
    </row>
    <row r="297" spans="1:4" x14ac:dyDescent="0.3">
      <c r="A297">
        <v>295</v>
      </c>
      <c r="B297">
        <v>92</v>
      </c>
      <c r="C297">
        <v>68</v>
      </c>
      <c r="D297">
        <v>-8.0583424000000001E-2</v>
      </c>
    </row>
    <row r="298" spans="1:4" x14ac:dyDescent="0.3">
      <c r="A298">
        <v>296</v>
      </c>
      <c r="B298">
        <v>218</v>
      </c>
      <c r="C298">
        <v>194</v>
      </c>
      <c r="D298">
        <v>-0.48353950899999998</v>
      </c>
    </row>
    <row r="299" spans="1:4" x14ac:dyDescent="0.3">
      <c r="A299">
        <v>297</v>
      </c>
      <c r="B299">
        <v>214.5</v>
      </c>
      <c r="C299">
        <v>190.5</v>
      </c>
      <c r="D299">
        <v>-0.52381336099999998</v>
      </c>
    </row>
    <row r="300" spans="1:4" x14ac:dyDescent="0.3">
      <c r="A300">
        <v>298</v>
      </c>
      <c r="B300">
        <v>211.5</v>
      </c>
      <c r="C300">
        <v>187.5</v>
      </c>
      <c r="D300">
        <v>-0.52379225600000001</v>
      </c>
    </row>
    <row r="301" spans="1:4" x14ac:dyDescent="0.3">
      <c r="A301">
        <v>299</v>
      </c>
      <c r="B301">
        <v>208.5</v>
      </c>
      <c r="C301">
        <v>184.5</v>
      </c>
      <c r="D301">
        <v>-0.52381336099999998</v>
      </c>
    </row>
    <row r="302" spans="1:4" x14ac:dyDescent="0.3">
      <c r="A302">
        <v>300</v>
      </c>
      <c r="B302">
        <v>206</v>
      </c>
      <c r="C302">
        <v>182</v>
      </c>
      <c r="D302">
        <v>-0.48348106400000002</v>
      </c>
    </row>
    <row r="303" spans="1:4" x14ac:dyDescent="0.3">
      <c r="A303">
        <v>301</v>
      </c>
      <c r="B303">
        <v>91</v>
      </c>
      <c r="C303">
        <v>67</v>
      </c>
      <c r="D303">
        <v>-8.0557457999999998E-2</v>
      </c>
    </row>
    <row r="304" spans="1:4" x14ac:dyDescent="0.3">
      <c r="A304">
        <v>302</v>
      </c>
      <c r="B304">
        <v>90.5</v>
      </c>
      <c r="C304">
        <v>66.5</v>
      </c>
      <c r="D304">
        <v>-0.120826453</v>
      </c>
    </row>
    <row r="305" spans="1:4" x14ac:dyDescent="0.3">
      <c r="A305">
        <v>303</v>
      </c>
      <c r="B305">
        <v>90</v>
      </c>
      <c r="C305">
        <v>66</v>
      </c>
      <c r="D305">
        <v>-8.0554213E-2</v>
      </c>
    </row>
    <row r="306" spans="1:4" x14ac:dyDescent="0.3">
      <c r="A306">
        <v>304</v>
      </c>
      <c r="B306">
        <v>89.5</v>
      </c>
      <c r="C306">
        <v>65.5</v>
      </c>
      <c r="D306">
        <v>-0.12085079</v>
      </c>
    </row>
    <row r="307" spans="1:4" x14ac:dyDescent="0.3">
      <c r="A307">
        <v>305</v>
      </c>
      <c r="B307">
        <v>89</v>
      </c>
      <c r="C307">
        <v>65</v>
      </c>
      <c r="D307">
        <v>-8.0586670999999999E-2</v>
      </c>
    </row>
    <row r="308" spans="1:4" x14ac:dyDescent="0.3">
      <c r="A308">
        <v>306</v>
      </c>
      <c r="B308">
        <v>88</v>
      </c>
      <c r="C308">
        <v>64</v>
      </c>
      <c r="D308">
        <v>-8.0593165999999994E-2</v>
      </c>
    </row>
    <row r="309" spans="1:4" x14ac:dyDescent="0.3">
      <c r="A309">
        <v>307</v>
      </c>
      <c r="B309">
        <v>88</v>
      </c>
      <c r="C309">
        <v>64</v>
      </c>
      <c r="D309">
        <v>-8.0593165999999994E-2</v>
      </c>
    </row>
    <row r="310" spans="1:4" x14ac:dyDescent="0.3">
      <c r="A310">
        <v>308</v>
      </c>
      <c r="B310">
        <v>91</v>
      </c>
      <c r="C310">
        <v>67</v>
      </c>
      <c r="D310">
        <v>-8.0583424000000001E-2</v>
      </c>
    </row>
    <row r="311" spans="1:4" x14ac:dyDescent="0.3">
      <c r="A311">
        <v>309</v>
      </c>
      <c r="B311">
        <v>90.5</v>
      </c>
      <c r="C311">
        <v>66.5</v>
      </c>
      <c r="D311">
        <v>-0.120865396</v>
      </c>
    </row>
    <row r="312" spans="1:4" x14ac:dyDescent="0.3">
      <c r="A312">
        <v>310</v>
      </c>
      <c r="B312">
        <v>90</v>
      </c>
      <c r="C312">
        <v>66</v>
      </c>
      <c r="D312">
        <v>-8.0570438999999994E-2</v>
      </c>
    </row>
    <row r="313" spans="1:4" x14ac:dyDescent="0.3">
      <c r="A313">
        <v>311</v>
      </c>
      <c r="B313">
        <v>89.5</v>
      </c>
      <c r="C313">
        <v>65.5</v>
      </c>
      <c r="D313">
        <v>-0.120841054</v>
      </c>
    </row>
    <row r="314" spans="1:4" x14ac:dyDescent="0.3">
      <c r="A314">
        <v>312</v>
      </c>
      <c r="B314">
        <v>89</v>
      </c>
      <c r="C314">
        <v>65</v>
      </c>
      <c r="D314">
        <v>-8.0563947999999996E-2</v>
      </c>
    </row>
    <row r="315" spans="1:4" x14ac:dyDescent="0.3">
      <c r="A315">
        <v>313</v>
      </c>
      <c r="B315">
        <v>88</v>
      </c>
      <c r="C315">
        <v>64</v>
      </c>
      <c r="D315">
        <v>-8.0570438999999994E-2</v>
      </c>
    </row>
    <row r="316" spans="1:4" x14ac:dyDescent="0.3">
      <c r="A316">
        <v>314</v>
      </c>
      <c r="B316">
        <v>88</v>
      </c>
      <c r="C316">
        <v>64</v>
      </c>
      <c r="D316">
        <v>-8.0570438999999994E-2</v>
      </c>
    </row>
    <row r="317" spans="1:4" x14ac:dyDescent="0.3">
      <c r="A317">
        <v>315</v>
      </c>
      <c r="B317">
        <v>91</v>
      </c>
      <c r="C317">
        <v>67</v>
      </c>
      <c r="D317">
        <v>-8.0589917999999997E-2</v>
      </c>
    </row>
    <row r="318" spans="1:4" x14ac:dyDescent="0.3">
      <c r="A318">
        <v>316</v>
      </c>
      <c r="B318">
        <v>90.5</v>
      </c>
      <c r="C318">
        <v>66.5</v>
      </c>
      <c r="D318">
        <v>-0.120884877</v>
      </c>
    </row>
    <row r="319" spans="1:4" x14ac:dyDescent="0.3">
      <c r="A319">
        <v>317</v>
      </c>
      <c r="B319">
        <v>90</v>
      </c>
      <c r="C319">
        <v>66</v>
      </c>
      <c r="D319">
        <v>-8.0583424000000001E-2</v>
      </c>
    </row>
    <row r="320" spans="1:4" x14ac:dyDescent="0.3">
      <c r="A320">
        <v>318</v>
      </c>
      <c r="B320">
        <v>89.5</v>
      </c>
      <c r="C320">
        <v>65.5</v>
      </c>
      <c r="D320">
        <v>-0.12087513599999999</v>
      </c>
    </row>
    <row r="321" spans="1:4" x14ac:dyDescent="0.3">
      <c r="A321">
        <v>319</v>
      </c>
      <c r="B321">
        <v>89</v>
      </c>
      <c r="C321">
        <v>65</v>
      </c>
      <c r="D321">
        <v>-8.0580177000000003E-2</v>
      </c>
    </row>
    <row r="322" spans="1:4" x14ac:dyDescent="0.3">
      <c r="A322">
        <v>320</v>
      </c>
      <c r="B322">
        <v>88</v>
      </c>
      <c r="C322">
        <v>64</v>
      </c>
      <c r="D322">
        <v>-8.0573685000000006E-2</v>
      </c>
    </row>
    <row r="323" spans="1:4" x14ac:dyDescent="0.3">
      <c r="A323">
        <v>321</v>
      </c>
      <c r="B323">
        <v>88</v>
      </c>
      <c r="C323">
        <v>64</v>
      </c>
      <c r="D323">
        <v>-8.0576931000000004E-2</v>
      </c>
    </row>
    <row r="324" spans="1:4" x14ac:dyDescent="0.3">
      <c r="A324">
        <v>322</v>
      </c>
      <c r="B324">
        <v>86.5</v>
      </c>
      <c r="C324">
        <v>62.5</v>
      </c>
      <c r="D324">
        <v>-4.0277106E-2</v>
      </c>
    </row>
    <row r="325" spans="1:4" x14ac:dyDescent="0.3">
      <c r="A325">
        <v>323</v>
      </c>
      <c r="B325">
        <v>86</v>
      </c>
      <c r="C325">
        <v>62</v>
      </c>
      <c r="D325">
        <v>-8.0567192999999995E-2</v>
      </c>
    </row>
    <row r="326" spans="1:4" x14ac:dyDescent="0.3">
      <c r="A326">
        <v>324</v>
      </c>
      <c r="B326">
        <v>85.5</v>
      </c>
      <c r="C326">
        <v>61.5</v>
      </c>
      <c r="D326">
        <v>-0.120865396</v>
      </c>
    </row>
    <row r="327" spans="1:4" x14ac:dyDescent="0.3">
      <c r="A327">
        <v>325</v>
      </c>
      <c r="B327">
        <v>85</v>
      </c>
      <c r="C327">
        <v>61</v>
      </c>
      <c r="D327">
        <v>-8.0589917999999997E-2</v>
      </c>
    </row>
    <row r="328" spans="1:4" x14ac:dyDescent="0.3">
      <c r="A328">
        <v>326</v>
      </c>
      <c r="B328">
        <v>85.5</v>
      </c>
      <c r="C328">
        <v>61.5</v>
      </c>
      <c r="D328">
        <v>-0.120865396</v>
      </c>
    </row>
    <row r="329" spans="1:4" x14ac:dyDescent="0.3">
      <c r="A329">
        <v>327</v>
      </c>
      <c r="B329">
        <v>85</v>
      </c>
      <c r="C329">
        <v>61</v>
      </c>
      <c r="D329">
        <v>-8.0576931000000004E-2</v>
      </c>
    </row>
    <row r="330" spans="1:4" x14ac:dyDescent="0.3">
      <c r="A330">
        <v>328</v>
      </c>
      <c r="B330">
        <v>85</v>
      </c>
      <c r="C330">
        <v>61</v>
      </c>
      <c r="D330">
        <v>-8.0580177000000003E-2</v>
      </c>
    </row>
    <row r="331" spans="1:4" x14ac:dyDescent="0.3">
      <c r="A331">
        <v>329</v>
      </c>
      <c r="B331">
        <v>84</v>
      </c>
      <c r="C331">
        <v>60</v>
      </c>
      <c r="D331">
        <v>-8.0593165999999994E-2</v>
      </c>
    </row>
    <row r="332" spans="1:4" x14ac:dyDescent="0.3">
      <c r="A332">
        <v>330</v>
      </c>
      <c r="B332">
        <v>83.5</v>
      </c>
      <c r="C332">
        <v>59.5</v>
      </c>
      <c r="D332">
        <v>-4.0291712E-2</v>
      </c>
    </row>
    <row r="333" spans="1:4" x14ac:dyDescent="0.3">
      <c r="A333">
        <v>331</v>
      </c>
      <c r="B333">
        <v>84.5</v>
      </c>
      <c r="C333">
        <v>60.5</v>
      </c>
      <c r="D333">
        <v>-0.120899492</v>
      </c>
    </row>
    <row r="334" spans="1:4" x14ac:dyDescent="0.3">
      <c r="A334">
        <v>332</v>
      </c>
      <c r="B334">
        <v>84.5</v>
      </c>
      <c r="C334">
        <v>60.5</v>
      </c>
      <c r="D334">
        <v>-0.12087513599999999</v>
      </c>
    </row>
    <row r="335" spans="1:4" x14ac:dyDescent="0.3">
      <c r="A335">
        <v>333</v>
      </c>
      <c r="B335">
        <v>83.5</v>
      </c>
      <c r="C335">
        <v>59.5</v>
      </c>
      <c r="D335">
        <v>-0.120865396</v>
      </c>
    </row>
    <row r="336" spans="1:4" x14ac:dyDescent="0.3">
      <c r="A336">
        <v>334</v>
      </c>
      <c r="B336">
        <v>83</v>
      </c>
      <c r="C336">
        <v>59</v>
      </c>
      <c r="D336">
        <v>-8.0573685000000006E-2</v>
      </c>
    </row>
    <row r="337" spans="1:4" x14ac:dyDescent="0.3">
      <c r="A337">
        <v>335</v>
      </c>
      <c r="B337">
        <v>82</v>
      </c>
      <c r="C337">
        <v>58</v>
      </c>
      <c r="D337">
        <v>-8.0563947999999996E-2</v>
      </c>
    </row>
    <row r="338" spans="1:4" x14ac:dyDescent="0.3">
      <c r="A338">
        <v>336</v>
      </c>
      <c r="B338">
        <v>82</v>
      </c>
      <c r="C338">
        <v>58</v>
      </c>
      <c r="D338">
        <v>-8.0573685000000006E-2</v>
      </c>
    </row>
    <row r="339" spans="1:4" x14ac:dyDescent="0.3">
      <c r="A339">
        <v>337</v>
      </c>
      <c r="B339">
        <v>81.5</v>
      </c>
      <c r="C339">
        <v>57.5</v>
      </c>
      <c r="D339">
        <v>-4.0293335E-2</v>
      </c>
    </row>
    <row r="340" spans="1:4" x14ac:dyDescent="0.3">
      <c r="A340">
        <v>338</v>
      </c>
      <c r="B340">
        <v>220</v>
      </c>
      <c r="C340">
        <v>196</v>
      </c>
      <c r="D340">
        <v>-0.48346158500000003</v>
      </c>
    </row>
    <row r="341" spans="1:4" x14ac:dyDescent="0.3">
      <c r="A341">
        <v>339</v>
      </c>
      <c r="B341">
        <v>217</v>
      </c>
      <c r="C341">
        <v>193</v>
      </c>
      <c r="D341">
        <v>-0.48346158500000003</v>
      </c>
    </row>
    <row r="342" spans="1:4" x14ac:dyDescent="0.3">
      <c r="A342">
        <v>340</v>
      </c>
      <c r="B342">
        <v>214.5</v>
      </c>
      <c r="C342">
        <v>190.5</v>
      </c>
      <c r="D342">
        <v>-0.52372894999999997</v>
      </c>
    </row>
    <row r="343" spans="1:4" x14ac:dyDescent="0.3">
      <c r="A343">
        <v>341</v>
      </c>
      <c r="B343">
        <v>104.5</v>
      </c>
      <c r="C343">
        <v>80.5</v>
      </c>
      <c r="D343">
        <v>-0.120880006</v>
      </c>
    </row>
    <row r="344" spans="1:4" x14ac:dyDescent="0.3">
      <c r="A344">
        <v>342</v>
      </c>
      <c r="B344">
        <v>104</v>
      </c>
      <c r="C344">
        <v>80</v>
      </c>
      <c r="D344">
        <v>-0.16119282700000001</v>
      </c>
    </row>
    <row r="345" spans="1:4" x14ac:dyDescent="0.3">
      <c r="A345">
        <v>343</v>
      </c>
      <c r="B345">
        <v>103</v>
      </c>
      <c r="C345">
        <v>79</v>
      </c>
      <c r="D345">
        <v>-8.0609406999999994E-2</v>
      </c>
    </row>
    <row r="346" spans="1:4" x14ac:dyDescent="0.3">
      <c r="A346">
        <v>344</v>
      </c>
      <c r="B346">
        <v>102.5</v>
      </c>
      <c r="C346">
        <v>78.5</v>
      </c>
      <c r="D346">
        <v>-0.120909237</v>
      </c>
    </row>
    <row r="347" spans="1:4" x14ac:dyDescent="0.3">
      <c r="A347">
        <v>345</v>
      </c>
      <c r="B347">
        <v>102</v>
      </c>
      <c r="C347">
        <v>78</v>
      </c>
      <c r="D347">
        <v>-8.0606157999999997E-2</v>
      </c>
    </row>
    <row r="348" spans="1:4" x14ac:dyDescent="0.3">
      <c r="A348">
        <v>346</v>
      </c>
      <c r="B348">
        <v>100.5</v>
      </c>
      <c r="C348">
        <v>76.5</v>
      </c>
      <c r="D348">
        <v>-0.12089461999999999</v>
      </c>
    </row>
    <row r="349" spans="1:4" x14ac:dyDescent="0.3">
      <c r="A349">
        <v>347</v>
      </c>
      <c r="B349">
        <v>100.5</v>
      </c>
      <c r="C349">
        <v>76.5</v>
      </c>
      <c r="D349">
        <v>-0.12087513599999999</v>
      </c>
    </row>
    <row r="350" spans="1:4" x14ac:dyDescent="0.3">
      <c r="A350">
        <v>348</v>
      </c>
      <c r="B350">
        <v>104.5</v>
      </c>
      <c r="C350">
        <v>80.5</v>
      </c>
      <c r="D350">
        <v>-0.120870266</v>
      </c>
    </row>
    <row r="351" spans="1:4" x14ac:dyDescent="0.3">
      <c r="A351">
        <v>349</v>
      </c>
      <c r="B351">
        <v>104</v>
      </c>
      <c r="C351">
        <v>80</v>
      </c>
      <c r="D351">
        <v>-0.161166848</v>
      </c>
    </row>
    <row r="352" spans="1:4" x14ac:dyDescent="0.3">
      <c r="A352">
        <v>350</v>
      </c>
      <c r="B352">
        <v>103</v>
      </c>
      <c r="C352">
        <v>79</v>
      </c>
      <c r="D352">
        <v>-8.0583424000000001E-2</v>
      </c>
    </row>
    <row r="353" spans="1:4" x14ac:dyDescent="0.3">
      <c r="A353">
        <v>351</v>
      </c>
      <c r="B353">
        <v>102.5</v>
      </c>
      <c r="C353">
        <v>78.5</v>
      </c>
      <c r="D353">
        <v>-0.12087513599999999</v>
      </c>
    </row>
    <row r="354" spans="1:4" x14ac:dyDescent="0.3">
      <c r="A354">
        <v>352</v>
      </c>
      <c r="B354">
        <v>102</v>
      </c>
      <c r="C354">
        <v>78</v>
      </c>
      <c r="D354">
        <v>-8.0586670999999999E-2</v>
      </c>
    </row>
    <row r="355" spans="1:4" x14ac:dyDescent="0.3">
      <c r="A355">
        <v>353</v>
      </c>
      <c r="B355">
        <v>100.5</v>
      </c>
      <c r="C355">
        <v>76.5</v>
      </c>
      <c r="D355">
        <v>-0.120865396</v>
      </c>
    </row>
    <row r="356" spans="1:4" x14ac:dyDescent="0.3">
      <c r="A356">
        <v>354</v>
      </c>
      <c r="B356">
        <v>100.5</v>
      </c>
      <c r="C356">
        <v>76.5</v>
      </c>
      <c r="D356">
        <v>-0.12087513599999999</v>
      </c>
    </row>
    <row r="357" spans="1:4" x14ac:dyDescent="0.3">
      <c r="A357">
        <v>355</v>
      </c>
      <c r="B357">
        <v>99.5</v>
      </c>
      <c r="C357">
        <v>75.5</v>
      </c>
      <c r="D357">
        <v>-0.12087513599999999</v>
      </c>
    </row>
    <row r="358" spans="1:4" x14ac:dyDescent="0.3">
      <c r="A358">
        <v>356</v>
      </c>
      <c r="B358">
        <v>104</v>
      </c>
      <c r="C358">
        <v>80</v>
      </c>
      <c r="D358">
        <v>-0.16113438599999999</v>
      </c>
    </row>
    <row r="359" spans="1:4" x14ac:dyDescent="0.3">
      <c r="A359">
        <v>357</v>
      </c>
      <c r="B359">
        <v>102.5</v>
      </c>
      <c r="C359">
        <v>78.5</v>
      </c>
      <c r="D359">
        <v>-0.120841054</v>
      </c>
    </row>
    <row r="360" spans="1:4" x14ac:dyDescent="0.3">
      <c r="A360">
        <v>358</v>
      </c>
      <c r="B360">
        <v>102.5</v>
      </c>
      <c r="C360">
        <v>78.5</v>
      </c>
      <c r="D360">
        <v>-0.12082158699999999</v>
      </c>
    </row>
    <row r="361" spans="1:4" x14ac:dyDescent="0.3">
      <c r="A361">
        <v>359</v>
      </c>
      <c r="B361">
        <v>101.5</v>
      </c>
      <c r="C361">
        <v>77.5</v>
      </c>
      <c r="D361">
        <v>-0.12085079</v>
      </c>
    </row>
    <row r="362" spans="1:4" x14ac:dyDescent="0.3">
      <c r="A362">
        <v>360</v>
      </c>
      <c r="B362">
        <v>100.5</v>
      </c>
      <c r="C362">
        <v>76.5</v>
      </c>
      <c r="D362">
        <v>-0.120860527</v>
      </c>
    </row>
    <row r="363" spans="1:4" x14ac:dyDescent="0.3">
      <c r="A363">
        <v>361</v>
      </c>
      <c r="B363">
        <v>229</v>
      </c>
      <c r="C363">
        <v>205</v>
      </c>
      <c r="D363">
        <v>-0.56408396800000005</v>
      </c>
    </row>
    <row r="364" spans="1:4" x14ac:dyDescent="0.3">
      <c r="A364">
        <v>362</v>
      </c>
      <c r="B364">
        <v>223.5</v>
      </c>
      <c r="C364">
        <v>199.5</v>
      </c>
      <c r="D364">
        <v>-0.48354340600000001</v>
      </c>
    </row>
    <row r="365" spans="1:4" x14ac:dyDescent="0.3">
      <c r="A365">
        <v>363</v>
      </c>
      <c r="B365">
        <v>220.5</v>
      </c>
      <c r="C365">
        <v>196.5</v>
      </c>
      <c r="D365">
        <v>-0.48348106400000002</v>
      </c>
    </row>
    <row r="366" spans="1:4" x14ac:dyDescent="0.3">
      <c r="A366">
        <v>364</v>
      </c>
      <c r="B366">
        <v>100</v>
      </c>
      <c r="C366">
        <v>76</v>
      </c>
      <c r="D366">
        <v>-8.0599661000000003E-2</v>
      </c>
    </row>
    <row r="367" spans="1:4" x14ac:dyDescent="0.3">
      <c r="A367">
        <v>365</v>
      </c>
      <c r="B367">
        <v>99.5</v>
      </c>
      <c r="C367">
        <v>75.5</v>
      </c>
      <c r="D367">
        <v>-0.120880006</v>
      </c>
    </row>
    <row r="368" spans="1:4" x14ac:dyDescent="0.3">
      <c r="A368">
        <v>366</v>
      </c>
      <c r="B368">
        <v>98.5</v>
      </c>
      <c r="C368">
        <v>74.5</v>
      </c>
      <c r="D368">
        <v>-0.120860527</v>
      </c>
    </row>
    <row r="369" spans="1:4" x14ac:dyDescent="0.3">
      <c r="A369">
        <v>367</v>
      </c>
      <c r="B369">
        <v>98</v>
      </c>
      <c r="C369">
        <v>74</v>
      </c>
      <c r="D369">
        <v>-8.0573685000000006E-2</v>
      </c>
    </row>
    <row r="370" spans="1:4" x14ac:dyDescent="0.3">
      <c r="A370">
        <v>368</v>
      </c>
      <c r="B370">
        <v>97.5</v>
      </c>
      <c r="C370">
        <v>73.5</v>
      </c>
      <c r="D370">
        <v>-0.120860527</v>
      </c>
    </row>
    <row r="371" spans="1:4" x14ac:dyDescent="0.3">
      <c r="A371">
        <v>369</v>
      </c>
      <c r="B371">
        <v>97</v>
      </c>
      <c r="C371">
        <v>73</v>
      </c>
      <c r="D371">
        <v>-8.0573685000000006E-2</v>
      </c>
    </row>
    <row r="372" spans="1:4" x14ac:dyDescent="0.3">
      <c r="A372">
        <v>370</v>
      </c>
      <c r="B372">
        <v>96</v>
      </c>
      <c r="C372">
        <v>72</v>
      </c>
      <c r="D372">
        <v>-8.0576931000000004E-2</v>
      </c>
    </row>
    <row r="373" spans="1:4" x14ac:dyDescent="0.3">
      <c r="A373">
        <v>371</v>
      </c>
      <c r="B373">
        <v>95.5</v>
      </c>
      <c r="C373">
        <v>71.5</v>
      </c>
      <c r="D373">
        <v>-0.120860527</v>
      </c>
    </row>
    <row r="374" spans="1:4" x14ac:dyDescent="0.3">
      <c r="A374">
        <v>372</v>
      </c>
      <c r="B374">
        <v>100.5</v>
      </c>
      <c r="C374">
        <v>76.5</v>
      </c>
      <c r="D374">
        <v>-0.120870266</v>
      </c>
    </row>
    <row r="375" spans="1:4" x14ac:dyDescent="0.3">
      <c r="A375">
        <v>373</v>
      </c>
      <c r="B375">
        <v>99.5</v>
      </c>
      <c r="C375">
        <v>75.5</v>
      </c>
      <c r="D375">
        <v>-0.120870266</v>
      </c>
    </row>
    <row r="376" spans="1:4" x14ac:dyDescent="0.3">
      <c r="A376">
        <v>374</v>
      </c>
      <c r="B376">
        <v>99</v>
      </c>
      <c r="C376">
        <v>75</v>
      </c>
      <c r="D376">
        <v>-8.0580177000000003E-2</v>
      </c>
    </row>
    <row r="377" spans="1:4" x14ac:dyDescent="0.3">
      <c r="A377">
        <v>375</v>
      </c>
      <c r="B377">
        <v>98</v>
      </c>
      <c r="C377">
        <v>74</v>
      </c>
      <c r="D377">
        <v>-8.0567192999999995E-2</v>
      </c>
    </row>
    <row r="378" spans="1:4" x14ac:dyDescent="0.3">
      <c r="A378">
        <v>376</v>
      </c>
      <c r="B378">
        <v>97.5</v>
      </c>
      <c r="C378">
        <v>73.5</v>
      </c>
      <c r="D378">
        <v>-0.120870266</v>
      </c>
    </row>
    <row r="379" spans="1:4" x14ac:dyDescent="0.3">
      <c r="A379">
        <v>377</v>
      </c>
      <c r="B379">
        <v>96.5</v>
      </c>
      <c r="C379">
        <v>72.5</v>
      </c>
      <c r="D379">
        <v>-9.6680632000000002E-2</v>
      </c>
    </row>
    <row r="380" spans="1:4" x14ac:dyDescent="0.3">
      <c r="A380">
        <v>378</v>
      </c>
      <c r="B380">
        <v>96</v>
      </c>
      <c r="C380">
        <v>72</v>
      </c>
      <c r="D380">
        <v>-0.12891166300000001</v>
      </c>
    </row>
    <row r="381" spans="1:4" x14ac:dyDescent="0.3">
      <c r="A381">
        <v>379</v>
      </c>
      <c r="B381">
        <v>95.5</v>
      </c>
      <c r="C381">
        <v>71.5</v>
      </c>
      <c r="D381">
        <v>-9.6680632000000002E-2</v>
      </c>
    </row>
    <row r="382" spans="1:4" x14ac:dyDescent="0.3">
      <c r="A382">
        <v>380</v>
      </c>
      <c r="B382">
        <v>100.5</v>
      </c>
      <c r="C382">
        <v>76.5</v>
      </c>
      <c r="D382">
        <v>-0.120880006</v>
      </c>
    </row>
    <row r="383" spans="1:4" x14ac:dyDescent="0.3">
      <c r="A383">
        <v>381</v>
      </c>
      <c r="B383">
        <v>99.5</v>
      </c>
      <c r="C383">
        <v>75.5</v>
      </c>
      <c r="D383">
        <v>-0.120880006</v>
      </c>
    </row>
    <row r="384" spans="1:4" x14ac:dyDescent="0.3">
      <c r="A384">
        <v>382</v>
      </c>
      <c r="B384">
        <v>99</v>
      </c>
      <c r="C384">
        <v>75</v>
      </c>
      <c r="D384">
        <v>-8.0596413000000006E-2</v>
      </c>
    </row>
    <row r="385" spans="1:4" x14ac:dyDescent="0.3">
      <c r="A385">
        <v>383</v>
      </c>
      <c r="B385">
        <v>98</v>
      </c>
      <c r="C385">
        <v>74</v>
      </c>
      <c r="D385">
        <v>-8.0593165999999994E-2</v>
      </c>
    </row>
    <row r="386" spans="1:4" x14ac:dyDescent="0.3">
      <c r="A386">
        <v>384</v>
      </c>
      <c r="B386">
        <v>97.5</v>
      </c>
      <c r="C386">
        <v>73.5</v>
      </c>
      <c r="D386">
        <v>-0.120899492</v>
      </c>
    </row>
    <row r="387" spans="1:4" x14ac:dyDescent="0.3">
      <c r="A387">
        <v>385</v>
      </c>
      <c r="B387">
        <v>97</v>
      </c>
      <c r="C387">
        <v>73</v>
      </c>
      <c r="D387">
        <v>-8.0583424000000001E-2</v>
      </c>
    </row>
    <row r="388" spans="1:4" x14ac:dyDescent="0.3">
      <c r="A388">
        <v>386</v>
      </c>
      <c r="B388">
        <v>96.5</v>
      </c>
      <c r="C388">
        <v>72.5</v>
      </c>
      <c r="D388">
        <v>-0.120880006</v>
      </c>
    </row>
    <row r="389" spans="1:4" x14ac:dyDescent="0.3">
      <c r="A389">
        <v>387</v>
      </c>
      <c r="B389">
        <v>95.5</v>
      </c>
      <c r="C389">
        <v>71.5</v>
      </c>
      <c r="D389">
        <v>-0.120889749</v>
      </c>
    </row>
    <row r="390" spans="1:4" x14ac:dyDescent="0.3">
      <c r="A390">
        <v>388</v>
      </c>
      <c r="B390">
        <v>95.5</v>
      </c>
      <c r="C390">
        <v>71.5</v>
      </c>
      <c r="D390">
        <v>-0.120855658</v>
      </c>
    </row>
    <row r="391" spans="1:4" x14ac:dyDescent="0.3">
      <c r="A391">
        <v>389</v>
      </c>
      <c r="B391">
        <v>95</v>
      </c>
      <c r="C391">
        <v>71</v>
      </c>
      <c r="D391">
        <v>-8.0576931000000004E-2</v>
      </c>
    </row>
    <row r="392" spans="1:4" x14ac:dyDescent="0.3">
      <c r="A392">
        <v>390</v>
      </c>
      <c r="B392">
        <v>94.5</v>
      </c>
      <c r="C392">
        <v>70.5</v>
      </c>
      <c r="D392">
        <v>-0.120860527</v>
      </c>
    </row>
    <row r="393" spans="1:4" x14ac:dyDescent="0.3">
      <c r="A393">
        <v>391</v>
      </c>
      <c r="B393">
        <v>93.5</v>
      </c>
      <c r="C393">
        <v>69.5</v>
      </c>
      <c r="D393">
        <v>-0.120884877</v>
      </c>
    </row>
    <row r="394" spans="1:4" x14ac:dyDescent="0.3">
      <c r="A394">
        <v>392</v>
      </c>
      <c r="B394">
        <v>93</v>
      </c>
      <c r="C394">
        <v>69</v>
      </c>
      <c r="D394">
        <v>-8.0596413000000006E-2</v>
      </c>
    </row>
    <row r="395" spans="1:4" x14ac:dyDescent="0.3">
      <c r="A395">
        <v>393</v>
      </c>
      <c r="B395">
        <v>92.5</v>
      </c>
      <c r="C395">
        <v>68.5</v>
      </c>
      <c r="D395">
        <v>-0.120889749</v>
      </c>
    </row>
    <row r="396" spans="1:4" x14ac:dyDescent="0.3">
      <c r="A396">
        <v>394</v>
      </c>
      <c r="B396">
        <v>95.5</v>
      </c>
      <c r="C396">
        <v>71.5</v>
      </c>
      <c r="D396">
        <v>-0.120855658</v>
      </c>
    </row>
    <row r="397" spans="1:4" x14ac:dyDescent="0.3">
      <c r="A397">
        <v>395</v>
      </c>
      <c r="B397">
        <v>95</v>
      </c>
      <c r="C397">
        <v>71</v>
      </c>
      <c r="D397">
        <v>-8.0596413000000006E-2</v>
      </c>
    </row>
    <row r="398" spans="1:4" x14ac:dyDescent="0.3">
      <c r="A398">
        <v>396</v>
      </c>
      <c r="B398">
        <v>94.5</v>
      </c>
      <c r="C398">
        <v>70.5</v>
      </c>
      <c r="D398">
        <v>-0.12089461999999999</v>
      </c>
    </row>
    <row r="399" spans="1:4" x14ac:dyDescent="0.3">
      <c r="A399">
        <v>397</v>
      </c>
      <c r="B399">
        <v>94</v>
      </c>
      <c r="C399">
        <v>70</v>
      </c>
      <c r="D399">
        <v>-8.0606157999999997E-2</v>
      </c>
    </row>
    <row r="400" spans="1:4" x14ac:dyDescent="0.3">
      <c r="A400">
        <v>398</v>
      </c>
      <c r="B400">
        <v>93</v>
      </c>
      <c r="C400">
        <v>69</v>
      </c>
      <c r="D400">
        <v>-8.0593165999999994E-2</v>
      </c>
    </row>
    <row r="401" spans="1:4" x14ac:dyDescent="0.3">
      <c r="A401">
        <v>399</v>
      </c>
      <c r="B401">
        <v>93</v>
      </c>
      <c r="C401">
        <v>69</v>
      </c>
      <c r="D401">
        <v>-8.0583424000000001E-2</v>
      </c>
    </row>
    <row r="402" spans="1:4" x14ac:dyDescent="0.3">
      <c r="A402">
        <v>400</v>
      </c>
      <c r="B402">
        <v>92</v>
      </c>
      <c r="C402">
        <v>68</v>
      </c>
      <c r="D402">
        <v>-8.0586670999999999E-2</v>
      </c>
    </row>
    <row r="403" spans="1:4" x14ac:dyDescent="0.3">
      <c r="A403">
        <v>401</v>
      </c>
      <c r="B403">
        <v>95.5</v>
      </c>
      <c r="C403">
        <v>71.5</v>
      </c>
      <c r="D403">
        <v>-0.120806991</v>
      </c>
    </row>
    <row r="404" spans="1:4" x14ac:dyDescent="0.3">
      <c r="A404">
        <v>402</v>
      </c>
      <c r="B404">
        <v>95</v>
      </c>
      <c r="C404">
        <v>71</v>
      </c>
      <c r="D404">
        <v>-8.0541237000000002E-2</v>
      </c>
    </row>
    <row r="405" spans="1:4" x14ac:dyDescent="0.3">
      <c r="A405">
        <v>403</v>
      </c>
      <c r="B405">
        <v>94.5</v>
      </c>
      <c r="C405">
        <v>70.5</v>
      </c>
      <c r="D405">
        <v>-0.120816721</v>
      </c>
    </row>
    <row r="406" spans="1:4" x14ac:dyDescent="0.3">
      <c r="A406">
        <v>404</v>
      </c>
      <c r="B406">
        <v>94</v>
      </c>
      <c r="C406">
        <v>70</v>
      </c>
      <c r="D406">
        <v>-8.0541237000000002E-2</v>
      </c>
    </row>
    <row r="407" spans="1:4" x14ac:dyDescent="0.3">
      <c r="A407">
        <v>405</v>
      </c>
      <c r="B407">
        <v>93</v>
      </c>
      <c r="C407">
        <v>69</v>
      </c>
      <c r="D407">
        <v>-8.0541237000000002E-2</v>
      </c>
    </row>
    <row r="408" spans="1:4" x14ac:dyDescent="0.3">
      <c r="A408">
        <v>406</v>
      </c>
      <c r="B408">
        <v>93</v>
      </c>
      <c r="C408">
        <v>69</v>
      </c>
      <c r="D408">
        <v>-8.0544481000000001E-2</v>
      </c>
    </row>
    <row r="409" spans="1:4" x14ac:dyDescent="0.3">
      <c r="A409">
        <v>407</v>
      </c>
      <c r="B409">
        <v>92</v>
      </c>
      <c r="C409">
        <v>68</v>
      </c>
      <c r="D409">
        <v>-8.0547725000000001E-2</v>
      </c>
    </row>
    <row r="410" spans="1:4" x14ac:dyDescent="0.3">
      <c r="A410">
        <v>408</v>
      </c>
      <c r="B410">
        <v>92</v>
      </c>
      <c r="C410">
        <v>68</v>
      </c>
      <c r="D410">
        <v>-8.0554213E-2</v>
      </c>
    </row>
    <row r="411" spans="1:4" x14ac:dyDescent="0.3">
      <c r="A411">
        <v>409</v>
      </c>
      <c r="B411">
        <v>216</v>
      </c>
      <c r="C411">
        <v>192</v>
      </c>
      <c r="D411">
        <v>-0.48355899400000002</v>
      </c>
    </row>
    <row r="412" spans="1:4" x14ac:dyDescent="0.3">
      <c r="A412">
        <v>410</v>
      </c>
      <c r="B412">
        <v>213</v>
      </c>
      <c r="C412">
        <v>189</v>
      </c>
      <c r="D412">
        <v>-0.48353950899999998</v>
      </c>
    </row>
    <row r="413" spans="1:4" x14ac:dyDescent="0.3">
      <c r="A413">
        <v>411</v>
      </c>
      <c r="B413">
        <v>211.5</v>
      </c>
      <c r="C413">
        <v>187.5</v>
      </c>
      <c r="D413">
        <v>-0.52379225600000001</v>
      </c>
    </row>
    <row r="414" spans="1:4" x14ac:dyDescent="0.3">
      <c r="A414">
        <v>412</v>
      </c>
      <c r="B414">
        <v>208</v>
      </c>
      <c r="C414">
        <v>184</v>
      </c>
      <c r="D414">
        <v>-0.48350054399999998</v>
      </c>
    </row>
    <row r="415" spans="1:4" x14ac:dyDescent="0.3">
      <c r="A415">
        <v>413</v>
      </c>
      <c r="B415">
        <v>91</v>
      </c>
      <c r="C415">
        <v>67</v>
      </c>
      <c r="D415">
        <v>-8.0573685000000006E-2</v>
      </c>
    </row>
    <row r="416" spans="1:4" x14ac:dyDescent="0.3">
      <c r="A416">
        <v>414</v>
      </c>
      <c r="B416">
        <v>90.5</v>
      </c>
      <c r="C416">
        <v>66.5</v>
      </c>
      <c r="D416">
        <v>-0.120870266</v>
      </c>
    </row>
    <row r="417" spans="1:4" x14ac:dyDescent="0.3">
      <c r="A417">
        <v>415</v>
      </c>
      <c r="B417">
        <v>90</v>
      </c>
      <c r="C417">
        <v>66</v>
      </c>
      <c r="D417">
        <v>-8.0563947999999996E-2</v>
      </c>
    </row>
    <row r="418" spans="1:4" x14ac:dyDescent="0.3">
      <c r="A418">
        <v>416</v>
      </c>
      <c r="B418">
        <v>89.5</v>
      </c>
      <c r="C418">
        <v>65.5</v>
      </c>
      <c r="D418">
        <v>-0.120865396</v>
      </c>
    </row>
    <row r="419" spans="1:4" x14ac:dyDescent="0.3">
      <c r="A419">
        <v>417</v>
      </c>
      <c r="B419">
        <v>89</v>
      </c>
      <c r="C419">
        <v>65</v>
      </c>
      <c r="D419">
        <v>-8.0576931000000004E-2</v>
      </c>
    </row>
    <row r="420" spans="1:4" x14ac:dyDescent="0.3">
      <c r="A420">
        <v>418</v>
      </c>
      <c r="B420">
        <v>91</v>
      </c>
      <c r="C420">
        <v>67</v>
      </c>
      <c r="D420">
        <v>-8.0544481000000001E-2</v>
      </c>
    </row>
    <row r="421" spans="1:4" x14ac:dyDescent="0.3">
      <c r="A421">
        <v>419</v>
      </c>
      <c r="B421">
        <v>90.5</v>
      </c>
      <c r="C421">
        <v>66.5</v>
      </c>
      <c r="D421">
        <v>-0.12082158699999999</v>
      </c>
    </row>
    <row r="422" spans="1:4" x14ac:dyDescent="0.3">
      <c r="A422">
        <v>420</v>
      </c>
      <c r="B422">
        <v>90</v>
      </c>
      <c r="C422">
        <v>66</v>
      </c>
      <c r="D422">
        <v>-8.0554213E-2</v>
      </c>
    </row>
    <row r="423" spans="1:4" x14ac:dyDescent="0.3">
      <c r="A423">
        <v>421</v>
      </c>
      <c r="B423">
        <v>89.5</v>
      </c>
      <c r="C423">
        <v>65.5</v>
      </c>
      <c r="D423">
        <v>-0.120826453</v>
      </c>
    </row>
    <row r="424" spans="1:4" x14ac:dyDescent="0.3">
      <c r="A424">
        <v>422</v>
      </c>
      <c r="B424">
        <v>89</v>
      </c>
      <c r="C424">
        <v>65</v>
      </c>
      <c r="D424">
        <v>-8.0557457999999998E-2</v>
      </c>
    </row>
    <row r="425" spans="1:4" x14ac:dyDescent="0.3">
      <c r="A425">
        <v>423</v>
      </c>
      <c r="B425">
        <v>88</v>
      </c>
      <c r="C425">
        <v>64</v>
      </c>
      <c r="D425">
        <v>-8.0557457999999998E-2</v>
      </c>
    </row>
    <row r="426" spans="1:4" x14ac:dyDescent="0.3">
      <c r="A426">
        <v>424</v>
      </c>
      <c r="B426">
        <v>88</v>
      </c>
      <c r="C426">
        <v>64</v>
      </c>
      <c r="D426">
        <v>-8.0550969E-2</v>
      </c>
    </row>
    <row r="427" spans="1:4" x14ac:dyDescent="0.3">
      <c r="A427">
        <v>425</v>
      </c>
      <c r="B427">
        <v>87</v>
      </c>
      <c r="C427">
        <v>63</v>
      </c>
      <c r="D427">
        <v>-8.0531508000000002E-2</v>
      </c>
    </row>
    <row r="428" spans="1:4" x14ac:dyDescent="0.3">
      <c r="A428">
        <v>426</v>
      </c>
      <c r="B428">
        <v>91</v>
      </c>
      <c r="C428">
        <v>67</v>
      </c>
      <c r="D428">
        <v>-8.0576931000000004E-2</v>
      </c>
    </row>
    <row r="429" spans="1:4" x14ac:dyDescent="0.3">
      <c r="A429">
        <v>427</v>
      </c>
      <c r="B429">
        <v>90.5</v>
      </c>
      <c r="C429">
        <v>66.5</v>
      </c>
      <c r="D429">
        <v>-0.120860527</v>
      </c>
    </row>
    <row r="430" spans="1:4" x14ac:dyDescent="0.3">
      <c r="A430">
        <v>428</v>
      </c>
      <c r="B430">
        <v>90</v>
      </c>
      <c r="C430">
        <v>66</v>
      </c>
      <c r="D430">
        <v>-8.0570438999999994E-2</v>
      </c>
    </row>
    <row r="431" spans="1:4" x14ac:dyDescent="0.3">
      <c r="A431">
        <v>429</v>
      </c>
      <c r="B431">
        <v>89.5</v>
      </c>
      <c r="C431">
        <v>65.5</v>
      </c>
      <c r="D431">
        <v>-0.12085079</v>
      </c>
    </row>
    <row r="432" spans="1:4" x14ac:dyDescent="0.3">
      <c r="A432">
        <v>430</v>
      </c>
      <c r="B432">
        <v>89</v>
      </c>
      <c r="C432">
        <v>65</v>
      </c>
      <c r="D432">
        <v>-8.0567192999999995E-2</v>
      </c>
    </row>
    <row r="433" spans="1:4" x14ac:dyDescent="0.3">
      <c r="A433">
        <v>431</v>
      </c>
      <c r="B433">
        <v>88</v>
      </c>
      <c r="C433">
        <v>64</v>
      </c>
      <c r="D433">
        <v>-8.0567192999999995E-2</v>
      </c>
    </row>
    <row r="434" spans="1:4" x14ac:dyDescent="0.3">
      <c r="A434">
        <v>432</v>
      </c>
      <c r="B434">
        <v>88</v>
      </c>
      <c r="C434">
        <v>64</v>
      </c>
      <c r="D434">
        <v>-8.0567192999999995E-2</v>
      </c>
    </row>
    <row r="435" spans="1:4" x14ac:dyDescent="0.3">
      <c r="A435">
        <v>433</v>
      </c>
      <c r="B435">
        <v>87</v>
      </c>
      <c r="C435">
        <v>63</v>
      </c>
      <c r="D435">
        <v>-8.0570438999999994E-2</v>
      </c>
    </row>
    <row r="436" spans="1:4" x14ac:dyDescent="0.3">
      <c r="A436">
        <v>434</v>
      </c>
      <c r="B436">
        <v>212</v>
      </c>
      <c r="C436">
        <v>188</v>
      </c>
      <c r="D436">
        <v>-0.48338368599999998</v>
      </c>
    </row>
    <row r="437" spans="1:4" x14ac:dyDescent="0.3">
      <c r="A437">
        <v>435</v>
      </c>
      <c r="B437">
        <v>208.5</v>
      </c>
      <c r="C437">
        <v>184.5</v>
      </c>
      <c r="D437">
        <v>-0.44310171199999998</v>
      </c>
    </row>
    <row r="438" spans="1:4" x14ac:dyDescent="0.3">
      <c r="A438">
        <v>436</v>
      </c>
      <c r="B438">
        <v>206</v>
      </c>
      <c r="C438">
        <v>182</v>
      </c>
      <c r="D438">
        <v>-0.40281973799999998</v>
      </c>
    </row>
    <row r="439" spans="1:4" x14ac:dyDescent="0.3">
      <c r="A439">
        <v>437</v>
      </c>
      <c r="B439">
        <v>203</v>
      </c>
      <c r="C439">
        <v>179</v>
      </c>
      <c r="D439">
        <v>-0.402852194</v>
      </c>
    </row>
    <row r="440" spans="1:4" x14ac:dyDescent="0.3">
      <c r="A440">
        <v>438</v>
      </c>
      <c r="B440">
        <v>201</v>
      </c>
      <c r="C440">
        <v>177</v>
      </c>
      <c r="D440">
        <v>-0.402852194</v>
      </c>
    </row>
    <row r="441" spans="1:4" x14ac:dyDescent="0.3">
      <c r="A441">
        <v>439</v>
      </c>
      <c r="B441">
        <v>86</v>
      </c>
      <c r="C441">
        <v>62</v>
      </c>
      <c r="D441">
        <v>-8.0550969E-2</v>
      </c>
    </row>
    <row r="442" spans="1:4" x14ac:dyDescent="0.3">
      <c r="A442">
        <v>440</v>
      </c>
      <c r="B442">
        <v>85</v>
      </c>
      <c r="C442">
        <v>61</v>
      </c>
      <c r="D442">
        <v>-8.0541237000000002E-2</v>
      </c>
    </row>
    <row r="443" spans="1:4" x14ac:dyDescent="0.3">
      <c r="A443">
        <v>441</v>
      </c>
      <c r="B443">
        <v>85</v>
      </c>
      <c r="C443">
        <v>61</v>
      </c>
      <c r="D443">
        <v>-8.0550969E-2</v>
      </c>
    </row>
    <row r="444" spans="1:4" x14ac:dyDescent="0.3">
      <c r="A444">
        <v>442</v>
      </c>
      <c r="B444">
        <v>84.5</v>
      </c>
      <c r="C444">
        <v>60.5</v>
      </c>
      <c r="D444">
        <v>-0.120816721</v>
      </c>
    </row>
    <row r="445" spans="1:4" x14ac:dyDescent="0.3">
      <c r="A445">
        <v>443</v>
      </c>
      <c r="B445">
        <v>84</v>
      </c>
      <c r="C445">
        <v>60</v>
      </c>
      <c r="D445">
        <v>-8.0544481000000001E-2</v>
      </c>
    </row>
    <row r="446" spans="1:4" x14ac:dyDescent="0.3">
      <c r="A446">
        <v>444</v>
      </c>
      <c r="B446">
        <v>83</v>
      </c>
      <c r="C446">
        <v>59</v>
      </c>
      <c r="D446">
        <v>-8.0544481000000001E-2</v>
      </c>
    </row>
    <row r="447" spans="1:4" x14ac:dyDescent="0.3">
      <c r="A447">
        <v>445</v>
      </c>
      <c r="B447">
        <v>229</v>
      </c>
      <c r="C447">
        <v>205</v>
      </c>
      <c r="D447">
        <v>-0.56408396800000005</v>
      </c>
    </row>
    <row r="448" spans="1:4" x14ac:dyDescent="0.3">
      <c r="A448">
        <v>446</v>
      </c>
      <c r="B448">
        <v>223.5</v>
      </c>
      <c r="C448">
        <v>199.5</v>
      </c>
      <c r="D448">
        <v>-0.48354340600000001</v>
      </c>
    </row>
    <row r="449" spans="1:4" x14ac:dyDescent="0.3">
      <c r="A449">
        <v>447</v>
      </c>
      <c r="B449">
        <v>220.5</v>
      </c>
      <c r="C449">
        <v>196.5</v>
      </c>
      <c r="D449">
        <v>-0.48348106400000002</v>
      </c>
    </row>
    <row r="450" spans="1:4" x14ac:dyDescent="0.3">
      <c r="A450">
        <v>448</v>
      </c>
      <c r="B450">
        <v>100</v>
      </c>
      <c r="C450">
        <v>76</v>
      </c>
      <c r="D450">
        <v>-8.0599661000000003E-2</v>
      </c>
    </row>
    <row r="451" spans="1:4" x14ac:dyDescent="0.3">
      <c r="A451">
        <v>449</v>
      </c>
      <c r="B451">
        <v>99.5</v>
      </c>
      <c r="C451">
        <v>75.5</v>
      </c>
      <c r="D451">
        <v>-0.120880006</v>
      </c>
    </row>
    <row r="452" spans="1:4" x14ac:dyDescent="0.3">
      <c r="A452">
        <v>450</v>
      </c>
      <c r="B452">
        <v>98.5</v>
      </c>
      <c r="C452">
        <v>74.5</v>
      </c>
      <c r="D452">
        <v>-0.120860527</v>
      </c>
    </row>
    <row r="453" spans="1:4" x14ac:dyDescent="0.3">
      <c r="A453">
        <v>451</v>
      </c>
      <c r="B453">
        <v>98</v>
      </c>
      <c r="C453">
        <v>74</v>
      </c>
      <c r="D453">
        <v>-8.0573685000000006E-2</v>
      </c>
    </row>
    <row r="454" spans="1:4" x14ac:dyDescent="0.3">
      <c r="A454">
        <v>452</v>
      </c>
      <c r="B454">
        <v>97.5</v>
      </c>
      <c r="C454">
        <v>73.5</v>
      </c>
      <c r="D454">
        <v>-0.120860527</v>
      </c>
    </row>
    <row r="455" spans="1:4" x14ac:dyDescent="0.3">
      <c r="A455">
        <v>453</v>
      </c>
      <c r="B455">
        <v>97</v>
      </c>
      <c r="C455">
        <v>73</v>
      </c>
      <c r="D455">
        <v>-8.0573685000000006E-2</v>
      </c>
    </row>
    <row r="456" spans="1:4" x14ac:dyDescent="0.3">
      <c r="A456">
        <v>454</v>
      </c>
      <c r="B456">
        <v>96</v>
      </c>
      <c r="C456">
        <v>72</v>
      </c>
      <c r="D456">
        <v>-8.0576931000000004E-2</v>
      </c>
    </row>
    <row r="457" spans="1:4" x14ac:dyDescent="0.3">
      <c r="A457">
        <v>455</v>
      </c>
      <c r="B457">
        <v>95.5</v>
      </c>
      <c r="C457">
        <v>71.5</v>
      </c>
      <c r="D457">
        <v>-0.120860527</v>
      </c>
    </row>
    <row r="458" spans="1:4" x14ac:dyDescent="0.3">
      <c r="A458">
        <v>456</v>
      </c>
      <c r="B458">
        <v>100.5</v>
      </c>
      <c r="C458">
        <v>76.5</v>
      </c>
      <c r="D458">
        <v>-0.120870266</v>
      </c>
    </row>
    <row r="459" spans="1:4" x14ac:dyDescent="0.3">
      <c r="A459">
        <v>457</v>
      </c>
      <c r="B459">
        <v>99.5</v>
      </c>
      <c r="C459">
        <v>75.5</v>
      </c>
      <c r="D459">
        <v>-0.120870266</v>
      </c>
    </row>
    <row r="460" spans="1:4" x14ac:dyDescent="0.3">
      <c r="A460">
        <v>458</v>
      </c>
      <c r="B460">
        <v>99</v>
      </c>
      <c r="C460">
        <v>75</v>
      </c>
      <c r="D460">
        <v>-8.0580177000000003E-2</v>
      </c>
    </row>
    <row r="461" spans="1:4" x14ac:dyDescent="0.3">
      <c r="A461">
        <v>459</v>
      </c>
      <c r="B461">
        <v>98</v>
      </c>
      <c r="C461">
        <v>74</v>
      </c>
      <c r="D461">
        <v>-8.0567192999999995E-2</v>
      </c>
    </row>
    <row r="462" spans="1:4" x14ac:dyDescent="0.3">
      <c r="A462">
        <v>460</v>
      </c>
      <c r="B462">
        <v>97.5</v>
      </c>
      <c r="C462">
        <v>73.5</v>
      </c>
      <c r="D462">
        <v>-0.120870266</v>
      </c>
    </row>
    <row r="463" spans="1:4" x14ac:dyDescent="0.3">
      <c r="A463">
        <v>461</v>
      </c>
      <c r="B463">
        <v>96.5</v>
      </c>
      <c r="C463">
        <v>72.5</v>
      </c>
      <c r="D463">
        <v>-9.6680632000000002E-2</v>
      </c>
    </row>
    <row r="464" spans="1:4" x14ac:dyDescent="0.3">
      <c r="A464">
        <v>462</v>
      </c>
      <c r="B464">
        <v>96</v>
      </c>
      <c r="C464">
        <v>72</v>
      </c>
      <c r="D464">
        <v>-0.12891166300000001</v>
      </c>
    </row>
    <row r="465" spans="1:4" x14ac:dyDescent="0.3">
      <c r="A465">
        <v>463</v>
      </c>
      <c r="B465">
        <v>95.5</v>
      </c>
      <c r="C465">
        <v>71.5</v>
      </c>
      <c r="D465">
        <v>-9.6680632000000002E-2</v>
      </c>
    </row>
    <row r="466" spans="1:4" x14ac:dyDescent="0.3">
      <c r="A466">
        <v>464</v>
      </c>
      <c r="B466">
        <v>100.5</v>
      </c>
      <c r="C466">
        <v>76.5</v>
      </c>
      <c r="D466">
        <v>-0.120880006</v>
      </c>
    </row>
    <row r="467" spans="1:4" x14ac:dyDescent="0.3">
      <c r="A467">
        <v>465</v>
      </c>
      <c r="B467">
        <v>99.5</v>
      </c>
      <c r="C467">
        <v>75.5</v>
      </c>
      <c r="D467">
        <v>-0.120880006</v>
      </c>
    </row>
    <row r="468" spans="1:4" x14ac:dyDescent="0.3">
      <c r="A468">
        <v>466</v>
      </c>
      <c r="B468">
        <v>99</v>
      </c>
      <c r="C468">
        <v>75</v>
      </c>
      <c r="D468">
        <v>-8.0596413000000006E-2</v>
      </c>
    </row>
    <row r="469" spans="1:4" x14ac:dyDescent="0.3">
      <c r="A469">
        <v>467</v>
      </c>
      <c r="B469">
        <v>98</v>
      </c>
      <c r="C469">
        <v>74</v>
      </c>
      <c r="D469">
        <v>-8.0593165999999994E-2</v>
      </c>
    </row>
    <row r="470" spans="1:4" x14ac:dyDescent="0.3">
      <c r="A470">
        <v>468</v>
      </c>
      <c r="B470">
        <v>97.5</v>
      </c>
      <c r="C470">
        <v>73.5</v>
      </c>
      <c r="D470">
        <v>-0.120899492</v>
      </c>
    </row>
    <row r="471" spans="1:4" x14ac:dyDescent="0.3">
      <c r="A471">
        <v>469</v>
      </c>
      <c r="B471">
        <v>97</v>
      </c>
      <c r="C471">
        <v>73</v>
      </c>
      <c r="D471">
        <v>-8.0583424000000001E-2</v>
      </c>
    </row>
    <row r="472" spans="1:4" x14ac:dyDescent="0.3">
      <c r="A472">
        <v>470</v>
      </c>
      <c r="B472">
        <v>96.5</v>
      </c>
      <c r="C472">
        <v>72.5</v>
      </c>
      <c r="D472">
        <v>-0.120880006</v>
      </c>
    </row>
    <row r="473" spans="1:4" x14ac:dyDescent="0.3">
      <c r="A473">
        <v>471</v>
      </c>
      <c r="B473">
        <v>95.5</v>
      </c>
      <c r="C473">
        <v>71.5</v>
      </c>
      <c r="D473">
        <v>-0.120889749</v>
      </c>
    </row>
    <row r="474" spans="1:4" x14ac:dyDescent="0.3">
      <c r="A474">
        <v>472</v>
      </c>
      <c r="B474">
        <v>95.5</v>
      </c>
      <c r="C474">
        <v>71.5</v>
      </c>
      <c r="D474">
        <v>-0.120855658</v>
      </c>
    </row>
    <row r="475" spans="1:4" x14ac:dyDescent="0.3">
      <c r="A475">
        <v>473</v>
      </c>
      <c r="B475">
        <v>95</v>
      </c>
      <c r="C475">
        <v>71</v>
      </c>
      <c r="D475">
        <v>-8.0576931000000004E-2</v>
      </c>
    </row>
    <row r="476" spans="1:4" x14ac:dyDescent="0.3">
      <c r="A476">
        <v>474</v>
      </c>
      <c r="B476">
        <v>94.5</v>
      </c>
      <c r="C476">
        <v>70.5</v>
      </c>
      <c r="D476">
        <v>-0.120860527</v>
      </c>
    </row>
    <row r="477" spans="1:4" x14ac:dyDescent="0.3">
      <c r="A477">
        <v>475</v>
      </c>
      <c r="B477">
        <v>93.5</v>
      </c>
      <c r="C477">
        <v>69.5</v>
      </c>
      <c r="D477">
        <v>-0.120884877</v>
      </c>
    </row>
    <row r="478" spans="1:4" x14ac:dyDescent="0.3">
      <c r="A478">
        <v>476</v>
      </c>
      <c r="B478">
        <v>93</v>
      </c>
      <c r="C478">
        <v>69</v>
      </c>
      <c r="D478">
        <v>-8.0596413000000006E-2</v>
      </c>
    </row>
    <row r="479" spans="1:4" x14ac:dyDescent="0.3">
      <c r="A479">
        <v>477</v>
      </c>
      <c r="B479">
        <v>92.5</v>
      </c>
      <c r="C479">
        <v>68.5</v>
      </c>
      <c r="D479">
        <v>-0.120889749</v>
      </c>
    </row>
    <row r="480" spans="1:4" x14ac:dyDescent="0.3">
      <c r="A480">
        <v>478</v>
      </c>
      <c r="B480">
        <v>95.5</v>
      </c>
      <c r="C480">
        <v>71.5</v>
      </c>
      <c r="D480">
        <v>-0.120855658</v>
      </c>
    </row>
    <row r="481" spans="1:4" x14ac:dyDescent="0.3">
      <c r="A481">
        <v>479</v>
      </c>
      <c r="B481">
        <v>95</v>
      </c>
      <c r="C481">
        <v>71</v>
      </c>
      <c r="D481">
        <v>-8.0596413000000006E-2</v>
      </c>
    </row>
    <row r="482" spans="1:4" x14ac:dyDescent="0.3">
      <c r="A482">
        <v>480</v>
      </c>
      <c r="B482">
        <v>94.5</v>
      </c>
      <c r="C482">
        <v>70.5</v>
      </c>
      <c r="D482">
        <v>-0.12089461999999999</v>
      </c>
    </row>
    <row r="483" spans="1:4" x14ac:dyDescent="0.3">
      <c r="A483">
        <v>481</v>
      </c>
      <c r="B483">
        <v>94</v>
      </c>
      <c r="C483">
        <v>70</v>
      </c>
      <c r="D483">
        <v>-8.0606157999999997E-2</v>
      </c>
    </row>
    <row r="484" spans="1:4" x14ac:dyDescent="0.3">
      <c r="A484">
        <v>482</v>
      </c>
      <c r="B484">
        <v>93</v>
      </c>
      <c r="C484">
        <v>69</v>
      </c>
      <c r="D484">
        <v>-8.0593165999999994E-2</v>
      </c>
    </row>
    <row r="485" spans="1:4" x14ac:dyDescent="0.3">
      <c r="A485">
        <v>483</v>
      </c>
      <c r="B485">
        <v>93</v>
      </c>
      <c r="C485">
        <v>69</v>
      </c>
      <c r="D485">
        <v>-8.0583424000000001E-2</v>
      </c>
    </row>
    <row r="486" spans="1:4" x14ac:dyDescent="0.3">
      <c r="A486">
        <v>484</v>
      </c>
      <c r="B486">
        <v>92</v>
      </c>
      <c r="C486">
        <v>68</v>
      </c>
      <c r="D486">
        <v>-8.0586670999999999E-2</v>
      </c>
    </row>
    <row r="487" spans="1:4" x14ac:dyDescent="0.3">
      <c r="A487">
        <v>485</v>
      </c>
      <c r="B487">
        <v>95.5</v>
      </c>
      <c r="C487">
        <v>71.5</v>
      </c>
      <c r="D487">
        <v>-0.120806991</v>
      </c>
    </row>
    <row r="488" spans="1:4" x14ac:dyDescent="0.3">
      <c r="A488">
        <v>486</v>
      </c>
      <c r="B488">
        <v>95</v>
      </c>
      <c r="C488">
        <v>71</v>
      </c>
      <c r="D488">
        <v>-8.0541237000000002E-2</v>
      </c>
    </row>
    <row r="489" spans="1:4" x14ac:dyDescent="0.3">
      <c r="A489">
        <v>487</v>
      </c>
      <c r="B489">
        <v>94.5</v>
      </c>
      <c r="C489">
        <v>70.5</v>
      </c>
      <c r="D489">
        <v>-0.120816721</v>
      </c>
    </row>
    <row r="490" spans="1:4" x14ac:dyDescent="0.3">
      <c r="A490">
        <v>488</v>
      </c>
      <c r="B490">
        <v>94</v>
      </c>
      <c r="C490">
        <v>70</v>
      </c>
      <c r="D490">
        <v>-8.0541237000000002E-2</v>
      </c>
    </row>
    <row r="491" spans="1:4" x14ac:dyDescent="0.3">
      <c r="A491">
        <v>489</v>
      </c>
      <c r="B491">
        <v>93</v>
      </c>
      <c r="C491">
        <v>69</v>
      </c>
      <c r="D491">
        <v>-8.0541237000000002E-2</v>
      </c>
    </row>
    <row r="492" spans="1:4" x14ac:dyDescent="0.3">
      <c r="A492">
        <v>490</v>
      </c>
      <c r="B492">
        <v>93</v>
      </c>
      <c r="C492">
        <v>69</v>
      </c>
      <c r="D492">
        <v>-8.0544481000000001E-2</v>
      </c>
    </row>
    <row r="493" spans="1:4" x14ac:dyDescent="0.3">
      <c r="A493">
        <v>491</v>
      </c>
      <c r="B493">
        <v>92</v>
      </c>
      <c r="C493">
        <v>68</v>
      </c>
      <c r="D493">
        <v>-8.0547725000000001E-2</v>
      </c>
    </row>
    <row r="494" spans="1:4" x14ac:dyDescent="0.3">
      <c r="A494">
        <v>492</v>
      </c>
      <c r="B494">
        <v>92</v>
      </c>
      <c r="C494">
        <v>68</v>
      </c>
      <c r="D494">
        <v>-8.0554213E-2</v>
      </c>
    </row>
    <row r="495" spans="1:4" x14ac:dyDescent="0.3">
      <c r="A495">
        <v>493</v>
      </c>
      <c r="B495">
        <v>216</v>
      </c>
      <c r="C495">
        <v>192</v>
      </c>
      <c r="D495">
        <v>-0.48355899400000002</v>
      </c>
    </row>
    <row r="496" spans="1:4" x14ac:dyDescent="0.3">
      <c r="A496">
        <v>494</v>
      </c>
      <c r="B496">
        <v>213</v>
      </c>
      <c r="C496">
        <v>189</v>
      </c>
      <c r="D496">
        <v>-0.48353950899999998</v>
      </c>
    </row>
    <row r="497" spans="1:4" x14ac:dyDescent="0.3">
      <c r="A497">
        <v>495</v>
      </c>
      <c r="B497">
        <v>211.5</v>
      </c>
      <c r="C497">
        <v>187.5</v>
      </c>
      <c r="D497">
        <v>-0.52379225600000001</v>
      </c>
    </row>
    <row r="498" spans="1:4" x14ac:dyDescent="0.3">
      <c r="A498">
        <v>496</v>
      </c>
      <c r="B498">
        <v>208</v>
      </c>
      <c r="C498">
        <v>184</v>
      </c>
      <c r="D498">
        <v>-0.48350054399999998</v>
      </c>
    </row>
    <row r="499" spans="1:4" x14ac:dyDescent="0.3">
      <c r="A499">
        <v>497</v>
      </c>
      <c r="B499">
        <v>91</v>
      </c>
      <c r="C499">
        <v>67</v>
      </c>
      <c r="D499">
        <v>-8.0573685000000006E-2</v>
      </c>
    </row>
    <row r="500" spans="1:4" x14ac:dyDescent="0.3">
      <c r="A500">
        <v>498</v>
      </c>
      <c r="B500">
        <v>90.5</v>
      </c>
      <c r="C500">
        <v>66.5</v>
      </c>
      <c r="D500">
        <v>-0.120870266</v>
      </c>
    </row>
    <row r="501" spans="1:4" x14ac:dyDescent="0.3">
      <c r="A501">
        <v>499</v>
      </c>
      <c r="B501">
        <v>90</v>
      </c>
      <c r="C501">
        <v>66</v>
      </c>
      <c r="D501">
        <v>-8.0563947999999996E-2</v>
      </c>
    </row>
    <row r="502" spans="1:4" x14ac:dyDescent="0.3">
      <c r="A502">
        <v>500</v>
      </c>
      <c r="B502">
        <v>89.5</v>
      </c>
      <c r="C502">
        <v>65.5</v>
      </c>
      <c r="D502">
        <v>-0.120865396</v>
      </c>
    </row>
    <row r="503" spans="1:4" x14ac:dyDescent="0.3">
      <c r="A503">
        <v>501</v>
      </c>
      <c r="B503">
        <v>89</v>
      </c>
      <c r="C503">
        <v>65</v>
      </c>
      <c r="D503">
        <v>-8.0576931000000004E-2</v>
      </c>
    </row>
    <row r="504" spans="1:4" x14ac:dyDescent="0.3">
      <c r="A504">
        <v>502</v>
      </c>
      <c r="B504">
        <v>91</v>
      </c>
      <c r="C504">
        <v>67</v>
      </c>
      <c r="D504">
        <v>-8.0544481000000001E-2</v>
      </c>
    </row>
    <row r="505" spans="1:4" x14ac:dyDescent="0.3">
      <c r="A505">
        <v>503</v>
      </c>
      <c r="B505">
        <v>90.5</v>
      </c>
      <c r="C505">
        <v>66.5</v>
      </c>
      <c r="D505">
        <v>-0.12082158699999999</v>
      </c>
    </row>
    <row r="506" spans="1:4" x14ac:dyDescent="0.3">
      <c r="A506">
        <v>504</v>
      </c>
      <c r="B506">
        <v>90</v>
      </c>
      <c r="C506">
        <v>66</v>
      </c>
      <c r="D506">
        <v>-8.0554213E-2</v>
      </c>
    </row>
    <row r="507" spans="1:4" x14ac:dyDescent="0.3">
      <c r="A507">
        <v>505</v>
      </c>
      <c r="B507">
        <v>89.5</v>
      </c>
      <c r="C507">
        <v>65.5</v>
      </c>
      <c r="D507">
        <v>-0.120826453</v>
      </c>
    </row>
    <row r="508" spans="1:4" x14ac:dyDescent="0.3">
      <c r="A508">
        <v>506</v>
      </c>
      <c r="B508">
        <v>89</v>
      </c>
      <c r="C508">
        <v>65</v>
      </c>
      <c r="D508">
        <v>-8.0557457999999998E-2</v>
      </c>
    </row>
    <row r="509" spans="1:4" x14ac:dyDescent="0.3">
      <c r="A509">
        <v>507</v>
      </c>
      <c r="B509">
        <v>88</v>
      </c>
      <c r="C509">
        <v>64</v>
      </c>
      <c r="D509">
        <v>-8.0557457999999998E-2</v>
      </c>
    </row>
    <row r="510" spans="1:4" x14ac:dyDescent="0.3">
      <c r="A510">
        <v>508</v>
      </c>
      <c r="B510">
        <v>88</v>
      </c>
      <c r="C510">
        <v>64</v>
      </c>
      <c r="D510">
        <v>-8.0550969E-2</v>
      </c>
    </row>
    <row r="511" spans="1:4" x14ac:dyDescent="0.3">
      <c r="A511">
        <v>509</v>
      </c>
      <c r="B511">
        <v>87</v>
      </c>
      <c r="C511">
        <v>63</v>
      </c>
      <c r="D511">
        <v>-8.0531508000000002E-2</v>
      </c>
    </row>
    <row r="512" spans="1:4" x14ac:dyDescent="0.3">
      <c r="A512">
        <v>510</v>
      </c>
      <c r="B512">
        <v>91</v>
      </c>
      <c r="C512">
        <v>67</v>
      </c>
      <c r="D512">
        <v>-8.0576931000000004E-2</v>
      </c>
    </row>
    <row r="513" spans="1:4" x14ac:dyDescent="0.3">
      <c r="A513">
        <v>511</v>
      </c>
      <c r="B513">
        <v>90.5</v>
      </c>
      <c r="C513">
        <v>66.5</v>
      </c>
      <c r="D513">
        <v>-0.120860527</v>
      </c>
    </row>
    <row r="514" spans="1:4" x14ac:dyDescent="0.3">
      <c r="A514">
        <v>512</v>
      </c>
      <c r="B514">
        <v>90</v>
      </c>
      <c r="C514">
        <v>66</v>
      </c>
      <c r="D514">
        <v>-8.0570438999999994E-2</v>
      </c>
    </row>
    <row r="515" spans="1:4" x14ac:dyDescent="0.3">
      <c r="A515">
        <v>513</v>
      </c>
      <c r="B515">
        <v>89.5</v>
      </c>
      <c r="C515">
        <v>65.5</v>
      </c>
      <c r="D515">
        <v>-0.12085079</v>
      </c>
    </row>
    <row r="516" spans="1:4" x14ac:dyDescent="0.3">
      <c r="A516">
        <v>514</v>
      </c>
      <c r="B516">
        <v>89</v>
      </c>
      <c r="C516">
        <v>65</v>
      </c>
      <c r="D516">
        <v>-8.0567192999999995E-2</v>
      </c>
    </row>
    <row r="517" spans="1:4" x14ac:dyDescent="0.3">
      <c r="A517">
        <v>515</v>
      </c>
      <c r="B517">
        <v>88</v>
      </c>
      <c r="C517">
        <v>64</v>
      </c>
      <c r="D517">
        <v>-8.0567192999999995E-2</v>
      </c>
    </row>
    <row r="518" spans="1:4" x14ac:dyDescent="0.3">
      <c r="A518">
        <v>516</v>
      </c>
      <c r="B518">
        <v>88</v>
      </c>
      <c r="C518">
        <v>64</v>
      </c>
      <c r="D518">
        <v>-8.0567192999999995E-2</v>
      </c>
    </row>
    <row r="519" spans="1:4" x14ac:dyDescent="0.3">
      <c r="A519">
        <v>517</v>
      </c>
      <c r="B519">
        <v>87</v>
      </c>
      <c r="C519">
        <v>63</v>
      </c>
      <c r="D519">
        <v>-8.0570438999999994E-2</v>
      </c>
    </row>
    <row r="520" spans="1:4" x14ac:dyDescent="0.3">
      <c r="A520">
        <v>518</v>
      </c>
      <c r="B520">
        <v>212</v>
      </c>
      <c r="C520">
        <v>188</v>
      </c>
      <c r="D520">
        <v>-0.48338368599999998</v>
      </c>
    </row>
    <row r="521" spans="1:4" x14ac:dyDescent="0.3">
      <c r="A521">
        <v>519</v>
      </c>
      <c r="B521">
        <v>208.5</v>
      </c>
      <c r="C521">
        <v>184.5</v>
      </c>
      <c r="D521">
        <v>-0.44310171199999998</v>
      </c>
    </row>
    <row r="522" spans="1:4" x14ac:dyDescent="0.3">
      <c r="A522">
        <v>520</v>
      </c>
      <c r="B522">
        <v>206</v>
      </c>
      <c r="C522">
        <v>182</v>
      </c>
      <c r="D522">
        <v>-0.40281973799999998</v>
      </c>
    </row>
    <row r="523" spans="1:4" x14ac:dyDescent="0.3">
      <c r="A523">
        <v>521</v>
      </c>
      <c r="B523">
        <v>203</v>
      </c>
      <c r="C523">
        <v>179</v>
      </c>
      <c r="D523">
        <v>-0.402852194</v>
      </c>
    </row>
    <row r="524" spans="1:4" x14ac:dyDescent="0.3">
      <c r="A524">
        <v>522</v>
      </c>
      <c r="B524">
        <v>201</v>
      </c>
      <c r="C524">
        <v>177</v>
      </c>
      <c r="D524">
        <v>-0.402852194</v>
      </c>
    </row>
    <row r="525" spans="1:4" x14ac:dyDescent="0.3">
      <c r="A525">
        <v>523</v>
      </c>
      <c r="B525">
        <v>86</v>
      </c>
      <c r="C525">
        <v>62</v>
      </c>
      <c r="D525">
        <v>-8.0550969E-2</v>
      </c>
    </row>
    <row r="526" spans="1:4" x14ac:dyDescent="0.3">
      <c r="A526">
        <v>524</v>
      </c>
      <c r="B526">
        <v>85</v>
      </c>
      <c r="C526">
        <v>61</v>
      </c>
      <c r="D526">
        <v>-8.0541237000000002E-2</v>
      </c>
    </row>
    <row r="527" spans="1:4" x14ac:dyDescent="0.3">
      <c r="A527">
        <v>525</v>
      </c>
      <c r="B527">
        <v>85</v>
      </c>
      <c r="C527">
        <v>61</v>
      </c>
      <c r="D527">
        <v>-8.0550969E-2</v>
      </c>
    </row>
    <row r="528" spans="1:4" x14ac:dyDescent="0.3">
      <c r="A528">
        <v>526</v>
      </c>
      <c r="B528">
        <v>84.5</v>
      </c>
      <c r="C528">
        <v>60.5</v>
      </c>
      <c r="D528">
        <v>-0.120816721</v>
      </c>
    </row>
    <row r="529" spans="1:4" x14ac:dyDescent="0.3">
      <c r="A529">
        <v>527</v>
      </c>
      <c r="B529">
        <v>84</v>
      </c>
      <c r="C529">
        <v>60</v>
      </c>
      <c r="D529">
        <v>-8.0544481000000001E-2</v>
      </c>
    </row>
    <row r="530" spans="1:4" x14ac:dyDescent="0.3">
      <c r="A530">
        <v>528</v>
      </c>
      <c r="B530">
        <v>83</v>
      </c>
      <c r="C530">
        <v>59</v>
      </c>
      <c r="D530">
        <v>-8.0544481000000001E-2</v>
      </c>
    </row>
    <row r="531" spans="1:4" x14ac:dyDescent="0.3">
      <c r="A531">
        <v>529</v>
      </c>
      <c r="B531">
        <v>86</v>
      </c>
      <c r="C531">
        <v>62</v>
      </c>
      <c r="D531">
        <v>-8.0544481000000001E-2</v>
      </c>
    </row>
    <row r="532" spans="1:4" x14ac:dyDescent="0.3">
      <c r="A532">
        <v>530</v>
      </c>
      <c r="B532">
        <v>85.5</v>
      </c>
      <c r="C532">
        <v>61.5</v>
      </c>
      <c r="D532">
        <v>-0.120816721</v>
      </c>
    </row>
    <row r="533" spans="1:4" x14ac:dyDescent="0.3">
      <c r="A533">
        <v>531</v>
      </c>
      <c r="B533">
        <v>85</v>
      </c>
      <c r="C533">
        <v>61</v>
      </c>
      <c r="D533">
        <v>-8.0541237000000002E-2</v>
      </c>
    </row>
    <row r="534" spans="1:4" x14ac:dyDescent="0.3">
      <c r="A534">
        <v>532</v>
      </c>
      <c r="B534">
        <v>84.5</v>
      </c>
      <c r="C534">
        <v>60.5</v>
      </c>
      <c r="D534">
        <v>-0.120826453</v>
      </c>
    </row>
    <row r="535" spans="1:4" x14ac:dyDescent="0.3">
      <c r="A535">
        <v>533</v>
      </c>
      <c r="B535">
        <v>84</v>
      </c>
      <c r="C535">
        <v>60</v>
      </c>
      <c r="D535">
        <v>-8.0550969E-2</v>
      </c>
    </row>
    <row r="536" spans="1:4" x14ac:dyDescent="0.3">
      <c r="A536">
        <v>534</v>
      </c>
      <c r="B536">
        <v>83.5</v>
      </c>
      <c r="C536">
        <v>59.5</v>
      </c>
      <c r="D536">
        <v>-4.0273862000000001E-2</v>
      </c>
    </row>
    <row r="537" spans="1:4" x14ac:dyDescent="0.3">
      <c r="A537">
        <v>535</v>
      </c>
      <c r="B537">
        <v>83</v>
      </c>
      <c r="C537">
        <v>59</v>
      </c>
      <c r="D537">
        <v>-8.0557457999999998E-2</v>
      </c>
    </row>
    <row r="538" spans="1:4" x14ac:dyDescent="0.3">
      <c r="A538">
        <v>536</v>
      </c>
      <c r="B538">
        <v>86.5</v>
      </c>
      <c r="C538">
        <v>62.5</v>
      </c>
      <c r="D538">
        <v>-9.6702446999999997E-2</v>
      </c>
    </row>
    <row r="539" spans="1:4" x14ac:dyDescent="0.3">
      <c r="A539">
        <v>537</v>
      </c>
      <c r="B539">
        <v>85.5</v>
      </c>
      <c r="C539">
        <v>61.5</v>
      </c>
      <c r="D539">
        <v>-0.120860527</v>
      </c>
    </row>
    <row r="540" spans="1:4" x14ac:dyDescent="0.3">
      <c r="A540">
        <v>538</v>
      </c>
      <c r="B540">
        <v>85</v>
      </c>
      <c r="C540">
        <v>61</v>
      </c>
      <c r="D540">
        <v>-8.0567192999999995E-2</v>
      </c>
    </row>
    <row r="541" spans="1:4" x14ac:dyDescent="0.3">
      <c r="A541">
        <v>539</v>
      </c>
      <c r="B541">
        <v>84.5</v>
      </c>
      <c r="C541">
        <v>60.5</v>
      </c>
      <c r="D541">
        <v>-0.120870266</v>
      </c>
    </row>
    <row r="542" spans="1:4" x14ac:dyDescent="0.3">
      <c r="A542">
        <v>540</v>
      </c>
      <c r="B542">
        <v>84</v>
      </c>
      <c r="C542">
        <v>60</v>
      </c>
      <c r="D542">
        <v>-8.0589917999999997E-2</v>
      </c>
    </row>
    <row r="543" spans="1:4" x14ac:dyDescent="0.3">
      <c r="A543">
        <v>541</v>
      </c>
      <c r="B543">
        <v>83</v>
      </c>
      <c r="C543">
        <v>59</v>
      </c>
      <c r="D543">
        <v>-8.0593165999999994E-2</v>
      </c>
    </row>
    <row r="544" spans="1:4" x14ac:dyDescent="0.3">
      <c r="A544">
        <v>542</v>
      </c>
      <c r="B544">
        <v>207.5</v>
      </c>
      <c r="C544">
        <v>183.5</v>
      </c>
      <c r="D544">
        <v>-0.418908903</v>
      </c>
    </row>
    <row r="545" spans="1:4" x14ac:dyDescent="0.3">
      <c r="A545">
        <v>543</v>
      </c>
      <c r="B545">
        <v>203</v>
      </c>
      <c r="C545">
        <v>179</v>
      </c>
      <c r="D545">
        <v>-0.40277106499999998</v>
      </c>
    </row>
    <row r="546" spans="1:4" x14ac:dyDescent="0.3">
      <c r="A546">
        <v>544</v>
      </c>
      <c r="B546">
        <v>201</v>
      </c>
      <c r="C546">
        <v>177</v>
      </c>
      <c r="D546">
        <v>-0.40277106499999998</v>
      </c>
    </row>
    <row r="547" spans="1:4" x14ac:dyDescent="0.3">
      <c r="A547">
        <v>545</v>
      </c>
      <c r="B547">
        <v>198</v>
      </c>
      <c r="C547">
        <v>174</v>
      </c>
      <c r="D547">
        <v>-0.40278728800000002</v>
      </c>
    </row>
    <row r="548" spans="1:4" x14ac:dyDescent="0.3">
      <c r="A548">
        <v>546</v>
      </c>
      <c r="B548">
        <v>196</v>
      </c>
      <c r="C548">
        <v>172</v>
      </c>
      <c r="D548">
        <v>-0.40270618600000002</v>
      </c>
    </row>
    <row r="549" spans="1:4" x14ac:dyDescent="0.3">
      <c r="A549">
        <v>547</v>
      </c>
      <c r="B549">
        <v>82</v>
      </c>
      <c r="C549">
        <v>58</v>
      </c>
      <c r="D549">
        <v>-8.0557457999999998E-2</v>
      </c>
    </row>
    <row r="550" spans="1:4" x14ac:dyDescent="0.3">
      <c r="A550">
        <v>548</v>
      </c>
      <c r="B550">
        <v>81.5</v>
      </c>
      <c r="C550">
        <v>57.5</v>
      </c>
      <c r="D550">
        <v>-4.0277106E-2</v>
      </c>
    </row>
    <row r="551" spans="1:4" x14ac:dyDescent="0.3">
      <c r="A551">
        <v>549</v>
      </c>
      <c r="B551">
        <v>81</v>
      </c>
      <c r="C551">
        <v>57</v>
      </c>
      <c r="D551">
        <v>-8.0550969E-2</v>
      </c>
    </row>
    <row r="552" spans="1:4" x14ac:dyDescent="0.3">
      <c r="A552">
        <v>550</v>
      </c>
      <c r="B552">
        <v>80.5</v>
      </c>
      <c r="C552">
        <v>56.5</v>
      </c>
      <c r="D552">
        <v>-0.120816721</v>
      </c>
    </row>
    <row r="553" spans="1:4" x14ac:dyDescent="0.3">
      <c r="A553">
        <v>551</v>
      </c>
      <c r="B553">
        <v>80</v>
      </c>
      <c r="C553">
        <v>56</v>
      </c>
      <c r="D553">
        <v>-8.0554213E-2</v>
      </c>
    </row>
    <row r="554" spans="1:4" x14ac:dyDescent="0.3">
      <c r="A554">
        <v>552</v>
      </c>
      <c r="B554">
        <v>82</v>
      </c>
      <c r="C554">
        <v>58</v>
      </c>
      <c r="D554">
        <v>-8.0531508000000002E-2</v>
      </c>
    </row>
    <row r="555" spans="1:4" x14ac:dyDescent="0.3">
      <c r="A555">
        <v>553</v>
      </c>
      <c r="B555">
        <v>81.5</v>
      </c>
      <c r="C555">
        <v>57.5</v>
      </c>
      <c r="D555">
        <v>-4.0268997000000001E-2</v>
      </c>
    </row>
    <row r="556" spans="1:4" x14ac:dyDescent="0.3">
      <c r="A556">
        <v>554</v>
      </c>
      <c r="B556">
        <v>81</v>
      </c>
      <c r="C556">
        <v>57</v>
      </c>
      <c r="D556">
        <v>-8.0534751000000002E-2</v>
      </c>
    </row>
    <row r="557" spans="1:4" x14ac:dyDescent="0.3">
      <c r="A557">
        <v>555</v>
      </c>
      <c r="B557">
        <v>80</v>
      </c>
      <c r="C557">
        <v>56</v>
      </c>
      <c r="D557">
        <v>-8.0534751000000002E-2</v>
      </c>
    </row>
    <row r="558" spans="1:4" x14ac:dyDescent="0.3">
      <c r="A558">
        <v>556</v>
      </c>
      <c r="B558">
        <v>80</v>
      </c>
      <c r="C558">
        <v>56</v>
      </c>
      <c r="D558">
        <v>-8.0557457999999998E-2</v>
      </c>
    </row>
    <row r="559" spans="1:4" x14ac:dyDescent="0.3">
      <c r="A559">
        <v>557</v>
      </c>
      <c r="B559">
        <v>80</v>
      </c>
      <c r="C559">
        <v>56</v>
      </c>
      <c r="D559">
        <v>-8.0557457999999998E-2</v>
      </c>
    </row>
    <row r="560" spans="1:4" x14ac:dyDescent="0.3">
      <c r="A560">
        <v>558</v>
      </c>
      <c r="B560">
        <v>79</v>
      </c>
      <c r="C560">
        <v>55</v>
      </c>
      <c r="D560">
        <v>-8.0557457999999998E-2</v>
      </c>
    </row>
    <row r="561" spans="1:4" x14ac:dyDescent="0.3">
      <c r="A561">
        <v>559</v>
      </c>
      <c r="B561">
        <v>78.5</v>
      </c>
      <c r="C561">
        <v>54.5</v>
      </c>
      <c r="D561">
        <v>-4.0275484E-2</v>
      </c>
    </row>
    <row r="562" spans="1:4" x14ac:dyDescent="0.3">
      <c r="A562">
        <v>560</v>
      </c>
      <c r="B562">
        <v>78</v>
      </c>
      <c r="C562">
        <v>54</v>
      </c>
      <c r="D562">
        <v>-8.0547725000000001E-2</v>
      </c>
    </row>
    <row r="563" spans="1:4" x14ac:dyDescent="0.3">
      <c r="A563">
        <v>561</v>
      </c>
      <c r="B563">
        <v>82</v>
      </c>
      <c r="C563">
        <v>58</v>
      </c>
      <c r="D563">
        <v>-7.6822616999999996E-2</v>
      </c>
    </row>
    <row r="564" spans="1:4" x14ac:dyDescent="0.3">
      <c r="A564">
        <v>562</v>
      </c>
      <c r="B564">
        <v>81.5</v>
      </c>
      <c r="C564">
        <v>57.5</v>
      </c>
      <c r="D564">
        <v>-3.8409832999999997E-2</v>
      </c>
    </row>
    <row r="565" spans="1:4" x14ac:dyDescent="0.3">
      <c r="A565">
        <v>563</v>
      </c>
      <c r="B565">
        <v>81</v>
      </c>
      <c r="C565">
        <v>57</v>
      </c>
      <c r="D565">
        <v>-8.0547725000000001E-2</v>
      </c>
    </row>
    <row r="566" spans="1:4" x14ac:dyDescent="0.3">
      <c r="A566">
        <v>564</v>
      </c>
      <c r="B566">
        <v>80</v>
      </c>
      <c r="C566">
        <v>56</v>
      </c>
      <c r="D566">
        <v>-8.0563947999999996E-2</v>
      </c>
    </row>
    <row r="567" spans="1:4" x14ac:dyDescent="0.3">
      <c r="A567">
        <v>565</v>
      </c>
      <c r="B567">
        <v>95.5</v>
      </c>
      <c r="C567">
        <v>71.5</v>
      </c>
      <c r="D567">
        <v>-9.6658827000000003E-2</v>
      </c>
    </row>
    <row r="568" spans="1:4" x14ac:dyDescent="0.3">
      <c r="A568">
        <v>566</v>
      </c>
      <c r="B568">
        <v>95</v>
      </c>
      <c r="C568">
        <v>71</v>
      </c>
      <c r="D568">
        <v>-0.12887843500000001</v>
      </c>
    </row>
    <row r="569" spans="1:4" x14ac:dyDescent="0.3">
      <c r="A569">
        <v>567</v>
      </c>
      <c r="B569">
        <v>94</v>
      </c>
      <c r="C569">
        <v>70</v>
      </c>
      <c r="D569">
        <v>-8.0550969E-2</v>
      </c>
    </row>
    <row r="570" spans="1:4" x14ac:dyDescent="0.3">
      <c r="A570">
        <v>568</v>
      </c>
      <c r="B570">
        <v>93</v>
      </c>
      <c r="C570">
        <v>69</v>
      </c>
      <c r="D570">
        <v>-8.0554213E-2</v>
      </c>
    </row>
    <row r="571" spans="1:4" x14ac:dyDescent="0.3">
      <c r="A571">
        <v>569</v>
      </c>
      <c r="B571">
        <v>95</v>
      </c>
      <c r="C571">
        <v>71</v>
      </c>
      <c r="D571">
        <v>-8.0537994000000002E-2</v>
      </c>
    </row>
    <row r="572" spans="1:4" x14ac:dyDescent="0.3">
      <c r="A572">
        <v>570</v>
      </c>
      <c r="B572">
        <v>94.5</v>
      </c>
      <c r="C572">
        <v>70.5</v>
      </c>
      <c r="D572">
        <v>-0.12082158699999999</v>
      </c>
    </row>
    <row r="573" spans="1:4" x14ac:dyDescent="0.3">
      <c r="A573">
        <v>571</v>
      </c>
      <c r="B573">
        <v>94</v>
      </c>
      <c r="C573">
        <v>70</v>
      </c>
      <c r="D573">
        <v>-8.0570438999999994E-2</v>
      </c>
    </row>
    <row r="574" spans="1:4" x14ac:dyDescent="0.3">
      <c r="A574">
        <v>572</v>
      </c>
      <c r="B574">
        <v>93</v>
      </c>
      <c r="C574">
        <v>69</v>
      </c>
      <c r="D574">
        <v>-8.0573685000000006E-2</v>
      </c>
    </row>
    <row r="575" spans="1:4" x14ac:dyDescent="0.3">
      <c r="A575">
        <v>573</v>
      </c>
      <c r="B575">
        <v>93</v>
      </c>
      <c r="C575">
        <v>69</v>
      </c>
      <c r="D575">
        <v>-8.0560701999999998E-2</v>
      </c>
    </row>
    <row r="576" spans="1:4" x14ac:dyDescent="0.3">
      <c r="A576">
        <v>574</v>
      </c>
      <c r="B576">
        <v>92</v>
      </c>
      <c r="C576">
        <v>68</v>
      </c>
      <c r="D576">
        <v>-8.0547725000000001E-2</v>
      </c>
    </row>
    <row r="577" spans="1:4" x14ac:dyDescent="0.3">
      <c r="A577">
        <v>575</v>
      </c>
      <c r="B577">
        <v>92</v>
      </c>
      <c r="C577">
        <v>68</v>
      </c>
      <c r="D577">
        <v>-8.0541237000000002E-2</v>
      </c>
    </row>
    <row r="578" spans="1:4" x14ac:dyDescent="0.3">
      <c r="A578">
        <v>576</v>
      </c>
      <c r="B578">
        <v>208.5</v>
      </c>
      <c r="C578">
        <v>184.5</v>
      </c>
      <c r="D578">
        <v>-0.44322668999999998</v>
      </c>
    </row>
    <row r="579" spans="1:4" x14ac:dyDescent="0.3">
      <c r="A579">
        <v>577</v>
      </c>
      <c r="B579">
        <v>206</v>
      </c>
      <c r="C579">
        <v>182</v>
      </c>
      <c r="D579">
        <v>-0.402852194</v>
      </c>
    </row>
    <row r="580" spans="1:4" x14ac:dyDescent="0.3">
      <c r="A580">
        <v>578</v>
      </c>
      <c r="B580">
        <v>202</v>
      </c>
      <c r="C580">
        <v>178</v>
      </c>
      <c r="D580">
        <v>-0.38680978599999999</v>
      </c>
    </row>
    <row r="581" spans="1:4" x14ac:dyDescent="0.3">
      <c r="A581">
        <v>579</v>
      </c>
      <c r="B581">
        <v>104.5</v>
      </c>
      <c r="C581">
        <v>80.5</v>
      </c>
      <c r="D581">
        <v>-0.12087513599999999</v>
      </c>
    </row>
    <row r="582" spans="1:4" x14ac:dyDescent="0.3">
      <c r="A582">
        <v>580</v>
      </c>
      <c r="B582">
        <v>103.5</v>
      </c>
      <c r="C582">
        <v>79.5</v>
      </c>
      <c r="D582">
        <v>-0.120865396</v>
      </c>
    </row>
    <row r="583" spans="1:4" x14ac:dyDescent="0.3">
      <c r="A583">
        <v>581</v>
      </c>
      <c r="B583">
        <v>103</v>
      </c>
      <c r="C583">
        <v>79</v>
      </c>
      <c r="D583">
        <v>-8.0576931000000004E-2</v>
      </c>
    </row>
    <row r="584" spans="1:4" x14ac:dyDescent="0.3">
      <c r="A584">
        <v>582</v>
      </c>
      <c r="B584">
        <v>102</v>
      </c>
      <c r="C584">
        <v>78</v>
      </c>
      <c r="D584">
        <v>-8.0583424000000001E-2</v>
      </c>
    </row>
    <row r="585" spans="1:4" x14ac:dyDescent="0.3">
      <c r="A585">
        <v>583</v>
      </c>
      <c r="B585">
        <v>101.5</v>
      </c>
      <c r="C585">
        <v>77.5</v>
      </c>
      <c r="D585">
        <v>-0.120870266</v>
      </c>
    </row>
    <row r="586" spans="1:4" x14ac:dyDescent="0.3">
      <c r="A586">
        <v>584</v>
      </c>
      <c r="B586">
        <v>100.5</v>
      </c>
      <c r="C586">
        <v>76.5</v>
      </c>
      <c r="D586">
        <v>-0.120870266</v>
      </c>
    </row>
    <row r="587" spans="1:4" x14ac:dyDescent="0.3">
      <c r="A587">
        <v>585</v>
      </c>
      <c r="B587">
        <v>100.5</v>
      </c>
      <c r="C587">
        <v>76.5</v>
      </c>
      <c r="D587">
        <v>-0.120860527</v>
      </c>
    </row>
    <row r="588" spans="1:4" x14ac:dyDescent="0.3">
      <c r="A588">
        <v>586</v>
      </c>
      <c r="B588">
        <v>105.5</v>
      </c>
      <c r="C588">
        <v>81.5</v>
      </c>
      <c r="D588">
        <v>-0.12082158699999999</v>
      </c>
    </row>
    <row r="589" spans="1:4" x14ac:dyDescent="0.3">
      <c r="A589">
        <v>587</v>
      </c>
      <c r="B589">
        <v>104.5</v>
      </c>
      <c r="C589">
        <v>80.5</v>
      </c>
      <c r="D589">
        <v>-0.120826453</v>
      </c>
    </row>
    <row r="590" spans="1:4" x14ac:dyDescent="0.3">
      <c r="A590">
        <v>588</v>
      </c>
      <c r="B590">
        <v>103.5</v>
      </c>
      <c r="C590">
        <v>79.5</v>
      </c>
      <c r="D590">
        <v>-0.120836186</v>
      </c>
    </row>
    <row r="591" spans="1:4" x14ac:dyDescent="0.3">
      <c r="A591">
        <v>589</v>
      </c>
      <c r="B591">
        <v>103</v>
      </c>
      <c r="C591">
        <v>79</v>
      </c>
      <c r="D591">
        <v>-8.0537994000000002E-2</v>
      </c>
    </row>
    <row r="592" spans="1:4" x14ac:dyDescent="0.3">
      <c r="A592">
        <v>590</v>
      </c>
      <c r="B592">
        <v>102.5</v>
      </c>
      <c r="C592">
        <v>78.5</v>
      </c>
      <c r="D592">
        <v>-0.120806991</v>
      </c>
    </row>
    <row r="593" spans="1:4" x14ac:dyDescent="0.3">
      <c r="A593">
        <v>591</v>
      </c>
      <c r="B593">
        <v>101.5</v>
      </c>
      <c r="C593">
        <v>77.5</v>
      </c>
      <c r="D593">
        <v>-0.120816721</v>
      </c>
    </row>
    <row r="594" spans="1:4" x14ac:dyDescent="0.3">
      <c r="A594">
        <v>592</v>
      </c>
      <c r="B594">
        <v>100.5</v>
      </c>
      <c r="C594">
        <v>76.5</v>
      </c>
      <c r="D594">
        <v>-0.120811856</v>
      </c>
    </row>
    <row r="595" spans="1:4" x14ac:dyDescent="0.3">
      <c r="A595">
        <v>593</v>
      </c>
      <c r="B595">
        <v>100.5</v>
      </c>
      <c r="C595">
        <v>76.5</v>
      </c>
      <c r="D595">
        <v>-0.12083131900000001</v>
      </c>
    </row>
    <row r="596" spans="1:4" x14ac:dyDescent="0.3">
      <c r="A596">
        <v>594</v>
      </c>
      <c r="B596">
        <v>99.5</v>
      </c>
      <c r="C596">
        <v>75.5</v>
      </c>
      <c r="D596">
        <v>-0.120845921</v>
      </c>
    </row>
    <row r="597" spans="1:4" x14ac:dyDescent="0.3">
      <c r="A597">
        <v>595</v>
      </c>
      <c r="B597">
        <v>105.5</v>
      </c>
      <c r="C597">
        <v>81.5</v>
      </c>
      <c r="D597">
        <v>-0.120802126</v>
      </c>
    </row>
    <row r="598" spans="1:4" x14ac:dyDescent="0.3">
      <c r="A598">
        <v>596</v>
      </c>
      <c r="B598">
        <v>104.5</v>
      </c>
      <c r="C598">
        <v>80.5</v>
      </c>
      <c r="D598">
        <v>-0.120802126</v>
      </c>
    </row>
    <row r="599" spans="1:4" x14ac:dyDescent="0.3">
      <c r="A599">
        <v>597</v>
      </c>
      <c r="B599">
        <v>103.5</v>
      </c>
      <c r="C599">
        <v>79.5</v>
      </c>
      <c r="D599">
        <v>-0.120811856</v>
      </c>
    </row>
    <row r="600" spans="1:4" x14ac:dyDescent="0.3">
      <c r="A600">
        <v>598</v>
      </c>
      <c r="B600">
        <v>103</v>
      </c>
      <c r="C600">
        <v>79</v>
      </c>
      <c r="D600">
        <v>-8.0560701999999998E-2</v>
      </c>
    </row>
    <row r="601" spans="1:4" x14ac:dyDescent="0.3">
      <c r="A601">
        <v>599</v>
      </c>
      <c r="B601">
        <v>102.5</v>
      </c>
      <c r="C601">
        <v>78.5</v>
      </c>
      <c r="D601">
        <v>-0.12083131900000001</v>
      </c>
    </row>
    <row r="602" spans="1:4" x14ac:dyDescent="0.3">
      <c r="A602">
        <v>600</v>
      </c>
      <c r="B602">
        <v>101</v>
      </c>
      <c r="C602">
        <v>77</v>
      </c>
      <c r="D602">
        <v>-0.12888258799999999</v>
      </c>
    </row>
    <row r="603" spans="1:4" x14ac:dyDescent="0.3">
      <c r="A603">
        <v>601</v>
      </c>
      <c r="B603">
        <v>100.5</v>
      </c>
      <c r="C603">
        <v>76.5</v>
      </c>
      <c r="D603">
        <v>-0.120855658</v>
      </c>
    </row>
    <row r="604" spans="1:4" x14ac:dyDescent="0.3">
      <c r="A604">
        <v>602</v>
      </c>
      <c r="B604">
        <v>99.5</v>
      </c>
      <c r="C604">
        <v>75.5</v>
      </c>
      <c r="D604">
        <v>-0.120841054</v>
      </c>
    </row>
    <row r="605" spans="1:4" x14ac:dyDescent="0.3">
      <c r="A605">
        <v>603</v>
      </c>
      <c r="B605">
        <v>99.5</v>
      </c>
      <c r="C605">
        <v>75.5</v>
      </c>
      <c r="D605">
        <v>-0.12085079</v>
      </c>
    </row>
    <row r="606" spans="1:4" x14ac:dyDescent="0.3">
      <c r="A606">
        <v>604</v>
      </c>
      <c r="B606">
        <v>98</v>
      </c>
      <c r="C606">
        <v>74</v>
      </c>
      <c r="D606">
        <v>-8.0576931000000004E-2</v>
      </c>
    </row>
    <row r="607" spans="1:4" x14ac:dyDescent="0.3">
      <c r="A607">
        <v>605</v>
      </c>
      <c r="B607">
        <v>97.5</v>
      </c>
      <c r="C607">
        <v>73.5</v>
      </c>
      <c r="D607">
        <v>-0.120880006</v>
      </c>
    </row>
    <row r="608" spans="1:4" x14ac:dyDescent="0.3">
      <c r="A608">
        <v>606</v>
      </c>
      <c r="B608">
        <v>97</v>
      </c>
      <c r="C608">
        <v>73</v>
      </c>
      <c r="D608">
        <v>-8.0593165999999994E-2</v>
      </c>
    </row>
    <row r="609" spans="1:4" x14ac:dyDescent="0.3">
      <c r="A609">
        <v>607</v>
      </c>
      <c r="B609">
        <v>96.5</v>
      </c>
      <c r="C609">
        <v>72.5</v>
      </c>
      <c r="D609">
        <v>-0.120880006</v>
      </c>
    </row>
    <row r="610" spans="1:4" x14ac:dyDescent="0.3">
      <c r="A610">
        <v>608</v>
      </c>
      <c r="B610">
        <v>95.5</v>
      </c>
      <c r="C610">
        <v>71.5</v>
      </c>
      <c r="D610">
        <v>-0.12087513599999999</v>
      </c>
    </row>
    <row r="611" spans="1:4" x14ac:dyDescent="0.3">
      <c r="A611">
        <v>609</v>
      </c>
      <c r="B611">
        <v>100.5</v>
      </c>
      <c r="C611">
        <v>76.5</v>
      </c>
      <c r="D611">
        <v>-0.120826453</v>
      </c>
    </row>
    <row r="612" spans="1:4" x14ac:dyDescent="0.3">
      <c r="A612">
        <v>610</v>
      </c>
      <c r="B612">
        <v>99.5</v>
      </c>
      <c r="C612">
        <v>75.5</v>
      </c>
      <c r="D612">
        <v>-0.120836186</v>
      </c>
    </row>
    <row r="613" spans="1:4" x14ac:dyDescent="0.3">
      <c r="A613">
        <v>611</v>
      </c>
      <c r="B613">
        <v>99.5</v>
      </c>
      <c r="C613">
        <v>75.5</v>
      </c>
      <c r="D613">
        <v>-0.120841054</v>
      </c>
    </row>
    <row r="614" spans="1:4" x14ac:dyDescent="0.3">
      <c r="A614">
        <v>612</v>
      </c>
      <c r="B614">
        <v>98</v>
      </c>
      <c r="C614">
        <v>74</v>
      </c>
      <c r="D614">
        <v>-8.0570438999999994E-2</v>
      </c>
    </row>
    <row r="615" spans="1:4" x14ac:dyDescent="0.3">
      <c r="A615">
        <v>613</v>
      </c>
      <c r="B615">
        <v>98</v>
      </c>
      <c r="C615">
        <v>74</v>
      </c>
      <c r="D615">
        <v>-8.0573685000000006E-2</v>
      </c>
    </row>
    <row r="616" spans="1:4" x14ac:dyDescent="0.3">
      <c r="A616">
        <v>614</v>
      </c>
      <c r="B616">
        <v>97</v>
      </c>
      <c r="C616">
        <v>73</v>
      </c>
      <c r="D616">
        <v>-8.0583424000000001E-2</v>
      </c>
    </row>
    <row r="617" spans="1:4" x14ac:dyDescent="0.3">
      <c r="A617">
        <v>615</v>
      </c>
      <c r="B617">
        <v>100</v>
      </c>
      <c r="C617">
        <v>76</v>
      </c>
      <c r="D617">
        <v>-0.128903355</v>
      </c>
    </row>
    <row r="618" spans="1:4" x14ac:dyDescent="0.3">
      <c r="A618">
        <v>616</v>
      </c>
      <c r="B618">
        <v>99.5</v>
      </c>
      <c r="C618">
        <v>75.5</v>
      </c>
      <c r="D618">
        <v>-9.6680632000000002E-2</v>
      </c>
    </row>
    <row r="619" spans="1:4" x14ac:dyDescent="0.3">
      <c r="A619">
        <v>617</v>
      </c>
      <c r="B619">
        <v>99</v>
      </c>
      <c r="C619">
        <v>75</v>
      </c>
      <c r="D619">
        <v>-0.128907509</v>
      </c>
    </row>
    <row r="620" spans="1:4" x14ac:dyDescent="0.3">
      <c r="A620">
        <v>618</v>
      </c>
      <c r="B620">
        <v>98</v>
      </c>
      <c r="C620">
        <v>74</v>
      </c>
      <c r="D620">
        <v>-8.0567192999999995E-2</v>
      </c>
    </row>
    <row r="621" spans="1:4" x14ac:dyDescent="0.3">
      <c r="A621">
        <v>619</v>
      </c>
      <c r="B621">
        <v>97</v>
      </c>
      <c r="C621">
        <v>73</v>
      </c>
      <c r="D621">
        <v>-8.0563947999999996E-2</v>
      </c>
    </row>
    <row r="622" spans="1:4" x14ac:dyDescent="0.3">
      <c r="A622">
        <v>620</v>
      </c>
      <c r="B622">
        <v>96.5</v>
      </c>
      <c r="C622">
        <v>72.5</v>
      </c>
      <c r="D622">
        <v>-0.120816721</v>
      </c>
    </row>
    <row r="623" spans="1:4" x14ac:dyDescent="0.3">
      <c r="A623">
        <v>621</v>
      </c>
      <c r="B623">
        <v>95.5</v>
      </c>
      <c r="C623">
        <v>71.5</v>
      </c>
      <c r="D623">
        <v>-0.12082158699999999</v>
      </c>
    </row>
    <row r="624" spans="1:4" x14ac:dyDescent="0.3">
      <c r="A624">
        <v>622</v>
      </c>
      <c r="B624">
        <v>95.5</v>
      </c>
      <c r="C624">
        <v>71.5</v>
      </c>
      <c r="D624">
        <v>-0.120806991</v>
      </c>
    </row>
    <row r="625" spans="1:4" x14ac:dyDescent="0.3">
      <c r="A625">
        <v>623</v>
      </c>
      <c r="B625">
        <v>217</v>
      </c>
      <c r="C625">
        <v>193</v>
      </c>
      <c r="D625">
        <v>-0.48346158500000003</v>
      </c>
    </row>
    <row r="626" spans="1:4" x14ac:dyDescent="0.3">
      <c r="A626">
        <v>624</v>
      </c>
      <c r="B626">
        <v>214.5</v>
      </c>
      <c r="C626">
        <v>190.5</v>
      </c>
      <c r="D626">
        <v>-0.52381336099999998</v>
      </c>
    </row>
    <row r="627" spans="1:4" x14ac:dyDescent="0.3">
      <c r="A627">
        <v>625</v>
      </c>
      <c r="B627">
        <v>211.5</v>
      </c>
      <c r="C627">
        <v>187.5</v>
      </c>
      <c r="D627">
        <v>-0.44324455000000001</v>
      </c>
    </row>
    <row r="628" spans="1:4" x14ac:dyDescent="0.3">
      <c r="A628">
        <v>626</v>
      </c>
      <c r="B628">
        <v>91</v>
      </c>
      <c r="C628">
        <v>67</v>
      </c>
      <c r="D628">
        <v>-8.0583424000000001E-2</v>
      </c>
    </row>
    <row r="629" spans="1:4" x14ac:dyDescent="0.3">
      <c r="A629">
        <v>627</v>
      </c>
      <c r="B629">
        <v>90.5</v>
      </c>
      <c r="C629">
        <v>66.5</v>
      </c>
      <c r="D629">
        <v>-0.120836186</v>
      </c>
    </row>
    <row r="630" spans="1:4" x14ac:dyDescent="0.3">
      <c r="A630">
        <v>628</v>
      </c>
      <c r="B630">
        <v>90</v>
      </c>
      <c r="C630">
        <v>66</v>
      </c>
      <c r="D630">
        <v>-8.0554213E-2</v>
      </c>
    </row>
    <row r="631" spans="1:4" x14ac:dyDescent="0.3">
      <c r="A631">
        <v>629</v>
      </c>
      <c r="B631">
        <v>89.5</v>
      </c>
      <c r="C631">
        <v>65.5</v>
      </c>
      <c r="D631">
        <v>-0.12082158699999999</v>
      </c>
    </row>
    <row r="632" spans="1:4" x14ac:dyDescent="0.3">
      <c r="A632">
        <v>630</v>
      </c>
      <c r="B632">
        <v>89</v>
      </c>
      <c r="C632">
        <v>65</v>
      </c>
      <c r="D632">
        <v>-8.0550969E-2</v>
      </c>
    </row>
    <row r="633" spans="1:4" x14ac:dyDescent="0.3">
      <c r="A633">
        <v>631</v>
      </c>
      <c r="B633">
        <v>91</v>
      </c>
      <c r="C633">
        <v>67</v>
      </c>
      <c r="D633">
        <v>-8.0554213E-2</v>
      </c>
    </row>
    <row r="634" spans="1:4" x14ac:dyDescent="0.3">
      <c r="A634">
        <v>632</v>
      </c>
      <c r="B634">
        <v>90.5</v>
      </c>
      <c r="C634">
        <v>66.5</v>
      </c>
      <c r="D634">
        <v>-0.120826453</v>
      </c>
    </row>
    <row r="635" spans="1:4" x14ac:dyDescent="0.3">
      <c r="A635">
        <v>633</v>
      </c>
      <c r="B635">
        <v>90</v>
      </c>
      <c r="C635">
        <v>66</v>
      </c>
      <c r="D635">
        <v>-8.0544481000000001E-2</v>
      </c>
    </row>
    <row r="636" spans="1:4" x14ac:dyDescent="0.3">
      <c r="A636">
        <v>634</v>
      </c>
      <c r="B636">
        <v>89.5</v>
      </c>
      <c r="C636">
        <v>65.5</v>
      </c>
      <c r="D636">
        <v>-0.120845921</v>
      </c>
    </row>
    <row r="637" spans="1:4" x14ac:dyDescent="0.3">
      <c r="A637">
        <v>635</v>
      </c>
      <c r="B637">
        <v>89</v>
      </c>
      <c r="C637">
        <v>65</v>
      </c>
      <c r="D637">
        <v>-8.0550969E-2</v>
      </c>
    </row>
    <row r="638" spans="1:4" x14ac:dyDescent="0.3">
      <c r="A638">
        <v>636</v>
      </c>
      <c r="B638">
        <v>88</v>
      </c>
      <c r="C638">
        <v>64</v>
      </c>
      <c r="D638">
        <v>-8.0537994000000002E-2</v>
      </c>
    </row>
    <row r="639" spans="1:4" x14ac:dyDescent="0.3">
      <c r="A639">
        <v>637</v>
      </c>
      <c r="B639">
        <v>220.5</v>
      </c>
      <c r="C639">
        <v>196.5</v>
      </c>
      <c r="D639">
        <v>-0.52385557699999996</v>
      </c>
    </row>
    <row r="640" spans="1:4" x14ac:dyDescent="0.3">
      <c r="A640">
        <v>638</v>
      </c>
      <c r="B640">
        <v>217.5</v>
      </c>
      <c r="C640">
        <v>193.5</v>
      </c>
      <c r="D640">
        <v>-0.44326241100000002</v>
      </c>
    </row>
    <row r="641" spans="1:4" x14ac:dyDescent="0.3">
      <c r="A641">
        <v>639</v>
      </c>
      <c r="B641">
        <v>213.5</v>
      </c>
      <c r="C641">
        <v>189.5</v>
      </c>
      <c r="D641">
        <v>-0.44319097499999999</v>
      </c>
    </row>
    <row r="642" spans="1:4" x14ac:dyDescent="0.3">
      <c r="A642">
        <v>640</v>
      </c>
      <c r="B642">
        <v>87</v>
      </c>
      <c r="C642">
        <v>63</v>
      </c>
      <c r="D642">
        <v>-8.0576931000000004E-2</v>
      </c>
    </row>
    <row r="643" spans="1:4" x14ac:dyDescent="0.3">
      <c r="A643">
        <v>641</v>
      </c>
      <c r="B643">
        <v>86</v>
      </c>
      <c r="C643">
        <v>62</v>
      </c>
      <c r="D643">
        <v>-8.0576931000000004E-2</v>
      </c>
    </row>
    <row r="644" spans="1:4" x14ac:dyDescent="0.3">
      <c r="A644">
        <v>642</v>
      </c>
      <c r="B644">
        <v>85.5</v>
      </c>
      <c r="C644">
        <v>61.5</v>
      </c>
      <c r="D644">
        <v>-9.6693096000000006E-2</v>
      </c>
    </row>
    <row r="645" spans="1:4" x14ac:dyDescent="0.3">
      <c r="A645">
        <v>643</v>
      </c>
      <c r="B645">
        <v>84.5</v>
      </c>
      <c r="C645">
        <v>60.5</v>
      </c>
      <c r="D645">
        <v>-9.6689979999999995E-2</v>
      </c>
    </row>
    <row r="646" spans="1:4" x14ac:dyDescent="0.3">
      <c r="A646">
        <v>644</v>
      </c>
      <c r="B646">
        <v>87</v>
      </c>
      <c r="C646">
        <v>63</v>
      </c>
      <c r="D646">
        <v>-8.0567192999999995E-2</v>
      </c>
    </row>
    <row r="647" spans="1:4" x14ac:dyDescent="0.3">
      <c r="A647">
        <v>645</v>
      </c>
      <c r="B647">
        <v>86</v>
      </c>
      <c r="C647">
        <v>62</v>
      </c>
      <c r="D647">
        <v>-8.0570438999999994E-2</v>
      </c>
    </row>
    <row r="648" spans="1:4" x14ac:dyDescent="0.3">
      <c r="A648">
        <v>646</v>
      </c>
      <c r="B648">
        <v>85.5</v>
      </c>
      <c r="C648">
        <v>61.5</v>
      </c>
      <c r="D648">
        <v>-0.120845921</v>
      </c>
    </row>
    <row r="649" spans="1:4" x14ac:dyDescent="0.3">
      <c r="A649">
        <v>647</v>
      </c>
      <c r="B649">
        <v>85</v>
      </c>
      <c r="C649">
        <v>61</v>
      </c>
      <c r="D649">
        <v>-8.0554213E-2</v>
      </c>
    </row>
    <row r="650" spans="1:4" x14ac:dyDescent="0.3">
      <c r="A650">
        <v>648</v>
      </c>
      <c r="B650">
        <v>85</v>
      </c>
      <c r="C650">
        <v>61</v>
      </c>
      <c r="D650">
        <v>-8.0541237000000002E-2</v>
      </c>
    </row>
    <row r="651" spans="1:4" x14ac:dyDescent="0.3">
      <c r="A651">
        <v>649</v>
      </c>
      <c r="B651">
        <v>84</v>
      </c>
      <c r="C651">
        <v>60</v>
      </c>
      <c r="D651">
        <v>-8.0544481000000001E-2</v>
      </c>
    </row>
    <row r="652" spans="1:4" x14ac:dyDescent="0.3">
      <c r="A652">
        <v>650</v>
      </c>
      <c r="B652">
        <v>83.5</v>
      </c>
      <c r="C652">
        <v>59.5</v>
      </c>
      <c r="D652">
        <v>-4.0273862000000001E-2</v>
      </c>
    </row>
    <row r="653" spans="1:4" x14ac:dyDescent="0.3">
      <c r="A653">
        <v>651</v>
      </c>
      <c r="B653">
        <v>86.5</v>
      </c>
      <c r="C653">
        <v>62.5</v>
      </c>
      <c r="D653">
        <v>-4.0277106E-2</v>
      </c>
    </row>
    <row r="654" spans="1:4" x14ac:dyDescent="0.3">
      <c r="A654">
        <v>652</v>
      </c>
      <c r="B654">
        <v>86</v>
      </c>
      <c r="C654">
        <v>62</v>
      </c>
      <c r="D654">
        <v>-8.0557457999999998E-2</v>
      </c>
    </row>
    <row r="655" spans="1:4" x14ac:dyDescent="0.3">
      <c r="A655">
        <v>653</v>
      </c>
      <c r="B655">
        <v>85</v>
      </c>
      <c r="C655">
        <v>61</v>
      </c>
      <c r="D655">
        <v>-8.0550969E-2</v>
      </c>
    </row>
    <row r="656" spans="1:4" x14ac:dyDescent="0.3">
      <c r="A656">
        <v>654</v>
      </c>
      <c r="B656">
        <v>85</v>
      </c>
      <c r="C656">
        <v>61</v>
      </c>
      <c r="D656">
        <v>-8.0550969E-2</v>
      </c>
    </row>
    <row r="657" spans="1:4" x14ac:dyDescent="0.3">
      <c r="A657">
        <v>655</v>
      </c>
      <c r="B657">
        <v>84.5</v>
      </c>
      <c r="C657">
        <v>60.5</v>
      </c>
      <c r="D657">
        <v>-0.120806991</v>
      </c>
    </row>
    <row r="658" spans="1:4" x14ac:dyDescent="0.3">
      <c r="A658">
        <v>656</v>
      </c>
      <c r="B658">
        <v>84</v>
      </c>
      <c r="C658">
        <v>60</v>
      </c>
      <c r="D658">
        <v>-8.0537994000000002E-2</v>
      </c>
    </row>
    <row r="659" spans="1:4" x14ac:dyDescent="0.3">
      <c r="A659">
        <v>657</v>
      </c>
      <c r="B659">
        <v>224</v>
      </c>
      <c r="C659">
        <v>200</v>
      </c>
      <c r="D659">
        <v>-0.56397035100000004</v>
      </c>
    </row>
    <row r="660" spans="1:4" x14ac:dyDescent="0.3">
      <c r="A660">
        <v>658</v>
      </c>
      <c r="B660">
        <v>220.5</v>
      </c>
      <c r="C660">
        <v>196.5</v>
      </c>
      <c r="D660">
        <v>-0.52368675499999995</v>
      </c>
    </row>
    <row r="661" spans="1:4" x14ac:dyDescent="0.3">
      <c r="A661">
        <v>659</v>
      </c>
      <c r="B661">
        <v>81.5</v>
      </c>
      <c r="C661">
        <v>57.5</v>
      </c>
      <c r="D661">
        <v>-4.0275484E-2</v>
      </c>
    </row>
    <row r="662" spans="1:4" x14ac:dyDescent="0.3">
      <c r="A662">
        <v>660</v>
      </c>
      <c r="B662">
        <v>81</v>
      </c>
      <c r="C662">
        <v>57</v>
      </c>
      <c r="D662">
        <v>-8.0560701999999998E-2</v>
      </c>
    </row>
    <row r="663" spans="1:4" x14ac:dyDescent="0.3">
      <c r="A663">
        <v>661</v>
      </c>
      <c r="B663">
        <v>80</v>
      </c>
      <c r="C663">
        <v>56</v>
      </c>
      <c r="D663">
        <v>-8.0547725000000001E-2</v>
      </c>
    </row>
    <row r="664" spans="1:4" x14ac:dyDescent="0.3">
      <c r="A664">
        <v>662</v>
      </c>
      <c r="B664">
        <v>80</v>
      </c>
      <c r="C664">
        <v>56</v>
      </c>
      <c r="D664">
        <v>-8.0570438999999994E-2</v>
      </c>
    </row>
    <row r="665" spans="1:4" x14ac:dyDescent="0.3">
      <c r="A665">
        <v>663</v>
      </c>
      <c r="B665">
        <v>79.5</v>
      </c>
      <c r="C665">
        <v>55.5</v>
      </c>
      <c r="D665">
        <v>-0.120855658</v>
      </c>
    </row>
    <row r="666" spans="1:4" x14ac:dyDescent="0.3">
      <c r="A666">
        <v>664</v>
      </c>
      <c r="B666">
        <v>79</v>
      </c>
      <c r="C666">
        <v>55</v>
      </c>
      <c r="D666">
        <v>-8.0554213E-2</v>
      </c>
    </row>
    <row r="667" spans="1:4" x14ac:dyDescent="0.3">
      <c r="A667">
        <v>665</v>
      </c>
      <c r="B667">
        <v>78</v>
      </c>
      <c r="C667">
        <v>54</v>
      </c>
      <c r="D667">
        <v>-8.0563947999999996E-2</v>
      </c>
    </row>
    <row r="668" spans="1:4" x14ac:dyDescent="0.3">
      <c r="A668">
        <v>666</v>
      </c>
      <c r="B668">
        <v>82</v>
      </c>
      <c r="C668">
        <v>58</v>
      </c>
      <c r="D668">
        <v>-8.0557457999999998E-2</v>
      </c>
    </row>
    <row r="669" spans="1:4" x14ac:dyDescent="0.3">
      <c r="A669">
        <v>667</v>
      </c>
      <c r="B669">
        <v>81.5</v>
      </c>
      <c r="C669">
        <v>57.5</v>
      </c>
      <c r="D669">
        <v>-4.0278728999999999E-2</v>
      </c>
    </row>
    <row r="670" spans="1:4" x14ac:dyDescent="0.3">
      <c r="A670">
        <v>668</v>
      </c>
      <c r="B670">
        <v>81</v>
      </c>
      <c r="C670">
        <v>57</v>
      </c>
      <c r="D670">
        <v>-8.0560701999999998E-2</v>
      </c>
    </row>
    <row r="671" spans="1:4" x14ac:dyDescent="0.3">
      <c r="A671">
        <v>669</v>
      </c>
      <c r="B671">
        <v>80</v>
      </c>
      <c r="C671">
        <v>56</v>
      </c>
      <c r="D671">
        <v>-8.0557457999999998E-2</v>
      </c>
    </row>
    <row r="672" spans="1:4" x14ac:dyDescent="0.3">
      <c r="A672">
        <v>670</v>
      </c>
      <c r="B672">
        <v>80</v>
      </c>
      <c r="C672">
        <v>56</v>
      </c>
      <c r="D672">
        <v>-8.0554213E-2</v>
      </c>
    </row>
    <row r="673" spans="1:4" x14ac:dyDescent="0.3">
      <c r="A673">
        <v>671</v>
      </c>
      <c r="B673">
        <v>79.5</v>
      </c>
      <c r="C673">
        <v>55.5</v>
      </c>
      <c r="D673">
        <v>-0.12082158699999999</v>
      </c>
    </row>
    <row r="674" spans="1:4" x14ac:dyDescent="0.3">
      <c r="A674">
        <v>672</v>
      </c>
      <c r="B674">
        <v>79</v>
      </c>
      <c r="C674">
        <v>55</v>
      </c>
      <c r="D674">
        <v>-8.0550969E-2</v>
      </c>
    </row>
    <row r="675" spans="1:4" x14ac:dyDescent="0.3">
      <c r="A675">
        <v>673</v>
      </c>
      <c r="B675">
        <v>78</v>
      </c>
      <c r="C675">
        <v>54</v>
      </c>
      <c r="D675">
        <v>-8.0550969E-2</v>
      </c>
    </row>
    <row r="676" spans="1:4" x14ac:dyDescent="0.3">
      <c r="A676">
        <v>674</v>
      </c>
      <c r="B676">
        <v>224</v>
      </c>
      <c r="C676">
        <v>200</v>
      </c>
      <c r="D676">
        <v>-0.56376595699999998</v>
      </c>
    </row>
    <row r="677" spans="1:4" x14ac:dyDescent="0.3">
      <c r="A677">
        <v>675</v>
      </c>
      <c r="B677">
        <v>220.5</v>
      </c>
      <c r="C677">
        <v>196.5</v>
      </c>
      <c r="D677">
        <v>-0.52347588</v>
      </c>
    </row>
    <row r="678" spans="1:4" x14ac:dyDescent="0.3">
      <c r="A678">
        <v>676</v>
      </c>
      <c r="B678">
        <v>217.5</v>
      </c>
      <c r="C678">
        <v>193.5</v>
      </c>
      <c r="D678">
        <v>-0.52351804099999999</v>
      </c>
    </row>
    <row r="679" spans="1:4" x14ac:dyDescent="0.3">
      <c r="A679">
        <v>677</v>
      </c>
      <c r="B679">
        <v>214</v>
      </c>
      <c r="C679">
        <v>190</v>
      </c>
      <c r="D679">
        <v>-0.48326688400000001</v>
      </c>
    </row>
    <row r="680" spans="1:4" x14ac:dyDescent="0.3">
      <c r="A680">
        <v>678</v>
      </c>
      <c r="B680">
        <v>210.5</v>
      </c>
      <c r="C680">
        <v>186.5</v>
      </c>
      <c r="D680">
        <v>-0.52351804099999999</v>
      </c>
    </row>
    <row r="681" spans="1:4" x14ac:dyDescent="0.3">
      <c r="A681">
        <v>679</v>
      </c>
      <c r="B681">
        <v>95.5</v>
      </c>
      <c r="C681">
        <v>71.5</v>
      </c>
      <c r="D681">
        <v>-0.120797262</v>
      </c>
    </row>
    <row r="682" spans="1:4" x14ac:dyDescent="0.3">
      <c r="A682">
        <v>680</v>
      </c>
      <c r="B682">
        <v>95</v>
      </c>
      <c r="C682">
        <v>71</v>
      </c>
      <c r="D682">
        <v>-8.0537994000000002E-2</v>
      </c>
    </row>
    <row r="683" spans="1:4" x14ac:dyDescent="0.3">
      <c r="A683">
        <v>681</v>
      </c>
      <c r="B683">
        <v>94.5</v>
      </c>
      <c r="C683">
        <v>70.5</v>
      </c>
      <c r="D683">
        <v>-0.120845921</v>
      </c>
    </row>
    <row r="684" spans="1:4" x14ac:dyDescent="0.3">
      <c r="A684">
        <v>682</v>
      </c>
      <c r="B684">
        <v>93</v>
      </c>
      <c r="C684">
        <v>69</v>
      </c>
      <c r="D684">
        <v>-8.0560701999999998E-2</v>
      </c>
    </row>
    <row r="685" spans="1:4" x14ac:dyDescent="0.3">
      <c r="A685">
        <v>683</v>
      </c>
      <c r="B685">
        <v>93</v>
      </c>
      <c r="C685">
        <v>69</v>
      </c>
      <c r="D685">
        <v>-8.0563947999999996E-2</v>
      </c>
    </row>
    <row r="686" spans="1:4" x14ac:dyDescent="0.3">
      <c r="A686">
        <v>684</v>
      </c>
      <c r="B686">
        <v>95.5</v>
      </c>
      <c r="C686">
        <v>71.5</v>
      </c>
      <c r="D686">
        <v>-0.120811856</v>
      </c>
    </row>
    <row r="687" spans="1:4" x14ac:dyDescent="0.3">
      <c r="A687">
        <v>685</v>
      </c>
      <c r="B687">
        <v>95</v>
      </c>
      <c r="C687">
        <v>71</v>
      </c>
      <c r="D687">
        <v>-8.0541237000000002E-2</v>
      </c>
    </row>
    <row r="688" spans="1:4" x14ac:dyDescent="0.3">
      <c r="A688">
        <v>686</v>
      </c>
      <c r="B688">
        <v>94.5</v>
      </c>
      <c r="C688">
        <v>70.5</v>
      </c>
      <c r="D688">
        <v>-0.12082158699999999</v>
      </c>
    </row>
    <row r="689" spans="1:4" x14ac:dyDescent="0.3">
      <c r="A689">
        <v>687</v>
      </c>
      <c r="B689">
        <v>93.5</v>
      </c>
      <c r="C689">
        <v>69.5</v>
      </c>
      <c r="D689">
        <v>-4.0280350999999999E-2</v>
      </c>
    </row>
    <row r="690" spans="1:4" x14ac:dyDescent="0.3">
      <c r="A690">
        <v>688</v>
      </c>
      <c r="B690">
        <v>93</v>
      </c>
      <c r="C690">
        <v>69</v>
      </c>
      <c r="D690">
        <v>-8.0560701999999998E-2</v>
      </c>
    </row>
    <row r="691" spans="1:4" x14ac:dyDescent="0.3">
      <c r="A691">
        <v>689</v>
      </c>
      <c r="B691">
        <v>92.5</v>
      </c>
      <c r="C691">
        <v>68.5</v>
      </c>
      <c r="D691">
        <v>-0.120826453</v>
      </c>
    </row>
    <row r="692" spans="1:4" x14ac:dyDescent="0.3">
      <c r="A692">
        <v>690</v>
      </c>
      <c r="B692">
        <v>92</v>
      </c>
      <c r="C692">
        <v>68</v>
      </c>
      <c r="D692">
        <v>-8.0534751000000002E-2</v>
      </c>
    </row>
    <row r="693" spans="1:4" x14ac:dyDescent="0.3">
      <c r="A693">
        <v>691</v>
      </c>
      <c r="B693">
        <v>92</v>
      </c>
      <c r="C693">
        <v>68</v>
      </c>
      <c r="D693">
        <v>-8.0528265000000002E-2</v>
      </c>
    </row>
    <row r="694" spans="1:4" x14ac:dyDescent="0.3">
      <c r="A694">
        <v>692</v>
      </c>
      <c r="B694">
        <v>95.5</v>
      </c>
      <c r="C694">
        <v>71.5</v>
      </c>
      <c r="D694">
        <v>-0.120841054</v>
      </c>
    </row>
    <row r="695" spans="1:4" x14ac:dyDescent="0.3">
      <c r="A695">
        <v>693</v>
      </c>
      <c r="B695">
        <v>95</v>
      </c>
      <c r="C695">
        <v>71</v>
      </c>
      <c r="D695">
        <v>-8.0554213E-2</v>
      </c>
    </row>
    <row r="696" spans="1:4" x14ac:dyDescent="0.3">
      <c r="A696">
        <v>694</v>
      </c>
      <c r="B696">
        <v>94.5</v>
      </c>
      <c r="C696">
        <v>70.5</v>
      </c>
      <c r="D696">
        <v>-9.6671284999999996E-2</v>
      </c>
    </row>
    <row r="697" spans="1:4" x14ac:dyDescent="0.3">
      <c r="A697">
        <v>695</v>
      </c>
      <c r="B697">
        <v>93.5</v>
      </c>
      <c r="C697">
        <v>69.5</v>
      </c>
      <c r="D697">
        <v>-9.6683747E-2</v>
      </c>
    </row>
    <row r="698" spans="1:4" x14ac:dyDescent="0.3">
      <c r="A698">
        <v>696</v>
      </c>
      <c r="B698">
        <v>93</v>
      </c>
      <c r="C698">
        <v>69</v>
      </c>
      <c r="D698">
        <v>-6.4449599999999996E-2</v>
      </c>
    </row>
    <row r="699" spans="1:4" x14ac:dyDescent="0.3">
      <c r="A699">
        <v>697</v>
      </c>
      <c r="B699">
        <v>92.5</v>
      </c>
      <c r="C699">
        <v>68.5</v>
      </c>
      <c r="D699">
        <v>-9.6686862999999998E-2</v>
      </c>
    </row>
    <row r="700" spans="1:4" x14ac:dyDescent="0.3">
      <c r="A700">
        <v>698</v>
      </c>
      <c r="B700">
        <v>92</v>
      </c>
      <c r="C700">
        <v>68</v>
      </c>
      <c r="D700">
        <v>-8.0563947999999996E-2</v>
      </c>
    </row>
    <row r="701" spans="1:4" x14ac:dyDescent="0.3">
      <c r="A701">
        <v>699</v>
      </c>
      <c r="B701">
        <v>222.5</v>
      </c>
      <c r="C701">
        <v>198.5</v>
      </c>
      <c r="D701">
        <v>-0.52343372499999996</v>
      </c>
    </row>
    <row r="702" spans="1:4" x14ac:dyDescent="0.3">
      <c r="A702">
        <v>700</v>
      </c>
      <c r="B702">
        <v>219</v>
      </c>
      <c r="C702">
        <v>195</v>
      </c>
      <c r="D702">
        <v>-0.56381136499999995</v>
      </c>
    </row>
    <row r="703" spans="1:4" x14ac:dyDescent="0.3">
      <c r="A703">
        <v>701</v>
      </c>
      <c r="B703">
        <v>215.5</v>
      </c>
      <c r="C703">
        <v>191.5</v>
      </c>
      <c r="D703">
        <v>-0.523560209</v>
      </c>
    </row>
    <row r="704" spans="1:4" x14ac:dyDescent="0.3">
      <c r="A704">
        <v>702</v>
      </c>
      <c r="B704">
        <v>212</v>
      </c>
      <c r="C704">
        <v>188</v>
      </c>
      <c r="D704">
        <v>-0.48338368599999998</v>
      </c>
    </row>
    <row r="705" spans="1:4" x14ac:dyDescent="0.3">
      <c r="A705">
        <v>703</v>
      </c>
      <c r="B705">
        <v>95.5</v>
      </c>
      <c r="C705">
        <v>71.5</v>
      </c>
      <c r="D705">
        <v>-0.120816721</v>
      </c>
    </row>
    <row r="706" spans="1:4" x14ac:dyDescent="0.3">
      <c r="A706">
        <v>704</v>
      </c>
      <c r="B706">
        <v>94.5</v>
      </c>
      <c r="C706">
        <v>70.5</v>
      </c>
      <c r="D706">
        <v>-0.120836186</v>
      </c>
    </row>
    <row r="707" spans="1:4" x14ac:dyDescent="0.3">
      <c r="A707">
        <v>705</v>
      </c>
      <c r="B707">
        <v>94.5</v>
      </c>
      <c r="C707">
        <v>70.5</v>
      </c>
      <c r="D707">
        <v>-0.120836186</v>
      </c>
    </row>
    <row r="708" spans="1:4" x14ac:dyDescent="0.3">
      <c r="A708">
        <v>706</v>
      </c>
      <c r="B708">
        <v>94</v>
      </c>
      <c r="C708">
        <v>70</v>
      </c>
      <c r="D708">
        <v>-8.0557457999999998E-2</v>
      </c>
    </row>
    <row r="709" spans="1:4" x14ac:dyDescent="0.3">
      <c r="A709">
        <v>707</v>
      </c>
      <c r="B709">
        <v>93</v>
      </c>
      <c r="C709">
        <v>69</v>
      </c>
      <c r="D709">
        <v>-8.0557457999999998E-2</v>
      </c>
    </row>
    <row r="710" spans="1:4" x14ac:dyDescent="0.3">
      <c r="A710">
        <v>708</v>
      </c>
      <c r="B710">
        <v>96</v>
      </c>
      <c r="C710">
        <v>72</v>
      </c>
      <c r="D710">
        <v>-8.0557457999999998E-2</v>
      </c>
    </row>
    <row r="711" spans="1:4" x14ac:dyDescent="0.3">
      <c r="A711">
        <v>709</v>
      </c>
      <c r="B711">
        <v>95.5</v>
      </c>
      <c r="C711">
        <v>71.5</v>
      </c>
      <c r="D711">
        <v>-0.12083131900000001</v>
      </c>
    </row>
    <row r="712" spans="1:4" x14ac:dyDescent="0.3">
      <c r="A712">
        <v>710</v>
      </c>
      <c r="B712">
        <v>95</v>
      </c>
      <c r="C712">
        <v>71</v>
      </c>
      <c r="D712">
        <v>-8.0557457999999998E-2</v>
      </c>
    </row>
    <row r="713" spans="1:4" x14ac:dyDescent="0.3">
      <c r="A713">
        <v>711</v>
      </c>
      <c r="B713">
        <v>94.5</v>
      </c>
      <c r="C713">
        <v>70.5</v>
      </c>
      <c r="D713">
        <v>-0.120816721</v>
      </c>
    </row>
    <row r="714" spans="1:4" x14ac:dyDescent="0.3">
      <c r="A714">
        <v>712</v>
      </c>
      <c r="B714">
        <v>93.5</v>
      </c>
      <c r="C714">
        <v>69.5</v>
      </c>
      <c r="D714">
        <v>-0.120836186</v>
      </c>
    </row>
    <row r="715" spans="1:4" x14ac:dyDescent="0.3">
      <c r="A715">
        <v>713</v>
      </c>
      <c r="B715">
        <v>93</v>
      </c>
      <c r="C715">
        <v>69</v>
      </c>
      <c r="D715">
        <v>-8.0557457999999998E-2</v>
      </c>
    </row>
    <row r="716" spans="1:4" x14ac:dyDescent="0.3">
      <c r="A716">
        <v>714</v>
      </c>
      <c r="B716">
        <v>92.5</v>
      </c>
      <c r="C716">
        <v>68.5</v>
      </c>
      <c r="D716">
        <v>-0.120826453</v>
      </c>
    </row>
    <row r="717" spans="1:4" x14ac:dyDescent="0.3">
      <c r="A717">
        <v>715</v>
      </c>
      <c r="B717">
        <v>92</v>
      </c>
      <c r="C717">
        <v>68</v>
      </c>
      <c r="D717">
        <v>-8.0550969E-2</v>
      </c>
    </row>
    <row r="718" spans="1:4" x14ac:dyDescent="0.3">
      <c r="A718">
        <v>716</v>
      </c>
      <c r="B718">
        <v>91</v>
      </c>
      <c r="C718">
        <v>67</v>
      </c>
      <c r="D718">
        <v>-8.0547725000000001E-2</v>
      </c>
    </row>
    <row r="719" spans="1:4" x14ac:dyDescent="0.3">
      <c r="A719">
        <v>717</v>
      </c>
      <c r="B719">
        <v>96</v>
      </c>
      <c r="C719">
        <v>72</v>
      </c>
      <c r="D719">
        <v>-8.0557457999999998E-2</v>
      </c>
    </row>
    <row r="720" spans="1:4" x14ac:dyDescent="0.3">
      <c r="A720">
        <v>718</v>
      </c>
      <c r="B720">
        <v>95.5</v>
      </c>
      <c r="C720">
        <v>71.5</v>
      </c>
      <c r="D720">
        <v>-0.12083131900000001</v>
      </c>
    </row>
    <row r="721" spans="1:4" x14ac:dyDescent="0.3">
      <c r="A721">
        <v>719</v>
      </c>
      <c r="B721">
        <v>95</v>
      </c>
      <c r="C721">
        <v>71</v>
      </c>
      <c r="D721">
        <v>-8.0557457999999998E-2</v>
      </c>
    </row>
    <row r="722" spans="1:4" x14ac:dyDescent="0.3">
      <c r="A722">
        <v>720</v>
      </c>
      <c r="B722">
        <v>94.5</v>
      </c>
      <c r="C722">
        <v>70.5</v>
      </c>
      <c r="D722">
        <v>-0.120816721</v>
      </c>
    </row>
    <row r="723" spans="1:4" x14ac:dyDescent="0.3">
      <c r="A723">
        <v>721</v>
      </c>
      <c r="B723">
        <v>93.5</v>
      </c>
      <c r="C723">
        <v>69.5</v>
      </c>
      <c r="D723">
        <v>-0.120836186</v>
      </c>
    </row>
    <row r="724" spans="1:4" x14ac:dyDescent="0.3">
      <c r="A724">
        <v>722</v>
      </c>
      <c r="B724">
        <v>93</v>
      </c>
      <c r="C724">
        <v>69</v>
      </c>
      <c r="D724">
        <v>-8.0557457999999998E-2</v>
      </c>
    </row>
    <row r="725" spans="1:4" x14ac:dyDescent="0.3">
      <c r="A725">
        <v>723</v>
      </c>
      <c r="B725">
        <v>92.5</v>
      </c>
      <c r="C725">
        <v>68.5</v>
      </c>
      <c r="D725">
        <v>-0.120826453</v>
      </c>
    </row>
    <row r="726" spans="1:4" x14ac:dyDescent="0.3">
      <c r="A726">
        <v>724</v>
      </c>
      <c r="B726">
        <v>92</v>
      </c>
      <c r="C726">
        <v>68</v>
      </c>
      <c r="D726">
        <v>-8.0550969E-2</v>
      </c>
    </row>
    <row r="727" spans="1:4" x14ac:dyDescent="0.3">
      <c r="A727">
        <v>725</v>
      </c>
      <c r="B727">
        <v>91</v>
      </c>
      <c r="C727">
        <v>67</v>
      </c>
      <c r="D727">
        <v>-8.0547725000000001E-2</v>
      </c>
    </row>
    <row r="728" spans="1:4" x14ac:dyDescent="0.3">
      <c r="C728">
        <v>0</v>
      </c>
      <c r="D728">
        <v>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 Data and Corrections</vt:lpstr>
      <vt:lpstr>DistilledUncertaintyTreatment</vt:lpstr>
      <vt:lpstr>DistilledNaiveMethod</vt:lpstr>
      <vt:lpstr>diffusivitiesHTWin0601bNaive</vt:lpstr>
      <vt:lpstr>Naive Apparent Lambdas</vt:lpstr>
      <vt:lpstr>DistilledNaiveLambdas</vt:lpstr>
      <vt:lpstr>diffusivitiesHTWin0601bM</vt:lpstr>
      <vt:lpstr>diffusivitiesHTWin0601bUB</vt:lpstr>
      <vt:lpstr>diffusivitiesHTWin0601bLB</vt:lpstr>
      <vt:lpstr>Totals</vt:lpstr>
      <vt:lpstr>STDs</vt:lpstr>
      <vt:lpstr>Cooling_Rate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Thyer</dc:creator>
  <cp:lastModifiedBy>Thyer, Benjamin J.</cp:lastModifiedBy>
  <dcterms:created xsi:type="dcterms:W3CDTF">2024-08-22T15:13:33Z</dcterms:created>
  <dcterms:modified xsi:type="dcterms:W3CDTF">2026-08-01T16:59:33Z</dcterms:modified>
</cp:coreProperties>
</file>