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roix/Documents/Back2CRBM_XVI/Students/Morgane/Analysis_Morgane/MTDynamics_extraction/"/>
    </mc:Choice>
  </mc:AlternateContent>
  <xr:revisionPtr revIDLastSave="0" documentId="13_ncr:1_{4E223255-6ED7-7B47-8F9A-7103DE14AF9D}" xr6:coauthVersionLast="47" xr6:coauthVersionMax="47" xr10:uidLastSave="{00000000-0000-0000-0000-000000000000}"/>
  <bookViews>
    <workbookView xWindow="1380" yWindow="500" windowWidth="47840" windowHeight="26820" tabRatio="704" xr2:uid="{00000000-000D-0000-FFFF-FFFF00000000}"/>
  </bookViews>
  <sheets>
    <sheet name="README in vivo" sheetId="40" r:id="rId1"/>
    <sheet name="Data" sheetId="41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41" l="1"/>
  <c r="Q3" i="41" l="1"/>
  <c r="N3" i="41"/>
  <c r="O3" i="41"/>
  <c r="M3" i="41"/>
  <c r="P3" i="41"/>
  <c r="L3" i="41"/>
  <c r="L1" i="40"/>
  <c r="R3" i="41" l="1"/>
  <c r="Y3" i="41"/>
  <c r="Y4" i="41" s="1"/>
  <c r="Z8" i="41"/>
  <c r="Z9" i="41" s="1"/>
  <c r="Z3" i="41"/>
  <c r="Z4" i="41" s="1"/>
  <c r="V8" i="41"/>
  <c r="V9" i="41" s="1"/>
  <c r="X8" i="41"/>
  <c r="AD3" i="41" s="1"/>
  <c r="AC12" i="41"/>
  <c r="AB12" i="41" s="1"/>
  <c r="AD12" i="41"/>
  <c r="AC8" i="41"/>
  <c r="X3" i="41"/>
  <c r="W8" i="41"/>
  <c r="W9" i="41" s="1"/>
  <c r="AD8" i="41"/>
  <c r="AD9" i="41" s="1"/>
  <c r="AF3" i="41"/>
  <c r="AF4" i="41" s="1"/>
  <c r="Y8" i="41"/>
  <c r="U8" i="41"/>
  <c r="V3" i="41"/>
  <c r="V4" i="41" s="1"/>
  <c r="U3" i="41"/>
  <c r="W3" i="41"/>
  <c r="W4" i="41" s="1"/>
  <c r="AC3" i="41"/>
  <c r="AC4" i="41" s="1"/>
  <c r="Q3" i="40"/>
  <c r="L3" i="40"/>
  <c r="P6" i="40"/>
  <c r="N4" i="40"/>
  <c r="M4" i="40"/>
  <c r="L4" i="40"/>
  <c r="M5" i="40"/>
  <c r="L5" i="40"/>
  <c r="P4" i="40"/>
  <c r="O7" i="40"/>
  <c r="N6" i="40"/>
  <c r="L6" i="40"/>
  <c r="Q4" i="40"/>
  <c r="P7" i="40"/>
  <c r="M7" i="40"/>
  <c r="N8" i="40"/>
  <c r="L8" i="40"/>
  <c r="N9" i="40"/>
  <c r="M9" i="40"/>
  <c r="R9" i="40" s="1"/>
  <c r="O4" i="40"/>
  <c r="Q6" i="40"/>
  <c r="N5" i="40"/>
  <c r="M6" i="40"/>
  <c r="N7" i="40"/>
  <c r="L7" i="40"/>
  <c r="O5" i="40"/>
  <c r="M8" i="40"/>
  <c r="O8" i="40"/>
  <c r="L9" i="40"/>
  <c r="P8" i="40"/>
  <c r="M10" i="40"/>
  <c r="R10" i="40" s="1"/>
  <c r="Q8" i="40"/>
  <c r="M11" i="40"/>
  <c r="R11" i="40" s="1"/>
  <c r="Q7" i="40"/>
  <c r="P5" i="40"/>
  <c r="Q5" i="40"/>
  <c r="N10" i="40"/>
  <c r="L10" i="40"/>
  <c r="O6" i="40"/>
  <c r="N11" i="40"/>
  <c r="L11" i="40"/>
  <c r="M3" i="40"/>
  <c r="N3" i="40"/>
  <c r="O3" i="40"/>
  <c r="P3" i="40"/>
  <c r="X9" i="41" l="1"/>
  <c r="U12" i="41"/>
  <c r="U4" i="41"/>
  <c r="U9" i="41"/>
  <c r="AA3" i="41"/>
  <c r="AE3" i="41"/>
  <c r="AE4" i="41" s="1"/>
  <c r="Y9" i="41"/>
  <c r="W12" i="41"/>
  <c r="X4" i="41"/>
  <c r="X12" i="41"/>
  <c r="AD4" i="41"/>
  <c r="AB8" i="41"/>
  <c r="AB9" i="41" s="1"/>
  <c r="AC9" i="41"/>
  <c r="AB3" i="41"/>
  <c r="AB4" i="41" s="1"/>
  <c r="R4" i="40"/>
  <c r="R6" i="40"/>
  <c r="AD12" i="40"/>
  <c r="R5" i="40"/>
  <c r="R7" i="40"/>
  <c r="AC12" i="40"/>
  <c r="AB12" i="40" s="1"/>
  <c r="R8" i="40"/>
  <c r="U8" i="40"/>
  <c r="V3" i="40"/>
  <c r="V4" i="40" s="1"/>
  <c r="U3" i="40"/>
  <c r="U12" i="40" s="1"/>
  <c r="R3" i="40"/>
  <c r="W3" i="40"/>
  <c r="W4" i="40" s="1"/>
  <c r="AD8" i="40"/>
  <c r="AD9" i="40" s="1"/>
  <c r="Z8" i="40"/>
  <c r="Z9" i="40" s="1"/>
  <c r="X8" i="40"/>
  <c r="AF3" i="40"/>
  <c r="AF4" i="40" s="1"/>
  <c r="Y8" i="40"/>
  <c r="Z3" i="40"/>
  <c r="Z4" i="40" s="1"/>
  <c r="X3" i="40"/>
  <c r="W12" i="40" s="1"/>
  <c r="Y3" i="40"/>
  <c r="Y4" i="40" s="1"/>
  <c r="W8" i="40"/>
  <c r="W9" i="40" s="1"/>
  <c r="V8" i="40"/>
  <c r="AC3" i="40"/>
  <c r="AC4" i="40" s="1"/>
  <c r="AC8" i="40"/>
  <c r="AA4" i="41" l="1"/>
  <c r="V12" i="41"/>
  <c r="Z17" i="41" s="1"/>
  <c r="AA17" i="41"/>
  <c r="AB3" i="40"/>
  <c r="X4" i="40"/>
  <c r="AC9" i="40"/>
  <c r="AB8" i="40"/>
  <c r="AB9" i="40" s="1"/>
  <c r="V9" i="40"/>
  <c r="AB4" i="40"/>
  <c r="U4" i="40"/>
  <c r="AD3" i="40"/>
  <c r="X12" i="40" s="1"/>
  <c r="X9" i="40"/>
  <c r="U9" i="40"/>
  <c r="AA3" i="40"/>
  <c r="V12" i="40" s="1"/>
  <c r="AE3" i="40"/>
  <c r="AE4" i="40" s="1"/>
  <c r="Y9" i="40"/>
  <c r="AA4" i="40" l="1"/>
  <c r="AD4" i="40"/>
  <c r="AA17" i="40" l="1"/>
  <c r="Z17" i="40"/>
</calcChain>
</file>

<file path=xl/sharedStrings.xml><?xml version="1.0" encoding="utf-8"?>
<sst xmlns="http://schemas.openxmlformats.org/spreadsheetml/2006/main" count="165" uniqueCount="67">
  <si>
    <t>s</t>
  </si>
  <si>
    <t>µm</t>
  </si>
  <si>
    <t>µm/s</t>
  </si>
  <si>
    <t>Growth rate</t>
  </si>
  <si>
    <t>Shrink rate</t>
  </si>
  <si>
    <t>angle raw</t>
  </si>
  <si>
    <t>length raw</t>
  </si>
  <si>
    <t>angle pol</t>
  </si>
  <si>
    <t>angle depol</t>
  </si>
  <si>
    <t>length pol</t>
  </si>
  <si>
    <t>length depol</t>
  </si>
  <si>
    <t>G rate</t>
  </si>
  <si>
    <t>G duration</t>
  </si>
  <si>
    <t>G distance</t>
  </si>
  <si>
    <t>S rate</t>
  </si>
  <si>
    <t>S duration</t>
  </si>
  <si>
    <t>S distance</t>
  </si>
  <si>
    <t>Time G+S</t>
  </si>
  <si>
    <t>mean</t>
  </si>
  <si>
    <t>SD</t>
  </si>
  <si>
    <t>N</t>
  </si>
  <si>
    <t xml:space="preserve">mean </t>
  </si>
  <si>
    <t xml:space="preserve">N </t>
  </si>
  <si>
    <t>Growth duration</t>
  </si>
  <si>
    <t xml:space="preserve">Shrink duration </t>
  </si>
  <si>
    <t>TOTAL G+S</t>
  </si>
  <si>
    <t>G dur</t>
  </si>
  <si>
    <t>sec</t>
  </si>
  <si>
    <t>min</t>
  </si>
  <si>
    <t>G</t>
  </si>
  <si>
    <t>C</t>
  </si>
  <si>
    <t>S</t>
  </si>
  <si>
    <t>R</t>
  </si>
  <si>
    <t>TOTAL L G+S</t>
  </si>
  <si>
    <t>G length</t>
  </si>
  <si>
    <t>S length</t>
  </si>
  <si>
    <t>&lt;L&gt;</t>
  </si>
  <si>
    <t>J</t>
  </si>
  <si>
    <t>…</t>
  </si>
  <si>
    <t>pixel size</t>
  </si>
  <si>
    <t>FPS</t>
  </si>
  <si>
    <t>µm/pixel</t>
  </si>
  <si>
    <t>S dur,</t>
  </si>
  <si>
    <t xml:space="preserve">Measurements from ImageJ (Angle ; Length) are pasted in columns A and B and sorted from higher to lower values (0 to -180) </t>
  </si>
  <si>
    <t>angle &gt; -90° correspond to growth event and are pasted in columns H and I</t>
  </si>
  <si>
    <t xml:space="preserve">Enter manually pixel size in cell F2 </t>
  </si>
  <si>
    <t>Enter manually the number of frame per second in cell E2</t>
  </si>
  <si>
    <t>-90° &gt; angle &gt; -180° correspond to depolymerization events and are pasted in columns J and K</t>
  </si>
  <si>
    <t>Parameters for individual events are then calculated from column L to R</t>
  </si>
  <si>
    <t>Colimn T to AF report a summary of microtubule dynamics</t>
  </si>
  <si>
    <t>Catastrophe frequency</t>
  </si>
  <si>
    <t>Rescue frequency</t>
  </si>
  <si>
    <t>SD: Standard deviation</t>
  </si>
  <si>
    <t>N: number of events</t>
  </si>
  <si>
    <t>DURATIONS</t>
  </si>
  <si>
    <t>LENGTHS</t>
  </si>
  <si>
    <t>G: Growth rate</t>
  </si>
  <si>
    <t>S: Shrinkage rate</t>
  </si>
  <si>
    <t xml:space="preserve">R: Rescue frequency </t>
  </si>
  <si>
    <t>C: Catastrophe frequency</t>
  </si>
  <si>
    <t>J: average microtubule population growth rate</t>
  </si>
  <si>
    <t>µm/min</t>
  </si>
  <si>
    <t>&lt;L&gt; : Average microtubule length in µm</t>
  </si>
  <si>
    <t>ENTER</t>
  </si>
  <si>
    <t>Paste and sort</t>
  </si>
  <si>
    <t>paste</t>
  </si>
  <si>
    <t>README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</si>
</sst>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80808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808080"/>
      <name val="Calibri"/>
      <family val="2"/>
    </font>
    <font>
      <b/>
      <sz val="12"/>
      <color theme="4"/>
      <name val="Calibri"/>
      <family val="2"/>
    </font>
    <font>
      <i/>
      <sz val="12"/>
      <color rgb="FF000000"/>
      <name val="Calibri"/>
      <family val="2"/>
    </font>
    <font>
      <i/>
      <sz val="12"/>
      <color rgb="FF808080"/>
      <name val="Calibri"/>
      <family val="2"/>
    </font>
    <font>
      <i/>
      <sz val="12"/>
      <color rgb="FFFF0000"/>
      <name val="Calibri"/>
      <family val="2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2" borderId="0" xfId="0" applyFill="1"/>
    <xf numFmtId="0" fontId="8" fillId="0" borderId="5" xfId="0" applyFont="1" applyBorder="1"/>
    <xf numFmtId="0" fontId="7" fillId="0" borderId="4" xfId="0" applyFont="1" applyBorder="1"/>
    <xf numFmtId="0" fontId="9" fillId="3" borderId="0" xfId="0" applyFont="1" applyFill="1" applyAlignment="1">
      <alignment horizontal="center"/>
    </xf>
    <xf numFmtId="0" fontId="5" fillId="0" borderId="0" xfId="0" applyFont="1"/>
    <xf numFmtId="0" fontId="4" fillId="2" borderId="0" xfId="0" applyFont="1" applyFill="1"/>
    <xf numFmtId="0" fontId="1" fillId="4" borderId="0" xfId="0" applyFont="1" applyFill="1"/>
    <xf numFmtId="0" fontId="3" fillId="4" borderId="0" xfId="0" applyFont="1" applyFill="1"/>
    <xf numFmtId="0" fontId="5" fillId="5" borderId="0" xfId="0" applyFont="1" applyFill="1"/>
    <xf numFmtId="0" fontId="6" fillId="5" borderId="0" xfId="0" applyFont="1" applyFill="1"/>
    <xf numFmtId="0" fontId="0" fillId="5" borderId="0" xfId="0" applyFill="1"/>
    <xf numFmtId="0" fontId="10" fillId="0" borderId="0" xfId="0" applyFont="1"/>
    <xf numFmtId="0" fontId="11" fillId="0" borderId="0" xfId="0" applyFont="1"/>
    <xf numFmtId="0" fontId="10" fillId="0" borderId="0" xfId="0" quotePrefix="1" applyFont="1"/>
    <xf numFmtId="0" fontId="8" fillId="0" borderId="0" xfId="0" applyFont="1" applyBorder="1"/>
    <xf numFmtId="0" fontId="9" fillId="3" borderId="4" xfId="0" applyFont="1" applyFill="1" applyBorder="1"/>
    <xf numFmtId="0" fontId="8" fillId="3" borderId="0" xfId="0" applyFont="1" applyFill="1" applyBorder="1"/>
    <xf numFmtId="0" fontId="7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12" fillId="2" borderId="4" xfId="0" applyFont="1" applyFill="1" applyBorder="1"/>
    <xf numFmtId="0" fontId="12" fillId="2" borderId="0" xfId="0" applyFont="1" applyFill="1" applyBorder="1"/>
    <xf numFmtId="0" fontId="12" fillId="2" borderId="5" xfId="0" applyFont="1" applyFill="1" applyBorder="1"/>
    <xf numFmtId="0" fontId="12" fillId="2" borderId="4" xfId="0" quotePrefix="1" applyFont="1" applyFill="1" applyBorder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horizontal="center"/>
    </xf>
    <xf numFmtId="0" fontId="16" fillId="6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98DA-B757-604A-A6C1-7178B771DC1C}">
  <dimension ref="A1:AF43"/>
  <sheetViews>
    <sheetView tabSelected="1" workbookViewId="0">
      <selection activeCell="C1" sqref="C1:D2"/>
    </sheetView>
  </sheetViews>
  <sheetFormatPr baseColWidth="10" defaultRowHeight="16" x14ac:dyDescent="0.2"/>
  <sheetData>
    <row r="1" spans="1:32" x14ac:dyDescent="0.2">
      <c r="A1" s="40" t="s">
        <v>66</v>
      </c>
      <c r="B1" s="40"/>
      <c r="C1" s="41"/>
      <c r="D1" s="41"/>
      <c r="E1" s="5" t="s">
        <v>39</v>
      </c>
      <c r="F1" s="5">
        <v>0.10829999999999999</v>
      </c>
      <c r="G1" t="s">
        <v>41</v>
      </c>
      <c r="H1" s="2"/>
      <c r="I1" s="2"/>
      <c r="J1" s="2"/>
      <c r="K1" s="2"/>
      <c r="L1" s="6">
        <f>PI()</f>
        <v>3.1415926535897931</v>
      </c>
      <c r="M1" s="6" t="s">
        <v>0</v>
      </c>
      <c r="N1" s="6" t="s">
        <v>1</v>
      </c>
      <c r="O1" s="6" t="s">
        <v>2</v>
      </c>
      <c r="P1" s="6" t="s">
        <v>0</v>
      </c>
      <c r="Q1" s="6" t="s">
        <v>1</v>
      </c>
      <c r="R1" s="6" t="s">
        <v>0</v>
      </c>
      <c r="S1" s="6"/>
      <c r="T1" s="10"/>
      <c r="U1" s="10" t="s">
        <v>3</v>
      </c>
      <c r="V1" s="10"/>
      <c r="W1" s="10"/>
      <c r="X1" s="10" t="s">
        <v>4</v>
      </c>
      <c r="Y1" s="10"/>
      <c r="Z1" s="10"/>
      <c r="AA1" s="10" t="s">
        <v>50</v>
      </c>
      <c r="AB1" s="10"/>
      <c r="AC1" s="10"/>
      <c r="AD1" s="10" t="s">
        <v>51</v>
      </c>
      <c r="AE1" s="10"/>
      <c r="AF1" s="10"/>
    </row>
    <row r="2" spans="1:32" x14ac:dyDescent="0.2">
      <c r="A2" s="9" t="s">
        <v>5</v>
      </c>
      <c r="B2" s="9" t="s">
        <v>6</v>
      </c>
      <c r="C2" s="42"/>
      <c r="D2" s="42"/>
      <c r="E2" s="5" t="s">
        <v>40</v>
      </c>
      <c r="F2" s="5">
        <v>2</v>
      </c>
      <c r="G2" s="1"/>
      <c r="H2" s="7" t="s">
        <v>7</v>
      </c>
      <c r="I2" s="7" t="s">
        <v>9</v>
      </c>
      <c r="J2" s="7" t="s">
        <v>8</v>
      </c>
      <c r="K2" s="7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/>
      <c r="T2" s="10"/>
      <c r="U2" s="10" t="s">
        <v>18</v>
      </c>
      <c r="V2" s="10" t="s">
        <v>19</v>
      </c>
      <c r="W2" s="10" t="s">
        <v>20</v>
      </c>
      <c r="X2" s="10" t="s">
        <v>21</v>
      </c>
      <c r="Y2" s="10" t="s">
        <v>19</v>
      </c>
      <c r="Z2" s="10" t="s">
        <v>22</v>
      </c>
      <c r="AA2" s="10" t="s">
        <v>18</v>
      </c>
      <c r="AB2" s="10" t="s">
        <v>19</v>
      </c>
      <c r="AC2" s="10" t="s">
        <v>20</v>
      </c>
      <c r="AD2" s="10" t="s">
        <v>18</v>
      </c>
      <c r="AE2" s="10" t="s">
        <v>19</v>
      </c>
      <c r="AF2" s="10" t="s">
        <v>20</v>
      </c>
    </row>
    <row r="3" spans="1:32" x14ac:dyDescent="0.2">
      <c r="A3" s="13">
        <v>-56.768000000000001</v>
      </c>
      <c r="B3" s="13">
        <v>34.67</v>
      </c>
      <c r="C3" s="14"/>
      <c r="D3" s="14"/>
      <c r="E3" s="13"/>
      <c r="F3" s="13"/>
      <c r="G3" s="13"/>
      <c r="H3" s="13">
        <v>-56.768000000000001</v>
      </c>
      <c r="I3" s="13">
        <v>34.67</v>
      </c>
      <c r="J3" s="13">
        <v>-168.959</v>
      </c>
      <c r="K3" s="13">
        <v>41.773000000000003</v>
      </c>
      <c r="L3" s="6">
        <f>1/TAN(-H3*$L$1/180)*$F$1*$F$2</f>
        <v>0.14191190596596848</v>
      </c>
      <c r="M3" s="6">
        <f>SIN(-H3*$L$1/180)*I3*(1/$F$2)</f>
        <v>14.500005774160091</v>
      </c>
      <c r="N3" s="6">
        <f>COS(-H3*$L$1/180)*I3*$F$1</f>
        <v>2.0577234559286066</v>
      </c>
      <c r="O3" s="6">
        <f>IFERROR(1/TAN(J3*$L$1/180)*$F$1*$F$2,"")</f>
        <v>1.1100688341491975</v>
      </c>
      <c r="P3" s="6">
        <f>SIN(-J3*$L$1/180)*K3*(1/$F$2)</f>
        <v>4.0000025249466171</v>
      </c>
      <c r="Q3" s="6">
        <f>-COS(J3*$L$1/180)*K3*$F$1</f>
        <v>4.4402781394613369</v>
      </c>
      <c r="R3" s="6">
        <f>M3+P3</f>
        <v>18.500008299106707</v>
      </c>
      <c r="S3" s="6"/>
      <c r="T3" s="10" t="s">
        <v>2</v>
      </c>
      <c r="U3" s="10">
        <f>AVERAGE(L3:L1986)</f>
        <v>0.22671425775770382</v>
      </c>
      <c r="V3" s="10">
        <f>STDEVA(L3:L1986)</f>
        <v>9.2653504484493013E-2</v>
      </c>
      <c r="W3" s="10">
        <f>COUNTA(L3:L1986)</f>
        <v>10</v>
      </c>
      <c r="X3" s="10">
        <f>AVERAGE(O3:O1986)</f>
        <v>0.76541672233035618</v>
      </c>
      <c r="Y3" s="10">
        <f>STDEVA(O3:O1987)</f>
        <v>0.26443580976849573</v>
      </c>
      <c r="Z3" s="10">
        <f>COUNTA(O3:O1987)</f>
        <v>6</v>
      </c>
      <c r="AA3" s="10">
        <f>1/U8</f>
        <v>0.10084115154257293</v>
      </c>
      <c r="AB3" s="10">
        <f>V8/U8^2</f>
        <v>4.593334641637753E-2</v>
      </c>
      <c r="AC3" s="10">
        <f>COUNTA(M3:M1987)</f>
        <v>10</v>
      </c>
      <c r="AD3" s="10">
        <f>1/X8</f>
        <v>0.2474240684673864</v>
      </c>
      <c r="AE3" s="10">
        <f>Y8/X8^2</f>
        <v>6.0768415246048181E-2</v>
      </c>
      <c r="AF3" s="10">
        <f>COUNTA(P3:P1987)</f>
        <v>6</v>
      </c>
    </row>
    <row r="4" spans="1:32" x14ac:dyDescent="0.2">
      <c r="A4" s="13">
        <v>-52.430999999999997</v>
      </c>
      <c r="B4" s="13">
        <v>32.802</v>
      </c>
      <c r="C4" s="14"/>
      <c r="D4" s="14"/>
      <c r="E4" s="14"/>
      <c r="F4" s="14"/>
      <c r="G4" s="13"/>
      <c r="H4" s="13">
        <v>-52.430999999999997</v>
      </c>
      <c r="I4" s="13">
        <v>32.802</v>
      </c>
      <c r="J4" s="14">
        <v>-167.36699999999999</v>
      </c>
      <c r="K4" s="14">
        <v>29.72</v>
      </c>
      <c r="L4" s="6">
        <f t="shared" ref="L4:L11" si="0">1/TAN(-H4*$L$1/180)*$F$1*$F$2</f>
        <v>0.16661783951224629</v>
      </c>
      <c r="M4" s="6">
        <f t="shared" ref="M4:M11" si="1">SIN(-H4*$L$1/180)*I4*(1/$F$2)</f>
        <v>12.999754841525657</v>
      </c>
      <c r="N4" s="6">
        <f t="shared" ref="N4:N11" si="2">COS(-H4*$L$1/180)*I4*$F$1</f>
        <v>2.1659910658838681</v>
      </c>
      <c r="O4" s="6">
        <f t="shared" ref="O4:O8" si="3">IFERROR(1/TAN(J4*$L$1/180)*$F$1*$F$2,"")</f>
        <v>0.96639783537095036</v>
      </c>
      <c r="P4" s="6">
        <f t="shared" ref="P4:P8" si="4">SIN(-J4*$L$1/180)*K4*(1/$F$2)</f>
        <v>3.2499606523025615</v>
      </c>
      <c r="Q4" s="6">
        <f t="shared" ref="Q4:Q8" si="5">-COS(J4*$L$1/180)*K4*$F$1</f>
        <v>3.1407549394259577</v>
      </c>
      <c r="R4" s="6">
        <f t="shared" ref="R4:R11" si="6">M4+P4</f>
        <v>16.249715493828219</v>
      </c>
      <c r="S4" s="6"/>
      <c r="T4" s="10" t="s">
        <v>61</v>
      </c>
      <c r="U4" s="10">
        <f>U3*60</f>
        <v>13.602855465462229</v>
      </c>
      <c r="V4" s="10">
        <f>V3*60</f>
        <v>5.559210269069581</v>
      </c>
      <c r="W4" s="10">
        <f>W3</f>
        <v>10</v>
      </c>
      <c r="X4" s="10">
        <f>X3*60</f>
        <v>45.925003339821373</v>
      </c>
      <c r="Y4" s="10">
        <f>Y3*60</f>
        <v>15.866148586109745</v>
      </c>
      <c r="Z4" s="10">
        <f>Z3</f>
        <v>6</v>
      </c>
      <c r="AA4" s="10">
        <f>AA3*60</f>
        <v>6.0504690925543763</v>
      </c>
      <c r="AB4" s="10">
        <f>AB3*60</f>
        <v>2.7560007849826516</v>
      </c>
      <c r="AC4" s="10">
        <f>AC3</f>
        <v>10</v>
      </c>
      <c r="AD4" s="10">
        <f>AD3*60</f>
        <v>14.845444108043184</v>
      </c>
      <c r="AE4" s="10">
        <f>AE3*60</f>
        <v>3.646104914762891</v>
      </c>
      <c r="AF4" s="10">
        <f>AF3</f>
        <v>6</v>
      </c>
    </row>
    <row r="5" spans="1:32" x14ac:dyDescent="0.2">
      <c r="A5" s="13">
        <v>-51.34</v>
      </c>
      <c r="B5" s="13">
        <v>25.611999999999998</v>
      </c>
      <c r="C5" s="14"/>
      <c r="D5" s="14"/>
      <c r="E5" s="14"/>
      <c r="F5" s="14"/>
      <c r="G5" s="13"/>
      <c r="H5" s="13">
        <v>-51.34</v>
      </c>
      <c r="I5" s="13">
        <v>25.611999999999998</v>
      </c>
      <c r="J5" s="13">
        <v>-165.964</v>
      </c>
      <c r="K5" s="13">
        <v>24.739000000000001</v>
      </c>
      <c r="L5" s="6">
        <f t="shared" si="0"/>
        <v>0.17328118879491713</v>
      </c>
      <c r="M5" s="6">
        <f t="shared" si="1"/>
        <v>9.9997792014112701</v>
      </c>
      <c r="N5" s="6">
        <f t="shared" si="2"/>
        <v>1.7327736277072319</v>
      </c>
      <c r="O5" s="6">
        <f t="shared" si="3"/>
        <v>0.86641564710079577</v>
      </c>
      <c r="P5" s="6">
        <f t="shared" si="4"/>
        <v>2.9999934213016366</v>
      </c>
      <c r="Q5" s="6">
        <f t="shared" si="5"/>
        <v>2.5992412414151875</v>
      </c>
      <c r="R5" s="6">
        <f t="shared" si="6"/>
        <v>12.999772622712907</v>
      </c>
      <c r="S5" s="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">
      <c r="A6" s="14">
        <v>-46.244999999999997</v>
      </c>
      <c r="B6" s="14">
        <v>32.534999999999997</v>
      </c>
      <c r="C6" s="14"/>
      <c r="D6" s="14"/>
      <c r="E6" s="14"/>
      <c r="F6" s="14"/>
      <c r="G6" s="13"/>
      <c r="H6" s="14">
        <v>-46.244999999999997</v>
      </c>
      <c r="I6" s="14">
        <v>32.534999999999997</v>
      </c>
      <c r="J6" s="14">
        <v>-161.565</v>
      </c>
      <c r="K6" s="13">
        <v>23.716999999999999</v>
      </c>
      <c r="L6" s="6">
        <f t="shared" si="0"/>
        <v>0.20738561817167053</v>
      </c>
      <c r="M6" s="6">
        <f t="shared" si="1"/>
        <v>11.750074031164326</v>
      </c>
      <c r="N6" s="6">
        <f t="shared" si="2"/>
        <v>2.4367963665159063</v>
      </c>
      <c r="O6" s="6">
        <f t="shared" si="3"/>
        <v>0.64979806531554618</v>
      </c>
      <c r="P6" s="6">
        <f t="shared" si="4"/>
        <v>3.7499970118700094</v>
      </c>
      <c r="Q6" s="6">
        <f t="shared" si="5"/>
        <v>2.4367408032522104</v>
      </c>
      <c r="R6" s="6">
        <f t="shared" si="6"/>
        <v>15.500071043034335</v>
      </c>
      <c r="S6" s="6"/>
      <c r="T6" s="10"/>
      <c r="U6" s="10" t="s">
        <v>23</v>
      </c>
      <c r="V6" s="10"/>
      <c r="W6" s="10"/>
      <c r="X6" s="10" t="s">
        <v>24</v>
      </c>
      <c r="Y6" s="10"/>
      <c r="Z6" s="10"/>
      <c r="AA6" s="10"/>
      <c r="AB6" s="10" t="s">
        <v>54</v>
      </c>
      <c r="AC6" s="10"/>
      <c r="AD6" s="10"/>
      <c r="AE6" s="10"/>
      <c r="AF6" s="10"/>
    </row>
    <row r="7" spans="1:32" x14ac:dyDescent="0.2">
      <c r="A7" s="14">
        <v>-43.363</v>
      </c>
      <c r="B7" s="14">
        <v>24.759</v>
      </c>
      <c r="C7" s="13"/>
      <c r="D7" s="13"/>
      <c r="E7" s="13"/>
      <c r="F7" s="13"/>
      <c r="G7" s="13"/>
      <c r="H7" s="14">
        <v>-43.363</v>
      </c>
      <c r="I7" s="14">
        <v>24.759</v>
      </c>
      <c r="J7" s="14">
        <v>-160.56</v>
      </c>
      <c r="K7" s="14">
        <v>27.042000000000002</v>
      </c>
      <c r="L7" s="6">
        <f t="shared" si="0"/>
        <v>0.22934456803042433</v>
      </c>
      <c r="M7" s="6">
        <f t="shared" si="1"/>
        <v>8.4999895875073257</v>
      </c>
      <c r="N7" s="6">
        <f t="shared" si="2"/>
        <v>1.9494264402099724</v>
      </c>
      <c r="O7" s="6">
        <f t="shared" si="3"/>
        <v>0.61370118863403356</v>
      </c>
      <c r="P7" s="6">
        <f t="shared" si="4"/>
        <v>4.5000530614953007</v>
      </c>
      <c r="Q7" s="6">
        <f t="shared" si="5"/>
        <v>2.7616879127558875</v>
      </c>
      <c r="R7" s="6">
        <f t="shared" si="6"/>
        <v>13.000042649002626</v>
      </c>
      <c r="S7" s="6"/>
      <c r="T7" s="10"/>
      <c r="U7" s="10" t="s">
        <v>18</v>
      </c>
      <c r="V7" s="10" t="s">
        <v>19</v>
      </c>
      <c r="W7" s="10" t="s">
        <v>20</v>
      </c>
      <c r="X7" s="10" t="s">
        <v>21</v>
      </c>
      <c r="Y7" s="10" t="s">
        <v>19</v>
      </c>
      <c r="Z7" s="10" t="s">
        <v>22</v>
      </c>
      <c r="AA7" s="10"/>
      <c r="AB7" s="10" t="s">
        <v>25</v>
      </c>
      <c r="AC7" s="10" t="s">
        <v>26</v>
      </c>
      <c r="AD7" s="10" t="s">
        <v>42</v>
      </c>
      <c r="AE7" s="10"/>
      <c r="AF7" s="10"/>
    </row>
    <row r="8" spans="1:32" x14ac:dyDescent="0.2">
      <c r="A8" s="13">
        <v>-42.954999999999998</v>
      </c>
      <c r="B8" s="13">
        <v>39.622999999999998</v>
      </c>
      <c r="C8" s="13"/>
      <c r="D8" s="13"/>
      <c r="E8" s="13"/>
      <c r="F8" s="13"/>
      <c r="G8" s="13"/>
      <c r="H8" s="13">
        <v>-42.954999999999998</v>
      </c>
      <c r="I8" s="13">
        <v>39.622999999999998</v>
      </c>
      <c r="J8" s="14">
        <v>-150.709</v>
      </c>
      <c r="K8" s="13">
        <v>23.504999999999999</v>
      </c>
      <c r="L8" s="6">
        <f t="shared" si="0"/>
        <v>0.23264111873070545</v>
      </c>
      <c r="M8" s="6">
        <f t="shared" si="1"/>
        <v>13.500026542335272</v>
      </c>
      <c r="N8" s="6">
        <f t="shared" si="2"/>
        <v>3.1406612777030949</v>
      </c>
      <c r="O8" s="6">
        <f t="shared" si="3"/>
        <v>0.386118763411614</v>
      </c>
      <c r="P8" s="6">
        <f t="shared" si="4"/>
        <v>5.74985728499668</v>
      </c>
      <c r="Q8" s="6">
        <f t="shared" si="5"/>
        <v>2.2201277846761789</v>
      </c>
      <c r="R8" s="6">
        <f t="shared" si="6"/>
        <v>19.249883827331953</v>
      </c>
      <c r="S8" s="6"/>
      <c r="T8" s="10" t="s">
        <v>27</v>
      </c>
      <c r="U8" s="10">
        <f>AVERAGE(M3:M1986)</f>
        <v>9.9165864798541286</v>
      </c>
      <c r="V8" s="10">
        <f>STDEVA(M3:M1986)</f>
        <v>4.517024995046814</v>
      </c>
      <c r="W8" s="10">
        <f>COUNTA(M3:M1987)</f>
        <v>10</v>
      </c>
      <c r="X8" s="10">
        <f>AVERAGE(P3:P1986)</f>
        <v>4.041643992818801</v>
      </c>
      <c r="Y8" s="10">
        <f>STDEVA(P3:P1986)</f>
        <v>0.99264514545270599</v>
      </c>
      <c r="Z8" s="10">
        <f>COUNTA(P3:P1987)</f>
        <v>6</v>
      </c>
      <c r="AA8" s="26"/>
      <c r="AB8" s="10">
        <f>AC8+AD8</f>
        <v>113.49914227559997</v>
      </c>
      <c r="AC8" s="10">
        <f>SUM(M3:M1986)</f>
        <v>89.249278318687161</v>
      </c>
      <c r="AD8" s="10">
        <f>SUM(P3:P1986)</f>
        <v>24.249863956912804</v>
      </c>
      <c r="AE8" s="27" t="s">
        <v>27</v>
      </c>
      <c r="AF8" s="10"/>
    </row>
    <row r="9" spans="1:32" x14ac:dyDescent="0.2">
      <c r="A9" s="13">
        <v>-38.884</v>
      </c>
      <c r="B9" s="13">
        <v>19.911999999999999</v>
      </c>
      <c r="C9" s="13"/>
      <c r="D9" s="13"/>
      <c r="E9" s="13"/>
      <c r="F9" s="13"/>
      <c r="G9" s="13"/>
      <c r="H9" s="13">
        <v>-38.884</v>
      </c>
      <c r="I9" s="13">
        <v>19.911999999999999</v>
      </c>
      <c r="J9" s="15" t="s">
        <v>38</v>
      </c>
      <c r="K9" s="13" t="s">
        <v>38</v>
      </c>
      <c r="L9" s="6">
        <f t="shared" si="0"/>
        <v>0.26858876238958612</v>
      </c>
      <c r="M9" s="6">
        <f t="shared" si="1"/>
        <v>6.2498362557266942</v>
      </c>
      <c r="N9" s="6">
        <f t="shared" si="2"/>
        <v>1.6786357850631977</v>
      </c>
      <c r="O9" s="6"/>
      <c r="P9" s="6"/>
      <c r="Q9" s="6"/>
      <c r="R9" s="6">
        <f t="shared" si="6"/>
        <v>6.2498362557266942</v>
      </c>
      <c r="S9" s="6"/>
      <c r="T9" s="10" t="s">
        <v>28</v>
      </c>
      <c r="U9" s="10">
        <f>U8/60</f>
        <v>0.16527644133090214</v>
      </c>
      <c r="V9" s="10">
        <f>V8/60</f>
        <v>7.5283749917446893E-2</v>
      </c>
      <c r="W9" s="10">
        <f>W8</f>
        <v>10</v>
      </c>
      <c r="X9" s="10">
        <f>X8/60</f>
        <v>6.736073321364669E-2</v>
      </c>
      <c r="Y9" s="10">
        <f>Y8/60</f>
        <v>1.65440857575451E-2</v>
      </c>
      <c r="Z9" s="10">
        <f>Z8</f>
        <v>6</v>
      </c>
      <c r="AA9" s="26"/>
      <c r="AB9" s="10">
        <f>AB8/60</f>
        <v>1.8916523712599995</v>
      </c>
      <c r="AC9" s="10">
        <f>AC8/60</f>
        <v>1.4874879719781193</v>
      </c>
      <c r="AD9" s="10">
        <f>AD8/60</f>
        <v>0.40416439928188008</v>
      </c>
      <c r="AE9" s="27" t="s">
        <v>28</v>
      </c>
      <c r="AF9" s="10"/>
    </row>
    <row r="10" spans="1:32" x14ac:dyDescent="0.2">
      <c r="A10" s="13">
        <v>-37.146999999999998</v>
      </c>
      <c r="B10" s="13">
        <v>20.7</v>
      </c>
      <c r="C10" s="13"/>
      <c r="D10" s="13"/>
      <c r="E10" s="13"/>
      <c r="F10" s="13"/>
      <c r="G10" s="13"/>
      <c r="H10" s="13">
        <v>-37.146999999999998</v>
      </c>
      <c r="I10" s="13">
        <v>20.7</v>
      </c>
      <c r="J10" s="13"/>
      <c r="K10" s="13"/>
      <c r="L10" s="6">
        <f t="shared" si="0"/>
        <v>0.28590875192070941</v>
      </c>
      <c r="M10" s="6">
        <f t="shared" si="1"/>
        <v>6.2499721823795475</v>
      </c>
      <c r="N10" s="6">
        <f t="shared" si="2"/>
        <v>1.7869217462032889</v>
      </c>
      <c r="O10" s="6"/>
      <c r="P10" s="6"/>
      <c r="Q10" s="6"/>
      <c r="R10" s="6">
        <f t="shared" si="6"/>
        <v>6.2499721823795475</v>
      </c>
      <c r="S10" s="6"/>
      <c r="T10" s="10"/>
      <c r="U10" s="10"/>
      <c r="V10" s="10"/>
      <c r="W10" s="10"/>
      <c r="X10" s="10"/>
      <c r="Y10" s="10"/>
      <c r="Z10" s="10"/>
      <c r="AA10" s="26"/>
      <c r="AB10" s="10" t="s">
        <v>55</v>
      </c>
      <c r="AC10" s="10"/>
      <c r="AD10" s="10"/>
      <c r="AE10" s="27"/>
      <c r="AF10" s="10"/>
    </row>
    <row r="11" spans="1:32" x14ac:dyDescent="0.2">
      <c r="A11" s="13">
        <v>-32.905000000000001</v>
      </c>
      <c r="B11" s="13">
        <v>20.248000000000001</v>
      </c>
      <c r="C11" s="13"/>
      <c r="D11" s="13"/>
      <c r="E11" s="13"/>
      <c r="F11" s="13"/>
      <c r="G11" s="13"/>
      <c r="H11" s="13">
        <v>-32.905000000000001</v>
      </c>
      <c r="I11" s="13">
        <v>20.248000000000001</v>
      </c>
      <c r="J11" s="13"/>
      <c r="K11" s="13"/>
      <c r="L11" s="6">
        <f t="shared" si="0"/>
        <v>0.33474856630310662</v>
      </c>
      <c r="M11" s="6">
        <f t="shared" si="1"/>
        <v>5.4998399024769817</v>
      </c>
      <c r="N11" s="6">
        <f t="shared" si="2"/>
        <v>1.8410635222507872</v>
      </c>
      <c r="O11" s="6"/>
      <c r="P11" s="6"/>
      <c r="Q11" s="6"/>
      <c r="R11" s="6">
        <f t="shared" si="6"/>
        <v>5.4998399024769817</v>
      </c>
      <c r="S11" s="6"/>
      <c r="T11" s="10"/>
      <c r="U11" s="10" t="s">
        <v>29</v>
      </c>
      <c r="V11" s="10" t="s">
        <v>30</v>
      </c>
      <c r="W11" s="10" t="s">
        <v>31</v>
      </c>
      <c r="X11" s="10" t="s">
        <v>32</v>
      </c>
      <c r="Y11" s="10"/>
      <c r="Z11" s="10"/>
      <c r="AA11" s="26"/>
      <c r="AB11" s="10" t="s">
        <v>33</v>
      </c>
      <c r="AC11" s="10" t="s">
        <v>34</v>
      </c>
      <c r="AD11" s="10" t="s">
        <v>35</v>
      </c>
      <c r="AE11" s="27"/>
      <c r="AF11" s="10"/>
    </row>
    <row r="12" spans="1:32" x14ac:dyDescent="0.2">
      <c r="A12" s="13">
        <v>-168.959</v>
      </c>
      <c r="B12" s="13">
        <v>41.773000000000003</v>
      </c>
      <c r="C12" s="13"/>
      <c r="D12" s="13"/>
      <c r="E12" s="13"/>
      <c r="F12" s="13"/>
      <c r="G12" s="13"/>
      <c r="H12" s="15" t="s">
        <v>38</v>
      </c>
      <c r="I12" s="13" t="s">
        <v>38</v>
      </c>
      <c r="J12" s="13"/>
      <c r="K12" s="13"/>
      <c r="L12" s="15" t="s">
        <v>38</v>
      </c>
      <c r="M12" s="13" t="s">
        <v>38</v>
      </c>
      <c r="N12" s="6"/>
      <c r="O12" s="6"/>
      <c r="P12" s="6"/>
      <c r="Q12" s="6"/>
      <c r="R12" s="6"/>
      <c r="S12" s="6"/>
      <c r="T12" s="10"/>
      <c r="U12" s="10">
        <f>U3</f>
        <v>0.22671425775770382</v>
      </c>
      <c r="V12" s="10">
        <f>AA3</f>
        <v>0.10084115154257293</v>
      </c>
      <c r="W12" s="10">
        <f>X3</f>
        <v>0.76541672233035618</v>
      </c>
      <c r="X12" s="10">
        <f>AD3</f>
        <v>0.2474240684673864</v>
      </c>
      <c r="Y12" s="10"/>
      <c r="Z12" s="10"/>
      <c r="AA12" s="26"/>
      <c r="AB12" s="10">
        <f>AC12+AD12</f>
        <v>36.388824108452717</v>
      </c>
      <c r="AC12" s="10">
        <f>SUM(N3:N1986)</f>
        <v>18.789993287465958</v>
      </c>
      <c r="AD12" s="10">
        <f>SUM(Q3:Q1986)</f>
        <v>17.598830820986759</v>
      </c>
      <c r="AE12" s="27" t="s">
        <v>1</v>
      </c>
      <c r="AF12" s="10"/>
    </row>
    <row r="13" spans="1:32" x14ac:dyDescent="0.2">
      <c r="A13" s="14">
        <v>-167.36699999999999</v>
      </c>
      <c r="B13" s="14">
        <v>29.72</v>
      </c>
      <c r="C13" s="13"/>
      <c r="D13" s="13"/>
      <c r="E13" s="13"/>
      <c r="F13" s="13"/>
      <c r="G13" s="13"/>
      <c r="H13" s="13"/>
      <c r="I13" s="13"/>
      <c r="J13" s="13"/>
      <c r="K13" s="13"/>
      <c r="L13" s="6"/>
      <c r="M13" s="6"/>
      <c r="N13" s="6"/>
      <c r="O13" s="6"/>
      <c r="P13" s="6"/>
      <c r="Q13" s="6"/>
      <c r="R13" s="6"/>
      <c r="S13" s="6"/>
      <c r="T13" s="11"/>
      <c r="U13" s="11"/>
      <c r="V13" s="11"/>
      <c r="W13" s="11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x14ac:dyDescent="0.2">
      <c r="A14" s="13">
        <v>-165.964</v>
      </c>
      <c r="B14" s="13">
        <v>24.739000000000001</v>
      </c>
      <c r="C14" s="13"/>
      <c r="D14" s="13"/>
      <c r="E14" s="13"/>
      <c r="F14" s="13"/>
      <c r="G14" s="13"/>
      <c r="H14" s="13"/>
      <c r="I14" s="13"/>
      <c r="J14" s="13"/>
      <c r="K14" s="13"/>
      <c r="L14" s="6"/>
      <c r="M14" s="6"/>
      <c r="N14" s="6"/>
      <c r="O14" s="6"/>
      <c r="P14" s="6"/>
      <c r="Q14" s="6"/>
      <c r="R14" s="6"/>
      <c r="S14" s="6"/>
      <c r="T14" s="11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x14ac:dyDescent="0.2">
      <c r="A15" s="14">
        <v>-161.565</v>
      </c>
      <c r="B15" s="13">
        <v>23.716999999999999</v>
      </c>
      <c r="C15" s="13"/>
      <c r="D15" s="13"/>
      <c r="E15" s="13"/>
      <c r="F15" s="13"/>
      <c r="G15" s="13"/>
      <c r="H15" s="13"/>
      <c r="I15" s="13"/>
      <c r="J15" s="13"/>
      <c r="K15" s="13"/>
      <c r="L15" s="6"/>
      <c r="M15" s="6"/>
      <c r="N15" s="6"/>
      <c r="O15" s="6"/>
      <c r="P15" s="6"/>
      <c r="Q15" s="6"/>
      <c r="R15" s="6"/>
      <c r="S15" s="6"/>
      <c r="T15" s="11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2">
      <c r="A16" s="14">
        <v>-160.56</v>
      </c>
      <c r="B16" s="14">
        <v>27.042000000000002</v>
      </c>
      <c r="C16" s="13"/>
      <c r="D16" s="13"/>
      <c r="E16" s="13"/>
      <c r="F16" s="13"/>
      <c r="G16" s="13"/>
      <c r="H16" s="13"/>
      <c r="I16" s="13"/>
      <c r="J16" s="13"/>
      <c r="K16" s="13"/>
      <c r="L16" s="6"/>
      <c r="M16" s="6"/>
      <c r="N16" s="6"/>
      <c r="O16" s="6"/>
      <c r="P16" s="6"/>
      <c r="Q16" s="6"/>
      <c r="R16" s="6"/>
      <c r="S16" s="6"/>
      <c r="T16" s="11"/>
      <c r="U16" s="10"/>
      <c r="V16" s="10"/>
      <c r="W16" s="10"/>
      <c r="X16" s="10"/>
      <c r="Y16" s="10"/>
      <c r="Z16" s="10" t="s">
        <v>36</v>
      </c>
      <c r="AA16" s="10" t="s">
        <v>37</v>
      </c>
      <c r="AB16" s="10"/>
      <c r="AC16" s="10"/>
      <c r="AD16" s="10"/>
      <c r="AE16" s="10"/>
      <c r="AF16" s="10"/>
    </row>
    <row r="17" spans="1:32" x14ac:dyDescent="0.2">
      <c r="A17" s="14">
        <v>-150.709</v>
      </c>
      <c r="B17" s="13">
        <v>23.504999999999999</v>
      </c>
      <c r="C17" s="13"/>
      <c r="D17" s="13"/>
      <c r="E17" s="13"/>
      <c r="F17" s="13"/>
      <c r="G17" s="13"/>
      <c r="H17" s="13"/>
      <c r="I17" s="13"/>
      <c r="J17" s="13"/>
      <c r="K17" s="13"/>
      <c r="L17" s="6"/>
      <c r="M17" s="6"/>
      <c r="N17" s="6"/>
      <c r="O17" s="6"/>
      <c r="P17" s="6"/>
      <c r="Q17" s="6"/>
      <c r="R17" s="6"/>
      <c r="S17" s="6"/>
      <c r="T17" s="10"/>
      <c r="U17" s="10"/>
      <c r="V17" s="10"/>
      <c r="W17" s="10"/>
      <c r="X17" s="10"/>
      <c r="Y17" s="10"/>
      <c r="Z17" s="10">
        <f>(W12*U12)/((W12*V12)-(U12*X12))</f>
        <v>8.2277455111426701</v>
      </c>
      <c r="AA17" s="10">
        <f>(U12*X12-W12*V12)/(V12+X12)</f>
        <v>-6.0559994061873221E-2</v>
      </c>
      <c r="AB17" s="10"/>
      <c r="AC17" s="10"/>
      <c r="AD17" s="10"/>
      <c r="AE17" s="10"/>
      <c r="AF17" s="10"/>
    </row>
    <row r="18" spans="1:32" x14ac:dyDescent="0.2">
      <c r="A18" s="15" t="s">
        <v>38</v>
      </c>
      <c r="B18" s="13" t="s">
        <v>38</v>
      </c>
      <c r="C18" s="13"/>
      <c r="D18" s="13"/>
      <c r="E18" s="13"/>
      <c r="F18" s="13"/>
      <c r="G18" s="13"/>
      <c r="H18" s="13"/>
      <c r="I18" s="13"/>
      <c r="J18" s="13"/>
      <c r="K18" s="13"/>
      <c r="L18" s="6"/>
      <c r="M18" s="6"/>
      <c r="N18" s="6"/>
      <c r="O18" s="6"/>
      <c r="P18" s="6"/>
      <c r="Q18" s="6"/>
      <c r="R18" s="6"/>
      <c r="S18" s="6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6"/>
      <c r="M19" s="6"/>
      <c r="N19" s="6"/>
      <c r="O19" s="6"/>
      <c r="P19" s="6"/>
      <c r="Q19" s="6"/>
      <c r="R19" s="6"/>
      <c r="S19" s="6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6"/>
      <c r="M20" s="6"/>
      <c r="N20" s="6"/>
      <c r="O20" s="6"/>
      <c r="P20" s="6"/>
      <c r="Q20" s="6"/>
      <c r="R20" s="6"/>
      <c r="S20" s="6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2"/>
      <c r="AE20" s="12"/>
      <c r="AF20" s="12"/>
    </row>
    <row r="21" spans="1:32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"/>
      <c r="M21" s="6"/>
      <c r="N21" s="6"/>
      <c r="O21" s="6"/>
      <c r="P21" s="6"/>
      <c r="Q21" s="6"/>
      <c r="R21" s="6"/>
      <c r="S21" s="6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2"/>
      <c r="AE21" s="12"/>
      <c r="AF21" s="12"/>
    </row>
    <row r="22" spans="1:32" x14ac:dyDescent="0.2">
      <c r="A22" s="19" t="s">
        <v>43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6"/>
      <c r="M22" s="6"/>
      <c r="N22" s="6"/>
      <c r="O22" s="6"/>
      <c r="P22" s="6"/>
      <c r="Q22" s="6"/>
      <c r="R22" s="6"/>
      <c r="S22" s="6"/>
    </row>
    <row r="23" spans="1:32" x14ac:dyDescent="0.2">
      <c r="A23" s="4"/>
      <c r="B23" s="16"/>
      <c r="C23" s="16"/>
      <c r="D23" s="16"/>
      <c r="E23" s="16"/>
      <c r="F23" s="16"/>
      <c r="G23" s="16"/>
      <c r="H23" s="16"/>
      <c r="I23" s="16"/>
      <c r="J23" s="16"/>
      <c r="K23" s="3"/>
      <c r="L23" s="6"/>
      <c r="M23" s="6"/>
      <c r="N23" s="6"/>
      <c r="O23" s="6"/>
      <c r="P23" s="6"/>
      <c r="Q23" s="6"/>
      <c r="R23" s="6"/>
      <c r="S23" s="6"/>
    </row>
    <row r="24" spans="1:32" x14ac:dyDescent="0.2">
      <c r="A24" s="17" t="s">
        <v>46</v>
      </c>
      <c r="B24" s="18"/>
      <c r="C24" s="18"/>
      <c r="D24" s="18"/>
      <c r="E24" s="18"/>
      <c r="F24" s="18"/>
      <c r="G24" s="16"/>
      <c r="H24" s="16"/>
      <c r="I24" s="16"/>
      <c r="J24" s="16"/>
      <c r="K24" s="3"/>
      <c r="L24" s="6"/>
      <c r="M24" s="6"/>
      <c r="N24" s="6"/>
      <c r="O24" s="6"/>
      <c r="P24" s="6"/>
      <c r="Q24" s="6"/>
      <c r="R24" s="6"/>
      <c r="S24" s="6"/>
    </row>
    <row r="25" spans="1:32" x14ac:dyDescent="0.2">
      <c r="A25" s="17" t="s">
        <v>45</v>
      </c>
      <c r="B25" s="18"/>
      <c r="C25" s="18"/>
      <c r="D25" s="18"/>
      <c r="E25" s="18"/>
      <c r="F25" s="18"/>
      <c r="G25" s="16"/>
      <c r="H25" s="16"/>
      <c r="I25" s="16"/>
      <c r="J25" s="16"/>
      <c r="K25" s="3"/>
      <c r="L25" s="6"/>
      <c r="M25" s="6"/>
      <c r="N25" s="6"/>
      <c r="O25" s="6"/>
      <c r="P25" s="6"/>
      <c r="Q25" s="6"/>
      <c r="R25" s="6"/>
      <c r="S25" s="6"/>
    </row>
    <row r="26" spans="1:32" x14ac:dyDescent="0.2">
      <c r="A26" s="28"/>
      <c r="B26" s="16"/>
      <c r="C26" s="16"/>
      <c r="D26" s="16"/>
      <c r="E26" s="16"/>
      <c r="F26" s="16"/>
      <c r="G26" s="16"/>
      <c r="H26" s="16"/>
      <c r="I26" s="16"/>
      <c r="J26" s="16"/>
      <c r="K26" s="3"/>
      <c r="L26" s="6"/>
      <c r="M26" s="6"/>
      <c r="N26" s="6"/>
      <c r="O26" s="6"/>
      <c r="P26" s="6"/>
      <c r="Q26" s="6"/>
      <c r="R26" s="6"/>
      <c r="S26" s="6"/>
    </row>
    <row r="27" spans="1:32" x14ac:dyDescent="0.2">
      <c r="A27" s="22" t="s">
        <v>44</v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6"/>
      <c r="M27" s="6"/>
      <c r="N27" s="6"/>
      <c r="O27" s="6"/>
      <c r="P27" s="6"/>
      <c r="Q27" s="6"/>
      <c r="R27" s="6"/>
      <c r="S27" s="6"/>
    </row>
    <row r="28" spans="1:32" x14ac:dyDescent="0.2">
      <c r="A28" s="25" t="s">
        <v>47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6"/>
      <c r="M28" s="6"/>
      <c r="N28" s="6"/>
      <c r="O28" s="6"/>
      <c r="P28" s="6"/>
      <c r="Q28" s="6"/>
      <c r="R28" s="6"/>
      <c r="S28" s="6"/>
    </row>
    <row r="29" spans="1:32" x14ac:dyDescent="0.2">
      <c r="A29" s="4"/>
      <c r="B29" s="16"/>
      <c r="C29" s="16"/>
      <c r="D29" s="16"/>
      <c r="E29" s="16"/>
      <c r="F29" s="16"/>
      <c r="G29" s="16"/>
      <c r="H29" s="16"/>
      <c r="I29" s="16"/>
      <c r="J29" s="16"/>
      <c r="K29" s="3"/>
      <c r="L29" s="6"/>
      <c r="M29" s="6"/>
      <c r="N29" s="6"/>
      <c r="O29" s="6"/>
      <c r="P29" s="6"/>
      <c r="Q29" s="6"/>
      <c r="R29" s="6"/>
      <c r="S29" s="6"/>
    </row>
    <row r="30" spans="1:32" x14ac:dyDescent="0.2">
      <c r="A30" s="28" t="s">
        <v>48</v>
      </c>
      <c r="B30" s="29"/>
      <c r="C30" s="29"/>
      <c r="D30" s="29"/>
      <c r="E30" s="29"/>
      <c r="F30" s="29"/>
      <c r="G30" s="29"/>
      <c r="H30" s="29"/>
      <c r="I30" s="29"/>
      <c r="J30" s="29"/>
      <c r="K30" s="30"/>
    </row>
    <row r="31" spans="1:32" x14ac:dyDescent="0.2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0"/>
    </row>
    <row r="32" spans="1:32" x14ac:dyDescent="0.2">
      <c r="A32" s="31" t="s">
        <v>49</v>
      </c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spans="1:11" x14ac:dyDescent="0.2">
      <c r="A33" s="31" t="s">
        <v>52</v>
      </c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x14ac:dyDescent="0.2">
      <c r="A34" s="31" t="s">
        <v>53</v>
      </c>
      <c r="B34" s="32"/>
      <c r="C34" s="32"/>
      <c r="D34" s="32"/>
      <c r="E34" s="32"/>
      <c r="F34" s="32"/>
      <c r="G34" s="32"/>
      <c r="H34" s="32"/>
      <c r="I34" s="32"/>
      <c r="J34" s="32"/>
      <c r="K34" s="33"/>
    </row>
    <row r="35" spans="1:11" x14ac:dyDescent="0.2">
      <c r="A35" s="31" t="s">
        <v>56</v>
      </c>
      <c r="B35" s="32"/>
      <c r="C35" s="32"/>
      <c r="D35" s="32"/>
      <c r="E35" s="32"/>
      <c r="F35" s="32"/>
      <c r="G35" s="32"/>
      <c r="H35" s="32"/>
      <c r="I35" s="32"/>
      <c r="J35" s="32"/>
      <c r="K35" s="33"/>
    </row>
    <row r="36" spans="1:11" x14ac:dyDescent="0.2">
      <c r="A36" s="31" t="s">
        <v>59</v>
      </c>
      <c r="B36" s="32"/>
      <c r="C36" s="32"/>
      <c r="D36" s="32"/>
      <c r="E36" s="32"/>
      <c r="F36" s="32"/>
      <c r="G36" s="32"/>
      <c r="H36" s="32"/>
      <c r="I36" s="32"/>
      <c r="J36" s="32"/>
      <c r="K36" s="33"/>
    </row>
    <row r="37" spans="1:11" x14ac:dyDescent="0.2">
      <c r="A37" s="31" t="s">
        <v>57</v>
      </c>
      <c r="B37" s="32"/>
      <c r="C37" s="32"/>
      <c r="D37" s="32"/>
      <c r="E37" s="32"/>
      <c r="F37" s="32"/>
      <c r="G37" s="32"/>
      <c r="H37" s="32"/>
      <c r="I37" s="32"/>
      <c r="J37" s="32"/>
      <c r="K37" s="33"/>
    </row>
    <row r="38" spans="1:11" x14ac:dyDescent="0.2">
      <c r="A38" s="31" t="s">
        <v>58</v>
      </c>
      <c r="B38" s="32"/>
      <c r="C38" s="32"/>
      <c r="D38" s="32"/>
      <c r="E38" s="32"/>
      <c r="F38" s="32"/>
      <c r="G38" s="32"/>
      <c r="H38" s="32"/>
      <c r="I38" s="32"/>
      <c r="J38" s="32"/>
      <c r="K38" s="33"/>
    </row>
    <row r="39" spans="1:11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3"/>
    </row>
    <row r="40" spans="1:11" x14ac:dyDescent="0.2">
      <c r="A40" s="31" t="s">
        <v>62</v>
      </c>
      <c r="B40" s="32"/>
      <c r="C40" s="32"/>
      <c r="D40" s="32"/>
      <c r="E40" s="32"/>
      <c r="F40" s="32"/>
      <c r="G40" s="32"/>
      <c r="H40" s="32"/>
      <c r="I40" s="32"/>
      <c r="J40" s="32"/>
      <c r="K40" s="33"/>
    </row>
    <row r="41" spans="1:11" x14ac:dyDescent="0.2">
      <c r="A41" s="31" t="s">
        <v>60</v>
      </c>
      <c r="B41" s="32"/>
      <c r="C41" s="32"/>
      <c r="D41" s="32"/>
      <c r="E41" s="32"/>
      <c r="F41" s="32"/>
      <c r="G41" s="32"/>
      <c r="H41" s="32"/>
      <c r="I41" s="32"/>
      <c r="J41" s="32"/>
      <c r="K41" s="33"/>
    </row>
    <row r="42" spans="1:11" x14ac:dyDescent="0.2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30"/>
    </row>
    <row r="43" spans="1:1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6"/>
    </row>
  </sheetData>
  <sortState xmlns:xlrd2="http://schemas.microsoft.com/office/spreadsheetml/2017/richdata2" ref="A3:B18">
    <sortCondition descending="1" ref="A3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298A-5610-A54F-9162-9B54756F2591}">
  <dimension ref="A1:AF29"/>
  <sheetViews>
    <sheetView workbookViewId="0">
      <selection activeCell="E9" sqref="E9"/>
    </sheetView>
  </sheetViews>
  <sheetFormatPr baseColWidth="10" defaultRowHeight="16" x14ac:dyDescent="0.2"/>
  <sheetData>
    <row r="1" spans="1:32" x14ac:dyDescent="0.2">
      <c r="A1" s="8"/>
      <c r="B1" s="8"/>
      <c r="C1" s="8"/>
      <c r="D1" s="8"/>
      <c r="E1" s="5" t="s">
        <v>39</v>
      </c>
      <c r="F1" s="39" t="s">
        <v>63</v>
      </c>
      <c r="G1" t="s">
        <v>41</v>
      </c>
      <c r="H1" s="2"/>
      <c r="I1" s="2"/>
      <c r="J1" s="2"/>
      <c r="K1" s="2"/>
      <c r="L1" s="6">
        <f>PI()</f>
        <v>3.1415926535897931</v>
      </c>
      <c r="M1" s="6" t="s">
        <v>0</v>
      </c>
      <c r="N1" s="6" t="s">
        <v>1</v>
      </c>
      <c r="O1" s="6" t="s">
        <v>2</v>
      </c>
      <c r="P1" s="6" t="s">
        <v>0</v>
      </c>
      <c r="Q1" s="6" t="s">
        <v>1</v>
      </c>
      <c r="R1" s="6" t="s">
        <v>0</v>
      </c>
      <c r="S1" s="6"/>
      <c r="T1" s="10"/>
      <c r="U1" s="10" t="s">
        <v>3</v>
      </c>
      <c r="V1" s="10"/>
      <c r="W1" s="10"/>
      <c r="X1" s="10" t="s">
        <v>4</v>
      </c>
      <c r="Y1" s="10"/>
      <c r="Z1" s="10"/>
      <c r="AA1" s="10" t="s">
        <v>50</v>
      </c>
      <c r="AB1" s="10"/>
      <c r="AC1" s="10"/>
      <c r="AD1" s="10" t="s">
        <v>51</v>
      </c>
      <c r="AE1" s="10"/>
      <c r="AF1" s="10"/>
    </row>
    <row r="2" spans="1:32" x14ac:dyDescent="0.2">
      <c r="A2" s="9" t="s">
        <v>5</v>
      </c>
      <c r="B2" s="9" t="s">
        <v>6</v>
      </c>
      <c r="C2" s="9"/>
      <c r="D2" s="9"/>
      <c r="E2" s="5" t="s">
        <v>40</v>
      </c>
      <c r="F2" s="39" t="s">
        <v>63</v>
      </c>
      <c r="G2" s="1"/>
      <c r="H2" s="7" t="s">
        <v>7</v>
      </c>
      <c r="I2" s="7" t="s">
        <v>9</v>
      </c>
      <c r="J2" s="7" t="s">
        <v>8</v>
      </c>
      <c r="K2" s="7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/>
      <c r="T2" s="10"/>
      <c r="U2" s="10" t="s">
        <v>18</v>
      </c>
      <c r="V2" s="10" t="s">
        <v>19</v>
      </c>
      <c r="W2" s="10" t="s">
        <v>20</v>
      </c>
      <c r="X2" s="10" t="s">
        <v>21</v>
      </c>
      <c r="Y2" s="10" t="s">
        <v>19</v>
      </c>
      <c r="Z2" s="10" t="s">
        <v>22</v>
      </c>
      <c r="AA2" s="10" t="s">
        <v>18</v>
      </c>
      <c r="AB2" s="10" t="s">
        <v>19</v>
      </c>
      <c r="AC2" s="10" t="s">
        <v>20</v>
      </c>
      <c r="AD2" s="10" t="s">
        <v>18</v>
      </c>
      <c r="AE2" s="10" t="s">
        <v>19</v>
      </c>
      <c r="AF2" s="10" t="s">
        <v>20</v>
      </c>
    </row>
    <row r="3" spans="1:32" x14ac:dyDescent="0.2">
      <c r="A3" s="37" t="s">
        <v>64</v>
      </c>
      <c r="B3" s="37"/>
      <c r="C3" s="38"/>
      <c r="D3" s="38"/>
      <c r="E3" s="37"/>
      <c r="F3" s="37"/>
      <c r="G3" s="37"/>
      <c r="H3" s="37" t="s">
        <v>65</v>
      </c>
      <c r="I3" s="37" t="s">
        <v>65</v>
      </c>
      <c r="J3" s="37" t="s">
        <v>65</v>
      </c>
      <c r="K3" s="37" t="s">
        <v>65</v>
      </c>
      <c r="L3" s="6" t="e">
        <f>1/TAN(-H3*$L$1/180)*$F$1*$F$2</f>
        <v>#VALUE!</v>
      </c>
      <c r="M3" s="6" t="e">
        <f>SIN(-H3*$L$1/180)*I3*(1/$F$2)</f>
        <v>#VALUE!</v>
      </c>
      <c r="N3" s="6" t="e">
        <f>COS(-H3*$L$1/180)*I3*$F$1</f>
        <v>#VALUE!</v>
      </c>
      <c r="O3" s="6" t="str">
        <f>IFERROR(1/TAN(J3*$L$1/180)*$F$1*$F$2,"")</f>
        <v/>
      </c>
      <c r="P3" s="6" t="e">
        <f>SIN(-J3*$L$1/180)*K3*(1/$F$2)</f>
        <v>#VALUE!</v>
      </c>
      <c r="Q3" s="6" t="e">
        <f>-COS(J3*$L$1/180)*K3*$F$1</f>
        <v>#VALUE!</v>
      </c>
      <c r="R3" s="6" t="e">
        <f>M3+P3</f>
        <v>#VALUE!</v>
      </c>
      <c r="S3" s="6"/>
      <c r="T3" s="10" t="s">
        <v>2</v>
      </c>
      <c r="U3" s="10" t="e">
        <f>AVERAGE(L3:L1986)</f>
        <v>#VALUE!</v>
      </c>
      <c r="V3" s="10" t="e">
        <f>STDEVA(L3:L1986)</f>
        <v>#VALUE!</v>
      </c>
      <c r="W3" s="10">
        <f>COUNTA(L3:L1986)</f>
        <v>1</v>
      </c>
      <c r="X3" s="10" t="e">
        <f>AVERAGE(O3:O1986)</f>
        <v>#DIV/0!</v>
      </c>
      <c r="Y3" s="10" t="e">
        <f>STDEVA(O3:O1987)</f>
        <v>#DIV/0!</v>
      </c>
      <c r="Z3" s="10">
        <f>COUNTA(O3:O1987)</f>
        <v>1</v>
      </c>
      <c r="AA3" s="10" t="e">
        <f>1/U8</f>
        <v>#VALUE!</v>
      </c>
      <c r="AB3" s="10" t="e">
        <f>V8/U8^2</f>
        <v>#VALUE!</v>
      </c>
      <c r="AC3" s="10">
        <f>COUNTA(M3:M1987)</f>
        <v>1</v>
      </c>
      <c r="AD3" s="10" t="e">
        <f>1/X8</f>
        <v>#VALUE!</v>
      </c>
      <c r="AE3" s="10" t="e">
        <f>Y8/X8^2</f>
        <v>#VALUE!</v>
      </c>
      <c r="AF3" s="10">
        <f>COUNTA(P3:P1987)</f>
        <v>1</v>
      </c>
    </row>
    <row r="4" spans="1:32" x14ac:dyDescent="0.2">
      <c r="A4" s="13"/>
      <c r="B4" s="13"/>
      <c r="C4" s="14"/>
      <c r="D4" s="14"/>
      <c r="E4" s="14"/>
      <c r="F4" s="14"/>
      <c r="G4" s="13"/>
      <c r="H4" s="13"/>
      <c r="I4" s="13"/>
      <c r="J4" s="14"/>
      <c r="K4" s="14"/>
      <c r="L4" s="6"/>
      <c r="M4" s="6"/>
      <c r="N4" s="6"/>
      <c r="O4" s="6"/>
      <c r="P4" s="6"/>
      <c r="Q4" s="6"/>
      <c r="R4" s="6"/>
      <c r="S4" s="6"/>
      <c r="T4" s="10" t="s">
        <v>61</v>
      </c>
      <c r="U4" s="10" t="e">
        <f>U3*60</f>
        <v>#VALUE!</v>
      </c>
      <c r="V4" s="10" t="e">
        <f>V3*60</f>
        <v>#VALUE!</v>
      </c>
      <c r="W4" s="10">
        <f>W3</f>
        <v>1</v>
      </c>
      <c r="X4" s="10" t="e">
        <f>X3*60</f>
        <v>#DIV/0!</v>
      </c>
      <c r="Y4" s="10" t="e">
        <f>Y3*60</f>
        <v>#DIV/0!</v>
      </c>
      <c r="Z4" s="10">
        <f>Z3</f>
        <v>1</v>
      </c>
      <c r="AA4" s="10" t="e">
        <f>AA3*60</f>
        <v>#VALUE!</v>
      </c>
      <c r="AB4" s="10" t="e">
        <f>AB3*60</f>
        <v>#VALUE!</v>
      </c>
      <c r="AC4" s="10">
        <f>AC3</f>
        <v>1</v>
      </c>
      <c r="AD4" s="10" t="e">
        <f>AD3*60</f>
        <v>#VALUE!</v>
      </c>
      <c r="AE4" s="10" t="e">
        <f>AE3*60</f>
        <v>#VALUE!</v>
      </c>
      <c r="AF4" s="10">
        <f>AF3</f>
        <v>1</v>
      </c>
    </row>
    <row r="5" spans="1:32" x14ac:dyDescent="0.2">
      <c r="A5" s="13"/>
      <c r="B5" s="13"/>
      <c r="C5" s="14"/>
      <c r="D5" s="14"/>
      <c r="E5" s="14"/>
      <c r="F5" s="14"/>
      <c r="G5" s="13"/>
      <c r="H5" s="13"/>
      <c r="I5" s="13"/>
      <c r="J5" s="13"/>
      <c r="K5" s="13"/>
      <c r="L5" s="6"/>
      <c r="M5" s="6"/>
      <c r="N5" s="6"/>
      <c r="O5" s="6"/>
      <c r="P5" s="6"/>
      <c r="Q5" s="6"/>
      <c r="R5" s="6"/>
      <c r="S5" s="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">
      <c r="A6" s="14"/>
      <c r="B6" s="14"/>
      <c r="C6" s="14"/>
      <c r="D6" s="14"/>
      <c r="E6" s="14"/>
      <c r="F6" s="14"/>
      <c r="G6" s="13"/>
      <c r="H6" s="14"/>
      <c r="I6" s="14"/>
      <c r="J6" s="14"/>
      <c r="K6" s="13"/>
      <c r="L6" s="6"/>
      <c r="M6" s="6"/>
      <c r="N6" s="6"/>
      <c r="O6" s="6"/>
      <c r="P6" s="6"/>
      <c r="Q6" s="6"/>
      <c r="R6" s="6"/>
      <c r="S6" s="6"/>
      <c r="T6" s="10"/>
      <c r="U6" s="10" t="s">
        <v>23</v>
      </c>
      <c r="V6" s="10"/>
      <c r="W6" s="10"/>
      <c r="X6" s="10" t="s">
        <v>24</v>
      </c>
      <c r="Y6" s="10"/>
      <c r="Z6" s="10"/>
      <c r="AA6" s="10"/>
      <c r="AB6" s="10" t="s">
        <v>54</v>
      </c>
      <c r="AC6" s="10"/>
      <c r="AD6" s="10"/>
      <c r="AE6" s="10"/>
      <c r="AF6" s="10"/>
    </row>
    <row r="7" spans="1:32" x14ac:dyDescent="0.2">
      <c r="A7" s="14"/>
      <c r="B7" s="14"/>
      <c r="C7" s="13"/>
      <c r="D7" s="13"/>
      <c r="E7" s="13"/>
      <c r="F7" s="13"/>
      <c r="G7" s="13"/>
      <c r="H7" s="14"/>
      <c r="I7" s="14"/>
      <c r="J7" s="14"/>
      <c r="K7" s="14"/>
      <c r="L7" s="6"/>
      <c r="M7" s="6"/>
      <c r="N7" s="6"/>
      <c r="O7" s="6"/>
      <c r="P7" s="6"/>
      <c r="Q7" s="6"/>
      <c r="R7" s="6"/>
      <c r="S7" s="6"/>
      <c r="T7" s="10"/>
      <c r="U7" s="10" t="s">
        <v>18</v>
      </c>
      <c r="V7" s="10" t="s">
        <v>19</v>
      </c>
      <c r="W7" s="10" t="s">
        <v>20</v>
      </c>
      <c r="X7" s="10" t="s">
        <v>21</v>
      </c>
      <c r="Y7" s="10" t="s">
        <v>19</v>
      </c>
      <c r="Z7" s="10" t="s">
        <v>22</v>
      </c>
      <c r="AA7" s="10"/>
      <c r="AB7" s="10" t="s">
        <v>25</v>
      </c>
      <c r="AC7" s="10" t="s">
        <v>26</v>
      </c>
      <c r="AD7" s="10" t="s">
        <v>42</v>
      </c>
      <c r="AE7" s="10"/>
      <c r="AF7" s="10"/>
    </row>
    <row r="8" spans="1:32" x14ac:dyDescent="0.2">
      <c r="A8" s="13"/>
      <c r="B8" s="13"/>
      <c r="C8" s="13"/>
      <c r="D8" s="13"/>
      <c r="E8" s="13"/>
      <c r="F8" s="13"/>
      <c r="G8" s="13"/>
      <c r="H8" s="13"/>
      <c r="I8" s="13"/>
      <c r="J8" s="14"/>
      <c r="K8" s="13"/>
      <c r="L8" s="6"/>
      <c r="M8" s="6"/>
      <c r="N8" s="6"/>
      <c r="O8" s="6"/>
      <c r="P8" s="6"/>
      <c r="Q8" s="6"/>
      <c r="R8" s="6"/>
      <c r="S8" s="6"/>
      <c r="T8" s="10" t="s">
        <v>27</v>
      </c>
      <c r="U8" s="10" t="e">
        <f>AVERAGE(M3:M1986)</f>
        <v>#VALUE!</v>
      </c>
      <c r="V8" s="10" t="e">
        <f>STDEVA(M3:M1986)</f>
        <v>#VALUE!</v>
      </c>
      <c r="W8" s="10">
        <f>COUNTA(M3:M1987)</f>
        <v>1</v>
      </c>
      <c r="X8" s="10" t="e">
        <f>AVERAGE(P3:P1986)</f>
        <v>#VALUE!</v>
      </c>
      <c r="Y8" s="10" t="e">
        <f>STDEVA(P3:P1986)</f>
        <v>#VALUE!</v>
      </c>
      <c r="Z8" s="10">
        <f>COUNTA(P3:P1987)</f>
        <v>1</v>
      </c>
      <c r="AA8" s="26"/>
      <c r="AB8" s="10" t="e">
        <f>AC8+AD8</f>
        <v>#VALUE!</v>
      </c>
      <c r="AC8" s="10" t="e">
        <f>SUM(M3:M1986)</f>
        <v>#VALUE!</v>
      </c>
      <c r="AD8" s="10" t="e">
        <f>SUM(P3:P1986)</f>
        <v>#VALUE!</v>
      </c>
      <c r="AE8" s="27" t="s">
        <v>27</v>
      </c>
      <c r="AF8" s="10"/>
    </row>
    <row r="9" spans="1:32" x14ac:dyDescent="0.2">
      <c r="A9" s="13"/>
      <c r="B9" s="13"/>
      <c r="C9" s="13"/>
      <c r="D9" s="13"/>
      <c r="E9" s="13"/>
      <c r="F9" s="13"/>
      <c r="G9" s="13"/>
      <c r="H9" s="13"/>
      <c r="I9" s="13"/>
      <c r="J9" s="15"/>
      <c r="K9" s="13"/>
      <c r="L9" s="6"/>
      <c r="M9" s="6"/>
      <c r="N9" s="6"/>
      <c r="O9" s="6"/>
      <c r="P9" s="6"/>
      <c r="Q9" s="6"/>
      <c r="R9" s="6"/>
      <c r="S9" s="6"/>
      <c r="T9" s="10" t="s">
        <v>28</v>
      </c>
      <c r="U9" s="10" t="e">
        <f>U8/60</f>
        <v>#VALUE!</v>
      </c>
      <c r="V9" s="10" t="e">
        <f>V8/60</f>
        <v>#VALUE!</v>
      </c>
      <c r="W9" s="10">
        <f>W8</f>
        <v>1</v>
      </c>
      <c r="X9" s="10" t="e">
        <f>X8/60</f>
        <v>#VALUE!</v>
      </c>
      <c r="Y9" s="10" t="e">
        <f>Y8/60</f>
        <v>#VALUE!</v>
      </c>
      <c r="Z9" s="10">
        <f>Z8</f>
        <v>1</v>
      </c>
      <c r="AA9" s="26"/>
      <c r="AB9" s="10" t="e">
        <f>AB8/60</f>
        <v>#VALUE!</v>
      </c>
      <c r="AC9" s="10" t="e">
        <f>AC8/60</f>
        <v>#VALUE!</v>
      </c>
      <c r="AD9" s="10" t="e">
        <f>AD8/60</f>
        <v>#VALUE!</v>
      </c>
      <c r="AE9" s="27" t="s">
        <v>28</v>
      </c>
      <c r="AF9" s="10"/>
    </row>
    <row r="10" spans="1:32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6"/>
      <c r="M10" s="6"/>
      <c r="N10" s="6"/>
      <c r="O10" s="6"/>
      <c r="P10" s="6"/>
      <c r="Q10" s="6"/>
      <c r="R10" s="6"/>
      <c r="S10" s="6"/>
      <c r="T10" s="10"/>
      <c r="U10" s="10"/>
      <c r="V10" s="10"/>
      <c r="W10" s="10"/>
      <c r="X10" s="10"/>
      <c r="Y10" s="10"/>
      <c r="Z10" s="10"/>
      <c r="AA10" s="26"/>
      <c r="AB10" s="10" t="s">
        <v>55</v>
      </c>
      <c r="AC10" s="10"/>
      <c r="AD10" s="10"/>
      <c r="AE10" s="27"/>
      <c r="AF10" s="10"/>
    </row>
    <row r="11" spans="1:32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6"/>
      <c r="M11" s="6"/>
      <c r="N11" s="6"/>
      <c r="O11" s="6"/>
      <c r="P11" s="6"/>
      <c r="Q11" s="6"/>
      <c r="R11" s="6"/>
      <c r="S11" s="6"/>
      <c r="T11" s="10"/>
      <c r="U11" s="10" t="s">
        <v>29</v>
      </c>
      <c r="V11" s="10" t="s">
        <v>30</v>
      </c>
      <c r="W11" s="10" t="s">
        <v>31</v>
      </c>
      <c r="X11" s="10" t="s">
        <v>32</v>
      </c>
      <c r="Y11" s="10"/>
      <c r="Z11" s="10"/>
      <c r="AA11" s="26"/>
      <c r="AB11" s="10" t="s">
        <v>33</v>
      </c>
      <c r="AC11" s="10" t="s">
        <v>34</v>
      </c>
      <c r="AD11" s="10" t="s">
        <v>35</v>
      </c>
      <c r="AE11" s="27"/>
      <c r="AF11" s="10"/>
    </row>
    <row r="12" spans="1:32" x14ac:dyDescent="0.2">
      <c r="A12" s="13"/>
      <c r="B12" s="13"/>
      <c r="C12" s="13"/>
      <c r="D12" s="13"/>
      <c r="E12" s="13"/>
      <c r="F12" s="13"/>
      <c r="G12" s="13"/>
      <c r="H12" s="15"/>
      <c r="I12" s="13"/>
      <c r="J12" s="13"/>
      <c r="K12" s="13"/>
      <c r="L12" s="15"/>
      <c r="M12" s="13"/>
      <c r="N12" s="6"/>
      <c r="O12" s="6"/>
      <c r="P12" s="6"/>
      <c r="Q12" s="6"/>
      <c r="R12" s="6"/>
      <c r="S12" s="6"/>
      <c r="T12" s="10"/>
      <c r="U12" s="10" t="e">
        <f>U3</f>
        <v>#VALUE!</v>
      </c>
      <c r="V12" s="10" t="e">
        <f>AA3</f>
        <v>#VALUE!</v>
      </c>
      <c r="W12" s="10" t="e">
        <f>X3</f>
        <v>#DIV/0!</v>
      </c>
      <c r="X12" s="10" t="e">
        <f>AD3</f>
        <v>#VALUE!</v>
      </c>
      <c r="Y12" s="10"/>
      <c r="Z12" s="10"/>
      <c r="AA12" s="26"/>
      <c r="AB12" s="10" t="e">
        <f>AC12+AD12</f>
        <v>#VALUE!</v>
      </c>
      <c r="AC12" s="10" t="e">
        <f>SUM(N3:N1986)</f>
        <v>#VALUE!</v>
      </c>
      <c r="AD12" s="10" t="e">
        <f>SUM(Q3:Q1986)</f>
        <v>#VALUE!</v>
      </c>
      <c r="AE12" s="27" t="s">
        <v>1</v>
      </c>
      <c r="AF12" s="10"/>
    </row>
    <row r="13" spans="1:32" x14ac:dyDescent="0.2">
      <c r="A13" s="14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6"/>
      <c r="M13" s="6"/>
      <c r="N13" s="6"/>
      <c r="O13" s="6"/>
      <c r="P13" s="6"/>
      <c r="Q13" s="6"/>
      <c r="R13" s="6"/>
      <c r="S13" s="6"/>
      <c r="T13" s="11"/>
      <c r="U13" s="11"/>
      <c r="V13" s="11"/>
      <c r="W13" s="11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6"/>
      <c r="M14" s="6"/>
      <c r="N14" s="6"/>
      <c r="O14" s="6"/>
      <c r="P14" s="6"/>
      <c r="Q14" s="6"/>
      <c r="R14" s="6"/>
      <c r="S14" s="6"/>
      <c r="T14" s="11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x14ac:dyDescent="0.2">
      <c r="A15" s="1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6"/>
      <c r="M15" s="6"/>
      <c r="N15" s="6"/>
      <c r="O15" s="6"/>
      <c r="P15" s="6"/>
      <c r="Q15" s="6"/>
      <c r="R15" s="6"/>
      <c r="S15" s="6"/>
      <c r="T15" s="11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2">
      <c r="A16" s="14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6"/>
      <c r="M16" s="6"/>
      <c r="N16" s="6"/>
      <c r="O16" s="6"/>
      <c r="P16" s="6"/>
      <c r="Q16" s="6"/>
      <c r="R16" s="6"/>
      <c r="S16" s="6"/>
      <c r="T16" s="11"/>
      <c r="U16" s="10"/>
      <c r="V16" s="10"/>
      <c r="W16" s="10"/>
      <c r="X16" s="10"/>
      <c r="Y16" s="10"/>
      <c r="Z16" s="10" t="s">
        <v>36</v>
      </c>
      <c r="AA16" s="10" t="s">
        <v>37</v>
      </c>
      <c r="AB16" s="10"/>
      <c r="AC16" s="10"/>
      <c r="AD16" s="10"/>
      <c r="AE16" s="10"/>
      <c r="AF16" s="10"/>
    </row>
    <row r="17" spans="1:32" x14ac:dyDescent="0.2">
      <c r="A17" s="1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6"/>
      <c r="M17" s="6"/>
      <c r="N17" s="6"/>
      <c r="O17" s="6"/>
      <c r="P17" s="6"/>
      <c r="Q17" s="6"/>
      <c r="R17" s="6"/>
      <c r="S17" s="6"/>
      <c r="T17" s="10"/>
      <c r="U17" s="10"/>
      <c r="V17" s="10"/>
      <c r="W17" s="10"/>
      <c r="X17" s="10"/>
      <c r="Y17" s="10"/>
      <c r="Z17" s="10" t="e">
        <f>(W12*U12)/((W12*V12)-(U12*X12))</f>
        <v>#DIV/0!</v>
      </c>
      <c r="AA17" s="10" t="e">
        <f>(U12*X12-W12*V12)/(V12+X12)</f>
        <v>#VALUE!</v>
      </c>
      <c r="AB17" s="10"/>
      <c r="AC17" s="10"/>
      <c r="AD17" s="10"/>
      <c r="AE17" s="10"/>
      <c r="AF17" s="10"/>
    </row>
    <row r="18" spans="1:32" x14ac:dyDescent="0.2">
      <c r="A18" s="15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6"/>
      <c r="M18" s="6"/>
      <c r="N18" s="6"/>
      <c r="O18" s="6"/>
      <c r="P18" s="6"/>
      <c r="Q18" s="6"/>
      <c r="R18" s="6"/>
      <c r="S18" s="6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6"/>
      <c r="M19" s="6"/>
      <c r="N19" s="6"/>
      <c r="O19" s="6"/>
      <c r="P19" s="6"/>
      <c r="Q19" s="6"/>
      <c r="R19" s="6"/>
      <c r="S19" s="6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6"/>
      <c r="M20" s="6"/>
      <c r="N20" s="6"/>
      <c r="O20" s="6"/>
      <c r="P20" s="6"/>
      <c r="Q20" s="6"/>
      <c r="R20" s="6"/>
      <c r="S20" s="6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2"/>
      <c r="AE20" s="12"/>
      <c r="AF20" s="12"/>
    </row>
    <row r="21" spans="1:32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"/>
      <c r="M21" s="6"/>
      <c r="N21" s="6"/>
      <c r="O21" s="6"/>
      <c r="P21" s="6"/>
      <c r="Q21" s="6"/>
      <c r="R21" s="6"/>
      <c r="S21" s="6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2"/>
      <c r="AE21" s="12"/>
      <c r="AF21" s="12"/>
    </row>
    <row r="22" spans="1:32" x14ac:dyDescent="0.2">
      <c r="A22" s="6"/>
      <c r="B22" s="6"/>
      <c r="C22" s="6"/>
      <c r="D22" s="6"/>
      <c r="E22" s="6"/>
      <c r="F22" s="6"/>
    </row>
    <row r="23" spans="1:32" x14ac:dyDescent="0.2">
      <c r="A23" s="6"/>
      <c r="B23" s="6"/>
      <c r="C23" s="6"/>
      <c r="D23" s="6"/>
      <c r="E23" s="6"/>
      <c r="F23" s="6"/>
    </row>
    <row r="24" spans="1:32" x14ac:dyDescent="0.2">
      <c r="A24" s="6"/>
      <c r="B24" s="6"/>
      <c r="C24" s="6"/>
      <c r="D24" s="6"/>
      <c r="E24" s="6"/>
      <c r="F24" s="6"/>
    </row>
    <row r="25" spans="1:32" x14ac:dyDescent="0.2">
      <c r="A25" s="6"/>
      <c r="B25" s="6"/>
      <c r="C25" s="6"/>
      <c r="D25" s="6"/>
      <c r="E25" s="6"/>
      <c r="F25" s="6"/>
    </row>
    <row r="26" spans="1:32" x14ac:dyDescent="0.2">
      <c r="A26" s="6"/>
      <c r="B26" s="6"/>
      <c r="C26" s="6"/>
      <c r="D26" s="6"/>
      <c r="E26" s="6"/>
      <c r="F26" s="6"/>
    </row>
    <row r="27" spans="1:32" x14ac:dyDescent="0.2">
      <c r="A27" s="6"/>
      <c r="B27" s="6"/>
      <c r="C27" s="6"/>
      <c r="D27" s="6"/>
      <c r="E27" s="6"/>
      <c r="F27" s="6"/>
    </row>
    <row r="28" spans="1:32" x14ac:dyDescent="0.2">
      <c r="A28" s="6"/>
      <c r="B28" s="6"/>
      <c r="C28" s="6"/>
      <c r="D28" s="6"/>
      <c r="E28" s="6"/>
      <c r="F28" s="6"/>
    </row>
    <row r="29" spans="1:32" x14ac:dyDescent="0.2">
      <c r="A29" s="6"/>
      <c r="B29" s="6"/>
      <c r="C29" s="6"/>
      <c r="D29" s="6"/>
      <c r="E29" s="6"/>
      <c r="F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 in vivo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Lacroix</dc:creator>
  <cp:lastModifiedBy>Benjamin Lacroix</cp:lastModifiedBy>
  <cp:revision>1</cp:revision>
  <dcterms:created xsi:type="dcterms:W3CDTF">2022-11-14T09:54:33Z</dcterms:created>
  <dcterms:modified xsi:type="dcterms:W3CDTF">2023-05-25T14:55:04Z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