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BenManspile/Documents/FIN 3154/Project/"/>
    </mc:Choice>
  </mc:AlternateContent>
  <bookViews>
    <workbookView xWindow="0" yWindow="460" windowWidth="25600" windowHeight="14020" tabRatio="500"/>
  </bookViews>
  <sheets>
    <sheet name="Assumptions &amp; Model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6" i="1" l="1"/>
  <c r="K9" i="1"/>
  <c r="B13" i="1"/>
  <c r="K10" i="1"/>
  <c r="K14" i="1"/>
  <c r="K37" i="1"/>
  <c r="K38" i="1"/>
  <c r="K39" i="1"/>
  <c r="L36" i="1"/>
  <c r="B14" i="1"/>
  <c r="L10" i="1"/>
  <c r="L11" i="1"/>
  <c r="L14" i="1"/>
  <c r="L37" i="1"/>
  <c r="L32" i="1"/>
  <c r="L33" i="1"/>
  <c r="L38" i="1"/>
  <c r="L39" i="1"/>
  <c r="M18" i="1"/>
  <c r="M19" i="1"/>
  <c r="M20" i="1"/>
  <c r="M21" i="1"/>
  <c r="M22" i="1"/>
  <c r="M23" i="1"/>
  <c r="J4" i="1"/>
  <c r="K4" i="1"/>
  <c r="M4" i="1"/>
  <c r="M24" i="1"/>
  <c r="M10" i="1"/>
  <c r="M11" i="1"/>
  <c r="M15" i="1"/>
  <c r="M25" i="1"/>
  <c r="M26" i="1"/>
  <c r="M27" i="1"/>
  <c r="M28" i="1"/>
  <c r="M29" i="1"/>
  <c r="M36" i="1"/>
  <c r="M37" i="1"/>
  <c r="M32" i="1"/>
  <c r="M33" i="1"/>
  <c r="M38" i="1"/>
  <c r="M39" i="1"/>
  <c r="B22" i="1"/>
  <c r="N18" i="1"/>
  <c r="N19" i="1"/>
  <c r="N20" i="1"/>
  <c r="B39" i="1"/>
  <c r="N21" i="1"/>
  <c r="B41" i="1"/>
  <c r="N22" i="1"/>
  <c r="N23" i="1"/>
  <c r="N4" i="1"/>
  <c r="N24" i="1"/>
  <c r="N10" i="1"/>
  <c r="N11" i="1"/>
  <c r="N15" i="1"/>
  <c r="N25" i="1"/>
  <c r="N26" i="1"/>
  <c r="N27" i="1"/>
  <c r="N28" i="1"/>
  <c r="N29" i="1"/>
  <c r="N36" i="1"/>
  <c r="N37" i="1"/>
  <c r="N32" i="1"/>
  <c r="N33" i="1"/>
  <c r="N38" i="1"/>
  <c r="N39" i="1"/>
  <c r="B23" i="1"/>
  <c r="O18" i="1"/>
  <c r="O19" i="1"/>
  <c r="O20" i="1"/>
  <c r="O21" i="1"/>
  <c r="O22" i="1"/>
  <c r="O23" i="1"/>
  <c r="O4" i="1"/>
  <c r="O24" i="1"/>
  <c r="O10" i="1"/>
  <c r="O11" i="1"/>
  <c r="O15" i="1"/>
  <c r="O25" i="1"/>
  <c r="O26" i="1"/>
  <c r="O27" i="1"/>
  <c r="O28" i="1"/>
  <c r="O29" i="1"/>
  <c r="O36" i="1"/>
  <c r="O37" i="1"/>
  <c r="O32" i="1"/>
  <c r="O33" i="1"/>
  <c r="O38" i="1"/>
  <c r="O39" i="1"/>
  <c r="P18" i="1"/>
  <c r="P19" i="1"/>
  <c r="P20" i="1"/>
  <c r="P21" i="1"/>
  <c r="P22" i="1"/>
  <c r="P23" i="1"/>
  <c r="P4" i="1"/>
  <c r="P24" i="1"/>
  <c r="P10" i="1"/>
  <c r="P11" i="1"/>
  <c r="P15" i="1"/>
  <c r="P25" i="1"/>
  <c r="P26" i="1"/>
  <c r="P27" i="1"/>
  <c r="P28" i="1"/>
  <c r="P29" i="1"/>
  <c r="P36" i="1"/>
  <c r="P37" i="1"/>
  <c r="P32" i="1"/>
  <c r="P33" i="1"/>
  <c r="P38" i="1"/>
  <c r="P39" i="1"/>
  <c r="Q18" i="1"/>
  <c r="Q19" i="1"/>
  <c r="Q20" i="1"/>
  <c r="Q21" i="1"/>
  <c r="Q22" i="1"/>
  <c r="Q23" i="1"/>
  <c r="Q4" i="1"/>
  <c r="Q24" i="1"/>
  <c r="Q10" i="1"/>
  <c r="Q11" i="1"/>
  <c r="Q15" i="1"/>
  <c r="Q25" i="1"/>
  <c r="Q26" i="1"/>
  <c r="Q27" i="1"/>
  <c r="Q28" i="1"/>
  <c r="Q29" i="1"/>
  <c r="Q36" i="1"/>
  <c r="B17" i="1"/>
  <c r="Q12" i="1"/>
  <c r="Q14" i="1"/>
  <c r="Q37" i="1"/>
  <c r="Q32" i="1"/>
  <c r="Q33" i="1"/>
  <c r="Q38" i="1"/>
  <c r="Q39" i="1"/>
  <c r="R18" i="1"/>
  <c r="B34" i="1"/>
  <c r="R19" i="1"/>
  <c r="R20" i="1"/>
  <c r="R21" i="1"/>
  <c r="R22" i="1"/>
  <c r="R23" i="1"/>
  <c r="R4" i="1"/>
  <c r="R24" i="1"/>
  <c r="R10" i="1"/>
  <c r="R11" i="1"/>
  <c r="R12" i="1"/>
  <c r="R15" i="1"/>
  <c r="R25" i="1"/>
  <c r="R26" i="1"/>
  <c r="R27" i="1"/>
  <c r="R28" i="1"/>
  <c r="R29" i="1"/>
  <c r="R36" i="1"/>
  <c r="R37" i="1"/>
  <c r="R32" i="1"/>
  <c r="R33" i="1"/>
  <c r="R38" i="1"/>
  <c r="R39" i="1"/>
  <c r="S18" i="1"/>
  <c r="S19" i="1"/>
  <c r="S20" i="1"/>
  <c r="S21" i="1"/>
  <c r="S22" i="1"/>
  <c r="S23" i="1"/>
  <c r="S4" i="1"/>
  <c r="S24" i="1"/>
  <c r="S10" i="1"/>
  <c r="S12" i="1"/>
  <c r="S15" i="1"/>
  <c r="S25" i="1"/>
  <c r="S26" i="1"/>
  <c r="S27" i="1"/>
  <c r="S28" i="1"/>
  <c r="S29" i="1"/>
  <c r="S36" i="1"/>
  <c r="S37" i="1"/>
  <c r="S32" i="1"/>
  <c r="S33" i="1"/>
  <c r="S38" i="1"/>
  <c r="S39" i="1"/>
  <c r="T18" i="1"/>
  <c r="T19" i="1"/>
  <c r="T20" i="1"/>
  <c r="T21" i="1"/>
  <c r="T22" i="1"/>
  <c r="T23" i="1"/>
  <c r="T4" i="1"/>
  <c r="T24" i="1"/>
  <c r="T10" i="1"/>
  <c r="T12" i="1"/>
  <c r="T15" i="1"/>
  <c r="T25" i="1"/>
  <c r="T26" i="1"/>
  <c r="T27" i="1"/>
  <c r="T28" i="1"/>
  <c r="T29" i="1"/>
  <c r="T36" i="1"/>
  <c r="T37" i="1"/>
  <c r="T32" i="1"/>
  <c r="T33" i="1"/>
  <c r="T38" i="1"/>
  <c r="T39" i="1"/>
  <c r="U18" i="1"/>
  <c r="U19" i="1"/>
  <c r="U20" i="1"/>
  <c r="U21" i="1"/>
  <c r="U22" i="1"/>
  <c r="U23" i="1"/>
  <c r="U4" i="1"/>
  <c r="U24" i="1"/>
  <c r="U10" i="1"/>
  <c r="U12" i="1"/>
  <c r="U15" i="1"/>
  <c r="U25" i="1"/>
  <c r="U26" i="1"/>
  <c r="U27" i="1"/>
  <c r="U28" i="1"/>
  <c r="U29" i="1"/>
  <c r="U36" i="1"/>
  <c r="U37" i="1"/>
  <c r="U32" i="1"/>
  <c r="U33" i="1"/>
  <c r="U38" i="1"/>
  <c r="U39" i="1"/>
  <c r="V18" i="1"/>
  <c r="V19" i="1"/>
  <c r="V20" i="1"/>
  <c r="V21" i="1"/>
  <c r="V22" i="1"/>
  <c r="V23" i="1"/>
  <c r="V4" i="1"/>
  <c r="V24" i="1"/>
  <c r="V10" i="1"/>
  <c r="V12" i="1"/>
  <c r="V15" i="1"/>
  <c r="V25" i="1"/>
  <c r="V26" i="1"/>
  <c r="V27" i="1"/>
  <c r="V28" i="1"/>
  <c r="V29" i="1"/>
  <c r="V36" i="1"/>
  <c r="B18" i="1"/>
  <c r="V13" i="1"/>
  <c r="V14" i="1"/>
  <c r="V37" i="1"/>
  <c r="V32" i="1"/>
  <c r="V33" i="1"/>
  <c r="V38" i="1"/>
  <c r="V39" i="1"/>
  <c r="W18" i="1"/>
  <c r="W19" i="1"/>
  <c r="W20" i="1"/>
  <c r="W21" i="1"/>
  <c r="W22" i="1"/>
  <c r="W23" i="1"/>
  <c r="W4" i="1"/>
  <c r="W24" i="1"/>
  <c r="W10" i="1"/>
  <c r="W12" i="1"/>
  <c r="W13" i="1"/>
  <c r="W15" i="1"/>
  <c r="W25" i="1"/>
  <c r="W26" i="1"/>
  <c r="W27" i="1"/>
  <c r="W28" i="1"/>
  <c r="W29" i="1"/>
  <c r="W36" i="1"/>
  <c r="W37" i="1"/>
  <c r="W32" i="1"/>
  <c r="W33" i="1"/>
  <c r="W38" i="1"/>
  <c r="W39" i="1"/>
  <c r="X18" i="1"/>
  <c r="X19" i="1"/>
  <c r="X20" i="1"/>
  <c r="X21" i="1"/>
  <c r="X22" i="1"/>
  <c r="X23" i="1"/>
  <c r="X4" i="1"/>
  <c r="X24" i="1"/>
  <c r="X10" i="1"/>
  <c r="X13" i="1"/>
  <c r="X15" i="1"/>
  <c r="X25" i="1"/>
  <c r="X26" i="1"/>
  <c r="X27" i="1"/>
  <c r="X28" i="1"/>
  <c r="X29" i="1"/>
  <c r="X36" i="1"/>
  <c r="X37" i="1"/>
  <c r="X32" i="1"/>
  <c r="X33" i="1"/>
  <c r="X38" i="1"/>
  <c r="X39" i="1"/>
  <c r="Y18" i="1"/>
  <c r="Y19" i="1"/>
  <c r="Y20" i="1"/>
  <c r="Y21" i="1"/>
  <c r="Y22" i="1"/>
  <c r="Y23" i="1"/>
  <c r="Y4" i="1"/>
  <c r="Y24" i="1"/>
  <c r="Y10" i="1"/>
  <c r="Y13" i="1"/>
  <c r="Y15" i="1"/>
  <c r="Y25" i="1"/>
  <c r="Y26" i="1"/>
  <c r="Y27" i="1"/>
  <c r="Y28" i="1"/>
  <c r="Y29" i="1"/>
  <c r="Y36" i="1"/>
  <c r="Y37" i="1"/>
  <c r="Y32" i="1"/>
  <c r="Y33" i="1"/>
  <c r="Y38" i="1"/>
  <c r="Y39" i="1"/>
  <c r="Z18" i="1"/>
  <c r="Z19" i="1"/>
  <c r="Z20" i="1"/>
  <c r="Z21" i="1"/>
  <c r="Z22" i="1"/>
  <c r="Z23" i="1"/>
  <c r="Z4" i="1"/>
  <c r="Z24" i="1"/>
  <c r="Z10" i="1"/>
  <c r="Z13" i="1"/>
  <c r="Z15" i="1"/>
  <c r="Z25" i="1"/>
  <c r="Z26" i="1"/>
  <c r="Z27" i="1"/>
  <c r="Z28" i="1"/>
  <c r="Z29" i="1"/>
  <c r="Z36" i="1"/>
  <c r="Z37" i="1"/>
  <c r="Z32" i="1"/>
  <c r="Z33" i="1"/>
  <c r="Z38" i="1"/>
  <c r="Z39" i="1"/>
  <c r="AA18" i="1"/>
  <c r="AA19" i="1"/>
  <c r="AA20" i="1"/>
  <c r="AA21" i="1"/>
  <c r="AA22" i="1"/>
  <c r="AA23" i="1"/>
  <c r="AA4" i="1"/>
  <c r="AA24" i="1"/>
  <c r="AA10" i="1"/>
  <c r="AA13" i="1"/>
  <c r="AA15" i="1"/>
  <c r="AA25" i="1"/>
  <c r="AA26" i="1"/>
  <c r="AA27" i="1"/>
  <c r="AA28" i="1"/>
  <c r="AA29" i="1"/>
  <c r="AA36" i="1"/>
  <c r="AA37" i="1"/>
  <c r="AA32" i="1"/>
  <c r="AA33" i="1"/>
  <c r="AA38" i="1"/>
  <c r="AA39" i="1"/>
  <c r="AB18" i="1"/>
  <c r="AB19" i="1"/>
  <c r="AB20" i="1"/>
  <c r="AB21" i="1"/>
  <c r="AB22" i="1"/>
  <c r="AB23" i="1"/>
  <c r="AB4" i="1"/>
  <c r="AB24" i="1"/>
  <c r="AB10" i="1"/>
  <c r="AB13" i="1"/>
  <c r="AB15" i="1"/>
  <c r="AB25" i="1"/>
  <c r="AB26" i="1"/>
  <c r="AB27" i="1"/>
  <c r="AB28" i="1"/>
  <c r="AB29" i="1"/>
  <c r="AB36" i="1"/>
  <c r="AB37" i="1"/>
  <c r="AB32" i="1"/>
  <c r="AB33" i="1"/>
  <c r="AB38" i="1"/>
  <c r="AB39" i="1"/>
  <c r="AC18" i="1"/>
  <c r="AC19" i="1"/>
  <c r="AC20" i="1"/>
  <c r="AC21" i="1"/>
  <c r="AC22" i="1"/>
  <c r="AC23" i="1"/>
  <c r="AC4" i="1"/>
  <c r="AC24" i="1"/>
  <c r="AC25" i="1"/>
  <c r="AC26" i="1"/>
  <c r="AC27" i="1"/>
  <c r="AC28" i="1"/>
  <c r="AC29" i="1"/>
  <c r="AC36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C14" i="1"/>
  <c r="AC37" i="1"/>
  <c r="AC32" i="1"/>
  <c r="AC33" i="1"/>
  <c r="AC38" i="1"/>
  <c r="AC39" i="1"/>
  <c r="K41" i="1"/>
  <c r="G44" i="1"/>
  <c r="G43" i="1"/>
  <c r="B48" i="1"/>
  <c r="G42" i="1"/>
  <c r="B49" i="1"/>
  <c r="G45" i="1"/>
  <c r="B24" i="1"/>
  <c r="B26" i="1"/>
  <c r="B27" i="1"/>
  <c r="L4" i="1"/>
  <c r="I4" i="1"/>
  <c r="H4" i="1"/>
  <c r="G4" i="1"/>
  <c r="F4" i="1"/>
  <c r="B10" i="1"/>
  <c r="G5" i="1"/>
  <c r="I6" i="1"/>
  <c r="J6" i="1"/>
  <c r="H6" i="1"/>
  <c r="B30" i="1"/>
  <c r="B31" i="1"/>
  <c r="B32" i="1"/>
  <c r="B33" i="1"/>
  <c r="B35" i="1"/>
  <c r="B36" i="1"/>
  <c r="C45" i="1"/>
  <c r="C40" i="1"/>
</calcChain>
</file>

<file path=xl/sharedStrings.xml><?xml version="1.0" encoding="utf-8"?>
<sst xmlns="http://schemas.openxmlformats.org/spreadsheetml/2006/main" count="105" uniqueCount="99">
  <si>
    <t>Assumptions</t>
  </si>
  <si>
    <t>Baseline</t>
  </si>
  <si>
    <t>Alternative</t>
  </si>
  <si>
    <t>Chadha Salary</t>
  </si>
  <si>
    <t>Chadha Salary (t = -1)</t>
  </si>
  <si>
    <t>Stent Design Purchase</t>
  </si>
  <si>
    <t>Inflation Rate</t>
  </si>
  <si>
    <t>Land Cost</t>
  </si>
  <si>
    <t>Total Plant Cost</t>
  </si>
  <si>
    <t>Plant Cost Year 0</t>
  </si>
  <si>
    <t>Plant Cost Year 1</t>
  </si>
  <si>
    <t>Equipment Cost Year 1</t>
  </si>
  <si>
    <t>Equipment Cost Year 6</t>
  </si>
  <si>
    <t>Equipment Cost Year 11</t>
  </si>
  <si>
    <t>Sales Year 2</t>
  </si>
  <si>
    <t>Sales Change Years 3-4</t>
  </si>
  <si>
    <t>Sales Year 3</t>
  </si>
  <si>
    <t>Sales Year 4</t>
  </si>
  <si>
    <t>Sales Years 4-11</t>
  </si>
  <si>
    <t>Sales Year 12</t>
  </si>
  <si>
    <t>Sales Change Years 12 -</t>
  </si>
  <si>
    <t>Sales Year 13</t>
  </si>
  <si>
    <t>Stent Price Year 2</t>
  </si>
  <si>
    <t>Price Change Years 3-6</t>
  </si>
  <si>
    <t>Stent Price Year 3</t>
  </si>
  <si>
    <t>Stent Price Year 4</t>
  </si>
  <si>
    <t>Stent Price Year 5</t>
  </si>
  <si>
    <t>Stent Price Year 6</t>
  </si>
  <si>
    <t>Price Change Years 7 -</t>
  </si>
  <si>
    <t>Stent Price Year 7</t>
  </si>
  <si>
    <t>Stent Price Year 8</t>
  </si>
  <si>
    <t>Fixed Costs</t>
  </si>
  <si>
    <t>Variable Costs (per Unit)</t>
  </si>
  <si>
    <t>Fixed Costs Change</t>
  </si>
  <si>
    <t>Variable Costs Change</t>
  </si>
  <si>
    <t>Annual Capacity</t>
  </si>
  <si>
    <t>Marginal Tax Rate</t>
  </si>
  <si>
    <t>Net Working Capital</t>
  </si>
  <si>
    <t>WC Investment Year 1</t>
  </si>
  <si>
    <t>Year</t>
  </si>
  <si>
    <t>Time</t>
  </si>
  <si>
    <t>Time Relative to Production</t>
  </si>
  <si>
    <t>1st Year</t>
  </si>
  <si>
    <t>2nd Year</t>
  </si>
  <si>
    <t>3rd Year</t>
  </si>
  <si>
    <t>4th Year</t>
  </si>
  <si>
    <t>5th Year</t>
  </si>
  <si>
    <t>6th Year</t>
  </si>
  <si>
    <t>7th Year</t>
  </si>
  <si>
    <t>8th Year</t>
  </si>
  <si>
    <t>9th Year</t>
  </si>
  <si>
    <t>10th Year</t>
  </si>
  <si>
    <t>11th Year</t>
  </si>
  <si>
    <t>12th Year</t>
  </si>
  <si>
    <t>13th Year</t>
  </si>
  <si>
    <t>14th Year</t>
  </si>
  <si>
    <t>15th Year</t>
  </si>
  <si>
    <t>16th Year</t>
  </si>
  <si>
    <t>17th Year</t>
  </si>
  <si>
    <t>Land Selling Profit</t>
  </si>
  <si>
    <t>Annual Refinement Cost</t>
  </si>
  <si>
    <t>15 Years</t>
  </si>
  <si>
    <t>5 Years</t>
  </si>
  <si>
    <t>Equipment 2 Investment (with Depreciation)</t>
  </si>
  <si>
    <t>Equipment 3 Investment (with Depreciation)</t>
  </si>
  <si>
    <t>Equipment 1 Investment (with Depreciation)</t>
  </si>
  <si>
    <t>Investing Activities</t>
  </si>
  <si>
    <t>Plant Investment (with Depreciation)</t>
  </si>
  <si>
    <t>Operating Activities</t>
  </si>
  <si>
    <t>Quantity</t>
  </si>
  <si>
    <t>Price</t>
  </si>
  <si>
    <t>Revenue</t>
  </si>
  <si>
    <t>Total Variable Costs</t>
  </si>
  <si>
    <t>Labor Costs</t>
  </si>
  <si>
    <t>Depreciation</t>
  </si>
  <si>
    <t>Earnings Before Interest and Taxes (EBIT)</t>
  </si>
  <si>
    <t>Tax</t>
  </si>
  <si>
    <t>Operating Cash Flow</t>
  </si>
  <si>
    <t>Change in Net Working Capital (NWC)</t>
  </si>
  <si>
    <t>Capital Spending</t>
  </si>
  <si>
    <t>Total Capital Spending</t>
  </si>
  <si>
    <t>Total Depreciation</t>
  </si>
  <si>
    <t>Level of NWC</t>
  </si>
  <si>
    <t>Change in NWC</t>
  </si>
  <si>
    <t>Cash Flow</t>
  </si>
  <si>
    <t>Net Present Value (NPV)</t>
  </si>
  <si>
    <t>Internal Rate of Return (IRR)</t>
  </si>
  <si>
    <t>Modified Internal Rate of Return (MIRR)</t>
  </si>
  <si>
    <t>Performance Summary</t>
  </si>
  <si>
    <t>Rate of Return</t>
  </si>
  <si>
    <t>Annual Salary Change</t>
  </si>
  <si>
    <t>Ben Manspile (Group 15)</t>
  </si>
  <si>
    <t>Stent Design Purchase (from French firm)</t>
  </si>
  <si>
    <t>Land Investment (with Appreciation to Sell)</t>
  </si>
  <si>
    <t>Total Project Cash Flow =</t>
  </si>
  <si>
    <t>Payback Period (Years)</t>
  </si>
  <si>
    <t>Capital Spending (per Period)</t>
  </si>
  <si>
    <t>Depreciation (per Period)</t>
  </si>
  <si>
    <t>Project's Cash Flow (per Period)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</si>
</sst>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&quot;$&quot;#,##0.00"/>
    <numFmt numFmtId="166" formatCode="0.00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6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5" xfId="0" applyBorder="1"/>
    <xf numFmtId="164" fontId="0" fillId="0" borderId="1" xfId="0" applyNumberFormat="1" applyBorder="1"/>
    <xf numFmtId="0" fontId="0" fillId="0" borderId="4" xfId="0" applyFill="1" applyBorder="1"/>
    <xf numFmtId="3" fontId="0" fillId="0" borderId="0" xfId="0" applyNumberFormat="1" applyBorder="1"/>
    <xf numFmtId="0" fontId="0" fillId="0" borderId="6" xfId="0" applyFill="1" applyBorder="1"/>
    <xf numFmtId="0" fontId="0" fillId="0" borderId="7" xfId="0" applyBorder="1"/>
    <xf numFmtId="0" fontId="1" fillId="0" borderId="13" xfId="0" applyFont="1" applyBorder="1"/>
    <xf numFmtId="164" fontId="0" fillId="0" borderId="8" xfId="0" applyNumberFormat="1" applyBorder="1" applyAlignment="1">
      <alignment horizontal="right"/>
    </xf>
    <xf numFmtId="9" fontId="0" fillId="0" borderId="9" xfId="0" applyNumberFormat="1" applyBorder="1"/>
    <xf numFmtId="164" fontId="0" fillId="0" borderId="9" xfId="0" applyNumberFormat="1" applyBorder="1"/>
    <xf numFmtId="3" fontId="0" fillId="0" borderId="9" xfId="0" applyNumberFormat="1" applyBorder="1"/>
    <xf numFmtId="9" fontId="0" fillId="0" borderId="10" xfId="0" applyNumberFormat="1" applyBorder="1"/>
    <xf numFmtId="10" fontId="0" fillId="0" borderId="9" xfId="0" applyNumberFormat="1" applyBorder="1"/>
    <xf numFmtId="3" fontId="0" fillId="0" borderId="9" xfId="0" applyNumberFormat="1" applyBorder="1" applyAlignment="1">
      <alignment horizontal="right"/>
    </xf>
    <xf numFmtId="164" fontId="0" fillId="0" borderId="8" xfId="0" applyNumberFormat="1" applyBorder="1"/>
    <xf numFmtId="164" fontId="0" fillId="0" borderId="7" xfId="0" applyNumberFormat="1" applyBorder="1"/>
    <xf numFmtId="0" fontId="1" fillId="0" borderId="2" xfId="0" applyFont="1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Font="1" applyFill="1" applyBorder="1" applyAlignment="1">
      <alignment horizontal="center"/>
    </xf>
    <xf numFmtId="0" fontId="0" fillId="0" borderId="14" xfId="0" applyBorder="1"/>
    <xf numFmtId="164" fontId="0" fillId="0" borderId="3" xfId="0" applyNumberFormat="1" applyBorder="1"/>
    <xf numFmtId="166" fontId="0" fillId="0" borderId="5" xfId="0" applyNumberFormat="1" applyBorder="1"/>
    <xf numFmtId="0" fontId="1" fillId="0" borderId="0" xfId="0" applyFont="1"/>
    <xf numFmtId="3" fontId="0" fillId="0" borderId="5" xfId="0" applyNumberFormat="1" applyBorder="1"/>
    <xf numFmtId="2" fontId="0" fillId="0" borderId="7" xfId="0" applyNumberFormat="1" applyBorder="1"/>
    <xf numFmtId="164" fontId="0" fillId="0" borderId="0" xfId="0" applyNumberFormat="1" applyFill="1" applyBorder="1"/>
    <xf numFmtId="165" fontId="0" fillId="0" borderId="7" xfId="0" applyNumberFormat="1" applyBorder="1" applyAlignment="1">
      <alignment horizontal="right"/>
    </xf>
    <xf numFmtId="0" fontId="0" fillId="0" borderId="5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1"/>
  <sheetViews>
    <sheetView tabSelected="1" zoomScale="60" zoomScaleNormal="60" zoomScalePageLayoutView="60" workbookViewId="0">
      <selection activeCell="E40" sqref="E40"/>
    </sheetView>
  </sheetViews>
  <sheetFormatPr baseColWidth="10" defaultRowHeight="16" x14ac:dyDescent="0.2"/>
  <cols>
    <col min="1" max="1" width="22.83203125" customWidth="1"/>
    <col min="2" max="3" width="13.33203125" customWidth="1"/>
    <col min="5" max="5" width="38.83203125" customWidth="1"/>
    <col min="6" max="6" width="12.33203125" customWidth="1"/>
    <col min="7" max="7" width="11.33203125" customWidth="1"/>
    <col min="10" max="11" width="12.1640625" bestFit="1" customWidth="1"/>
    <col min="12" max="12" width="13.1640625" bestFit="1" customWidth="1"/>
    <col min="13" max="15" width="11.83203125" customWidth="1"/>
    <col min="16" max="16" width="11.83203125" bestFit="1" customWidth="1"/>
    <col min="17" max="26" width="12.6640625" bestFit="1" customWidth="1"/>
    <col min="27" max="27" width="11.5" bestFit="1" customWidth="1"/>
    <col min="28" max="28" width="13.1640625" bestFit="1" customWidth="1"/>
    <col min="29" max="29" width="12" customWidth="1"/>
  </cols>
  <sheetData>
    <row r="1" spans="1:32" x14ac:dyDescent="0.2">
      <c r="A1" s="5" t="s">
        <v>91</v>
      </c>
      <c r="B1" s="5"/>
      <c r="C1" s="5"/>
      <c r="E1" s="15" t="s">
        <v>39</v>
      </c>
      <c r="F1" s="46">
        <v>2014</v>
      </c>
      <c r="G1" s="6">
        <v>2015</v>
      </c>
      <c r="H1" s="6">
        <v>2016</v>
      </c>
      <c r="I1" s="6">
        <v>2017</v>
      </c>
      <c r="J1" s="6">
        <v>2018</v>
      </c>
      <c r="K1" s="6">
        <v>2019</v>
      </c>
      <c r="L1" s="6">
        <v>2020</v>
      </c>
      <c r="M1" s="6">
        <v>2021</v>
      </c>
      <c r="N1" s="6">
        <v>2022</v>
      </c>
      <c r="O1" s="6">
        <v>2023</v>
      </c>
      <c r="P1" s="6">
        <v>2024</v>
      </c>
      <c r="Q1" s="6">
        <v>2025</v>
      </c>
      <c r="R1" s="6">
        <v>2026</v>
      </c>
      <c r="S1" s="6">
        <v>2027</v>
      </c>
      <c r="T1" s="6">
        <v>2028</v>
      </c>
      <c r="U1" s="6">
        <v>2029</v>
      </c>
      <c r="V1" s="6">
        <v>2030</v>
      </c>
      <c r="W1" s="6">
        <v>2031</v>
      </c>
      <c r="X1" s="6">
        <v>2032</v>
      </c>
      <c r="Y1" s="6">
        <v>2033</v>
      </c>
      <c r="Z1" s="6">
        <v>2034</v>
      </c>
      <c r="AA1" s="6">
        <v>2035</v>
      </c>
      <c r="AB1" s="6">
        <v>2036</v>
      </c>
      <c r="AC1" s="7">
        <v>2037</v>
      </c>
      <c r="AD1" s="1"/>
      <c r="AE1" s="18" t="s">
        <v>61</v>
      </c>
      <c r="AF1" s="18" t="s">
        <v>62</v>
      </c>
    </row>
    <row r="2" spans="1:32" x14ac:dyDescent="0.2">
      <c r="B2" s="3"/>
      <c r="E2" s="16" t="s">
        <v>40</v>
      </c>
      <c r="F2" s="9">
        <v>-5</v>
      </c>
      <c r="G2" s="9">
        <v>-4</v>
      </c>
      <c r="H2" s="9">
        <v>-3</v>
      </c>
      <c r="I2" s="9">
        <v>-2</v>
      </c>
      <c r="J2" s="9">
        <v>-1</v>
      </c>
      <c r="K2" s="9">
        <v>0</v>
      </c>
      <c r="L2" s="9">
        <v>1</v>
      </c>
      <c r="M2" s="9">
        <v>2</v>
      </c>
      <c r="N2" s="9">
        <v>3</v>
      </c>
      <c r="O2" s="9">
        <v>4</v>
      </c>
      <c r="P2" s="9">
        <v>5</v>
      </c>
      <c r="Q2" s="9">
        <v>6</v>
      </c>
      <c r="R2" s="9">
        <v>7</v>
      </c>
      <c r="S2" s="9">
        <v>8</v>
      </c>
      <c r="T2" s="9">
        <v>9</v>
      </c>
      <c r="U2" s="9">
        <v>10</v>
      </c>
      <c r="V2" s="9">
        <v>11</v>
      </c>
      <c r="W2" s="9">
        <v>12</v>
      </c>
      <c r="X2" s="9">
        <v>13</v>
      </c>
      <c r="Y2" s="9">
        <v>14</v>
      </c>
      <c r="Z2" s="9">
        <v>15</v>
      </c>
      <c r="AA2" s="9">
        <v>16</v>
      </c>
      <c r="AB2" s="9">
        <v>17</v>
      </c>
      <c r="AC2" s="10">
        <v>18</v>
      </c>
      <c r="AD2" s="1"/>
      <c r="AE2" s="19">
        <v>0.05</v>
      </c>
      <c r="AF2" s="19">
        <v>0.2</v>
      </c>
    </row>
    <row r="3" spans="1:32" x14ac:dyDescent="0.2">
      <c r="A3" s="4" t="s">
        <v>0</v>
      </c>
      <c r="B3" s="4" t="s">
        <v>1</v>
      </c>
      <c r="C3" s="4" t="s">
        <v>2</v>
      </c>
      <c r="E3" s="17" t="s">
        <v>41</v>
      </c>
      <c r="F3" s="12"/>
      <c r="G3" s="12"/>
      <c r="H3" s="12"/>
      <c r="I3" s="12"/>
      <c r="J3" s="12"/>
      <c r="K3" s="12"/>
      <c r="L3" s="12"/>
      <c r="M3" s="13" t="s">
        <v>42</v>
      </c>
      <c r="N3" s="13" t="s">
        <v>43</v>
      </c>
      <c r="O3" s="13" t="s">
        <v>44</v>
      </c>
      <c r="P3" s="13" t="s">
        <v>45</v>
      </c>
      <c r="Q3" s="13" t="s">
        <v>46</v>
      </c>
      <c r="R3" s="13" t="s">
        <v>47</v>
      </c>
      <c r="S3" s="13" t="s">
        <v>48</v>
      </c>
      <c r="T3" s="13" t="s">
        <v>49</v>
      </c>
      <c r="U3" s="13" t="s">
        <v>50</v>
      </c>
      <c r="V3" s="13" t="s">
        <v>51</v>
      </c>
      <c r="W3" s="13" t="s">
        <v>52</v>
      </c>
      <c r="X3" s="13" t="s">
        <v>53</v>
      </c>
      <c r="Y3" s="13" t="s">
        <v>54</v>
      </c>
      <c r="Z3" s="13" t="s">
        <v>55</v>
      </c>
      <c r="AA3" s="13" t="s">
        <v>56</v>
      </c>
      <c r="AB3" s="13" t="s">
        <v>57</v>
      </c>
      <c r="AC3" s="14" t="s">
        <v>58</v>
      </c>
      <c r="AD3" s="1"/>
      <c r="AE3" s="19">
        <v>9.5000000000000001E-2</v>
      </c>
      <c r="AF3" s="19">
        <v>0.32</v>
      </c>
    </row>
    <row r="4" spans="1:32" x14ac:dyDescent="0.2">
      <c r="A4" s="23" t="s">
        <v>4</v>
      </c>
      <c r="B4" s="34">
        <v>500000</v>
      </c>
      <c r="C4" s="41"/>
      <c r="E4" s="47" t="s">
        <v>3</v>
      </c>
      <c r="F4" s="21">
        <f>G4/(1+$B$5)</f>
        <v>427402.09551486291</v>
      </c>
      <c r="G4" s="21">
        <f>H4/(1+$B$5)</f>
        <v>444498.17933545745</v>
      </c>
      <c r="H4" s="21">
        <f>I4/(1+$B$5)</f>
        <v>462278.10650887573</v>
      </c>
      <c r="I4" s="21">
        <f>B4/(1+B5)</f>
        <v>480769.23076923075</v>
      </c>
      <c r="J4" s="21">
        <f>B4</f>
        <v>500000</v>
      </c>
      <c r="K4" s="21">
        <f>J4*(1+$B$5)</f>
        <v>520000</v>
      </c>
      <c r="L4" s="21">
        <f>$K$4</f>
        <v>520000</v>
      </c>
      <c r="M4" s="21">
        <f t="shared" ref="M4:AC4" si="0">$K$4</f>
        <v>520000</v>
      </c>
      <c r="N4" s="21">
        <f t="shared" si="0"/>
        <v>520000</v>
      </c>
      <c r="O4" s="21">
        <f t="shared" si="0"/>
        <v>520000</v>
      </c>
      <c r="P4" s="21">
        <f t="shared" si="0"/>
        <v>520000</v>
      </c>
      <c r="Q4" s="21">
        <f t="shared" si="0"/>
        <v>520000</v>
      </c>
      <c r="R4" s="21">
        <f t="shared" si="0"/>
        <v>520000</v>
      </c>
      <c r="S4" s="21">
        <f t="shared" si="0"/>
        <v>520000</v>
      </c>
      <c r="T4" s="21">
        <f t="shared" si="0"/>
        <v>520000</v>
      </c>
      <c r="U4" s="21">
        <f t="shared" si="0"/>
        <v>520000</v>
      </c>
      <c r="V4" s="21">
        <f t="shared" si="0"/>
        <v>520000</v>
      </c>
      <c r="W4" s="21">
        <f t="shared" si="0"/>
        <v>520000</v>
      </c>
      <c r="X4" s="21">
        <f t="shared" si="0"/>
        <v>520000</v>
      </c>
      <c r="Y4" s="21">
        <f t="shared" si="0"/>
        <v>520000</v>
      </c>
      <c r="Z4" s="21">
        <f t="shared" si="0"/>
        <v>520000</v>
      </c>
      <c r="AA4" s="21">
        <f t="shared" si="0"/>
        <v>520000</v>
      </c>
      <c r="AB4" s="21">
        <f t="shared" si="0"/>
        <v>520000</v>
      </c>
      <c r="AC4" s="48">
        <f t="shared" si="0"/>
        <v>520000</v>
      </c>
      <c r="AE4" s="19">
        <v>8.5500000000000007E-2</v>
      </c>
      <c r="AF4" s="19">
        <v>0.192</v>
      </c>
    </row>
    <row r="5" spans="1:32" x14ac:dyDescent="0.2">
      <c r="A5" s="27" t="s">
        <v>90</v>
      </c>
      <c r="B5" s="35">
        <v>0.04</v>
      </c>
      <c r="C5" s="35"/>
      <c r="E5" s="8" t="s">
        <v>92</v>
      </c>
      <c r="F5" s="24"/>
      <c r="G5" s="25">
        <f>B6</f>
        <v>5000000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7"/>
      <c r="AE5" s="19">
        <v>7.6999999999999999E-2</v>
      </c>
      <c r="AF5" s="19">
        <v>0.1152</v>
      </c>
    </row>
    <row r="6" spans="1:32" x14ac:dyDescent="0.2">
      <c r="A6" s="27" t="s">
        <v>5</v>
      </c>
      <c r="B6" s="36">
        <v>5000000</v>
      </c>
      <c r="C6" s="36"/>
      <c r="E6" s="11" t="s">
        <v>60</v>
      </c>
      <c r="F6" s="12"/>
      <c r="G6" s="28"/>
      <c r="H6" s="28">
        <f>$B$7</f>
        <v>3000000</v>
      </c>
      <c r="I6" s="28">
        <f>$B$7</f>
        <v>3000000</v>
      </c>
      <c r="J6" s="28">
        <f>$B$7</f>
        <v>3000000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32"/>
      <c r="AE6" s="19">
        <v>6.93E-2</v>
      </c>
      <c r="AF6" s="19">
        <v>0.1152</v>
      </c>
    </row>
    <row r="7" spans="1:32" ht="17" thickBot="1" x14ac:dyDescent="0.25">
      <c r="A7" s="27" t="s">
        <v>60</v>
      </c>
      <c r="B7" s="36">
        <v>3000000</v>
      </c>
      <c r="C7" s="36"/>
      <c r="G7" s="2"/>
      <c r="H7" s="2"/>
      <c r="I7" s="2"/>
      <c r="J7" s="2"/>
      <c r="AE7" s="19">
        <v>6.2300000000000001E-2</v>
      </c>
      <c r="AF7" s="20">
        <v>5.7599999999999998E-2</v>
      </c>
    </row>
    <row r="8" spans="1:32" x14ac:dyDescent="0.2">
      <c r="A8" s="27"/>
      <c r="B8" s="36"/>
      <c r="C8" s="16"/>
      <c r="E8" s="33" t="s">
        <v>66</v>
      </c>
      <c r="F8" s="43"/>
      <c r="G8" s="21"/>
      <c r="H8" s="21"/>
      <c r="I8" s="21"/>
      <c r="J8" s="21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3"/>
      <c r="AE8" s="19">
        <v>5.8999999999999997E-2</v>
      </c>
    </row>
    <row r="9" spans="1:32" x14ac:dyDescent="0.2">
      <c r="A9" s="27" t="s">
        <v>7</v>
      </c>
      <c r="B9" s="36">
        <v>5000000</v>
      </c>
      <c r="C9" s="36"/>
      <c r="E9" s="8" t="s">
        <v>93</v>
      </c>
      <c r="F9" s="24"/>
      <c r="G9" s="24"/>
      <c r="H9" s="25"/>
      <c r="I9" s="25"/>
      <c r="J9" s="25"/>
      <c r="K9" s="25">
        <f>B9</f>
        <v>5000000</v>
      </c>
      <c r="L9" s="25">
        <f>K9*(1+$B$11)</f>
        <v>5150000</v>
      </c>
      <c r="M9" s="25">
        <f>L9*(1+$B$11)</f>
        <v>5304500</v>
      </c>
      <c r="N9" s="25">
        <f t="shared" ref="N9:AC9" si="1">M9*(1+$B$11)</f>
        <v>5463635</v>
      </c>
      <c r="O9" s="25">
        <f t="shared" si="1"/>
        <v>5627544.0499999998</v>
      </c>
      <c r="P9" s="25">
        <f t="shared" si="1"/>
        <v>5796370.3715000004</v>
      </c>
      <c r="Q9" s="25">
        <f t="shared" si="1"/>
        <v>5970261.4826450003</v>
      </c>
      <c r="R9" s="25">
        <f t="shared" si="1"/>
        <v>6149369.3271243507</v>
      </c>
      <c r="S9" s="25">
        <f t="shared" si="1"/>
        <v>6333850.4069380816</v>
      </c>
      <c r="T9" s="25">
        <f t="shared" si="1"/>
        <v>6523865.9191462239</v>
      </c>
      <c r="U9" s="25">
        <f t="shared" si="1"/>
        <v>6719581.8967206106</v>
      </c>
      <c r="V9" s="25">
        <f t="shared" si="1"/>
        <v>6921169.3536222288</v>
      </c>
      <c r="W9" s="25">
        <f t="shared" si="1"/>
        <v>7128804.4342308957</v>
      </c>
      <c r="X9" s="25">
        <f t="shared" si="1"/>
        <v>7342668.5672578225</v>
      </c>
      <c r="Y9" s="25">
        <f t="shared" si="1"/>
        <v>7562948.6242755577</v>
      </c>
      <c r="Z9" s="25">
        <f t="shared" si="1"/>
        <v>7789837.0830038246</v>
      </c>
      <c r="AA9" s="25">
        <f t="shared" si="1"/>
        <v>8023532.1954939393</v>
      </c>
      <c r="AB9" s="25">
        <f t="shared" si="1"/>
        <v>8264238.1613587579</v>
      </c>
      <c r="AC9" s="26">
        <f t="shared" si="1"/>
        <v>8512165.3061995208</v>
      </c>
      <c r="AE9" s="19">
        <v>5.8999999999999997E-2</v>
      </c>
    </row>
    <row r="10" spans="1:32" x14ac:dyDescent="0.2">
      <c r="A10" s="27" t="s">
        <v>59</v>
      </c>
      <c r="B10" s="36">
        <f>B9*(1+B11)^18</f>
        <v>8512165.3061995152</v>
      </c>
      <c r="C10" s="36"/>
      <c r="E10" s="8" t="s">
        <v>67</v>
      </c>
      <c r="F10" s="24"/>
      <c r="G10" s="24"/>
      <c r="H10" s="24"/>
      <c r="I10" s="24"/>
      <c r="J10" s="24"/>
      <c r="K10" s="25">
        <f>B13</f>
        <v>20000000</v>
      </c>
      <c r="L10" s="25">
        <f>B14</f>
        <v>10000000</v>
      </c>
      <c r="M10" s="25">
        <f>$B$12*AE2</f>
        <v>1500000</v>
      </c>
      <c r="N10" s="25">
        <f>$B$12*AE3</f>
        <v>2850000</v>
      </c>
      <c r="O10" s="25">
        <f>$B$12*AE4</f>
        <v>2565000</v>
      </c>
      <c r="P10" s="25">
        <f>$B$12*AE5</f>
        <v>2310000</v>
      </c>
      <c r="Q10" s="25">
        <f>$B$12*AE6</f>
        <v>2079000</v>
      </c>
      <c r="R10" s="25">
        <f>$B$12*AE7</f>
        <v>1869000</v>
      </c>
      <c r="S10" s="25">
        <f>$B$12*AE8</f>
        <v>1770000</v>
      </c>
      <c r="T10" s="25">
        <f>$B$12*AE9</f>
        <v>1770000</v>
      </c>
      <c r="U10" s="25">
        <f>$B$12*AE10</f>
        <v>1773000</v>
      </c>
      <c r="V10" s="25">
        <f>$B$12*AE11</f>
        <v>1770000</v>
      </c>
      <c r="W10" s="25">
        <f>$B$12*AE12</f>
        <v>1773000</v>
      </c>
      <c r="X10" s="25">
        <f>$B$12*AE13</f>
        <v>1770000</v>
      </c>
      <c r="Y10" s="25">
        <f>$B$12*AE14</f>
        <v>1773000</v>
      </c>
      <c r="Z10" s="25">
        <f>$B$12*AE15</f>
        <v>1770000</v>
      </c>
      <c r="AA10" s="25">
        <f>$B$12*AE16</f>
        <v>1773000</v>
      </c>
      <c r="AB10" s="25">
        <f>$B$12*AE17</f>
        <v>885000</v>
      </c>
      <c r="AC10" s="55"/>
      <c r="AE10" s="19">
        <v>5.91E-2</v>
      </c>
    </row>
    <row r="11" spans="1:32" x14ac:dyDescent="0.2">
      <c r="A11" s="27" t="s">
        <v>6</v>
      </c>
      <c r="B11" s="35">
        <v>0.03</v>
      </c>
      <c r="C11" s="35"/>
      <c r="E11" s="8" t="s">
        <v>65</v>
      </c>
      <c r="F11" s="24"/>
      <c r="G11" s="24"/>
      <c r="H11" s="24"/>
      <c r="I11" s="24"/>
      <c r="J11" s="24"/>
      <c r="K11" s="24"/>
      <c r="L11" s="25">
        <f>B16</f>
        <v>10000000</v>
      </c>
      <c r="M11" s="25">
        <f>$L$11*AF2</f>
        <v>2000000</v>
      </c>
      <c r="N11" s="25">
        <f>$L$11*AF3</f>
        <v>3200000</v>
      </c>
      <c r="O11" s="25">
        <f>$L$11*AF4</f>
        <v>1920000</v>
      </c>
      <c r="P11" s="25">
        <f>$L$11*AF5</f>
        <v>1152000</v>
      </c>
      <c r="Q11" s="25">
        <f>$L$11*AF6</f>
        <v>1152000</v>
      </c>
      <c r="R11" s="25">
        <f>$L$11*AF7</f>
        <v>576000</v>
      </c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55"/>
      <c r="AE11" s="19">
        <v>5.8999999999999997E-2</v>
      </c>
    </row>
    <row r="12" spans="1:32" x14ac:dyDescent="0.2">
      <c r="A12" s="27" t="s">
        <v>8</v>
      </c>
      <c r="B12" s="36">
        <v>30000000</v>
      </c>
      <c r="C12" s="36"/>
      <c r="E12" s="8" t="s">
        <v>63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5">
        <f>B17</f>
        <v>11592740.742999999</v>
      </c>
      <c r="R12" s="25">
        <f>$Q$12*AF2</f>
        <v>2318548.1486</v>
      </c>
      <c r="S12" s="25">
        <f>$Q$12*AF3</f>
        <v>3709677.0377599997</v>
      </c>
      <c r="T12" s="25">
        <f>$Q$12*AF4</f>
        <v>2225806.2226559999</v>
      </c>
      <c r="U12" s="25">
        <f>$Q$12*AF5</f>
        <v>1335483.7335935999</v>
      </c>
      <c r="V12" s="25">
        <f>$Q$12*AF6</f>
        <v>1335483.7335935999</v>
      </c>
      <c r="W12" s="25">
        <f>$Q$12*AF7</f>
        <v>667741.86679679994</v>
      </c>
      <c r="X12" s="24"/>
      <c r="Y12" s="24"/>
      <c r="Z12" s="24"/>
      <c r="AA12" s="24"/>
      <c r="AB12" s="24"/>
      <c r="AC12" s="55"/>
      <c r="AE12" s="19">
        <v>5.91E-2</v>
      </c>
    </row>
    <row r="13" spans="1:32" x14ac:dyDescent="0.2">
      <c r="A13" s="27" t="s">
        <v>9</v>
      </c>
      <c r="B13" s="36">
        <f>B12*2/3</f>
        <v>20000000</v>
      </c>
      <c r="C13" s="36"/>
      <c r="E13" s="11" t="s">
        <v>64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28">
        <f>B18</f>
        <v>13439163.793441216</v>
      </c>
      <c r="W13" s="28">
        <f>$V$13*AF2</f>
        <v>2687832.7586882431</v>
      </c>
      <c r="X13" s="28">
        <f>$V$13*AF3</f>
        <v>4300532.4139011893</v>
      </c>
      <c r="Y13" s="28">
        <f>$V$13*AF4</f>
        <v>2580319.4483407135</v>
      </c>
      <c r="Z13" s="28">
        <f>$V$13*AF5</f>
        <v>1548191.669004428</v>
      </c>
      <c r="AA13" s="28">
        <f>$V$13*AF6</f>
        <v>1548191.669004428</v>
      </c>
      <c r="AB13" s="28">
        <f>$V$13*AF7</f>
        <v>774095.83450221398</v>
      </c>
      <c r="AC13" s="55"/>
      <c r="AE13" s="19">
        <v>5.8999999999999997E-2</v>
      </c>
    </row>
    <row r="14" spans="1:32" x14ac:dyDescent="0.2">
      <c r="A14" s="27" t="s">
        <v>10</v>
      </c>
      <c r="B14" s="36">
        <f>B12*1/3</f>
        <v>10000000</v>
      </c>
      <c r="C14" s="36"/>
      <c r="E14" s="29" t="s">
        <v>96</v>
      </c>
      <c r="F14" s="44"/>
      <c r="G14" s="24"/>
      <c r="H14" s="24"/>
      <c r="I14" s="24"/>
      <c r="J14" s="24"/>
      <c r="K14" s="25">
        <f>SUM(K9,K10)</f>
        <v>25000000</v>
      </c>
      <c r="L14" s="25">
        <f>SUM(L10,L11)</f>
        <v>20000000</v>
      </c>
      <c r="M14" s="25">
        <v>0</v>
      </c>
      <c r="N14" s="25">
        <v>0</v>
      </c>
      <c r="O14" s="25">
        <v>0</v>
      </c>
      <c r="P14" s="53">
        <v>0</v>
      </c>
      <c r="Q14" s="25">
        <f>Q12</f>
        <v>11592740.742999999</v>
      </c>
      <c r="R14" s="53">
        <v>0</v>
      </c>
      <c r="S14" s="53">
        <v>0</v>
      </c>
      <c r="T14" s="53">
        <v>0</v>
      </c>
      <c r="U14" s="53">
        <v>0</v>
      </c>
      <c r="V14" s="25">
        <f>V13</f>
        <v>13439163.793441216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6">
        <f>-AC9</f>
        <v>-8512165.3061995208</v>
      </c>
      <c r="AE14" s="19">
        <v>5.91E-2</v>
      </c>
    </row>
    <row r="15" spans="1:32" x14ac:dyDescent="0.2">
      <c r="A15" s="27"/>
      <c r="B15" s="16"/>
      <c r="C15" s="16"/>
      <c r="E15" s="31" t="s">
        <v>97</v>
      </c>
      <c r="F15" s="45"/>
      <c r="G15" s="12"/>
      <c r="H15" s="12"/>
      <c r="I15" s="12"/>
      <c r="J15" s="12"/>
      <c r="K15" s="28">
        <v>0</v>
      </c>
      <c r="L15" s="28">
        <v>0</v>
      </c>
      <c r="M15" s="28">
        <f>SUM(M10,M11)</f>
        <v>3500000</v>
      </c>
      <c r="N15" s="28">
        <f t="shared" ref="N15:Q15" si="2">SUM(N10,N11)</f>
        <v>6050000</v>
      </c>
      <c r="O15" s="28">
        <f t="shared" si="2"/>
        <v>4485000</v>
      </c>
      <c r="P15" s="28">
        <f t="shared" si="2"/>
        <v>3462000</v>
      </c>
      <c r="Q15" s="28">
        <f t="shared" si="2"/>
        <v>3231000</v>
      </c>
      <c r="R15" s="28">
        <f>SUM(R10,R11,R12)</f>
        <v>4763548.1486</v>
      </c>
      <c r="S15" s="28">
        <f>SUM(S10,S12)</f>
        <v>5479677.0377599997</v>
      </c>
      <c r="T15" s="28">
        <f t="shared" ref="T15:V15" si="3">SUM(T10,T12)</f>
        <v>3995806.2226559999</v>
      </c>
      <c r="U15" s="28">
        <f t="shared" si="3"/>
        <v>3108483.7335935999</v>
      </c>
      <c r="V15" s="28">
        <f t="shared" si="3"/>
        <v>3105483.7335935999</v>
      </c>
      <c r="W15" s="28">
        <f>SUM(W10,W12,W13)</f>
        <v>5128574.625485043</v>
      </c>
      <c r="X15" s="28">
        <f>SUM(X10,X13)</f>
        <v>6070532.4139011893</v>
      </c>
      <c r="Y15" s="28">
        <f>SUM(Y10,Y13)</f>
        <v>4353319.448340714</v>
      </c>
      <c r="Z15" s="28">
        <f t="shared" ref="Z15:AB15" si="4">SUM(Z10,Z13)</f>
        <v>3318191.6690044282</v>
      </c>
      <c r="AA15" s="28">
        <f t="shared" si="4"/>
        <v>3321191.6690044282</v>
      </c>
      <c r="AB15" s="28">
        <f t="shared" si="4"/>
        <v>1659095.8345022141</v>
      </c>
      <c r="AC15" s="54"/>
      <c r="AE15" s="19">
        <v>5.8999999999999997E-2</v>
      </c>
    </row>
    <row r="16" spans="1:32" x14ac:dyDescent="0.2">
      <c r="A16" s="27" t="s">
        <v>11</v>
      </c>
      <c r="B16" s="36">
        <v>10000000</v>
      </c>
      <c r="C16" s="36"/>
      <c r="AE16" s="19">
        <v>5.91E-2</v>
      </c>
    </row>
    <row r="17" spans="1:31" ht="17" thickBot="1" x14ac:dyDescent="0.25">
      <c r="A17" s="27" t="s">
        <v>12</v>
      </c>
      <c r="B17" s="36">
        <f>B16*(1+B11)^5</f>
        <v>11592740.742999999</v>
      </c>
      <c r="C17" s="36"/>
      <c r="E17" s="33" t="s">
        <v>68</v>
      </c>
      <c r="F17" s="43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3"/>
      <c r="AE17" s="20">
        <v>2.9499999999999998E-2</v>
      </c>
    </row>
    <row r="18" spans="1:31" x14ac:dyDescent="0.2">
      <c r="A18" s="27" t="s">
        <v>13</v>
      </c>
      <c r="B18" s="36">
        <f>B17*(1+B11)^5</f>
        <v>13439163.793441216</v>
      </c>
      <c r="C18" s="36"/>
      <c r="E18" s="29" t="s">
        <v>69</v>
      </c>
      <c r="F18" s="44"/>
      <c r="G18" s="24"/>
      <c r="H18" s="24"/>
      <c r="I18" s="24"/>
      <c r="J18" s="24"/>
      <c r="K18" s="24"/>
      <c r="L18" s="24"/>
      <c r="M18" s="30">
        <f>B20</f>
        <v>6000</v>
      </c>
      <c r="N18" s="30">
        <f>B22</f>
        <v>8000</v>
      </c>
      <c r="O18" s="30">
        <f>B23</f>
        <v>10000</v>
      </c>
      <c r="P18" s="30">
        <f>$O$18</f>
        <v>10000</v>
      </c>
      <c r="Q18" s="30">
        <f t="shared" ref="Q18:U18" si="5">$O$18</f>
        <v>10000</v>
      </c>
      <c r="R18" s="30">
        <f t="shared" si="5"/>
        <v>10000</v>
      </c>
      <c r="S18" s="30">
        <f t="shared" si="5"/>
        <v>10000</v>
      </c>
      <c r="T18" s="30">
        <f t="shared" si="5"/>
        <v>10000</v>
      </c>
      <c r="U18" s="30">
        <f t="shared" si="5"/>
        <v>10000</v>
      </c>
      <c r="V18" s="30">
        <f>$O$18</f>
        <v>10000</v>
      </c>
      <c r="W18" s="30">
        <f>V18*(1+$B$25)</f>
        <v>9800</v>
      </c>
      <c r="X18" s="30">
        <f>W18*(1+$B$25)</f>
        <v>9604</v>
      </c>
      <c r="Y18" s="30">
        <f t="shared" ref="Y18:AC18" si="6">X18*(1+$B$25)</f>
        <v>9411.92</v>
      </c>
      <c r="Z18" s="30">
        <f t="shared" si="6"/>
        <v>9223.6815999999999</v>
      </c>
      <c r="AA18" s="30">
        <f t="shared" si="6"/>
        <v>9039.2079680000006</v>
      </c>
      <c r="AB18" s="30">
        <f t="shared" si="6"/>
        <v>8858.4238086400001</v>
      </c>
      <c r="AC18" s="51">
        <f t="shared" si="6"/>
        <v>8681.2553324672008</v>
      </c>
    </row>
    <row r="19" spans="1:31" x14ac:dyDescent="0.2">
      <c r="A19" s="27"/>
      <c r="B19" s="16"/>
      <c r="C19" s="16"/>
      <c r="E19" s="31" t="s">
        <v>70</v>
      </c>
      <c r="F19" s="44"/>
      <c r="G19" s="24"/>
      <c r="H19" s="24"/>
      <c r="I19" s="24"/>
      <c r="J19" s="24"/>
      <c r="K19" s="24"/>
      <c r="L19" s="24"/>
      <c r="M19" s="28">
        <f>B28</f>
        <v>2000</v>
      </c>
      <c r="N19" s="28">
        <f>M19*(1+$B$29)</f>
        <v>2100</v>
      </c>
      <c r="O19" s="28">
        <f t="shared" ref="O19:Q19" si="7">N19*(1+$B$29)</f>
        <v>2205</v>
      </c>
      <c r="P19" s="28">
        <f>O19*(1+$B$29)</f>
        <v>2315.25</v>
      </c>
      <c r="Q19" s="28">
        <f t="shared" si="7"/>
        <v>2431.0125000000003</v>
      </c>
      <c r="R19" s="28">
        <f>Q19*(1+$B$34)</f>
        <v>2503.9428750000002</v>
      </c>
      <c r="S19" s="28">
        <f>R19*(1+$B$34)</f>
        <v>2579.0611612500002</v>
      </c>
      <c r="T19" s="28">
        <f t="shared" ref="T19:AC19" si="8">S19*(1+$B$34)</f>
        <v>2656.4329960875002</v>
      </c>
      <c r="U19" s="28">
        <f t="shared" si="8"/>
        <v>2736.1259859701254</v>
      </c>
      <c r="V19" s="28">
        <f t="shared" si="8"/>
        <v>2818.2097655492294</v>
      </c>
      <c r="W19" s="28">
        <f t="shared" si="8"/>
        <v>2902.7560585157062</v>
      </c>
      <c r="X19" s="28">
        <f t="shared" si="8"/>
        <v>2989.8387402711774</v>
      </c>
      <c r="Y19" s="28">
        <f t="shared" si="8"/>
        <v>3079.5339024793129</v>
      </c>
      <c r="Z19" s="28">
        <f t="shared" si="8"/>
        <v>3171.9199195536926</v>
      </c>
      <c r="AA19" s="28">
        <f t="shared" si="8"/>
        <v>3267.0775171403034</v>
      </c>
      <c r="AB19" s="28">
        <f t="shared" si="8"/>
        <v>3365.0898426545127</v>
      </c>
      <c r="AC19" s="42">
        <f t="shared" si="8"/>
        <v>3466.0425379341482</v>
      </c>
    </row>
    <row r="20" spans="1:31" x14ac:dyDescent="0.2">
      <c r="A20" s="27" t="s">
        <v>14</v>
      </c>
      <c r="B20" s="37">
        <v>6000</v>
      </c>
      <c r="C20" s="37">
        <v>8000</v>
      </c>
      <c r="E20" s="29" t="s">
        <v>71</v>
      </c>
      <c r="F20" s="44"/>
      <c r="G20" s="24"/>
      <c r="H20" s="24"/>
      <c r="I20" s="24"/>
      <c r="J20" s="24"/>
      <c r="K20" s="24"/>
      <c r="L20" s="24"/>
      <c r="M20" s="25">
        <f>M18*M19</f>
        <v>12000000</v>
      </c>
      <c r="N20" s="25">
        <f>N18*N19</f>
        <v>16800000</v>
      </c>
      <c r="O20" s="25">
        <f t="shared" ref="O20:AB20" si="9">O18*O19</f>
        <v>22050000</v>
      </c>
      <c r="P20" s="25">
        <f t="shared" si="9"/>
        <v>23152500</v>
      </c>
      <c r="Q20" s="25">
        <f t="shared" si="9"/>
        <v>24310125.000000004</v>
      </c>
      <c r="R20" s="25">
        <f t="shared" si="9"/>
        <v>25039428.75</v>
      </c>
      <c r="S20" s="25">
        <f t="shared" si="9"/>
        <v>25790611.612500001</v>
      </c>
      <c r="T20" s="25">
        <f t="shared" si="9"/>
        <v>26564329.960875001</v>
      </c>
      <c r="U20" s="25">
        <f t="shared" si="9"/>
        <v>27361259.859701253</v>
      </c>
      <c r="V20" s="25">
        <f t="shared" si="9"/>
        <v>28182097.655492295</v>
      </c>
      <c r="W20" s="25">
        <f t="shared" si="9"/>
        <v>28447009.373453919</v>
      </c>
      <c r="X20" s="25">
        <f t="shared" si="9"/>
        <v>28714411.261564389</v>
      </c>
      <c r="Y20" s="25">
        <f t="shared" si="9"/>
        <v>28984326.727423094</v>
      </c>
      <c r="Z20" s="25">
        <f t="shared" si="9"/>
        <v>29256779.398660876</v>
      </c>
      <c r="AA20" s="25">
        <f t="shared" si="9"/>
        <v>29531793.125008289</v>
      </c>
      <c r="AB20" s="25">
        <f t="shared" si="9"/>
        <v>29809391.980383366</v>
      </c>
      <c r="AC20" s="26">
        <f>AC18*AC19</f>
        <v>30089600.264998972</v>
      </c>
    </row>
    <row r="21" spans="1:31" x14ac:dyDescent="0.2">
      <c r="A21" s="27" t="s">
        <v>15</v>
      </c>
      <c r="B21" s="37">
        <v>2000</v>
      </c>
      <c r="C21" s="40"/>
      <c r="E21" s="29" t="s">
        <v>31</v>
      </c>
      <c r="F21" s="44"/>
      <c r="G21" s="24"/>
      <c r="H21" s="24"/>
      <c r="I21" s="24"/>
      <c r="J21" s="24"/>
      <c r="K21" s="24"/>
      <c r="L21" s="24"/>
      <c r="M21" s="25">
        <f>B38</f>
        <v>6000000</v>
      </c>
      <c r="N21" s="25">
        <f>M21*(1+$B$39)</f>
        <v>6180000</v>
      </c>
      <c r="O21" s="25">
        <f>N21*(1+$B$39)</f>
        <v>6365400</v>
      </c>
      <c r="P21" s="25">
        <f t="shared" ref="P21:AA21" si="10">O21*(1+$B$39)</f>
        <v>6556362</v>
      </c>
      <c r="Q21" s="25">
        <f t="shared" si="10"/>
        <v>6753052.8600000003</v>
      </c>
      <c r="R21" s="25">
        <f t="shared" si="10"/>
        <v>6955644.4458000008</v>
      </c>
      <c r="S21" s="25">
        <f t="shared" si="10"/>
        <v>7164313.779174001</v>
      </c>
      <c r="T21" s="25">
        <f t="shared" si="10"/>
        <v>7379243.1925492212</v>
      </c>
      <c r="U21" s="25">
        <f t="shared" si="10"/>
        <v>7600620.4883256983</v>
      </c>
      <c r="V21" s="25">
        <f t="shared" si="10"/>
        <v>7828639.1029754691</v>
      </c>
      <c r="W21" s="25">
        <f t="shared" si="10"/>
        <v>8063498.276064733</v>
      </c>
      <c r="X21" s="25">
        <f t="shared" si="10"/>
        <v>8305403.224346675</v>
      </c>
      <c r="Y21" s="25">
        <f t="shared" si="10"/>
        <v>8554565.3210770749</v>
      </c>
      <c r="Z21" s="25">
        <f t="shared" si="10"/>
        <v>8811202.2807093877</v>
      </c>
      <c r="AA21" s="25">
        <f t="shared" si="10"/>
        <v>9075538.3491306696</v>
      </c>
      <c r="AB21" s="25">
        <f>AA21*(1+$B$39)</f>
        <v>9347804.4996045902</v>
      </c>
      <c r="AC21" s="26">
        <f>AB21*(1+$B$39)</f>
        <v>9628238.6345927287</v>
      </c>
    </row>
    <row r="22" spans="1:31" x14ac:dyDescent="0.2">
      <c r="A22" s="27" t="s">
        <v>16</v>
      </c>
      <c r="B22" s="37">
        <f>B20+B21</f>
        <v>8000</v>
      </c>
      <c r="C22" s="37">
        <v>10000</v>
      </c>
      <c r="E22" s="29" t="s">
        <v>32</v>
      </c>
      <c r="F22" s="44"/>
      <c r="G22" s="24"/>
      <c r="H22" s="24"/>
      <c r="I22" s="24"/>
      <c r="J22" s="24"/>
      <c r="K22" s="24"/>
      <c r="L22" s="24"/>
      <c r="M22" s="25">
        <f>B40</f>
        <v>500</v>
      </c>
      <c r="N22" s="25">
        <f>M22*(1+$B$41)</f>
        <v>515</v>
      </c>
      <c r="O22" s="25">
        <f>N22*(1+$B$41)</f>
        <v>530.45000000000005</v>
      </c>
      <c r="P22" s="25">
        <f t="shared" ref="P22:AC22" si="11">O22*(1+$B$41)</f>
        <v>546.36350000000004</v>
      </c>
      <c r="Q22" s="25">
        <f t="shared" si="11"/>
        <v>562.75440500000002</v>
      </c>
      <c r="R22" s="25">
        <f t="shared" si="11"/>
        <v>579.63703715000008</v>
      </c>
      <c r="S22" s="25">
        <f t="shared" si="11"/>
        <v>597.02614826450008</v>
      </c>
      <c r="T22" s="25">
        <f t="shared" si="11"/>
        <v>614.93693271243512</v>
      </c>
      <c r="U22" s="25">
        <f t="shared" si="11"/>
        <v>633.38504069380815</v>
      </c>
      <c r="V22" s="25">
        <f t="shared" si="11"/>
        <v>652.38659191462239</v>
      </c>
      <c r="W22" s="25">
        <f t="shared" si="11"/>
        <v>671.95818967206105</v>
      </c>
      <c r="X22" s="25">
        <f t="shared" si="11"/>
        <v>692.11693536222288</v>
      </c>
      <c r="Y22" s="25">
        <f t="shared" si="11"/>
        <v>712.88044342308956</v>
      </c>
      <c r="Z22" s="25">
        <f t="shared" si="11"/>
        <v>734.2668567257823</v>
      </c>
      <c r="AA22" s="25">
        <f t="shared" si="11"/>
        <v>756.29486242755581</v>
      </c>
      <c r="AB22" s="25">
        <f t="shared" si="11"/>
        <v>778.98370830038255</v>
      </c>
      <c r="AC22" s="26">
        <f t="shared" si="11"/>
        <v>802.353219549394</v>
      </c>
    </row>
    <row r="23" spans="1:31" x14ac:dyDescent="0.2">
      <c r="A23" s="27" t="s">
        <v>17</v>
      </c>
      <c r="B23" s="37">
        <f>B22+B21</f>
        <v>10000</v>
      </c>
      <c r="C23" s="37">
        <v>10500</v>
      </c>
      <c r="E23" s="29" t="s">
        <v>72</v>
      </c>
      <c r="F23" s="44"/>
      <c r="G23" s="24"/>
      <c r="H23" s="24"/>
      <c r="I23" s="24"/>
      <c r="J23" s="24"/>
      <c r="K23" s="24"/>
      <c r="L23" s="24"/>
      <c r="M23" s="25">
        <f>M22*M18</f>
        <v>3000000</v>
      </c>
      <c r="N23" s="25">
        <f>N22*N18</f>
        <v>4120000</v>
      </c>
      <c r="O23" s="25">
        <f t="shared" ref="O23:AB23" si="12">O22*O18</f>
        <v>5304500</v>
      </c>
      <c r="P23" s="25">
        <f t="shared" si="12"/>
        <v>5463635</v>
      </c>
      <c r="Q23" s="25">
        <f t="shared" si="12"/>
        <v>5627544.0499999998</v>
      </c>
      <c r="R23" s="25">
        <f t="shared" si="12"/>
        <v>5796370.3715000013</v>
      </c>
      <c r="S23" s="25">
        <f t="shared" si="12"/>
        <v>5970261.4826450013</v>
      </c>
      <c r="T23" s="25">
        <f t="shared" si="12"/>
        <v>6149369.3271243516</v>
      </c>
      <c r="U23" s="25">
        <f t="shared" si="12"/>
        <v>6333850.4069380816</v>
      </c>
      <c r="V23" s="25">
        <f t="shared" si="12"/>
        <v>6523865.9191462239</v>
      </c>
      <c r="W23" s="25">
        <f t="shared" si="12"/>
        <v>6585190.2587861987</v>
      </c>
      <c r="X23" s="25">
        <f t="shared" si="12"/>
        <v>6647091.0472187884</v>
      </c>
      <c r="Y23" s="25">
        <f t="shared" si="12"/>
        <v>6709573.7030626452</v>
      </c>
      <c r="Z23" s="25">
        <f t="shared" si="12"/>
        <v>6772643.6958714342</v>
      </c>
      <c r="AA23" s="25">
        <f t="shared" si="12"/>
        <v>6836306.5466126269</v>
      </c>
      <c r="AB23" s="25">
        <f t="shared" si="12"/>
        <v>6900567.8281507855</v>
      </c>
      <c r="AC23" s="26">
        <f>AC18*AC22</f>
        <v>6965433.1657354031</v>
      </c>
    </row>
    <row r="24" spans="1:31" x14ac:dyDescent="0.2">
      <c r="A24" s="27" t="s">
        <v>18</v>
      </c>
      <c r="B24" s="37">
        <f>B23</f>
        <v>10000</v>
      </c>
      <c r="C24" s="37"/>
      <c r="E24" s="29" t="s">
        <v>73</v>
      </c>
      <c r="F24" s="44"/>
      <c r="G24" s="24"/>
      <c r="H24" s="24"/>
      <c r="I24" s="24"/>
      <c r="J24" s="24"/>
      <c r="K24" s="24"/>
      <c r="L24" s="24"/>
      <c r="M24" s="25">
        <f t="shared" ref="M24:AA24" si="13">M4</f>
        <v>520000</v>
      </c>
      <c r="N24" s="25">
        <f t="shared" si="13"/>
        <v>520000</v>
      </c>
      <c r="O24" s="25">
        <f t="shared" si="13"/>
        <v>520000</v>
      </c>
      <c r="P24" s="25">
        <f t="shared" si="13"/>
        <v>520000</v>
      </c>
      <c r="Q24" s="25">
        <f t="shared" si="13"/>
        <v>520000</v>
      </c>
      <c r="R24" s="25">
        <f t="shared" si="13"/>
        <v>520000</v>
      </c>
      <c r="S24" s="25">
        <f t="shared" si="13"/>
        <v>520000</v>
      </c>
      <c r="T24" s="25">
        <f t="shared" si="13"/>
        <v>520000</v>
      </c>
      <c r="U24" s="25">
        <f t="shared" si="13"/>
        <v>520000</v>
      </c>
      <c r="V24" s="25">
        <f t="shared" si="13"/>
        <v>520000</v>
      </c>
      <c r="W24" s="25">
        <f t="shared" si="13"/>
        <v>520000</v>
      </c>
      <c r="X24" s="25">
        <f t="shared" si="13"/>
        <v>520000</v>
      </c>
      <c r="Y24" s="25">
        <f t="shared" si="13"/>
        <v>520000</v>
      </c>
      <c r="Z24" s="25">
        <f t="shared" si="13"/>
        <v>520000</v>
      </c>
      <c r="AA24" s="25">
        <f t="shared" si="13"/>
        <v>520000</v>
      </c>
      <c r="AB24" s="25">
        <f>AB4</f>
        <v>520000</v>
      </c>
      <c r="AC24" s="26">
        <f>AC4</f>
        <v>520000</v>
      </c>
    </row>
    <row r="25" spans="1:31" x14ac:dyDescent="0.2">
      <c r="A25" s="27" t="s">
        <v>20</v>
      </c>
      <c r="B25" s="35">
        <v>-0.02</v>
      </c>
      <c r="C25" s="35"/>
      <c r="E25" s="31" t="s">
        <v>74</v>
      </c>
      <c r="F25" s="44"/>
      <c r="G25" s="24"/>
      <c r="H25" s="24"/>
      <c r="I25" s="24"/>
      <c r="J25" s="24"/>
      <c r="K25" s="24"/>
      <c r="L25" s="24"/>
      <c r="M25" s="28">
        <f>M15</f>
        <v>3500000</v>
      </c>
      <c r="N25" s="28">
        <f t="shared" ref="N25:AC25" si="14">N15</f>
        <v>6050000</v>
      </c>
      <c r="O25" s="28">
        <f t="shared" si="14"/>
        <v>4485000</v>
      </c>
      <c r="P25" s="28">
        <f t="shared" si="14"/>
        <v>3462000</v>
      </c>
      <c r="Q25" s="28">
        <f t="shared" si="14"/>
        <v>3231000</v>
      </c>
      <c r="R25" s="28">
        <f t="shared" si="14"/>
        <v>4763548.1486</v>
      </c>
      <c r="S25" s="28">
        <f t="shared" si="14"/>
        <v>5479677.0377599997</v>
      </c>
      <c r="T25" s="28">
        <f t="shared" si="14"/>
        <v>3995806.2226559999</v>
      </c>
      <c r="U25" s="28">
        <f t="shared" si="14"/>
        <v>3108483.7335935999</v>
      </c>
      <c r="V25" s="28">
        <f t="shared" si="14"/>
        <v>3105483.7335935999</v>
      </c>
      <c r="W25" s="28">
        <f t="shared" si="14"/>
        <v>5128574.625485043</v>
      </c>
      <c r="X25" s="28">
        <f t="shared" si="14"/>
        <v>6070532.4139011893</v>
      </c>
      <c r="Y25" s="28">
        <f t="shared" si="14"/>
        <v>4353319.448340714</v>
      </c>
      <c r="Z25" s="28">
        <f t="shared" si="14"/>
        <v>3318191.6690044282</v>
      </c>
      <c r="AA25" s="28">
        <f t="shared" si="14"/>
        <v>3321191.6690044282</v>
      </c>
      <c r="AB25" s="28">
        <f t="shared" si="14"/>
        <v>1659095.8345022141</v>
      </c>
      <c r="AC25" s="28">
        <f t="shared" si="14"/>
        <v>0</v>
      </c>
    </row>
    <row r="26" spans="1:31" x14ac:dyDescent="0.2">
      <c r="A26" s="27" t="s">
        <v>19</v>
      </c>
      <c r="B26" s="37">
        <f>B24+(B24*B25)</f>
        <v>9800</v>
      </c>
      <c r="C26" s="37"/>
      <c r="E26" s="29" t="s">
        <v>75</v>
      </c>
      <c r="F26" s="44"/>
      <c r="G26" s="24"/>
      <c r="H26" s="24"/>
      <c r="I26" s="24"/>
      <c r="J26" s="24"/>
      <c r="K26" s="24"/>
      <c r="L26" s="24"/>
      <c r="M26" s="25">
        <f>(M20-(M21+M23)-M24-M25)*-1</f>
        <v>1020000</v>
      </c>
      <c r="N26" s="25">
        <f>(N20-(N21+N23)-N24-N25)*-1</f>
        <v>70000</v>
      </c>
      <c r="O26" s="25">
        <f t="shared" ref="O26:AA26" si="15">O20-(O21+O23)-O24-O25</f>
        <v>5375100</v>
      </c>
      <c r="P26" s="25">
        <f t="shared" si="15"/>
        <v>7150503</v>
      </c>
      <c r="Q26" s="25">
        <f t="shared" si="15"/>
        <v>8178528.0900000036</v>
      </c>
      <c r="R26" s="25">
        <f t="shared" si="15"/>
        <v>7003865.784099997</v>
      </c>
      <c r="S26" s="25">
        <f t="shared" si="15"/>
        <v>6656359.3129209997</v>
      </c>
      <c r="T26" s="25">
        <f t="shared" si="15"/>
        <v>8519911.2185454275</v>
      </c>
      <c r="U26" s="25">
        <f t="shared" si="15"/>
        <v>9798305.2308438737</v>
      </c>
      <c r="V26" s="25">
        <f t="shared" si="15"/>
        <v>10204108.899777001</v>
      </c>
      <c r="W26" s="25">
        <f t="shared" si="15"/>
        <v>8149746.2131179431</v>
      </c>
      <c r="X26" s="25">
        <f t="shared" si="15"/>
        <v>7171384.5760977361</v>
      </c>
      <c r="Y26" s="25">
        <f t="shared" si="15"/>
        <v>8846868.2549426593</v>
      </c>
      <c r="Z26" s="25">
        <f t="shared" si="15"/>
        <v>9834741.7530756257</v>
      </c>
      <c r="AA26" s="25">
        <f t="shared" si="15"/>
        <v>9778756.5602605641</v>
      </c>
      <c r="AB26" s="25">
        <f>AB20-(AB21+AB23)-AB24-AB25</f>
        <v>11381923.818125775</v>
      </c>
      <c r="AC26" s="26">
        <f>AC20-(AC21+AC23)-AC24-AC25</f>
        <v>12975928.464670841</v>
      </c>
    </row>
    <row r="27" spans="1:31" x14ac:dyDescent="0.2">
      <c r="A27" s="27" t="s">
        <v>21</v>
      </c>
      <c r="B27" s="37">
        <f>B26+(B26*B25)</f>
        <v>9604</v>
      </c>
      <c r="C27" s="37"/>
      <c r="E27" s="29" t="s">
        <v>76</v>
      </c>
      <c r="F27" s="44"/>
      <c r="G27" s="24"/>
      <c r="H27" s="24"/>
      <c r="I27" s="24"/>
      <c r="J27" s="24"/>
      <c r="K27" s="24"/>
      <c r="L27" s="24"/>
      <c r="M27" s="25">
        <f>M26*$B$43</f>
        <v>214200</v>
      </c>
      <c r="N27" s="25">
        <f>N26*$B$43</f>
        <v>14700</v>
      </c>
      <c r="O27" s="25">
        <f t="shared" ref="O27:AC27" si="16">O26*$B$43</f>
        <v>1128771</v>
      </c>
      <c r="P27" s="25">
        <f t="shared" si="16"/>
        <v>1501605.63</v>
      </c>
      <c r="Q27" s="25">
        <f t="shared" si="16"/>
        <v>1717490.8989000006</v>
      </c>
      <c r="R27" s="25">
        <f t="shared" si="16"/>
        <v>1470811.8146609992</v>
      </c>
      <c r="S27" s="25">
        <f t="shared" si="16"/>
        <v>1397835.4557134099</v>
      </c>
      <c r="T27" s="25">
        <f t="shared" si="16"/>
        <v>1789181.3558945397</v>
      </c>
      <c r="U27" s="25">
        <f t="shared" si="16"/>
        <v>2057644.0984772134</v>
      </c>
      <c r="V27" s="25">
        <f t="shared" si="16"/>
        <v>2142862.8689531703</v>
      </c>
      <c r="W27" s="25">
        <f t="shared" si="16"/>
        <v>1711446.7047547679</v>
      </c>
      <c r="X27" s="25">
        <f t="shared" si="16"/>
        <v>1505990.7609805246</v>
      </c>
      <c r="Y27" s="25">
        <f t="shared" si="16"/>
        <v>1857842.3335379583</v>
      </c>
      <c r="Z27" s="25">
        <f t="shared" si="16"/>
        <v>2065295.7681458814</v>
      </c>
      <c r="AA27" s="25">
        <f t="shared" si="16"/>
        <v>2053538.8776547185</v>
      </c>
      <c r="AB27" s="25">
        <f t="shared" si="16"/>
        <v>2390204.0018064128</v>
      </c>
      <c r="AC27" s="26">
        <f t="shared" si="16"/>
        <v>2724944.9775808766</v>
      </c>
    </row>
    <row r="28" spans="1:31" x14ac:dyDescent="0.2">
      <c r="A28" s="27" t="s">
        <v>22</v>
      </c>
      <c r="B28" s="36">
        <v>2000</v>
      </c>
      <c r="C28" s="36">
        <v>1900</v>
      </c>
      <c r="E28" s="31" t="s">
        <v>74</v>
      </c>
      <c r="F28" s="44"/>
      <c r="G28" s="24"/>
      <c r="H28" s="24"/>
      <c r="I28" s="24"/>
      <c r="J28" s="24"/>
      <c r="K28" s="24"/>
      <c r="L28" s="24"/>
      <c r="M28" s="28">
        <f>M25</f>
        <v>3500000</v>
      </c>
      <c r="N28" s="28">
        <f t="shared" ref="N28:AA28" si="17">N25</f>
        <v>6050000</v>
      </c>
      <c r="O28" s="28">
        <f t="shared" si="17"/>
        <v>4485000</v>
      </c>
      <c r="P28" s="28">
        <f t="shared" si="17"/>
        <v>3462000</v>
      </c>
      <c r="Q28" s="28">
        <f t="shared" si="17"/>
        <v>3231000</v>
      </c>
      <c r="R28" s="28">
        <f t="shared" si="17"/>
        <v>4763548.1486</v>
      </c>
      <c r="S28" s="28">
        <f t="shared" si="17"/>
        <v>5479677.0377599997</v>
      </c>
      <c r="T28" s="28">
        <f t="shared" si="17"/>
        <v>3995806.2226559999</v>
      </c>
      <c r="U28" s="28">
        <f t="shared" si="17"/>
        <v>3108483.7335935999</v>
      </c>
      <c r="V28" s="28">
        <f t="shared" si="17"/>
        <v>3105483.7335935999</v>
      </c>
      <c r="W28" s="28">
        <f t="shared" si="17"/>
        <v>5128574.625485043</v>
      </c>
      <c r="X28" s="28">
        <f t="shared" si="17"/>
        <v>6070532.4139011893</v>
      </c>
      <c r="Y28" s="28">
        <f t="shared" si="17"/>
        <v>4353319.448340714</v>
      </c>
      <c r="Z28" s="28">
        <f t="shared" si="17"/>
        <v>3318191.6690044282</v>
      </c>
      <c r="AA28" s="28">
        <f t="shared" si="17"/>
        <v>3321191.6690044282</v>
      </c>
      <c r="AB28" s="28">
        <f>AB25</f>
        <v>1659095.8345022141</v>
      </c>
      <c r="AC28" s="42">
        <f>AC25</f>
        <v>0</v>
      </c>
    </row>
    <row r="29" spans="1:31" x14ac:dyDescent="0.2">
      <c r="A29" s="27" t="s">
        <v>23</v>
      </c>
      <c r="B29" s="35">
        <v>0.05</v>
      </c>
      <c r="C29" s="35"/>
      <c r="E29" s="31" t="s">
        <v>77</v>
      </c>
      <c r="F29" s="45"/>
      <c r="G29" s="12"/>
      <c r="H29" s="12"/>
      <c r="I29" s="12"/>
      <c r="J29" s="12"/>
      <c r="K29" s="12"/>
      <c r="L29" s="12"/>
      <c r="M29" s="28">
        <f>M26-M27+M28</f>
        <v>4305800</v>
      </c>
      <c r="N29" s="28">
        <f t="shared" ref="N29:AA29" si="18">N26-N27+N28</f>
        <v>6105300</v>
      </c>
      <c r="O29" s="28">
        <f t="shared" si="18"/>
        <v>8731329</v>
      </c>
      <c r="P29" s="28">
        <f t="shared" si="18"/>
        <v>9110897.370000001</v>
      </c>
      <c r="Q29" s="28">
        <f t="shared" si="18"/>
        <v>9692037.1911000032</v>
      </c>
      <c r="R29" s="28">
        <f t="shared" si="18"/>
        <v>10296602.118038997</v>
      </c>
      <c r="S29" s="28">
        <f t="shared" si="18"/>
        <v>10738200.89496759</v>
      </c>
      <c r="T29" s="28">
        <f t="shared" si="18"/>
        <v>10726536.085306888</v>
      </c>
      <c r="U29" s="28">
        <f t="shared" si="18"/>
        <v>10849144.865960259</v>
      </c>
      <c r="V29" s="28">
        <f t="shared" si="18"/>
        <v>11166729.76441743</v>
      </c>
      <c r="W29" s="28">
        <f t="shared" si="18"/>
        <v>11566874.133848218</v>
      </c>
      <c r="X29" s="28">
        <f t="shared" si="18"/>
        <v>11735926.229018401</v>
      </c>
      <c r="Y29" s="28">
        <f t="shared" si="18"/>
        <v>11342345.369745415</v>
      </c>
      <c r="Z29" s="28">
        <f t="shared" si="18"/>
        <v>11087637.653934173</v>
      </c>
      <c r="AA29" s="28">
        <f t="shared" si="18"/>
        <v>11046409.351610273</v>
      </c>
      <c r="AB29" s="28">
        <f>AB26-AB27+AB28</f>
        <v>10650815.650821576</v>
      </c>
      <c r="AC29" s="42">
        <f>AC26-AC27+AC28</f>
        <v>10250983.487089964</v>
      </c>
    </row>
    <row r="30" spans="1:31" x14ac:dyDescent="0.2">
      <c r="A30" s="27" t="s">
        <v>24</v>
      </c>
      <c r="B30" s="36">
        <f>B28*(1+$B$29)</f>
        <v>2100</v>
      </c>
      <c r="C30" s="36"/>
    </row>
    <row r="31" spans="1:31" x14ac:dyDescent="0.2">
      <c r="A31" s="27" t="s">
        <v>25</v>
      </c>
      <c r="B31" s="36">
        <f>B30*(1+$B$29)</f>
        <v>2205</v>
      </c>
      <c r="C31" s="36"/>
      <c r="E31" s="33" t="s">
        <v>78</v>
      </c>
      <c r="F31" s="43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3"/>
    </row>
    <row r="32" spans="1:31" x14ac:dyDescent="0.2">
      <c r="A32" s="27" t="s">
        <v>26</v>
      </c>
      <c r="B32" s="36">
        <f>B31*(1+$B$29)</f>
        <v>2315.25</v>
      </c>
      <c r="C32" s="36"/>
      <c r="E32" s="29" t="s">
        <v>82</v>
      </c>
      <c r="F32" s="44"/>
      <c r="G32" s="24"/>
      <c r="H32" s="24"/>
      <c r="I32" s="24"/>
      <c r="J32" s="24"/>
      <c r="K32" s="24"/>
      <c r="L32" s="25">
        <f>B46</f>
        <v>200000</v>
      </c>
      <c r="M32" s="25">
        <f>M20*$B$45</f>
        <v>600000</v>
      </c>
      <c r="N32" s="25">
        <f>N20*$B$45</f>
        <v>840000</v>
      </c>
      <c r="O32" s="25">
        <f t="shared" ref="O32:AC32" si="19">O20*$B$45</f>
        <v>1102500</v>
      </c>
      <c r="P32" s="25">
        <f t="shared" si="19"/>
        <v>1157625</v>
      </c>
      <c r="Q32" s="25">
        <f t="shared" si="19"/>
        <v>1215506.2500000002</v>
      </c>
      <c r="R32" s="25">
        <f t="shared" si="19"/>
        <v>1251971.4375</v>
      </c>
      <c r="S32" s="25">
        <f t="shared" si="19"/>
        <v>1289530.5806250002</v>
      </c>
      <c r="T32" s="25">
        <f t="shared" si="19"/>
        <v>1328216.4980437502</v>
      </c>
      <c r="U32" s="25">
        <f t="shared" si="19"/>
        <v>1368062.9929850628</v>
      </c>
      <c r="V32" s="25">
        <f t="shared" si="19"/>
        <v>1409104.8827746147</v>
      </c>
      <c r="W32" s="25">
        <f t="shared" si="19"/>
        <v>1422350.468672696</v>
      </c>
      <c r="X32" s="25">
        <f t="shared" si="19"/>
        <v>1435720.5630782195</v>
      </c>
      <c r="Y32" s="25">
        <f t="shared" si="19"/>
        <v>1449216.3363711548</v>
      </c>
      <c r="Z32" s="25">
        <f t="shared" si="19"/>
        <v>1462838.9699330439</v>
      </c>
      <c r="AA32" s="25">
        <f t="shared" si="19"/>
        <v>1476589.6562504144</v>
      </c>
      <c r="AB32" s="25">
        <f t="shared" si="19"/>
        <v>1490469.5990191684</v>
      </c>
      <c r="AC32" s="26">
        <f t="shared" si="19"/>
        <v>1504480.0132499486</v>
      </c>
    </row>
    <row r="33" spans="1:29" x14ac:dyDescent="0.2">
      <c r="A33" s="27" t="s">
        <v>27</v>
      </c>
      <c r="B33" s="36">
        <f>B32*(1+$B$29)</f>
        <v>2431.0125000000003</v>
      </c>
      <c r="C33" s="36"/>
      <c r="E33" s="31" t="s">
        <v>83</v>
      </c>
      <c r="F33" s="45"/>
      <c r="G33" s="12"/>
      <c r="H33" s="12"/>
      <c r="I33" s="12"/>
      <c r="J33" s="12"/>
      <c r="K33" s="12"/>
      <c r="L33" s="28">
        <f>L32-K32</f>
        <v>200000</v>
      </c>
      <c r="M33" s="28">
        <f>M32-L32</f>
        <v>400000</v>
      </c>
      <c r="N33" s="28">
        <f>N32-M32</f>
        <v>240000</v>
      </c>
      <c r="O33" s="28">
        <f t="shared" ref="O33:AA33" si="20">O32-N32</f>
        <v>262500</v>
      </c>
      <c r="P33" s="28">
        <f t="shared" si="20"/>
        <v>55125</v>
      </c>
      <c r="Q33" s="28">
        <f t="shared" si="20"/>
        <v>57881.250000000233</v>
      </c>
      <c r="R33" s="28">
        <f t="shared" si="20"/>
        <v>36465.187499999767</v>
      </c>
      <c r="S33" s="28">
        <f t="shared" si="20"/>
        <v>37559.143125000177</v>
      </c>
      <c r="T33" s="28">
        <f t="shared" si="20"/>
        <v>38685.917418750003</v>
      </c>
      <c r="U33" s="28">
        <f t="shared" si="20"/>
        <v>39846.494941312587</v>
      </c>
      <c r="V33" s="28">
        <f t="shared" si="20"/>
        <v>41041.889789551962</v>
      </c>
      <c r="W33" s="28">
        <f t="shared" si="20"/>
        <v>13245.585898081306</v>
      </c>
      <c r="X33" s="28">
        <f t="shared" si="20"/>
        <v>13370.094405523501</v>
      </c>
      <c r="Y33" s="28">
        <f t="shared" si="20"/>
        <v>13495.773292935221</v>
      </c>
      <c r="Z33" s="28">
        <f t="shared" si="20"/>
        <v>13622.633561889175</v>
      </c>
      <c r="AA33" s="28">
        <f t="shared" si="20"/>
        <v>13750.686317370506</v>
      </c>
      <c r="AB33" s="28">
        <f>AB32-AA32</f>
        <v>13879.942768753972</v>
      </c>
      <c r="AC33" s="42">
        <f>AC32-AB32</f>
        <v>14010.41423078021</v>
      </c>
    </row>
    <row r="34" spans="1:29" x14ac:dyDescent="0.2">
      <c r="A34" s="27" t="s">
        <v>28</v>
      </c>
      <c r="B34" s="35">
        <f>B11</f>
        <v>0.03</v>
      </c>
      <c r="C34" s="35"/>
      <c r="AC34" s="32"/>
    </row>
    <row r="35" spans="1:29" x14ac:dyDescent="0.2">
      <c r="A35" s="27" t="s">
        <v>29</v>
      </c>
      <c r="B35" s="36">
        <f>B33*(1+B34)</f>
        <v>2503.9428750000002</v>
      </c>
      <c r="C35" s="36"/>
      <c r="E35" s="33" t="s">
        <v>98</v>
      </c>
      <c r="F35" s="43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3"/>
    </row>
    <row r="36" spans="1:29" x14ac:dyDescent="0.2">
      <c r="A36" s="27" t="s">
        <v>30</v>
      </c>
      <c r="B36" s="36">
        <f>B35*(1+B34)</f>
        <v>2579.0611612500002</v>
      </c>
      <c r="C36" s="36"/>
      <c r="E36" s="8" t="s">
        <v>77</v>
      </c>
      <c r="F36" s="24"/>
      <c r="G36" s="24"/>
      <c r="H36" s="24"/>
      <c r="I36" s="24"/>
      <c r="J36" s="24"/>
      <c r="K36" s="25">
        <f>K29</f>
        <v>0</v>
      </c>
      <c r="L36" s="25">
        <f>L29</f>
        <v>0</v>
      </c>
      <c r="M36" s="25">
        <f>M29</f>
        <v>4305800</v>
      </c>
      <c r="N36" s="25">
        <f t="shared" ref="N36:AA36" si="21">N29</f>
        <v>6105300</v>
      </c>
      <c r="O36" s="25">
        <f t="shared" si="21"/>
        <v>8731329</v>
      </c>
      <c r="P36" s="25">
        <f t="shared" si="21"/>
        <v>9110897.370000001</v>
      </c>
      <c r="Q36" s="25">
        <f t="shared" si="21"/>
        <v>9692037.1911000032</v>
      </c>
      <c r="R36" s="25">
        <f t="shared" si="21"/>
        <v>10296602.118038997</v>
      </c>
      <c r="S36" s="25">
        <f t="shared" si="21"/>
        <v>10738200.89496759</v>
      </c>
      <c r="T36" s="25">
        <f t="shared" si="21"/>
        <v>10726536.085306888</v>
      </c>
      <c r="U36" s="25">
        <f t="shared" si="21"/>
        <v>10849144.865960259</v>
      </c>
      <c r="V36" s="25">
        <f t="shared" si="21"/>
        <v>11166729.76441743</v>
      </c>
      <c r="W36" s="25">
        <f t="shared" si="21"/>
        <v>11566874.133848218</v>
      </c>
      <c r="X36" s="25">
        <f t="shared" si="21"/>
        <v>11735926.229018401</v>
      </c>
      <c r="Y36" s="25">
        <f t="shared" si="21"/>
        <v>11342345.369745415</v>
      </c>
      <c r="Z36" s="25">
        <f t="shared" si="21"/>
        <v>11087637.653934173</v>
      </c>
      <c r="AA36" s="25">
        <f t="shared" si="21"/>
        <v>11046409.351610273</v>
      </c>
      <c r="AB36" s="25">
        <f>AB29</f>
        <v>10650815.650821576</v>
      </c>
      <c r="AC36" s="26">
        <f>AC29</f>
        <v>10250983.487089964</v>
      </c>
    </row>
    <row r="37" spans="1:29" x14ac:dyDescent="0.2">
      <c r="A37" s="27"/>
      <c r="B37" s="16"/>
      <c r="C37" s="16"/>
      <c r="E37" s="8" t="s">
        <v>79</v>
      </c>
      <c r="F37" s="24"/>
      <c r="G37" s="24"/>
      <c r="H37" s="24"/>
      <c r="I37" s="24"/>
      <c r="J37" s="24"/>
      <c r="K37" s="25">
        <f>K14</f>
        <v>25000000</v>
      </c>
      <c r="L37" s="25">
        <f>L14</f>
        <v>20000000</v>
      </c>
      <c r="M37" s="25">
        <f>M14</f>
        <v>0</v>
      </c>
      <c r="N37" s="25">
        <f>N14</f>
        <v>0</v>
      </c>
      <c r="O37" s="25">
        <f t="shared" ref="O37:AA37" si="22">O14</f>
        <v>0</v>
      </c>
      <c r="P37" s="25">
        <f t="shared" si="22"/>
        <v>0</v>
      </c>
      <c r="Q37" s="25">
        <f t="shared" si="22"/>
        <v>11592740.742999999</v>
      </c>
      <c r="R37" s="25">
        <f t="shared" si="22"/>
        <v>0</v>
      </c>
      <c r="S37" s="25">
        <f t="shared" si="22"/>
        <v>0</v>
      </c>
      <c r="T37" s="25">
        <f t="shared" si="22"/>
        <v>0</v>
      </c>
      <c r="U37" s="25">
        <f t="shared" si="22"/>
        <v>0</v>
      </c>
      <c r="V37" s="25">
        <f t="shared" si="22"/>
        <v>13439163.793441216</v>
      </c>
      <c r="W37" s="25">
        <f t="shared" si="22"/>
        <v>0</v>
      </c>
      <c r="X37" s="25">
        <f t="shared" si="22"/>
        <v>0</v>
      </c>
      <c r="Y37" s="25">
        <f t="shared" si="22"/>
        <v>0</v>
      </c>
      <c r="Z37" s="25">
        <f t="shared" si="22"/>
        <v>0</v>
      </c>
      <c r="AA37" s="25">
        <f t="shared" si="22"/>
        <v>0</v>
      </c>
      <c r="AB37" s="25">
        <f>AB14</f>
        <v>0</v>
      </c>
      <c r="AC37" s="26">
        <f>AC14</f>
        <v>-8512165.3061995208</v>
      </c>
    </row>
    <row r="38" spans="1:29" x14ac:dyDescent="0.2">
      <c r="A38" s="27" t="s">
        <v>31</v>
      </c>
      <c r="B38" s="36">
        <v>6000000</v>
      </c>
      <c r="C38" s="36"/>
      <c r="E38" s="11" t="s">
        <v>83</v>
      </c>
      <c r="F38" s="24"/>
      <c r="G38" s="24"/>
      <c r="H38" s="24"/>
      <c r="I38" s="24"/>
      <c r="J38" s="24"/>
      <c r="K38" s="28">
        <f>K33</f>
        <v>0</v>
      </c>
      <c r="L38" s="28">
        <f>L33</f>
        <v>200000</v>
      </c>
      <c r="M38" s="28">
        <f>M33</f>
        <v>400000</v>
      </c>
      <c r="N38" s="28">
        <f t="shared" ref="N38:AA38" si="23">N33</f>
        <v>240000</v>
      </c>
      <c r="O38" s="28">
        <f t="shared" si="23"/>
        <v>262500</v>
      </c>
      <c r="P38" s="28">
        <f t="shared" si="23"/>
        <v>55125</v>
      </c>
      <c r="Q38" s="28">
        <f t="shared" si="23"/>
        <v>57881.250000000233</v>
      </c>
      <c r="R38" s="28">
        <f t="shared" si="23"/>
        <v>36465.187499999767</v>
      </c>
      <c r="S38" s="28">
        <f t="shared" si="23"/>
        <v>37559.143125000177</v>
      </c>
      <c r="T38" s="28">
        <f t="shared" si="23"/>
        <v>38685.917418750003</v>
      </c>
      <c r="U38" s="28">
        <f t="shared" si="23"/>
        <v>39846.494941312587</v>
      </c>
      <c r="V38" s="28">
        <f t="shared" si="23"/>
        <v>41041.889789551962</v>
      </c>
      <c r="W38" s="28">
        <f t="shared" si="23"/>
        <v>13245.585898081306</v>
      </c>
      <c r="X38" s="28">
        <f t="shared" si="23"/>
        <v>13370.094405523501</v>
      </c>
      <c r="Y38" s="28">
        <f t="shared" si="23"/>
        <v>13495.773292935221</v>
      </c>
      <c r="Z38" s="28">
        <f t="shared" si="23"/>
        <v>13622.633561889175</v>
      </c>
      <c r="AA38" s="28">
        <f t="shared" si="23"/>
        <v>13750.686317370506</v>
      </c>
      <c r="AB38" s="28">
        <f>AB33</f>
        <v>13879.942768753972</v>
      </c>
      <c r="AC38" s="42">
        <f>AC33</f>
        <v>14010.41423078021</v>
      </c>
    </row>
    <row r="39" spans="1:29" x14ac:dyDescent="0.2">
      <c r="A39" s="27" t="s">
        <v>33</v>
      </c>
      <c r="B39" s="35">
        <f>B11</f>
        <v>0.03</v>
      </c>
      <c r="C39" s="35"/>
      <c r="E39" s="11" t="s">
        <v>84</v>
      </c>
      <c r="F39" s="12"/>
      <c r="G39" s="12"/>
      <c r="H39" s="12"/>
      <c r="I39" s="12"/>
      <c r="J39" s="12"/>
      <c r="K39" s="28">
        <f>K36-K37-K38</f>
        <v>-25000000</v>
      </c>
      <c r="L39" s="28">
        <f>L36-L37-L38</f>
        <v>-20200000</v>
      </c>
      <c r="M39" s="28">
        <f>M36-M37-M38</f>
        <v>3905800</v>
      </c>
      <c r="N39" s="28">
        <f t="shared" ref="N39:AB39" si="24">N36-N37-N38</f>
        <v>5865300</v>
      </c>
      <c r="O39" s="28">
        <f t="shared" si="24"/>
        <v>8468829</v>
      </c>
      <c r="P39" s="28">
        <f t="shared" si="24"/>
        <v>9055772.370000001</v>
      </c>
      <c r="Q39" s="28">
        <f t="shared" si="24"/>
        <v>-1958584.8018999959</v>
      </c>
      <c r="R39" s="28">
        <f t="shared" si="24"/>
        <v>10260136.930538997</v>
      </c>
      <c r="S39" s="28">
        <f t="shared" si="24"/>
        <v>10700641.75184259</v>
      </c>
      <c r="T39" s="28">
        <f t="shared" si="24"/>
        <v>10687850.167888138</v>
      </c>
      <c r="U39" s="28">
        <f t="shared" si="24"/>
        <v>10809298.371018946</v>
      </c>
      <c r="V39" s="28">
        <f t="shared" si="24"/>
        <v>-2313475.9188133371</v>
      </c>
      <c r="W39" s="28">
        <f t="shared" si="24"/>
        <v>11553628.547950137</v>
      </c>
      <c r="X39" s="28">
        <f t="shared" si="24"/>
        <v>11722556.134612877</v>
      </c>
      <c r="Y39" s="28">
        <f t="shared" si="24"/>
        <v>11328849.59645248</v>
      </c>
      <c r="Z39" s="28">
        <f t="shared" si="24"/>
        <v>11074015.020372285</v>
      </c>
      <c r="AA39" s="28">
        <f t="shared" si="24"/>
        <v>11032658.665292902</v>
      </c>
      <c r="AB39" s="28">
        <f t="shared" si="24"/>
        <v>10636935.708052821</v>
      </c>
      <c r="AC39" s="42">
        <f>AC36-AC37-AC38</f>
        <v>18749138.379058704</v>
      </c>
    </row>
    <row r="40" spans="1:29" x14ac:dyDescent="0.2">
      <c r="A40" s="27" t="s">
        <v>32</v>
      </c>
      <c r="B40" s="36">
        <v>500</v>
      </c>
      <c r="C40" s="36">
        <f>B40+25</f>
        <v>525</v>
      </c>
      <c r="K40" s="2"/>
    </row>
    <row r="41" spans="1:29" x14ac:dyDescent="0.2">
      <c r="A41" s="27" t="s">
        <v>34</v>
      </c>
      <c r="B41" s="35">
        <f>B11</f>
        <v>0.03</v>
      </c>
      <c r="C41" s="35"/>
      <c r="E41" s="33" t="s">
        <v>88</v>
      </c>
      <c r="F41" s="43"/>
      <c r="G41" s="23"/>
      <c r="I41" s="50" t="s">
        <v>94</v>
      </c>
      <c r="K41" s="2">
        <f>SUM(K39:AC39)</f>
        <v>106379349.92236756</v>
      </c>
    </row>
    <row r="42" spans="1:29" x14ac:dyDescent="0.2">
      <c r="A42" s="27" t="s">
        <v>35</v>
      </c>
      <c r="B42" s="37">
        <v>10500</v>
      </c>
      <c r="C42" s="37"/>
      <c r="E42" s="8" t="s">
        <v>85</v>
      </c>
      <c r="F42" s="24"/>
      <c r="G42" s="26">
        <f>NPV(B51,L39:AC39)+K39</f>
        <v>1788403.735453587</v>
      </c>
    </row>
    <row r="43" spans="1:29" x14ac:dyDescent="0.2">
      <c r="A43" s="27" t="s">
        <v>36</v>
      </c>
      <c r="B43" s="35">
        <v>0.21</v>
      </c>
      <c r="C43" s="35"/>
      <c r="E43" s="8" t="s">
        <v>86</v>
      </c>
      <c r="F43" s="24"/>
      <c r="G43" s="49">
        <f>IRR(K39:AC39)</f>
        <v>0.13574121749614276</v>
      </c>
    </row>
    <row r="44" spans="1:29" x14ac:dyDescent="0.2">
      <c r="A44" s="27"/>
      <c r="B44" s="16"/>
      <c r="C44" s="16"/>
      <c r="E44" s="8" t="s">
        <v>87</v>
      </c>
      <c r="F44" s="24"/>
      <c r="G44" s="49">
        <f>MIRR(K39:AC39,B51,B51)</f>
        <v>0.13248067643326999</v>
      </c>
    </row>
    <row r="45" spans="1:29" x14ac:dyDescent="0.2">
      <c r="A45" s="27" t="s">
        <v>37</v>
      </c>
      <c r="B45" s="35">
        <v>0.05</v>
      </c>
      <c r="C45" s="39">
        <f>B45+0.0025</f>
        <v>5.2500000000000005E-2</v>
      </c>
      <c r="E45" s="11" t="s">
        <v>95</v>
      </c>
      <c r="F45" s="12"/>
      <c r="G45" s="52">
        <f>7+(9402747/S39)</f>
        <v>7.8787086997264346</v>
      </c>
    </row>
    <row r="46" spans="1:29" x14ac:dyDescent="0.2">
      <c r="A46" s="27" t="s">
        <v>38</v>
      </c>
      <c r="B46" s="36">
        <v>200000</v>
      </c>
      <c r="C46" s="36"/>
    </row>
    <row r="47" spans="1:29" x14ac:dyDescent="0.2">
      <c r="A47" s="27"/>
      <c r="B47" s="36"/>
      <c r="C47" s="16"/>
    </row>
    <row r="48" spans="1:29" x14ac:dyDescent="0.2">
      <c r="A48" s="27" t="s">
        <v>80</v>
      </c>
      <c r="B48" s="36">
        <f>SUM(K14:AC14)</f>
        <v>61519739.230241701</v>
      </c>
      <c r="C48" s="16"/>
    </row>
    <row r="49" spans="1:3" x14ac:dyDescent="0.2">
      <c r="A49" s="27" t="s">
        <v>81</v>
      </c>
      <c r="B49" s="36">
        <f>SUM(K15:AC15)</f>
        <v>65031904.536441199</v>
      </c>
      <c r="C49" s="16"/>
    </row>
    <row r="50" spans="1:3" x14ac:dyDescent="0.2">
      <c r="A50" s="27"/>
      <c r="B50" s="16"/>
      <c r="C50" s="16"/>
    </row>
    <row r="51" spans="1:3" x14ac:dyDescent="0.2">
      <c r="A51" s="32" t="s">
        <v>89</v>
      </c>
      <c r="B51" s="38">
        <v>0.13</v>
      </c>
      <c r="C51" s="17"/>
    </row>
  </sheetData>
  <scenarios current="0" show="0">
    <scenario name="Alternative" locked="1" count="6" user="Microsoft Office User" comment="Created by Microsoft Office User on 4/12/2019">
      <inputCells r="B20" val="8000" numFmtId="3"/>
      <inputCells r="B22" val="10000"/>
      <inputCells r="B23" val="10500"/>
      <inputCells r="B28" val="1900" numFmtId="164"/>
      <inputCells r="B40" val="525" numFmtId="164"/>
      <inputCells r="B45" val="0.0525" numFmtId="9"/>
    </scenario>
  </scenarios>
  <pageMargins left="0.7" right="0.7" top="0.75" bottom="0.75" header="0.3" footer="0.3"/>
  <pageSetup orientation="portrait" horizontalDpi="0" verticalDpi="0"/>
  <ignoredErrors>
    <ignoredError sqref="N11 S12 X13 C4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Assumptions &amp; 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2019-04-10T19:07:26Z</dcterms:created>
  <dcterms:modified xsi:type="dcterms:W3CDTF">2019-04-12T18:48:08Z</dcterms:modified>
</cp:coreProperties>
</file>