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5" yWindow="-195" windowWidth="20730" windowHeight="11700" tabRatio="777" firstSheet="5" activeTab="6"/>
  </bookViews>
  <sheets>
    <sheet name="Notes" sheetId="4" r:id="rId1"/>
    <sheet name="Talimbue_B" sheetId="1" r:id="rId2"/>
    <sheet name="Talimbue_B_densities" sheetId="8" r:id="rId3"/>
    <sheet name="Talimbue_E" sheetId="2" r:id="rId4"/>
    <sheet name="Talimbue_E_densities" sheetId="9" r:id="rId5"/>
    <sheet name="Densities_for_regress_analysis" sheetId="10" r:id="rId6"/>
    <sheet name="Regression_analysis" sheetId="11" r:id="rId7"/>
    <sheet name="For_predicting_lithics" sheetId="3" r:id="rId8"/>
    <sheet name="Lithics_linear regression" sheetId="6" r:id="rId9"/>
    <sheet name="For_predicting_vertebrate" sheetId="5" r:id="rId10"/>
    <sheet name="Vertebrate_linear regression" sheetId="7" r:id="rId11"/>
  </sheets>
  <definedNames>
    <definedName name="xdata1" localSheetId="8" hidden="1">-200+(ROW(OFFSET('Lithics_linear regression'!$B$1,0,0,70,1))-1)*50.7246376811594</definedName>
    <definedName name="xdata1" localSheetId="10" hidden="1">0+(ROW(OFFSET('Vertebrate_linear regression'!$B$1,0,0,70,1))-1)*20.2898550724638</definedName>
    <definedName name="xdata2" localSheetId="8" hidden="1">-200+(ROW(OFFSET('Lithics_linear regression'!$B$1,0,0,70,1))-1)*50.7246376811594</definedName>
    <definedName name="xdata2" localSheetId="10" hidden="1">0+(ROW(OFFSET('Vertebrate_linear regression'!$B$1,0,0,70,1))-1)*20.2898550724638</definedName>
    <definedName name="ydata1" localSheetId="8" hidden="1">0+1*'Lithics_linear regression'!xdata1-757.453399237945*(1.00884955752212+('Lithics_linear regression'!xdata1-581.456725663717)^2/5461500.76172887)^0.5</definedName>
    <definedName name="ydata1" localSheetId="10" hidden="1">0+1*'Vertebrate_linear regression'!xdata1-377.964036184749*(1.008+('Vertebrate_linear regression'!xdata1-412.30672)^2/1508651.35165702)^0.5</definedName>
    <definedName name="ydata2" localSheetId="8" hidden="1">0+1*'Lithics_linear regression'!xdata2+757.453399237945*(1.00884955752212+('Lithics_linear regression'!xdata2-581.456725663717)^2/5461500.76172887)^0.5</definedName>
    <definedName name="ydata2" localSheetId="10" hidden="1">0+1*'Vertebrate_linear regression'!xdata2+377.964036184749*(1.008+('Vertebrate_linear regression'!xdata2-412.30672)^2/1508651.35165702)^0.5</definedName>
  </definedNames>
  <calcPr calcId="145621"/>
</workbook>
</file>

<file path=xl/calcChain.xml><?xml version="1.0" encoding="utf-8"?>
<calcChain xmlns="http://schemas.openxmlformats.org/spreadsheetml/2006/main">
  <c r="U21" i="11" l="1"/>
  <c r="V21" i="11"/>
  <c r="N21" i="11"/>
  <c r="M21" i="11"/>
  <c r="N22" i="11"/>
  <c r="Q25" i="11"/>
  <c r="P24" i="11"/>
  <c r="Q24" i="11"/>
  <c r="O23" i="11"/>
  <c r="P23" i="11"/>
  <c r="Q23" i="11"/>
  <c r="O22" i="11"/>
  <c r="P22" i="11"/>
  <c r="Q22" i="11"/>
  <c r="O21" i="11"/>
  <c r="P21" i="11"/>
  <c r="Q21" i="11"/>
  <c r="A3" i="9"/>
  <c r="A4" i="9"/>
  <c r="A5" i="9"/>
  <c r="E5" i="9"/>
  <c r="A6" i="9"/>
  <c r="A7" i="9"/>
  <c r="G7" i="9"/>
  <c r="A8" i="9"/>
  <c r="A9" i="9"/>
  <c r="A10" i="9"/>
  <c r="A11" i="9"/>
  <c r="A12" i="9"/>
  <c r="D12" i="9"/>
  <c r="A13" i="9"/>
  <c r="A14" i="9"/>
  <c r="A15" i="9"/>
  <c r="A16" i="9"/>
  <c r="A17" i="9"/>
  <c r="A18" i="9"/>
  <c r="F18" i="9"/>
  <c r="A19" i="9"/>
  <c r="A20" i="9"/>
  <c r="A21" i="9"/>
  <c r="E21" i="9"/>
  <c r="A22" i="9"/>
  <c r="A23" i="9"/>
  <c r="G23" i="9"/>
  <c r="A24" i="9"/>
  <c r="A25" i="9"/>
  <c r="A26" i="9"/>
  <c r="A27" i="9"/>
  <c r="A28" i="9"/>
  <c r="A29" i="9"/>
  <c r="A30" i="9"/>
  <c r="A31" i="9"/>
  <c r="A32" i="9"/>
  <c r="A33" i="9"/>
  <c r="A34" i="9"/>
  <c r="B34" i="9"/>
  <c r="F34" i="9"/>
  <c r="A35" i="9"/>
  <c r="G35" i="9"/>
  <c r="A36" i="9"/>
  <c r="A37" i="9"/>
  <c r="A38" i="9"/>
  <c r="B38" i="9"/>
  <c r="A39" i="9"/>
  <c r="G39" i="9"/>
  <c r="A40" i="9"/>
  <c r="A41" i="9"/>
  <c r="A42" i="9"/>
  <c r="A43" i="9"/>
  <c r="F43" i="9"/>
  <c r="A44" i="9"/>
  <c r="A45" i="9"/>
  <c r="A46" i="9"/>
  <c r="F46" i="9"/>
  <c r="A47" i="9"/>
  <c r="A48" i="9"/>
  <c r="G48" i="9"/>
  <c r="A49" i="9"/>
  <c r="A50" i="9"/>
  <c r="B50" i="9"/>
  <c r="F50" i="9"/>
  <c r="A51" i="9"/>
  <c r="G51" i="9"/>
  <c r="A52" i="9"/>
  <c r="A53" i="9"/>
  <c r="A54" i="9"/>
  <c r="B54" i="9"/>
  <c r="A55" i="9"/>
  <c r="F55" i="9"/>
  <c r="G55" i="9"/>
  <c r="A56" i="9"/>
  <c r="A57" i="9"/>
  <c r="A58" i="9"/>
  <c r="A59" i="9"/>
  <c r="F59" i="9"/>
  <c r="A60" i="9"/>
  <c r="D60" i="9"/>
  <c r="A61" i="9"/>
  <c r="A62" i="9"/>
  <c r="G62" i="9"/>
  <c r="A63" i="9"/>
  <c r="A64" i="9"/>
  <c r="C64" i="9"/>
  <c r="A65" i="9"/>
  <c r="F65" i="9"/>
  <c r="A66" i="9"/>
  <c r="E66" i="9"/>
  <c r="A67" i="9"/>
  <c r="G67" i="9"/>
  <c r="A68" i="9"/>
  <c r="A69" i="9"/>
  <c r="A70" i="9"/>
  <c r="B70" i="9"/>
  <c r="A71" i="9"/>
  <c r="C71" i="9"/>
  <c r="D71" i="9"/>
  <c r="A72" i="9"/>
  <c r="A73" i="9"/>
  <c r="A74" i="9"/>
  <c r="C74" i="9"/>
  <c r="A75" i="9"/>
  <c r="B75" i="9"/>
  <c r="F75" i="9"/>
  <c r="A76" i="9"/>
  <c r="A77" i="9"/>
  <c r="A78" i="9"/>
  <c r="F78" i="9"/>
  <c r="A79" i="9"/>
  <c r="G79" i="9"/>
  <c r="A80" i="9"/>
  <c r="D80" i="9"/>
  <c r="A81" i="9"/>
  <c r="A82" i="9"/>
  <c r="A83" i="9"/>
  <c r="G83" i="9"/>
  <c r="A84" i="9"/>
  <c r="A85" i="9"/>
  <c r="A86" i="9"/>
  <c r="F86" i="9"/>
  <c r="A87" i="9"/>
  <c r="G87" i="9"/>
  <c r="A2" i="9"/>
  <c r="A3" i="8"/>
  <c r="A4" i="8"/>
  <c r="A5" i="8"/>
  <c r="B5" i="8"/>
  <c r="G5" i="8"/>
  <c r="A6" i="8"/>
  <c r="G6" i="8"/>
  <c r="A7" i="8"/>
  <c r="A8" i="8"/>
  <c r="B8" i="8"/>
  <c r="A9" i="8"/>
  <c r="B9" i="8"/>
  <c r="G9" i="8"/>
  <c r="A10" i="8"/>
  <c r="A11" i="8"/>
  <c r="A12" i="8"/>
  <c r="B12" i="8"/>
  <c r="A13" i="8"/>
  <c r="B13" i="8"/>
  <c r="G13" i="8"/>
  <c r="A14" i="8"/>
  <c r="A15" i="8"/>
  <c r="A16" i="8"/>
  <c r="B16" i="8"/>
  <c r="A17" i="8"/>
  <c r="B17" i="8"/>
  <c r="G17" i="8"/>
  <c r="A18" i="8"/>
  <c r="A19" i="8"/>
  <c r="A20" i="8"/>
  <c r="B20" i="8"/>
  <c r="A21" i="8"/>
  <c r="B21" i="8"/>
  <c r="G21" i="8"/>
  <c r="A22" i="8"/>
  <c r="D22" i="8"/>
  <c r="A23" i="8"/>
  <c r="B23" i="8"/>
  <c r="D23" i="8"/>
  <c r="A24" i="8"/>
  <c r="B24" i="8"/>
  <c r="G24" i="8"/>
  <c r="A25" i="8"/>
  <c r="C25" i="8"/>
  <c r="D25" i="8"/>
  <c r="A26" i="8"/>
  <c r="A27" i="8"/>
  <c r="E27" i="8"/>
  <c r="A28" i="8"/>
  <c r="C28" i="8"/>
  <c r="E28" i="8"/>
  <c r="A29" i="8"/>
  <c r="B29" i="8"/>
  <c r="G29" i="8"/>
  <c r="A30" i="8"/>
  <c r="A31" i="8"/>
  <c r="A32" i="8"/>
  <c r="B32" i="8"/>
  <c r="G32" i="8"/>
  <c r="A33" i="8"/>
  <c r="C33" i="8"/>
  <c r="D33" i="8"/>
  <c r="A34" i="8"/>
  <c r="G34" i="8"/>
  <c r="A35" i="8"/>
  <c r="A36" i="8"/>
  <c r="C36" i="8"/>
  <c r="E36" i="8"/>
  <c r="A37" i="8"/>
  <c r="B37" i="8"/>
  <c r="G37" i="8"/>
  <c r="A38" i="8"/>
  <c r="D38" i="8"/>
  <c r="A39" i="8"/>
  <c r="B39" i="8"/>
  <c r="D39" i="8"/>
  <c r="A40" i="8"/>
  <c r="B40" i="8"/>
  <c r="F40" i="8"/>
  <c r="G40" i="8"/>
  <c r="A41" i="8"/>
  <c r="C41" i="8"/>
  <c r="D41" i="8"/>
  <c r="A42" i="8"/>
  <c r="A43" i="8"/>
  <c r="E43" i="8"/>
  <c r="A44" i="8"/>
  <c r="C44" i="8"/>
  <c r="E44" i="8"/>
  <c r="A45" i="8"/>
  <c r="B45" i="8"/>
  <c r="F45" i="8"/>
  <c r="G45" i="8"/>
  <c r="A46" i="8"/>
  <c r="A47" i="8"/>
  <c r="A48" i="8"/>
  <c r="B48" i="8"/>
  <c r="F48" i="8"/>
  <c r="G48" i="8"/>
  <c r="A49" i="8"/>
  <c r="C49" i="8"/>
  <c r="D49" i="8"/>
  <c r="A50" i="8"/>
  <c r="G50" i="8"/>
  <c r="A51" i="8"/>
  <c r="A52" i="8"/>
  <c r="C52" i="8"/>
  <c r="A53" i="8"/>
  <c r="B53" i="8"/>
  <c r="G53" i="8"/>
  <c r="A54" i="8"/>
  <c r="D54" i="8"/>
  <c r="A55" i="8"/>
  <c r="B55" i="8"/>
  <c r="D55" i="8"/>
  <c r="A56" i="8"/>
  <c r="B56" i="8"/>
  <c r="F56" i="8"/>
  <c r="G56" i="8"/>
  <c r="A57" i="8"/>
  <c r="C57" i="8"/>
  <c r="D57" i="8"/>
  <c r="A58" i="8"/>
  <c r="A59" i="8"/>
  <c r="E59" i="8"/>
  <c r="A60" i="8"/>
  <c r="C60" i="8"/>
  <c r="E60" i="8"/>
  <c r="A61" i="8"/>
  <c r="B61" i="8"/>
  <c r="G61" i="8"/>
  <c r="A62" i="8"/>
  <c r="G62" i="8"/>
  <c r="A63" i="8"/>
  <c r="E63" i="8"/>
  <c r="A64" i="8"/>
  <c r="B64" i="8"/>
  <c r="F64" i="8"/>
  <c r="A65" i="8"/>
  <c r="B65" i="8"/>
  <c r="C65" i="8"/>
  <c r="F65" i="8"/>
  <c r="G65" i="8"/>
  <c r="A66" i="8"/>
  <c r="C66" i="8"/>
  <c r="G66" i="8"/>
  <c r="A67" i="8"/>
  <c r="E67" i="8"/>
  <c r="A68" i="8"/>
  <c r="B68" i="8"/>
  <c r="F68" i="8"/>
  <c r="A69" i="8"/>
  <c r="B69" i="8"/>
  <c r="C69" i="8"/>
  <c r="G69" i="8"/>
  <c r="A70" i="8"/>
  <c r="G70" i="8"/>
  <c r="A71" i="8"/>
  <c r="A72" i="8"/>
  <c r="A73" i="8"/>
  <c r="B73" i="8"/>
  <c r="C73" i="8"/>
  <c r="F73" i="8"/>
  <c r="G73" i="8"/>
  <c r="A74" i="8"/>
  <c r="C74" i="8"/>
  <c r="D74" i="8"/>
  <c r="G74" i="8"/>
  <c r="A75" i="8"/>
  <c r="A76" i="8"/>
  <c r="A77" i="8"/>
  <c r="B77" i="8"/>
  <c r="C77" i="8"/>
  <c r="F77" i="8"/>
  <c r="G77" i="8"/>
  <c r="A78" i="8"/>
  <c r="C78" i="8"/>
  <c r="D78" i="8"/>
  <c r="G78" i="8"/>
  <c r="A79" i="8"/>
  <c r="A80" i="8"/>
  <c r="A81" i="8"/>
  <c r="B81" i="8"/>
  <c r="C81" i="8"/>
  <c r="F81" i="8"/>
  <c r="G81" i="8"/>
  <c r="A82" i="8"/>
  <c r="C82" i="8"/>
  <c r="D82" i="8"/>
  <c r="G82" i="8"/>
  <c r="A83" i="8"/>
  <c r="A84" i="8"/>
  <c r="A2" i="8"/>
  <c r="U69" i="7"/>
  <c r="U68" i="7"/>
  <c r="U67" i="7"/>
  <c r="U66" i="7"/>
  <c r="U65" i="7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D66" i="1"/>
  <c r="E66" i="8" s="1"/>
  <c r="G66" i="1"/>
  <c r="D66" i="8" s="1"/>
  <c r="J66" i="1"/>
  <c r="F66" i="8" s="1"/>
  <c r="L66" i="1"/>
  <c r="B66" i="8" s="1"/>
  <c r="D67" i="1"/>
  <c r="G67" i="1"/>
  <c r="D67" i="8" s="1"/>
  <c r="J67" i="1"/>
  <c r="F67" i="8" s="1"/>
  <c r="L67" i="1"/>
  <c r="B67" i="8" s="1"/>
  <c r="D68" i="1"/>
  <c r="E68" i="8" s="1"/>
  <c r="G68" i="1"/>
  <c r="D68" i="8" s="1"/>
  <c r="J68" i="1"/>
  <c r="L68" i="1"/>
  <c r="C68" i="8" s="1"/>
  <c r="D69" i="1"/>
  <c r="E69" i="8" s="1"/>
  <c r="J69" i="1"/>
  <c r="F69" i="8" s="1"/>
  <c r="L69" i="1"/>
  <c r="D69" i="8" s="1"/>
  <c r="D70" i="1"/>
  <c r="J70" i="1"/>
  <c r="L70" i="1"/>
  <c r="B70" i="8" s="1"/>
  <c r="L87" i="2"/>
  <c r="D87" i="9" s="1"/>
  <c r="L86" i="2"/>
  <c r="L85" i="2"/>
  <c r="L84" i="2"/>
  <c r="L83" i="2"/>
  <c r="D83" i="9" s="1"/>
  <c r="L82" i="2"/>
  <c r="L81" i="2"/>
  <c r="L80" i="2"/>
  <c r="L79" i="2"/>
  <c r="D79" i="9" s="1"/>
  <c r="L78" i="2"/>
  <c r="L77" i="2"/>
  <c r="L76" i="2"/>
  <c r="D76" i="9" s="1"/>
  <c r="L75" i="2"/>
  <c r="C75" i="9" s="1"/>
  <c r="L74" i="2"/>
  <c r="L73" i="2"/>
  <c r="L72" i="2"/>
  <c r="B72" i="9" s="1"/>
  <c r="L71" i="2"/>
  <c r="L70" i="2"/>
  <c r="C70" i="9" s="1"/>
  <c r="L69" i="2"/>
  <c r="L68" i="2"/>
  <c r="L67" i="2"/>
  <c r="C67" i="9" s="1"/>
  <c r="L66" i="2"/>
  <c r="L65" i="2"/>
  <c r="L64" i="2"/>
  <c r="L63" i="2"/>
  <c r="L62" i="2"/>
  <c r="C62" i="9" s="1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G47" i="9" s="1"/>
  <c r="L46" i="2"/>
  <c r="L45" i="2"/>
  <c r="L44" i="2"/>
  <c r="G44" i="9" s="1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G31" i="9" s="1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G15" i="9" s="1"/>
  <c r="L14" i="2"/>
  <c r="L13" i="2"/>
  <c r="L12" i="2"/>
  <c r="L11" i="2"/>
  <c r="L10" i="2"/>
  <c r="L9" i="2"/>
  <c r="L8" i="2"/>
  <c r="L7" i="2"/>
  <c r="L6" i="2"/>
  <c r="L5" i="2"/>
  <c r="L4" i="2"/>
  <c r="L3" i="2"/>
  <c r="L2" i="2"/>
  <c r="L84" i="1"/>
  <c r="L83" i="1"/>
  <c r="L82" i="1"/>
  <c r="B82" i="8" s="1"/>
  <c r="L81" i="1"/>
  <c r="D81" i="8" s="1"/>
  <c r="L80" i="1"/>
  <c r="L79" i="1"/>
  <c r="D79" i="8" s="1"/>
  <c r="L78" i="1"/>
  <c r="B78" i="8" s="1"/>
  <c r="L77" i="1"/>
  <c r="D77" i="8" s="1"/>
  <c r="L76" i="1"/>
  <c r="L75" i="1"/>
  <c r="L74" i="1"/>
  <c r="B74" i="8" s="1"/>
  <c r="L73" i="1"/>
  <c r="D73" i="8" s="1"/>
  <c r="L72" i="1"/>
  <c r="L71" i="1"/>
  <c r="D71" i="8" s="1"/>
  <c r="L65" i="1"/>
  <c r="L64" i="1"/>
  <c r="C64" i="8" s="1"/>
  <c r="L63" i="1"/>
  <c r="L62" i="1"/>
  <c r="B62" i="8" s="1"/>
  <c r="L61" i="1"/>
  <c r="C61" i="8" s="1"/>
  <c r="L60" i="1"/>
  <c r="B60" i="8" s="1"/>
  <c r="L59" i="1"/>
  <c r="L58" i="1"/>
  <c r="B58" i="8" s="1"/>
  <c r="L57" i="1"/>
  <c r="B57" i="8" s="1"/>
  <c r="L56" i="1"/>
  <c r="C56" i="8" s="1"/>
  <c r="L55" i="1"/>
  <c r="L54" i="1"/>
  <c r="L53" i="1"/>
  <c r="C53" i="8" s="1"/>
  <c r="L52" i="1"/>
  <c r="B52" i="8" s="1"/>
  <c r="L51" i="1"/>
  <c r="L50" i="1"/>
  <c r="B50" i="8" s="1"/>
  <c r="L49" i="1"/>
  <c r="B49" i="8" s="1"/>
  <c r="L48" i="1"/>
  <c r="C48" i="8" s="1"/>
  <c r="L47" i="1"/>
  <c r="L46" i="1"/>
  <c r="L45" i="1"/>
  <c r="C45" i="8" s="1"/>
  <c r="L44" i="1"/>
  <c r="B44" i="8" s="1"/>
  <c r="L43" i="1"/>
  <c r="L42" i="1"/>
  <c r="B42" i="8" s="1"/>
  <c r="L41" i="1"/>
  <c r="B41" i="8" s="1"/>
  <c r="L40" i="1"/>
  <c r="C40" i="8" s="1"/>
  <c r="L39" i="1"/>
  <c r="L38" i="1"/>
  <c r="L37" i="1"/>
  <c r="C37" i="8" s="1"/>
  <c r="L36" i="1"/>
  <c r="B36" i="8" s="1"/>
  <c r="L35" i="1"/>
  <c r="L34" i="1"/>
  <c r="B34" i="8" s="1"/>
  <c r="L33" i="1"/>
  <c r="B33" i="8" s="1"/>
  <c r="L32" i="1"/>
  <c r="C32" i="8" s="1"/>
  <c r="L31" i="1"/>
  <c r="L30" i="1"/>
  <c r="L29" i="1"/>
  <c r="C29" i="8" s="1"/>
  <c r="L28" i="1"/>
  <c r="B28" i="8" s="1"/>
  <c r="L27" i="1"/>
  <c r="L26" i="1"/>
  <c r="B26" i="8" s="1"/>
  <c r="L25" i="1"/>
  <c r="B25" i="8" s="1"/>
  <c r="L24" i="1"/>
  <c r="C24" i="8" s="1"/>
  <c r="L23" i="1"/>
  <c r="L22" i="1"/>
  <c r="L21" i="1"/>
  <c r="C21" i="8" s="1"/>
  <c r="L20" i="1"/>
  <c r="L19" i="1"/>
  <c r="L18" i="1"/>
  <c r="L17" i="1"/>
  <c r="C17" i="8" s="1"/>
  <c r="L16" i="1"/>
  <c r="L15" i="1"/>
  <c r="L14" i="1"/>
  <c r="L13" i="1"/>
  <c r="C13" i="8" s="1"/>
  <c r="L12" i="1"/>
  <c r="L11" i="1"/>
  <c r="L10" i="1"/>
  <c r="L9" i="1"/>
  <c r="C9" i="8" s="1"/>
  <c r="L8" i="1"/>
  <c r="L7" i="1"/>
  <c r="L4" i="1"/>
  <c r="B4" i="8" s="1"/>
  <c r="L6" i="1"/>
  <c r="B6" i="8" s="1"/>
  <c r="L5" i="1"/>
  <c r="C5" i="8" s="1"/>
  <c r="L3" i="1"/>
  <c r="L2" i="1"/>
  <c r="D87" i="2"/>
  <c r="E87" i="9" s="1"/>
  <c r="D86" i="2"/>
  <c r="E86" i="9" s="1"/>
  <c r="D85" i="2"/>
  <c r="E85" i="9" s="1"/>
  <c r="G84" i="2"/>
  <c r="D84" i="9" s="1"/>
  <c r="D84" i="2"/>
  <c r="D83" i="2"/>
  <c r="E83" i="9" s="1"/>
  <c r="D82" i="2"/>
  <c r="E82" i="9" s="1"/>
  <c r="D81" i="2"/>
  <c r="E81" i="9" s="1"/>
  <c r="G80" i="2"/>
  <c r="D80" i="2"/>
  <c r="D79" i="2"/>
  <c r="E79" i="9" s="1"/>
  <c r="D78" i="2"/>
  <c r="E78" i="9" s="1"/>
  <c r="D77" i="2"/>
  <c r="D76" i="2"/>
  <c r="G75" i="2"/>
  <c r="D75" i="9" s="1"/>
  <c r="D75" i="2"/>
  <c r="E75" i="9" s="1"/>
  <c r="C73" i="1"/>
  <c r="B73" i="1"/>
  <c r="D74" i="2"/>
  <c r="E74" i="9" s="1"/>
  <c r="D73" i="2"/>
  <c r="E73" i="9" s="1"/>
  <c r="G72" i="2"/>
  <c r="D72" i="2"/>
  <c r="G71" i="2"/>
  <c r="D71" i="2"/>
  <c r="E71" i="9" s="1"/>
  <c r="G70" i="2"/>
  <c r="D70" i="9" s="1"/>
  <c r="D70" i="2"/>
  <c r="E70" i="9" s="1"/>
  <c r="G69" i="2"/>
  <c r="D69" i="9" s="1"/>
  <c r="D69" i="2"/>
  <c r="E69" i="9" s="1"/>
  <c r="G68" i="2"/>
  <c r="D68" i="9" s="1"/>
  <c r="D68" i="2"/>
  <c r="G67" i="2"/>
  <c r="D67" i="9" s="1"/>
  <c r="D67" i="2"/>
  <c r="E67" i="9" s="1"/>
  <c r="G65" i="2"/>
  <c r="E65" i="2"/>
  <c r="D65" i="2" s="1"/>
  <c r="C65" i="2"/>
  <c r="C65" i="9" s="1"/>
  <c r="G66" i="2"/>
  <c r="D66" i="9" s="1"/>
  <c r="D66" i="2"/>
  <c r="D64" i="2"/>
  <c r="G64" i="2"/>
  <c r="G63" i="2"/>
  <c r="D63" i="9" s="1"/>
  <c r="D63" i="2"/>
  <c r="E63" i="9" s="1"/>
  <c r="G62" i="2"/>
  <c r="D62" i="9" s="1"/>
  <c r="E62" i="2"/>
  <c r="D62" i="2" s="1"/>
  <c r="E62" i="9" s="1"/>
  <c r="G61" i="2"/>
  <c r="D61" i="9" s="1"/>
  <c r="D61" i="2"/>
  <c r="G60" i="2"/>
  <c r="D60" i="2"/>
  <c r="E60" i="9" s="1"/>
  <c r="G59" i="2"/>
  <c r="D59" i="9" s="1"/>
  <c r="D59" i="2"/>
  <c r="E59" i="9" s="1"/>
  <c r="G58" i="2"/>
  <c r="D58" i="9" s="1"/>
  <c r="E58" i="2"/>
  <c r="D58" i="2"/>
  <c r="E58" i="9" s="1"/>
  <c r="G57" i="2"/>
  <c r="D57" i="2"/>
  <c r="G56" i="2"/>
  <c r="D56" i="2"/>
  <c r="E56" i="9" s="1"/>
  <c r="G55" i="2"/>
  <c r="D55" i="9" s="1"/>
  <c r="D55" i="2"/>
  <c r="E55" i="9" s="1"/>
  <c r="G54" i="2"/>
  <c r="D54" i="9" s="1"/>
  <c r="D54" i="2"/>
  <c r="E54" i="9" s="1"/>
  <c r="G53" i="2"/>
  <c r="E53" i="2"/>
  <c r="D53" i="2"/>
  <c r="E53" i="9" s="1"/>
  <c r="G52" i="2"/>
  <c r="D52" i="9" s="1"/>
  <c r="D52" i="2"/>
  <c r="G51" i="2"/>
  <c r="D51" i="9" s="1"/>
  <c r="E51" i="2"/>
  <c r="D51" i="2"/>
  <c r="E51" i="9" s="1"/>
  <c r="G50" i="2"/>
  <c r="D50" i="9" s="1"/>
  <c r="D50" i="2"/>
  <c r="E50" i="9" s="1"/>
  <c r="G42" i="2"/>
  <c r="D42" i="9" s="1"/>
  <c r="G49" i="2"/>
  <c r="D49" i="9" s="1"/>
  <c r="D49" i="2"/>
  <c r="G48" i="2"/>
  <c r="D48" i="2"/>
  <c r="G47" i="2"/>
  <c r="D47" i="9" s="1"/>
  <c r="D47" i="2"/>
  <c r="E47" i="9" s="1"/>
  <c r="G46" i="2"/>
  <c r="D46" i="9" s="1"/>
  <c r="D46" i="2"/>
  <c r="E46" i="9" s="1"/>
  <c r="G45" i="2"/>
  <c r="D45" i="9" s="1"/>
  <c r="D45" i="2"/>
  <c r="G44" i="2"/>
  <c r="D44" i="2"/>
  <c r="G43" i="2"/>
  <c r="D43" i="9" s="1"/>
  <c r="D43" i="2"/>
  <c r="E43" i="9" s="1"/>
  <c r="D42" i="2"/>
  <c r="E42" i="9" s="1"/>
  <c r="G41" i="2"/>
  <c r="D41" i="9" s="1"/>
  <c r="D41" i="2"/>
  <c r="E41" i="9" s="1"/>
  <c r="G40" i="2"/>
  <c r="D40" i="2"/>
  <c r="G39" i="2"/>
  <c r="D39" i="9" s="1"/>
  <c r="D39" i="2"/>
  <c r="E39" i="9" s="1"/>
  <c r="D38" i="2"/>
  <c r="E38" i="9" s="1"/>
  <c r="G37" i="2"/>
  <c r="D37" i="2"/>
  <c r="E37" i="9" s="1"/>
  <c r="D36" i="2"/>
  <c r="E36" i="9" s="1"/>
  <c r="G35" i="2"/>
  <c r="D35" i="9" s="1"/>
  <c r="D35" i="2"/>
  <c r="E35" i="9" s="1"/>
  <c r="G34" i="2"/>
  <c r="D34" i="9" s="1"/>
  <c r="D34" i="2"/>
  <c r="E34" i="9" s="1"/>
  <c r="G33" i="2"/>
  <c r="D33" i="2"/>
  <c r="G32" i="2"/>
  <c r="D32" i="2"/>
  <c r="E32" i="9" s="1"/>
  <c r="G31" i="2"/>
  <c r="D31" i="9" s="1"/>
  <c r="D31" i="2"/>
  <c r="E31" i="9" s="1"/>
  <c r="D30" i="2"/>
  <c r="E30" i="9" s="1"/>
  <c r="D29" i="2"/>
  <c r="E29" i="9" s="1"/>
  <c r="G27" i="2"/>
  <c r="D27" i="9" s="1"/>
  <c r="D27" i="2"/>
  <c r="E27" i="9" s="1"/>
  <c r="G26" i="2"/>
  <c r="D26" i="9" s="1"/>
  <c r="D26" i="2"/>
  <c r="E26" i="9" s="1"/>
  <c r="C25" i="2"/>
  <c r="G25" i="2"/>
  <c r="D25" i="2"/>
  <c r="E25" i="9" s="1"/>
  <c r="G24" i="2"/>
  <c r="D24" i="9" s="1"/>
  <c r="D24" i="2"/>
  <c r="G23" i="2"/>
  <c r="D23" i="9" s="1"/>
  <c r="D23" i="2"/>
  <c r="E23" i="9" s="1"/>
  <c r="G22" i="2"/>
  <c r="D22" i="9" s="1"/>
  <c r="D22" i="2"/>
  <c r="E22" i="9" s="1"/>
  <c r="G21" i="2"/>
  <c r="D21" i="2"/>
  <c r="G20" i="2"/>
  <c r="D20" i="9" s="1"/>
  <c r="D20" i="2"/>
  <c r="G19" i="2"/>
  <c r="D19" i="9" s="1"/>
  <c r="G18" i="2"/>
  <c r="D18" i="9" s="1"/>
  <c r="D18" i="2"/>
  <c r="E18" i="9" s="1"/>
  <c r="G17" i="2"/>
  <c r="D17" i="2"/>
  <c r="G16" i="2"/>
  <c r="D16" i="2"/>
  <c r="E16" i="9" s="1"/>
  <c r="G15" i="2"/>
  <c r="D15" i="9" s="1"/>
  <c r="D15" i="2"/>
  <c r="E15" i="9" s="1"/>
  <c r="G14" i="2"/>
  <c r="D14" i="9" s="1"/>
  <c r="D14" i="2"/>
  <c r="E14" i="9" s="1"/>
  <c r="G13" i="2"/>
  <c r="D13" i="2"/>
  <c r="E13" i="9" s="1"/>
  <c r="D12" i="2"/>
  <c r="G11" i="2"/>
  <c r="D11" i="9" s="1"/>
  <c r="D11" i="2"/>
  <c r="E11" i="9" s="1"/>
  <c r="D19" i="2"/>
  <c r="E19" i="9" s="1"/>
  <c r="G10" i="2"/>
  <c r="D10" i="9" s="1"/>
  <c r="D10" i="2"/>
  <c r="E10" i="9" s="1"/>
  <c r="G9" i="2"/>
  <c r="D9" i="2"/>
  <c r="G8" i="2"/>
  <c r="D8" i="2"/>
  <c r="E8" i="9" s="1"/>
  <c r="G7" i="2"/>
  <c r="D7" i="9" s="1"/>
  <c r="D7" i="2"/>
  <c r="E7" i="9" s="1"/>
  <c r="G6" i="2"/>
  <c r="D6" i="9" s="1"/>
  <c r="D6" i="2"/>
  <c r="E6" i="9" s="1"/>
  <c r="G4" i="2"/>
  <c r="D4" i="9" s="1"/>
  <c r="G5" i="2"/>
  <c r="D5" i="2"/>
  <c r="D4" i="2"/>
  <c r="E4" i="9" s="1"/>
  <c r="G3" i="2"/>
  <c r="D3" i="9" s="1"/>
  <c r="D3" i="2"/>
  <c r="E3" i="9" s="1"/>
  <c r="G2" i="2"/>
  <c r="D2" i="9" s="1"/>
  <c r="D84" i="1"/>
  <c r="E84" i="8" s="1"/>
  <c r="D83" i="1"/>
  <c r="D82" i="1"/>
  <c r="E82" i="8" s="1"/>
  <c r="D81" i="1"/>
  <c r="E81" i="8" s="1"/>
  <c r="D80" i="1"/>
  <c r="E80" i="8" s="1"/>
  <c r="D79" i="1"/>
  <c r="G78" i="1"/>
  <c r="D78" i="1"/>
  <c r="E78" i="8" s="1"/>
  <c r="D76" i="1"/>
  <c r="E76" i="8" s="1"/>
  <c r="D75" i="1"/>
  <c r="D74" i="1"/>
  <c r="E74" i="8" s="1"/>
  <c r="D73" i="1"/>
  <c r="E73" i="8" s="1"/>
  <c r="D72" i="1"/>
  <c r="E72" i="8" s="1"/>
  <c r="D71" i="1"/>
  <c r="G64" i="1"/>
  <c r="D64" i="8" s="1"/>
  <c r="D64" i="1"/>
  <c r="E64" i="8" s="1"/>
  <c r="G65" i="1"/>
  <c r="D65" i="8" s="1"/>
  <c r="D65" i="1"/>
  <c r="E65" i="8" s="1"/>
  <c r="G63" i="1"/>
  <c r="D63" i="1"/>
  <c r="D62" i="1"/>
  <c r="E62" i="8" s="1"/>
  <c r="G61" i="1"/>
  <c r="D61" i="8" s="1"/>
  <c r="D61" i="1"/>
  <c r="E61" i="8" s="1"/>
  <c r="G58" i="1"/>
  <c r="D58" i="1"/>
  <c r="E58" i="8" s="1"/>
  <c r="G60" i="1"/>
  <c r="D60" i="8" s="1"/>
  <c r="D60" i="1"/>
  <c r="G59" i="1"/>
  <c r="D59" i="8" s="1"/>
  <c r="D59" i="1"/>
  <c r="G35" i="1"/>
  <c r="D35" i="8" s="1"/>
  <c r="D35" i="1"/>
  <c r="G39" i="1"/>
  <c r="D39" i="1"/>
  <c r="E39" i="8" s="1"/>
  <c r="G57" i="1"/>
  <c r="D57" i="1"/>
  <c r="E57" i="8" s="1"/>
  <c r="G56" i="1"/>
  <c r="D56" i="8" s="1"/>
  <c r="D56" i="1"/>
  <c r="E56" i="8" s="1"/>
  <c r="G55" i="1"/>
  <c r="D55" i="1"/>
  <c r="E55" i="8" s="1"/>
  <c r="G54" i="1"/>
  <c r="D54" i="1"/>
  <c r="E54" i="8" s="1"/>
  <c r="G53" i="1"/>
  <c r="D53" i="8" s="1"/>
  <c r="D53" i="1"/>
  <c r="E53" i="8" s="1"/>
  <c r="G52" i="1"/>
  <c r="D52" i="8" s="1"/>
  <c r="D52" i="1"/>
  <c r="E52" i="8" s="1"/>
  <c r="G51" i="1"/>
  <c r="D51" i="8" s="1"/>
  <c r="D51" i="1"/>
  <c r="G50" i="1"/>
  <c r="D50" i="1"/>
  <c r="E50" i="8" s="1"/>
  <c r="G49" i="1"/>
  <c r="D49" i="1"/>
  <c r="E49" i="8" s="1"/>
  <c r="G48" i="1"/>
  <c r="D48" i="8" s="1"/>
  <c r="D48" i="1"/>
  <c r="E48" i="8" s="1"/>
  <c r="G47" i="1"/>
  <c r="D47" i="1"/>
  <c r="E47" i="8" s="1"/>
  <c r="G46" i="1"/>
  <c r="D46" i="8" s="1"/>
  <c r="D46" i="1"/>
  <c r="E46" i="8" s="1"/>
  <c r="G45" i="1"/>
  <c r="D45" i="8" s="1"/>
  <c r="D45" i="1"/>
  <c r="E45" i="8" s="1"/>
  <c r="G44" i="1"/>
  <c r="D44" i="8" s="1"/>
  <c r="D44" i="1"/>
  <c r="G43" i="1"/>
  <c r="D43" i="8" s="1"/>
  <c r="D43" i="1"/>
  <c r="G42" i="1"/>
  <c r="D42" i="1"/>
  <c r="E42" i="8" s="1"/>
  <c r="G40" i="1"/>
  <c r="D40" i="8" s="1"/>
  <c r="D40" i="1"/>
  <c r="E40" i="8" s="1"/>
  <c r="G41" i="1"/>
  <c r="D41" i="1"/>
  <c r="E41" i="8" s="1"/>
  <c r="G38" i="1"/>
  <c r="D38" i="1"/>
  <c r="G37" i="1"/>
  <c r="D37" i="8" s="1"/>
  <c r="D37" i="1"/>
  <c r="E37" i="8" s="1"/>
  <c r="G36" i="1"/>
  <c r="D36" i="8" s="1"/>
  <c r="D36" i="1"/>
  <c r="G34" i="1"/>
  <c r="D34" i="1"/>
  <c r="E34" i="8" s="1"/>
  <c r="G33" i="1"/>
  <c r="D33" i="1"/>
  <c r="E33" i="8" s="1"/>
  <c r="G32" i="1"/>
  <c r="D32" i="8" s="1"/>
  <c r="D32" i="1"/>
  <c r="E32" i="8" s="1"/>
  <c r="G31" i="1"/>
  <c r="D31" i="1"/>
  <c r="E31" i="8" s="1"/>
  <c r="G30" i="1"/>
  <c r="D30" i="8" s="1"/>
  <c r="D30" i="1"/>
  <c r="E30" i="8" s="1"/>
  <c r="G29" i="1"/>
  <c r="D29" i="8" s="1"/>
  <c r="D29" i="1"/>
  <c r="E29" i="8" s="1"/>
  <c r="G28" i="1"/>
  <c r="D28" i="8" s="1"/>
  <c r="D28" i="1"/>
  <c r="G27" i="1"/>
  <c r="D27" i="8" s="1"/>
  <c r="D27" i="1"/>
  <c r="G26" i="1"/>
  <c r="D26" i="1"/>
  <c r="E26" i="8" s="1"/>
  <c r="G25" i="1"/>
  <c r="D25" i="1"/>
  <c r="E25" i="8" s="1"/>
  <c r="G24" i="1"/>
  <c r="D24" i="8" s="1"/>
  <c r="D24" i="1"/>
  <c r="E24" i="8" s="1"/>
  <c r="G23" i="1"/>
  <c r="D23" i="1"/>
  <c r="E23" i="8" s="1"/>
  <c r="G22" i="1"/>
  <c r="D22" i="1"/>
  <c r="E22" i="8" s="1"/>
  <c r="G21" i="1"/>
  <c r="D21" i="8" s="1"/>
  <c r="D21" i="1"/>
  <c r="E21" i="8" s="1"/>
  <c r="G20" i="1"/>
  <c r="D20" i="8" s="1"/>
  <c r="D20" i="1"/>
  <c r="E20" i="8" s="1"/>
  <c r="G19" i="1"/>
  <c r="D19" i="8" s="1"/>
  <c r="D19" i="1"/>
  <c r="E19" i="8" s="1"/>
  <c r="G18" i="1"/>
  <c r="D18" i="1"/>
  <c r="E18" i="8" s="1"/>
  <c r="G17" i="1"/>
  <c r="D17" i="8" s="1"/>
  <c r="D17" i="1"/>
  <c r="E17" i="8" s="1"/>
  <c r="G16" i="1"/>
  <c r="D16" i="8" s="1"/>
  <c r="G15" i="1"/>
  <c r="D15" i="8" s="1"/>
  <c r="D15" i="1"/>
  <c r="E15" i="8" s="1"/>
  <c r="G14" i="1"/>
  <c r="D14" i="1"/>
  <c r="G13" i="1"/>
  <c r="D13" i="8" s="1"/>
  <c r="D13" i="1"/>
  <c r="E13" i="8" s="1"/>
  <c r="G12" i="1"/>
  <c r="D12" i="8" s="1"/>
  <c r="D12" i="1"/>
  <c r="E12" i="8" s="1"/>
  <c r="G11" i="1"/>
  <c r="D11" i="8" s="1"/>
  <c r="D11" i="1"/>
  <c r="E11" i="8" s="1"/>
  <c r="G10" i="1"/>
  <c r="D10" i="1"/>
  <c r="G9" i="1"/>
  <c r="D9" i="8" s="1"/>
  <c r="D9" i="1"/>
  <c r="E9" i="8" s="1"/>
  <c r="G8" i="1"/>
  <c r="D8" i="8" s="1"/>
  <c r="D8" i="1"/>
  <c r="E8" i="8" s="1"/>
  <c r="G7" i="1"/>
  <c r="D7" i="8" s="1"/>
  <c r="D7" i="1"/>
  <c r="E7" i="8" s="1"/>
  <c r="G6" i="1"/>
  <c r="D6" i="8" s="1"/>
  <c r="D6" i="1"/>
  <c r="E6" i="8" s="1"/>
  <c r="G5" i="1"/>
  <c r="D5" i="8" s="1"/>
  <c r="D5" i="1"/>
  <c r="E5" i="8" s="1"/>
  <c r="G4" i="1"/>
  <c r="D4" i="1"/>
  <c r="G3" i="1"/>
  <c r="D3" i="8" s="1"/>
  <c r="G2" i="1"/>
  <c r="D2" i="8" s="1"/>
  <c r="J81" i="2"/>
  <c r="J82" i="2"/>
  <c r="F82" i="9" s="1"/>
  <c r="J83" i="2"/>
  <c r="F83" i="9" s="1"/>
  <c r="J84" i="2"/>
  <c r="J85" i="2"/>
  <c r="J86" i="2"/>
  <c r="J87" i="2"/>
  <c r="F87" i="9" s="1"/>
  <c r="J64" i="2"/>
  <c r="J65" i="2"/>
  <c r="J66" i="2"/>
  <c r="F66" i="9" s="1"/>
  <c r="J67" i="2"/>
  <c r="F67" i="9" s="1"/>
  <c r="J68" i="2"/>
  <c r="J69" i="2"/>
  <c r="J70" i="2"/>
  <c r="F70" i="9" s="1"/>
  <c r="J71" i="2"/>
  <c r="F71" i="9" s="1"/>
  <c r="J72" i="2"/>
  <c r="J73" i="2"/>
  <c r="F73" i="9" s="1"/>
  <c r="J74" i="2"/>
  <c r="F74" i="9" s="1"/>
  <c r="J75" i="2"/>
  <c r="J76" i="2"/>
  <c r="J77" i="2"/>
  <c r="J78" i="2"/>
  <c r="J79" i="2"/>
  <c r="F79" i="9" s="1"/>
  <c r="J80" i="2"/>
  <c r="J55" i="2"/>
  <c r="J56" i="2"/>
  <c r="J57" i="2"/>
  <c r="F57" i="9" s="1"/>
  <c r="J58" i="2"/>
  <c r="F58" i="9" s="1"/>
  <c r="J59" i="2"/>
  <c r="J60" i="2"/>
  <c r="J61" i="2"/>
  <c r="F61" i="9" s="1"/>
  <c r="J62" i="2"/>
  <c r="F62" i="9" s="1"/>
  <c r="J63" i="2"/>
  <c r="F63" i="9" s="1"/>
  <c r="J35" i="2"/>
  <c r="F35" i="9" s="1"/>
  <c r="J36" i="2"/>
  <c r="F36" i="9" s="1"/>
  <c r="J37" i="2"/>
  <c r="J38" i="2"/>
  <c r="F38" i="9" s="1"/>
  <c r="J39" i="2"/>
  <c r="F39" i="9" s="1"/>
  <c r="J40" i="2"/>
  <c r="F40" i="9" s="1"/>
  <c r="J41" i="2"/>
  <c r="J42" i="2"/>
  <c r="F42" i="9" s="1"/>
  <c r="J43" i="2"/>
  <c r="J44" i="2"/>
  <c r="F44" i="9" s="1"/>
  <c r="J45" i="2"/>
  <c r="J46" i="2"/>
  <c r="J47" i="2"/>
  <c r="F47" i="9" s="1"/>
  <c r="J48" i="2"/>
  <c r="F48" i="9" s="1"/>
  <c r="J49" i="2"/>
  <c r="J50" i="2"/>
  <c r="J51" i="2"/>
  <c r="F51" i="9" s="1"/>
  <c r="J52" i="2"/>
  <c r="F52" i="9" s="1"/>
  <c r="J53" i="2"/>
  <c r="J54" i="2"/>
  <c r="F54" i="9" s="1"/>
  <c r="J31" i="2"/>
  <c r="F31" i="9" s="1"/>
  <c r="J32" i="2"/>
  <c r="F32" i="9" s="1"/>
  <c r="J33" i="2"/>
  <c r="J34" i="2"/>
  <c r="J23" i="2"/>
  <c r="F23" i="9" s="1"/>
  <c r="J24" i="2"/>
  <c r="F24" i="9" s="1"/>
  <c r="J25" i="2"/>
  <c r="J26" i="2"/>
  <c r="F26" i="9" s="1"/>
  <c r="J27" i="2"/>
  <c r="F27" i="9" s="1"/>
  <c r="J28" i="2"/>
  <c r="F28" i="9" s="1"/>
  <c r="J29" i="2"/>
  <c r="J30" i="2"/>
  <c r="F30" i="9" s="1"/>
  <c r="J3" i="2"/>
  <c r="F3" i="9" s="1"/>
  <c r="J4" i="2"/>
  <c r="F4" i="9" s="1"/>
  <c r="J5" i="2"/>
  <c r="J6" i="2"/>
  <c r="F6" i="9" s="1"/>
  <c r="J7" i="2"/>
  <c r="F7" i="9" s="1"/>
  <c r="J8" i="2"/>
  <c r="F8" i="9" s="1"/>
  <c r="J9" i="2"/>
  <c r="F9" i="9" s="1"/>
  <c r="J10" i="2"/>
  <c r="F10" i="9" s="1"/>
  <c r="J11" i="2"/>
  <c r="F11" i="9" s="1"/>
  <c r="J12" i="2"/>
  <c r="F12" i="9" s="1"/>
  <c r="J13" i="2"/>
  <c r="F13" i="9" s="1"/>
  <c r="J14" i="2"/>
  <c r="F14" i="9" s="1"/>
  <c r="J15" i="2"/>
  <c r="F15" i="9" s="1"/>
  <c r="J16" i="2"/>
  <c r="F16" i="9" s="1"/>
  <c r="J17" i="2"/>
  <c r="F17" i="9" s="1"/>
  <c r="J18" i="2"/>
  <c r="J19" i="2"/>
  <c r="F19" i="9" s="1"/>
  <c r="J20" i="2"/>
  <c r="F20" i="9" s="1"/>
  <c r="J21" i="2"/>
  <c r="F21" i="9" s="1"/>
  <c r="J22" i="2"/>
  <c r="F22" i="9" s="1"/>
  <c r="J2" i="2"/>
  <c r="F2" i="9" s="1"/>
  <c r="J71" i="1"/>
  <c r="F71" i="8" s="1"/>
  <c r="J72" i="1"/>
  <c r="F72" i="8" s="1"/>
  <c r="J73" i="1"/>
  <c r="J74" i="1"/>
  <c r="F74" i="8" s="1"/>
  <c r="J75" i="1"/>
  <c r="F75" i="8" s="1"/>
  <c r="J76" i="1"/>
  <c r="F76" i="8" s="1"/>
  <c r="J77" i="1"/>
  <c r="J78" i="1"/>
  <c r="F78" i="8" s="1"/>
  <c r="J79" i="1"/>
  <c r="F79" i="8" s="1"/>
  <c r="J80" i="1"/>
  <c r="F80" i="8" s="1"/>
  <c r="J81" i="1"/>
  <c r="J82" i="1"/>
  <c r="F82" i="8" s="1"/>
  <c r="J83" i="1"/>
  <c r="F83" i="8" s="1"/>
  <c r="J84" i="1"/>
  <c r="F84" i="8" s="1"/>
  <c r="J64" i="1"/>
  <c r="J65" i="1"/>
  <c r="J61" i="1"/>
  <c r="F61" i="8" s="1"/>
  <c r="J62" i="1"/>
  <c r="F62" i="8" s="1"/>
  <c r="J63" i="1"/>
  <c r="F63" i="8" s="1"/>
  <c r="J58" i="1"/>
  <c r="J59" i="1"/>
  <c r="F59" i="8" s="1"/>
  <c r="J60" i="1"/>
  <c r="F60" i="8" s="1"/>
  <c r="J40" i="1"/>
  <c r="J41" i="1"/>
  <c r="F41" i="8" s="1"/>
  <c r="J42" i="1"/>
  <c r="F42" i="8" s="1"/>
  <c r="J43" i="1"/>
  <c r="F43" i="8" s="1"/>
  <c r="J44" i="1"/>
  <c r="F44" i="8" s="1"/>
  <c r="J45" i="1"/>
  <c r="J46" i="1"/>
  <c r="F46" i="8" s="1"/>
  <c r="J47" i="1"/>
  <c r="F47" i="8" s="1"/>
  <c r="J48" i="1"/>
  <c r="J49" i="1"/>
  <c r="F49" i="8" s="1"/>
  <c r="J50" i="1"/>
  <c r="F50" i="8" s="1"/>
  <c r="J51" i="1"/>
  <c r="F51" i="8" s="1"/>
  <c r="J52" i="1"/>
  <c r="F52" i="8" s="1"/>
  <c r="J53" i="1"/>
  <c r="F53" i="8" s="1"/>
  <c r="J54" i="1"/>
  <c r="F54" i="8" s="1"/>
  <c r="J55" i="1"/>
  <c r="F55" i="8" s="1"/>
  <c r="J56" i="1"/>
  <c r="J57" i="1"/>
  <c r="F57" i="8" s="1"/>
  <c r="J34" i="1"/>
  <c r="F34" i="8" s="1"/>
  <c r="J35" i="1"/>
  <c r="F35" i="8" s="1"/>
  <c r="J36" i="1"/>
  <c r="F36" i="8" s="1"/>
  <c r="J37" i="1"/>
  <c r="F37" i="8" s="1"/>
  <c r="J38" i="1"/>
  <c r="F38" i="8" s="1"/>
  <c r="J39" i="1"/>
  <c r="F39" i="8" s="1"/>
  <c r="C2" i="8" l="1"/>
  <c r="G2" i="8"/>
  <c r="B10" i="8"/>
  <c r="C10" i="8"/>
  <c r="B18" i="8"/>
  <c r="C18" i="8"/>
  <c r="B30" i="8"/>
  <c r="G30" i="8"/>
  <c r="C30" i="8"/>
  <c r="B54" i="8"/>
  <c r="G54" i="8"/>
  <c r="C54" i="8"/>
  <c r="B75" i="8"/>
  <c r="C75" i="8"/>
  <c r="G75" i="8"/>
  <c r="B83" i="8"/>
  <c r="C83" i="8"/>
  <c r="G83" i="8"/>
  <c r="B4" i="9"/>
  <c r="C4" i="9"/>
  <c r="G4" i="9"/>
  <c r="B12" i="9"/>
  <c r="C12" i="9"/>
  <c r="G12" i="9"/>
  <c r="B20" i="9"/>
  <c r="C20" i="9"/>
  <c r="G20" i="9"/>
  <c r="E28" i="9"/>
  <c r="B28" i="9"/>
  <c r="C28" i="9"/>
  <c r="G28" i="9"/>
  <c r="B32" i="9"/>
  <c r="C32" i="9"/>
  <c r="B40" i="9"/>
  <c r="C40" i="9"/>
  <c r="G40" i="9"/>
  <c r="B48" i="9"/>
  <c r="C48" i="9"/>
  <c r="B56" i="9"/>
  <c r="C56" i="9"/>
  <c r="G56" i="9"/>
  <c r="B64" i="9"/>
  <c r="G64" i="9"/>
  <c r="B80" i="9"/>
  <c r="C80" i="9"/>
  <c r="E83" i="8"/>
  <c r="E79" i="8"/>
  <c r="E75" i="8"/>
  <c r="D70" i="8"/>
  <c r="C50" i="8"/>
  <c r="G18" i="8"/>
  <c r="F60" i="9"/>
  <c r="E10" i="8"/>
  <c r="D26" i="8"/>
  <c r="D34" i="8"/>
  <c r="D50" i="8"/>
  <c r="D58" i="8"/>
  <c r="D8" i="9"/>
  <c r="E12" i="9"/>
  <c r="D16" i="9"/>
  <c r="D32" i="9"/>
  <c r="E44" i="9"/>
  <c r="E48" i="9"/>
  <c r="D56" i="9"/>
  <c r="D64" i="9"/>
  <c r="B3" i="8"/>
  <c r="C3" i="8"/>
  <c r="G3" i="8"/>
  <c r="E3" i="8"/>
  <c r="B7" i="8"/>
  <c r="C7" i="8"/>
  <c r="G7" i="8"/>
  <c r="B11" i="8"/>
  <c r="C11" i="8"/>
  <c r="G11" i="8"/>
  <c r="B15" i="8"/>
  <c r="C15" i="8"/>
  <c r="G15" i="8"/>
  <c r="B19" i="8"/>
  <c r="C19" i="8"/>
  <c r="G19" i="8"/>
  <c r="C23" i="8"/>
  <c r="G23" i="8"/>
  <c r="C27" i="8"/>
  <c r="G27" i="8"/>
  <c r="B27" i="8"/>
  <c r="C31" i="8"/>
  <c r="G31" i="8"/>
  <c r="C35" i="8"/>
  <c r="G35" i="8"/>
  <c r="B35" i="8"/>
  <c r="C39" i="8"/>
  <c r="G39" i="8"/>
  <c r="C43" i="8"/>
  <c r="G43" i="8"/>
  <c r="B43" i="8"/>
  <c r="C47" i="8"/>
  <c r="G47" i="8"/>
  <c r="C51" i="8"/>
  <c r="G51" i="8"/>
  <c r="B51" i="8"/>
  <c r="C55" i="8"/>
  <c r="G55" i="8"/>
  <c r="C59" i="8"/>
  <c r="G59" i="8"/>
  <c r="B59" i="8"/>
  <c r="B63" i="8"/>
  <c r="C63" i="8"/>
  <c r="G63" i="8"/>
  <c r="C72" i="8"/>
  <c r="G72" i="8"/>
  <c r="D72" i="8"/>
  <c r="C76" i="8"/>
  <c r="G76" i="8"/>
  <c r="D76" i="8"/>
  <c r="C80" i="8"/>
  <c r="G80" i="8"/>
  <c r="D80" i="8"/>
  <c r="C84" i="8"/>
  <c r="G84" i="8"/>
  <c r="D84" i="8"/>
  <c r="B5" i="9"/>
  <c r="C5" i="9"/>
  <c r="G5" i="9"/>
  <c r="B9" i="9"/>
  <c r="C9" i="9"/>
  <c r="G9" i="9"/>
  <c r="B13" i="9"/>
  <c r="C13" i="9"/>
  <c r="G13" i="9"/>
  <c r="B17" i="9"/>
  <c r="C17" i="9"/>
  <c r="G17" i="9"/>
  <c r="B21" i="9"/>
  <c r="C21" i="9"/>
  <c r="G21" i="9"/>
  <c r="B25" i="9"/>
  <c r="G25" i="9"/>
  <c r="B29" i="9"/>
  <c r="C29" i="9"/>
  <c r="G29" i="9"/>
  <c r="D29" i="9"/>
  <c r="B33" i="9"/>
  <c r="C33" i="9"/>
  <c r="G33" i="9"/>
  <c r="B37" i="9"/>
  <c r="C37" i="9"/>
  <c r="G37" i="9"/>
  <c r="B41" i="9"/>
  <c r="C41" i="9"/>
  <c r="G41" i="9"/>
  <c r="B45" i="9"/>
  <c r="C45" i="9"/>
  <c r="G45" i="9"/>
  <c r="B49" i="9"/>
  <c r="C49" i="9"/>
  <c r="G49" i="9"/>
  <c r="B53" i="9"/>
  <c r="C53" i="9"/>
  <c r="G53" i="9"/>
  <c r="B57" i="9"/>
  <c r="C57" i="9"/>
  <c r="G57" i="9"/>
  <c r="C61" i="9"/>
  <c r="G61" i="9"/>
  <c r="B61" i="9"/>
  <c r="G65" i="9"/>
  <c r="B65" i="9"/>
  <c r="C69" i="9"/>
  <c r="G69" i="9"/>
  <c r="C73" i="9"/>
  <c r="G73" i="9"/>
  <c r="B73" i="9"/>
  <c r="D73" i="9"/>
  <c r="C77" i="9"/>
  <c r="G77" i="9"/>
  <c r="B77" i="9"/>
  <c r="B81" i="9"/>
  <c r="C81" i="9"/>
  <c r="G81" i="9"/>
  <c r="D81" i="9"/>
  <c r="B85" i="9"/>
  <c r="C85" i="9"/>
  <c r="G85" i="9"/>
  <c r="D85" i="9"/>
  <c r="F70" i="8"/>
  <c r="B2" i="8"/>
  <c r="D83" i="8"/>
  <c r="D75" i="8"/>
  <c r="C70" i="8"/>
  <c r="D63" i="8"/>
  <c r="C62" i="8"/>
  <c r="G58" i="8"/>
  <c r="E51" i="8"/>
  <c r="D47" i="8"/>
  <c r="G42" i="8"/>
  <c r="E35" i="8"/>
  <c r="D31" i="8"/>
  <c r="G26" i="8"/>
  <c r="G72" i="9"/>
  <c r="B69" i="9"/>
  <c r="E65" i="9"/>
  <c r="G32" i="9"/>
  <c r="C4" i="8"/>
  <c r="G4" i="8"/>
  <c r="B14" i="8"/>
  <c r="C14" i="8"/>
  <c r="B22" i="8"/>
  <c r="G22" i="8"/>
  <c r="C22" i="8"/>
  <c r="B38" i="8"/>
  <c r="G38" i="8"/>
  <c r="C38" i="8"/>
  <c r="B46" i="8"/>
  <c r="G46" i="8"/>
  <c r="C46" i="8"/>
  <c r="B71" i="8"/>
  <c r="C71" i="8"/>
  <c r="G71" i="8"/>
  <c r="B79" i="8"/>
  <c r="C79" i="8"/>
  <c r="G79" i="8"/>
  <c r="B8" i="9"/>
  <c r="C8" i="9"/>
  <c r="G8" i="9"/>
  <c r="B16" i="9"/>
  <c r="C16" i="9"/>
  <c r="B24" i="9"/>
  <c r="C24" i="9"/>
  <c r="G24" i="9"/>
  <c r="B36" i="9"/>
  <c r="C36" i="9"/>
  <c r="D36" i="9"/>
  <c r="G36" i="9"/>
  <c r="B44" i="9"/>
  <c r="C44" i="9"/>
  <c r="B52" i="9"/>
  <c r="C52" i="9"/>
  <c r="G52" i="9"/>
  <c r="B60" i="9"/>
  <c r="G60" i="9"/>
  <c r="C60" i="9"/>
  <c r="B68" i="9"/>
  <c r="G68" i="9"/>
  <c r="C68" i="9"/>
  <c r="B76" i="9"/>
  <c r="G76" i="9"/>
  <c r="C76" i="9"/>
  <c r="B84" i="9"/>
  <c r="C84" i="9"/>
  <c r="E71" i="8"/>
  <c r="D62" i="8"/>
  <c r="C34" i="8"/>
  <c r="G14" i="8"/>
  <c r="G10" i="8"/>
  <c r="G84" i="9"/>
  <c r="E76" i="9"/>
  <c r="F58" i="8"/>
  <c r="F56" i="9"/>
  <c r="E4" i="8"/>
  <c r="E14" i="8"/>
  <c r="D18" i="8"/>
  <c r="D42" i="8"/>
  <c r="D10" i="8"/>
  <c r="D14" i="8"/>
  <c r="E68" i="9"/>
  <c r="E70" i="8"/>
  <c r="E2" i="8"/>
  <c r="B84" i="8"/>
  <c r="B80" i="8"/>
  <c r="B76" i="8"/>
  <c r="B72" i="8"/>
  <c r="C58" i="8"/>
  <c r="B47" i="8"/>
  <c r="C42" i="8"/>
  <c r="E38" i="8"/>
  <c r="B31" i="8"/>
  <c r="C26" i="8"/>
  <c r="G80" i="9"/>
  <c r="D77" i="9"/>
  <c r="D28" i="9"/>
  <c r="G16" i="9"/>
  <c r="F77" i="9"/>
  <c r="F69" i="9"/>
  <c r="F85" i="9"/>
  <c r="F81" i="9"/>
  <c r="D4" i="8"/>
  <c r="D5" i="9"/>
  <c r="E9" i="9"/>
  <c r="E17" i="9"/>
  <c r="D21" i="9"/>
  <c r="D25" i="9"/>
  <c r="E33" i="9"/>
  <c r="D37" i="9"/>
  <c r="E40" i="9"/>
  <c r="D44" i="9"/>
  <c r="D48" i="9"/>
  <c r="E57" i="9"/>
  <c r="E64" i="9"/>
  <c r="C72" i="2"/>
  <c r="C72" i="9" s="1"/>
  <c r="E72" i="9"/>
  <c r="E80" i="9"/>
  <c r="C8" i="8"/>
  <c r="G8" i="8"/>
  <c r="C12" i="8"/>
  <c r="G12" i="8"/>
  <c r="C16" i="8"/>
  <c r="G16" i="8"/>
  <c r="C20" i="8"/>
  <c r="G20" i="8"/>
  <c r="G2" i="9"/>
  <c r="C2" i="9"/>
  <c r="B2" i="9"/>
  <c r="C6" i="9"/>
  <c r="G6" i="9"/>
  <c r="B6" i="9"/>
  <c r="C10" i="9"/>
  <c r="G10" i="9"/>
  <c r="B10" i="9"/>
  <c r="C14" i="9"/>
  <c r="G14" i="9"/>
  <c r="B14" i="9"/>
  <c r="C18" i="9"/>
  <c r="G18" i="9"/>
  <c r="B18" i="9"/>
  <c r="C22" i="9"/>
  <c r="G22" i="9"/>
  <c r="B22" i="9"/>
  <c r="C26" i="9"/>
  <c r="G26" i="9"/>
  <c r="B26" i="9"/>
  <c r="C30" i="9"/>
  <c r="G30" i="9"/>
  <c r="D30" i="9"/>
  <c r="B30" i="9"/>
  <c r="C34" i="9"/>
  <c r="G34" i="9"/>
  <c r="C38" i="9"/>
  <c r="G38" i="9"/>
  <c r="D38" i="9"/>
  <c r="C42" i="9"/>
  <c r="G42" i="9"/>
  <c r="C46" i="9"/>
  <c r="G46" i="9"/>
  <c r="C50" i="9"/>
  <c r="G50" i="9"/>
  <c r="C54" i="9"/>
  <c r="G54" i="9"/>
  <c r="C58" i="9"/>
  <c r="G58" i="9"/>
  <c r="B66" i="9"/>
  <c r="G66" i="9"/>
  <c r="D74" i="9"/>
  <c r="B74" i="9"/>
  <c r="G74" i="9"/>
  <c r="C78" i="9"/>
  <c r="G78" i="9"/>
  <c r="D78" i="9"/>
  <c r="C82" i="9"/>
  <c r="G82" i="9"/>
  <c r="D82" i="9"/>
  <c r="C86" i="9"/>
  <c r="G86" i="9"/>
  <c r="D86" i="9"/>
  <c r="E77" i="8"/>
  <c r="G67" i="8"/>
  <c r="C67" i="8"/>
  <c r="G60" i="8"/>
  <c r="G57" i="8"/>
  <c r="G52" i="8"/>
  <c r="G49" i="8"/>
  <c r="G44" i="8"/>
  <c r="G41" i="8"/>
  <c r="G36" i="8"/>
  <c r="G33" i="8"/>
  <c r="G28" i="8"/>
  <c r="G25" i="8"/>
  <c r="F17" i="8"/>
  <c r="C87" i="9"/>
  <c r="C83" i="9"/>
  <c r="C79" i="9"/>
  <c r="C66" i="9"/>
  <c r="B46" i="9"/>
  <c r="F5" i="9"/>
  <c r="F29" i="9"/>
  <c r="F25" i="9"/>
  <c r="F33" i="9"/>
  <c r="F53" i="9"/>
  <c r="F49" i="9"/>
  <c r="F45" i="9"/>
  <c r="F41" i="9"/>
  <c r="F37" i="9"/>
  <c r="F80" i="9"/>
  <c r="F76" i="9"/>
  <c r="F72" i="9"/>
  <c r="F68" i="9"/>
  <c r="F64" i="9"/>
  <c r="F84" i="9"/>
  <c r="D9" i="9"/>
  <c r="D13" i="9"/>
  <c r="D17" i="9"/>
  <c r="E20" i="9"/>
  <c r="E24" i="9"/>
  <c r="C25" i="9"/>
  <c r="D33" i="9"/>
  <c r="D40" i="9"/>
  <c r="E45" i="9"/>
  <c r="E49" i="9"/>
  <c r="E52" i="9"/>
  <c r="D53" i="9"/>
  <c r="D57" i="9"/>
  <c r="E61" i="9"/>
  <c r="D65" i="9"/>
  <c r="D72" i="9"/>
  <c r="E77" i="9"/>
  <c r="E84" i="9"/>
  <c r="B3" i="9"/>
  <c r="C3" i="9"/>
  <c r="G3" i="9"/>
  <c r="B7" i="9"/>
  <c r="C7" i="9"/>
  <c r="B11" i="9"/>
  <c r="C11" i="9"/>
  <c r="G11" i="9"/>
  <c r="B15" i="9"/>
  <c r="C15" i="9"/>
  <c r="B19" i="9"/>
  <c r="C19" i="9"/>
  <c r="G19" i="9"/>
  <c r="B23" i="9"/>
  <c r="C23" i="9"/>
  <c r="B27" i="9"/>
  <c r="C27" i="9"/>
  <c r="G27" i="9"/>
  <c r="B31" i="9"/>
  <c r="C31" i="9"/>
  <c r="C35" i="9"/>
  <c r="B35" i="9"/>
  <c r="C39" i="9"/>
  <c r="B39" i="9"/>
  <c r="C43" i="9"/>
  <c r="B43" i="9"/>
  <c r="C47" i="9"/>
  <c r="B47" i="9"/>
  <c r="C51" i="9"/>
  <c r="B51" i="9"/>
  <c r="C55" i="9"/>
  <c r="B55" i="9"/>
  <c r="C59" i="9"/>
  <c r="B59" i="9"/>
  <c r="B63" i="9"/>
  <c r="G63" i="9"/>
  <c r="B71" i="9"/>
  <c r="G71" i="9"/>
  <c r="G68" i="8"/>
  <c r="G64" i="8"/>
  <c r="E16" i="8"/>
  <c r="C6" i="8"/>
  <c r="E2" i="9"/>
  <c r="B87" i="9"/>
  <c r="B86" i="9"/>
  <c r="B83" i="9"/>
  <c r="B82" i="9"/>
  <c r="B79" i="9"/>
  <c r="B78" i="9"/>
  <c r="G75" i="9"/>
  <c r="G70" i="9"/>
  <c r="B67" i="9"/>
  <c r="C63" i="9"/>
  <c r="B62" i="9"/>
  <c r="G59" i="9"/>
  <c r="B58" i="9"/>
  <c r="G43" i="9"/>
  <c r="B42" i="9"/>
  <c r="J30" i="1"/>
  <c r="F30" i="8" s="1"/>
  <c r="J31" i="1"/>
  <c r="F31" i="8" s="1"/>
  <c r="J32" i="1"/>
  <c r="F32" i="8" s="1"/>
  <c r="J33" i="1"/>
  <c r="F33" i="8" s="1"/>
  <c r="J29" i="1"/>
  <c r="F29" i="8" s="1"/>
  <c r="J27" i="1"/>
  <c r="F27" i="8" s="1"/>
  <c r="J28" i="1"/>
  <c r="F28" i="8" s="1"/>
  <c r="J24" i="1"/>
  <c r="F24" i="8" s="1"/>
  <c r="J25" i="1"/>
  <c r="F25" i="8" s="1"/>
  <c r="J26" i="1"/>
  <c r="F26" i="8" s="1"/>
  <c r="J22" i="1"/>
  <c r="F22" i="8" s="1"/>
  <c r="J23" i="1"/>
  <c r="F23" i="8" s="1"/>
  <c r="J20" i="1"/>
  <c r="F20" i="8" s="1"/>
  <c r="J21" i="1"/>
  <c r="F21" i="8" s="1"/>
  <c r="J19" i="1"/>
  <c r="F19" i="8" s="1"/>
  <c r="J18" i="1"/>
  <c r="F18" i="8" s="1"/>
  <c r="J16" i="1"/>
  <c r="F16" i="8" s="1"/>
  <c r="J15" i="1"/>
  <c r="F15" i="8" s="1"/>
  <c r="J14" i="1"/>
  <c r="F14" i="8" s="1"/>
  <c r="J11" i="1"/>
  <c r="F11" i="8" s="1"/>
  <c r="J12" i="1"/>
  <c r="F12" i="8" s="1"/>
  <c r="J13" i="1"/>
  <c r="F13" i="8" s="1"/>
  <c r="J9" i="1"/>
  <c r="F9" i="8" s="1"/>
  <c r="J10" i="1"/>
  <c r="F10" i="8" s="1"/>
  <c r="J7" i="1"/>
  <c r="F7" i="8" s="1"/>
  <c r="J8" i="1"/>
  <c r="F8" i="8" s="1"/>
  <c r="J3" i="1"/>
  <c r="F3" i="8" s="1"/>
  <c r="J4" i="1"/>
  <c r="F4" i="8" s="1"/>
  <c r="J5" i="1"/>
  <c r="F5" i="8" s="1"/>
  <c r="J6" i="1"/>
  <c r="F6" i="8" s="1"/>
  <c r="J2" i="1"/>
  <c r="F2" i="8" s="1"/>
</calcChain>
</file>

<file path=xl/sharedStrings.xml><?xml version="1.0" encoding="utf-8"?>
<sst xmlns="http://schemas.openxmlformats.org/spreadsheetml/2006/main" count="755" uniqueCount="394">
  <si>
    <t>Spit</t>
  </si>
  <si>
    <t>Lithics (g)</t>
  </si>
  <si>
    <t>Shell (g)</t>
  </si>
  <si>
    <t>Vertebrate (g)</t>
  </si>
  <si>
    <t>Plain_baked_clay (g)</t>
  </si>
  <si>
    <t>Patterned_baked_clay (g)</t>
  </si>
  <si>
    <t>Baked clay (g)</t>
  </si>
  <si>
    <t>Bucket1</t>
  </si>
  <si>
    <t>Bucket2</t>
  </si>
  <si>
    <t>Bucket3</t>
  </si>
  <si>
    <t>Bucket4</t>
  </si>
  <si>
    <t>Bucket5</t>
  </si>
  <si>
    <t>Bucket6</t>
  </si>
  <si>
    <t>Bucket7</t>
  </si>
  <si>
    <t>Bucket8</t>
  </si>
  <si>
    <t>Spit depth (cm)</t>
  </si>
  <si>
    <t>Bucket9</t>
  </si>
  <si>
    <t>Bucket10</t>
  </si>
  <si>
    <t>Bucket11</t>
  </si>
  <si>
    <t>Bucket12</t>
  </si>
  <si>
    <t>Pottery (g)</t>
  </si>
  <si>
    <t>Rock weight</t>
  </si>
  <si>
    <t>Sediment weight (kg)</t>
  </si>
  <si>
    <t>Plant (g)</t>
  </si>
  <si>
    <t>Recorded but unweighted rock in Bucket4</t>
  </si>
  <si>
    <t>Charcoal (g)</t>
  </si>
  <si>
    <t>Bone_points (g)</t>
  </si>
  <si>
    <t>Rock (kg)</t>
  </si>
  <si>
    <t>Plant</t>
  </si>
  <si>
    <t>To estimate missing weights, use only Holocene spits as (1) Pleistocene spits depauperate in material, (2) virtually no baked clay, and none patterned, in Pleistocene layers</t>
  </si>
  <si>
    <t>Where either of vertebrate or lithics missing, both usually missing, so predict missing values based on classes usually present (sediment weight, shell, plant)</t>
  </si>
  <si>
    <t>XLSTAT 2014.1.02 - Linear regression - on 28/05/2014 at 5:17:38 AM</t>
  </si>
  <si>
    <t>Y / Quantitative: Workbook = Talimbue_weights_analysis.xlsx / Sheet = For_predicting_lithics / Range = For_predicting_lithics!$A:$A / 113 rows and 1 column</t>
  </si>
  <si>
    <t>X / Quantitative: Workbook = Talimbue_weights_analysis.xlsx / Sheet = For_predicting_lithics / Range = For_predicting_lithics!$B:$D / 113 rows and 3 columns</t>
  </si>
  <si>
    <t>Confidence interval (%): 95</t>
  </si>
  <si>
    <t>Tolerance: 0.0001</t>
  </si>
  <si>
    <t>Correlation matrix:</t>
  </si>
  <si>
    <t>Variables</t>
  </si>
  <si>
    <t>Multicolinearity statistics:</t>
  </si>
  <si>
    <t>Statistic</t>
  </si>
  <si>
    <t>Tolerance</t>
  </si>
  <si>
    <t>VIF</t>
  </si>
  <si>
    <t>Regression of variable Lithics (g):</t>
  </si>
  <si>
    <t>Goodness of fit statistics:</t>
  </si>
  <si>
    <t>Observations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</si>
  <si>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</si>
  <si>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</si>
  <si>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</si>
  <si>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</si>
  <si>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</si>
  <si>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</si>
  <si>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</si>
  <si>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</si>
  <si>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</si>
  <si>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</si>
  <si>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</si>
  <si>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</si>
  <si>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</si>
  <si>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</si>
  <si>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</si>
  <si>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</si>
  <si>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</si>
  <si>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</si>
  <si>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</si>
  <si>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</si>
  <si>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</si>
  <si>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&lt; 0.0001</t>
  </si>
  <si>
    <t>Computed against model Y=Mean(Y)</t>
  </si>
  <si>
    <t>Model parameters: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</si>
  <si>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</si>
  <si>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</si>
  <si>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</si>
  <si>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</si>
  <si>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</si>
  <si>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</si>
  <si>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</si>
  <si>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model:</t>
  </si>
  <si>
    <t>Lithics (g) = -295.045448162369-0.282986196802962*Shell (g)-1.19214703391904*Plant (g)+19.277380601778*Sediment weight (kg)</t>
  </si>
  <si>
    <t>Standardized coefficients:</t>
  </si>
  <si>
    <t>Predictions and residuals:</t>
  </si>
  <si>
    <t>Observation</t>
  </si>
  <si>
    <t>Weight</t>
  </si>
  <si>
    <t>Pred(Lithics (g))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</si>
  <si>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</si>
  <si>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</si>
  <si>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</si>
  <si>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</si>
  <si>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</si>
  <si>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</si>
  <si>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</si>
  <si>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</si>
  <si>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</si>
  <si>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</si>
  <si>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</si>
  <si>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</si>
  <si>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</si>
  <si>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</si>
  <si>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</si>
  <si>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</si>
  <si>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</si>
  <si>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</si>
  <si>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</si>
  <si>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</si>
  <si>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</si>
  <si>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</si>
  <si>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</si>
  <si>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</si>
  <si>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</si>
  <si>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</si>
  <si>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</si>
  <si>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</si>
  <si>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</si>
  <si>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</si>
  <si>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</si>
  <si>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</si>
  <si>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</si>
  <si>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</si>
  <si>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</si>
  <si>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</si>
  <si>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</si>
  <si>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</si>
  <si>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</si>
  <si>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</si>
  <si>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</si>
  <si>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</si>
  <si>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</si>
  <si>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</si>
  <si>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</si>
  <si>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</si>
  <si>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</si>
  <si>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</si>
  <si>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</si>
  <si>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</si>
  <si>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</si>
  <si>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</si>
  <si>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</si>
  <si>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</si>
  <si>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</si>
  <si>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</si>
  <si>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</si>
  <si>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</si>
  <si>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</si>
  <si>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</si>
  <si>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</si>
  <si>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</si>
  <si>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</si>
  <si>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</si>
  <si>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</si>
  <si>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</si>
  <si>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</si>
  <si>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</si>
  <si>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</si>
  <si>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</si>
  <si>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</si>
  <si>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</si>
  <si>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</si>
  <si>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</si>
  <si>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</si>
  <si>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</si>
  <si>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</si>
  <si>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</si>
  <si>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</si>
  <si>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</si>
  <si>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</si>
  <si>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</si>
  <si>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</si>
  <si>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</si>
  <si>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</si>
  <si>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</si>
  <si>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</si>
  <si>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</si>
  <si>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</si>
  <si>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</si>
  <si>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</si>
  <si>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</si>
  <si>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</si>
  <si>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</si>
  <si>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</si>
  <si>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</si>
  <si>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</si>
  <si>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</si>
  <si>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</si>
  <si>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</si>
  <si>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</si>
  <si>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</si>
  <si>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</si>
  <si>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</si>
  <si>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</si>
  <si>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</si>
  <si>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</si>
  <si>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</si>
  <si>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</si>
  <si>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</si>
  <si>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</si>
  <si>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</si>
  <si>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</si>
  <si>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</si>
  <si>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</si>
  <si>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</si>
  <si>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</si>
  <si>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</si>
  <si>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</si>
  <si>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</si>
  <si>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</si>
  <si>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XLSTAT 2014.1.02 - Linear regression - on 28/05/2014 at 5:20:39 AM</t>
  </si>
  <si>
    <t>Y / Quantitative: Workbook = Talimbue_weights_analysis.xlsx / Sheet = For_predicing_vertebrate / Range = For_predicing_vertebrate!$A:$A / 125 rows and 1 column</t>
  </si>
  <si>
    <t>X / Quantitative: Workbook = Talimbue_weights_analysis.xlsx / Sheet = For_predicing_vertebrate / Range = For_predicing_vertebrate!$B:$D / 125 rows and 3 columns</t>
  </si>
  <si>
    <t>Regression of variable Vertebrate (g):</t>
  </si>
  <si>
    <t>Vertebrate (g) = -106.245869481879+0.164702835266691*Shell (g)-0.462174363521389*Plant (g)+6.35067881940707*Sediment weight (kg)</t>
  </si>
  <si>
    <t>Pred(Vertebrate (g))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</si>
  <si>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</si>
  <si>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</si>
  <si>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</si>
  <si>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</si>
  <si>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</si>
  <si>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</si>
  <si>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</si>
  <si>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</si>
  <si>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</si>
  <si>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</si>
  <si>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</si>
  <si>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</si>
  <si>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Missing values substitution</t>
  </si>
  <si>
    <t>Square</t>
  </si>
  <si>
    <t>Shell</t>
  </si>
  <si>
    <t>Sediment</t>
  </si>
  <si>
    <t>B</t>
  </si>
  <si>
    <t>Predicted_lithics</t>
  </si>
  <si>
    <t>Predicted values shown in yellow</t>
  </si>
  <si>
    <t>E</t>
  </si>
  <si>
    <t>Predicted_vertebrate</t>
  </si>
  <si>
    <t>Lithics</t>
  </si>
  <si>
    <t>Shellfish</t>
  </si>
  <si>
    <t>Vertebrate</t>
  </si>
  <si>
    <t>Baked_clay</t>
  </si>
  <si>
    <t>Densities are grams of find/kg excavated sediment</t>
  </si>
  <si>
    <t>Pottery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</si>
  <si>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</si>
  <si>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</si>
  <si>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</si>
  <si>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</si>
  <si>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</si>
  <si>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</si>
  <si>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</si>
  <si>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</si>
  <si>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</si>
  <si>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</si>
  <si>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</si>
  <si>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</si>
  <si>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</si>
  <si>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B.14</t>
  </si>
  <si>
    <t>B.15</t>
  </si>
  <si>
    <t>B.16</t>
  </si>
  <si>
    <t>B.17</t>
  </si>
  <si>
    <t>B.18</t>
  </si>
  <si>
    <t>B.19</t>
  </si>
  <si>
    <t>B.20</t>
  </si>
  <si>
    <t>B.21</t>
  </si>
  <si>
    <t>B.22</t>
  </si>
  <si>
    <t>B.23</t>
  </si>
  <si>
    <t>B.24</t>
  </si>
  <si>
    <t>B.25</t>
  </si>
  <si>
    <t>B.26</t>
  </si>
  <si>
    <t>B.27</t>
  </si>
  <si>
    <t>B.28</t>
  </si>
  <si>
    <t>B.29</t>
  </si>
  <si>
    <t>B.30</t>
  </si>
  <si>
    <t>B.31</t>
  </si>
  <si>
    <t>B.32</t>
  </si>
  <si>
    <t>B.33</t>
  </si>
  <si>
    <t>B.34</t>
  </si>
  <si>
    <t>B.35</t>
  </si>
  <si>
    <t>B.36</t>
  </si>
  <si>
    <t>B.37</t>
  </si>
  <si>
    <t>B.38</t>
  </si>
  <si>
    <t>B.39</t>
  </si>
  <si>
    <t>B.40</t>
  </si>
  <si>
    <t>B.41</t>
  </si>
  <si>
    <t>B.42</t>
  </si>
  <si>
    <t>B.43</t>
  </si>
  <si>
    <t>B.44</t>
  </si>
  <si>
    <t>B.45</t>
  </si>
  <si>
    <t>B.46</t>
  </si>
  <si>
    <t>B.47</t>
  </si>
  <si>
    <t>B.48</t>
  </si>
  <si>
    <t>B.49</t>
  </si>
  <si>
    <t>B.50</t>
  </si>
  <si>
    <t>B.51</t>
  </si>
  <si>
    <t>B.52</t>
  </si>
  <si>
    <t>B.53</t>
  </si>
  <si>
    <t>B.54</t>
  </si>
  <si>
    <t>B.55</t>
  </si>
  <si>
    <t>B.56</t>
  </si>
  <si>
    <t>B.57</t>
  </si>
  <si>
    <t>B.58</t>
  </si>
  <si>
    <t>B.59</t>
  </si>
  <si>
    <t>B.60</t>
  </si>
  <si>
    <t>B.61</t>
  </si>
  <si>
    <t>B.62</t>
  </si>
  <si>
    <t>B.63</t>
  </si>
  <si>
    <t>B.64</t>
  </si>
  <si>
    <t>B.65</t>
  </si>
  <si>
    <t>B.66</t>
  </si>
  <si>
    <t>B.67</t>
  </si>
  <si>
    <t>B.68</t>
  </si>
  <si>
    <t>B.69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</si>
  <si>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</si>
  <si>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</si>
  <si>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</si>
  <si>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</si>
  <si>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</si>
  <si>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</si>
  <si>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</si>
  <si>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</si>
  <si>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</si>
  <si>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E.10</t>
  </si>
  <si>
    <t>E.11</t>
  </si>
  <si>
    <t>E.12</t>
  </si>
  <si>
    <t>E.13</t>
  </si>
  <si>
    <t>E.14</t>
  </si>
  <si>
    <t>E.15</t>
  </si>
  <si>
    <t>E.16</t>
  </si>
  <si>
    <t>E.17</t>
  </si>
  <si>
    <t>E.18</t>
  </si>
  <si>
    <t>E.19</t>
  </si>
  <si>
    <t>E.20</t>
  </si>
  <si>
    <t>E.21</t>
  </si>
  <si>
    <t>E.22</t>
  </si>
  <si>
    <t>E.23</t>
  </si>
  <si>
    <t>E.24</t>
  </si>
  <si>
    <t>E.25</t>
  </si>
  <si>
    <t>E.26</t>
  </si>
  <si>
    <t>E.27</t>
  </si>
  <si>
    <t>E.28</t>
  </si>
  <si>
    <t>E.29</t>
  </si>
  <si>
    <t>E.30</t>
  </si>
  <si>
    <t>E.31</t>
  </si>
  <si>
    <t>E.32</t>
  </si>
  <si>
    <t>E.33</t>
  </si>
  <si>
    <t>E.34</t>
  </si>
  <si>
    <t>E.35</t>
  </si>
  <si>
    <t>E.36</t>
  </si>
  <si>
    <t>E.37</t>
  </si>
  <si>
    <t>E.38</t>
  </si>
  <si>
    <t>E.39</t>
  </si>
  <si>
    <t>E.40</t>
  </si>
  <si>
    <t>E.41</t>
  </si>
  <si>
    <t>E.42</t>
  </si>
  <si>
    <t>E.43</t>
  </si>
  <si>
    <t>E.44</t>
  </si>
  <si>
    <t>E.45</t>
  </si>
  <si>
    <t>E.46</t>
  </si>
  <si>
    <t>E.47</t>
  </si>
  <si>
    <t>E.48</t>
  </si>
  <si>
    <t>E.49</t>
  </si>
  <si>
    <t>E.50</t>
  </si>
  <si>
    <t>E.51</t>
  </si>
  <si>
    <t>E.52</t>
  </si>
  <si>
    <t>E.53</t>
  </si>
  <si>
    <t>E.54</t>
  </si>
  <si>
    <t>E.55</t>
  </si>
  <si>
    <t>E.56</t>
  </si>
  <si>
    <t>E.57</t>
  </si>
  <si>
    <t>E.58</t>
  </si>
  <si>
    <t>E.59</t>
  </si>
  <si>
    <t>E.60</t>
  </si>
  <si>
    <t>E.61</t>
  </si>
  <si>
    <t>E.62</t>
  </si>
  <si>
    <t>E.63</t>
  </si>
  <si>
    <t>E.64</t>
  </si>
  <si>
    <t>E.65</t>
  </si>
  <si>
    <t>E.66</t>
  </si>
  <si>
    <t>E.67</t>
  </si>
  <si>
    <t>E.68</t>
  </si>
  <si>
    <t>E.69</t>
  </si>
  <si>
    <t>E.70</t>
  </si>
  <si>
    <t>E.71</t>
  </si>
  <si>
    <t>E.72</t>
  </si>
  <si>
    <t>XLSTAT 2014.1.02 - Multicolinearity statistics - on 29/05/2014 at 5:19:20 AM</t>
  </si>
  <si>
    <t>Observations/variables table: Workbook = Talimbue_weights_analysis.xlsx / Sheet = Densities_for_regress_analysis / Range = Densities_for_regress_analysis!$B:$G / 141 rows and 6 columns</t>
  </si>
  <si>
    <t>Summary statistics:</t>
  </si>
  <si>
    <t>Variable</t>
  </si>
  <si>
    <t>Obs. with missing data</t>
  </si>
  <si>
    <t>Obs. without missing data</t>
  </si>
  <si>
    <t>Minimum</t>
  </si>
  <si>
    <t>Maximum</t>
  </si>
  <si>
    <t>Mean</t>
  </si>
  <si>
    <t>Std. deviation</t>
  </si>
  <si>
    <t>t-scores (139 degrees of freedom)</t>
  </si>
  <si>
    <t>All correlations statistically significant under weighted Simes' test</t>
  </si>
  <si>
    <t>Proposed explanation:</t>
  </si>
  <si>
    <t>Preservation factor: organic materials and baked clay have preserved better in deposits with more rapid rate of accumulation, but negatively associated with lithics dropping rate because of shorter time period involved</t>
  </si>
  <si>
    <t>Chronology factor: higher quantities of shellfish in more recent spits (with pottery), but everything else present in smaller quantities</t>
  </si>
  <si>
    <t>Holocene layers (suitable for densities regression analysis) highlighted in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</si>
</sst>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49" fontId="0" fillId="0" borderId="0" xfId="0" applyNumberFormat="1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2" fillId="0" borderId="3" xfId="0" applyNumberFormat="1" applyFont="1" applyBorder="1" applyAlignment="1"/>
    <xf numFmtId="164" fontId="0" fillId="0" borderId="2" xfId="0" applyNumberFormat="1" applyBorder="1" applyAlignment="1"/>
    <xf numFmtId="164" fontId="2" fillId="0" borderId="2" xfId="0" applyNumberFormat="1" applyFont="1" applyBorder="1" applyAlignment="1"/>
    <xf numFmtId="164" fontId="0" fillId="0" borderId="0" xfId="0" applyNumberFormat="1" applyAlignment="1"/>
    <xf numFmtId="164" fontId="2" fillId="0" borderId="0" xfId="0" applyNumberFormat="1" applyFont="1" applyAlignment="1"/>
    <xf numFmtId="164" fontId="2" fillId="0" borderId="3" xfId="0" applyNumberFormat="1" applyFont="1" applyBorder="1" applyAlignme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3" fillId="0" borderId="3" xfId="0" applyNumberFormat="1" applyFont="1" applyBorder="1" applyAlignment="1"/>
    <xf numFmtId="49" fontId="0" fillId="0" borderId="3" xfId="0" applyNumberFormat="1" applyBorder="1" applyAlignment="1"/>
    <xf numFmtId="164" fontId="0" fillId="0" borderId="3" xfId="0" applyNumberFormat="1" applyBorder="1" applyAlignment="1"/>
    <xf numFmtId="0" fontId="1" fillId="0" borderId="0" xfId="0" applyFont="1"/>
    <xf numFmtId="49" fontId="0" fillId="0" borderId="1" xfId="0" applyNumberFormat="1" applyBorder="1" applyAlignment="1"/>
    <xf numFmtId="164" fontId="0" fillId="0" borderId="1" xfId="0" applyNumberFormat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>
      <alignment horizontal="right"/>
    </xf>
    <xf numFmtId="0" fontId="4" fillId="0" borderId="0" xfId="0" applyFont="1"/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0" xfId="0" applyFont="1"/>
    <xf numFmtId="0" fontId="0" fillId="2" borderId="0" xfId="0" applyFill="1"/>
    <xf numFmtId="164" fontId="1" fillId="0" borderId="3" xfId="0" applyNumberFormat="1" applyFont="1" applyBorder="1" applyAlignment="1"/>
    <xf numFmtId="49" fontId="1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79498396033835E-2"/>
          <c:y val="6.9544367875263732E-2"/>
          <c:w val="0.84106517351997701"/>
          <c:h val="0.83881285270247641"/>
        </c:manualLayout>
      </c:layout>
      <c:lineChart>
        <c:grouping val="standard"/>
        <c:varyColors val="0"/>
        <c:ser>
          <c:idx val="0"/>
          <c:order val="0"/>
          <c:tx>
            <c:strRef>
              <c:f>Talimbue_B_densities!$B$1</c:f>
              <c:strCache>
                <c:ptCount val="1"/>
                <c:pt idx="0">
                  <c:v>Lithics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Talimbue_B_densities!$B$2:$B$84</c:f>
              <c:numCache>
                <c:formatCode>0.00</c:formatCode>
                <c:ptCount val="83"/>
                <c:pt idx="0">
                  <c:v>1.248750297548203</c:v>
                </c:pt>
                <c:pt idx="1">
                  <c:v>2.2616465556743548</c:v>
                </c:pt>
                <c:pt idx="2">
                  <c:v>2.7615520850104653</c:v>
                </c:pt>
                <c:pt idx="3">
                  <c:v>1.9430569430569431</c:v>
                </c:pt>
                <c:pt idx="4">
                  <c:v>2.2034961302375233</c:v>
                </c:pt>
                <c:pt idx="5">
                  <c:v>2.0421138877509217</c:v>
                </c:pt>
                <c:pt idx="6">
                  <c:v>3.4927643784786637</c:v>
                </c:pt>
                <c:pt idx="7">
                  <c:v>3.9895412407891615</c:v>
                </c:pt>
                <c:pt idx="8">
                  <c:v>2.0073950822702904</c:v>
                </c:pt>
                <c:pt idx="9">
                  <c:v>3.4552332912988653</c:v>
                </c:pt>
                <c:pt idx="10">
                  <c:v>2.2131115072291543</c:v>
                </c:pt>
                <c:pt idx="11">
                  <c:v>5.4935312831389185</c:v>
                </c:pt>
                <c:pt idx="12">
                  <c:v>4.4204502814258921</c:v>
                </c:pt>
                <c:pt idx="13">
                  <c:v>4.464976059585033</c:v>
                </c:pt>
                <c:pt idx="14">
                  <c:v>6.2893051552993917</c:v>
                </c:pt>
                <c:pt idx="15">
                  <c:v>7.1431728492501971</c:v>
                </c:pt>
                <c:pt idx="16">
                  <c:v>6.1535363705008814</c:v>
                </c:pt>
                <c:pt idx="17">
                  <c:v>5.9074437895655967</c:v>
                </c:pt>
                <c:pt idx="18">
                  <c:v>8.1415143216638288</c:v>
                </c:pt>
                <c:pt idx="19">
                  <c:v>7.0564516129032242</c:v>
                </c:pt>
                <c:pt idx="20">
                  <c:v>6.9391490010675625</c:v>
                </c:pt>
                <c:pt idx="21">
                  <c:v>7.280096067247074</c:v>
                </c:pt>
                <c:pt idx="22">
                  <c:v>7.16078547172597</c:v>
                </c:pt>
                <c:pt idx="23">
                  <c:v>8.0424995497929057</c:v>
                </c:pt>
                <c:pt idx="24">
                  <c:v>9.1148956584312799</c:v>
                </c:pt>
                <c:pt idx="25">
                  <c:v>12.786361214704316</c:v>
                </c:pt>
                <c:pt idx="26">
                  <c:v>16.719745222929937</c:v>
                </c:pt>
                <c:pt idx="27">
                  <c:v>9.5301629657867135</c:v>
                </c:pt>
                <c:pt idx="28">
                  <c:v>8.4023204231359827</c:v>
                </c:pt>
                <c:pt idx="29">
                  <c:v>10.214741729541499</c:v>
                </c:pt>
                <c:pt idx="30">
                  <c:v>7.6590376644440434</c:v>
                </c:pt>
                <c:pt idx="31">
                  <c:v>12.761458883938687</c:v>
                </c:pt>
                <c:pt idx="32">
                  <c:v>8.7986698073991949</c:v>
                </c:pt>
                <c:pt idx="33">
                  <c:v>9.2882104101526579</c:v>
                </c:pt>
                <c:pt idx="34">
                  <c:v>8.6186666666666678</c:v>
                </c:pt>
                <c:pt idx="35">
                  <c:v>5.1455888744024332</c:v>
                </c:pt>
                <c:pt idx="36">
                  <c:v>7.9917708498180087</c:v>
                </c:pt>
                <c:pt idx="37">
                  <c:v>13.927576601671307</c:v>
                </c:pt>
                <c:pt idx="38">
                  <c:v>11.704789135096496</c:v>
                </c:pt>
                <c:pt idx="39">
                  <c:v>13.556116015132407</c:v>
                </c:pt>
                <c:pt idx="40">
                  <c:v>20.535797629048822</c:v>
                </c:pt>
                <c:pt idx="41">
                  <c:v>15.252480379090775</c:v>
                </c:pt>
                <c:pt idx="42">
                  <c:v>4.283739595719382</c:v>
                </c:pt>
                <c:pt idx="43">
                  <c:v>6.3084112149532707</c:v>
                </c:pt>
                <c:pt idx="44">
                  <c:v>10.986321094312455</c:v>
                </c:pt>
                <c:pt idx="45">
                  <c:v>7.6099682221107203</c:v>
                </c:pt>
                <c:pt idx="46">
                  <c:v>11.922503725782413</c:v>
                </c:pt>
                <c:pt idx="47">
                  <c:v>7.9072937968643497</c:v>
                </c:pt>
                <c:pt idx="48">
                  <c:v>9.7549909255898353</c:v>
                </c:pt>
                <c:pt idx="49">
                  <c:v>15.313390313390313</c:v>
                </c:pt>
                <c:pt idx="50">
                  <c:v>14.322598179100417</c:v>
                </c:pt>
                <c:pt idx="51">
                  <c:v>13.38602753697093</c:v>
                </c:pt>
                <c:pt idx="52">
                  <c:v>22.470407276131876</c:v>
                </c:pt>
                <c:pt idx="53">
                  <c:v>24.81102712316585</c:v>
                </c:pt>
                <c:pt idx="54">
                  <c:v>20.527340293753319</c:v>
                </c:pt>
                <c:pt idx="55">
                  <c:v>21.007055805003208</c:v>
                </c:pt>
                <c:pt idx="56">
                  <c:v>15.456329735034346</c:v>
                </c:pt>
                <c:pt idx="57">
                  <c:v>16.280304370907803</c:v>
                </c:pt>
                <c:pt idx="58">
                  <c:v>16.698172652804033</c:v>
                </c:pt>
                <c:pt idx="59">
                  <c:v>2.7404085700049827</c:v>
                </c:pt>
                <c:pt idx="60">
                  <c:v>13.575585968224004</c:v>
                </c:pt>
                <c:pt idx="61">
                  <c:v>27.347114556416876</c:v>
                </c:pt>
                <c:pt idx="62">
                  <c:v>47.898938503377494</c:v>
                </c:pt>
                <c:pt idx="63">
                  <c:v>23.117623117623115</c:v>
                </c:pt>
                <c:pt idx="64">
                  <c:v>11.830819284235433</c:v>
                </c:pt>
                <c:pt idx="65">
                  <c:v>3.3073593073593064</c:v>
                </c:pt>
                <c:pt idx="66">
                  <c:v>6.5617776452166128</c:v>
                </c:pt>
                <c:pt idx="67">
                  <c:v>0.9586393505991494</c:v>
                </c:pt>
                <c:pt idx="68">
                  <c:v>1.3282674772036476</c:v>
                </c:pt>
                <c:pt idx="69">
                  <c:v>2.9138616485555255</c:v>
                </c:pt>
                <c:pt idx="70">
                  <c:v>4.1639189331093149</c:v>
                </c:pt>
                <c:pt idx="71">
                  <c:v>1.6981061081148874</c:v>
                </c:pt>
                <c:pt idx="72">
                  <c:v>0.62893444989893155</c:v>
                </c:pt>
                <c:pt idx="73">
                  <c:v>1.2300100930806326</c:v>
                </c:pt>
                <c:pt idx="74">
                  <c:v>0.74956051386071665</c:v>
                </c:pt>
                <c:pt idx="75">
                  <c:v>0.4413456321215411</c:v>
                </c:pt>
                <c:pt idx="76">
                  <c:v>0.90864809434284755</c:v>
                </c:pt>
                <c:pt idx="77">
                  <c:v>0.34505040062031528</c:v>
                </c:pt>
                <c:pt idx="78">
                  <c:v>2.7406599400054535E-2</c:v>
                </c:pt>
                <c:pt idx="79">
                  <c:v>5.6531703590527109E-2</c:v>
                </c:pt>
                <c:pt idx="80">
                  <c:v>9.7877813504823136E-2</c:v>
                </c:pt>
                <c:pt idx="81">
                  <c:v>2.787738577212261E-2</c:v>
                </c:pt>
                <c:pt idx="82">
                  <c:v>6.2197959548952922E-2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Talimbue_B_densities!$C$1</c:f>
              <c:strCache>
                <c:ptCount val="1"/>
                <c:pt idx="0">
                  <c:v>Shellfish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Talimbue_B_densities!$C$2:$C$84</c:f>
              <c:numCache>
                <c:formatCode>0.00</c:formatCode>
                <c:ptCount val="83"/>
                <c:pt idx="0">
                  <c:v>2.2106641275886694</c:v>
                </c:pt>
                <c:pt idx="1">
                  <c:v>13.899495952344585</c:v>
                </c:pt>
                <c:pt idx="2">
                  <c:v>53.292545483819026</c:v>
                </c:pt>
                <c:pt idx="3">
                  <c:v>30.719280719280718</c:v>
                </c:pt>
                <c:pt idx="4">
                  <c:v>22.017614091273018</c:v>
                </c:pt>
                <c:pt idx="5">
                  <c:v>22.122081114297419</c:v>
                </c:pt>
                <c:pt idx="6">
                  <c:v>24.025974025974023</c:v>
                </c:pt>
                <c:pt idx="7">
                  <c:v>21.274067031138582</c:v>
                </c:pt>
                <c:pt idx="8">
                  <c:v>16.546496579774452</c:v>
                </c:pt>
                <c:pt idx="9">
                  <c:v>16.663664204647812</c:v>
                </c:pt>
                <c:pt idx="10">
                  <c:v>26.143790849673206</c:v>
                </c:pt>
                <c:pt idx="11">
                  <c:v>40.08483563096501</c:v>
                </c:pt>
                <c:pt idx="12">
                  <c:v>32.457786116322708</c:v>
                </c:pt>
                <c:pt idx="13">
                  <c:v>29.52651179287108</c:v>
                </c:pt>
                <c:pt idx="14">
                  <c:v>23.214857508805636</c:v>
                </c:pt>
                <c:pt idx="15">
                  <c:v>17.363851617995262</c:v>
                </c:pt>
                <c:pt idx="16">
                  <c:v>18.877422602567332</c:v>
                </c:pt>
                <c:pt idx="17">
                  <c:v>16.15367823619297</c:v>
                </c:pt>
                <c:pt idx="18">
                  <c:v>24.202501665309747</c:v>
                </c:pt>
                <c:pt idx="19">
                  <c:v>25.285618279569889</c:v>
                </c:pt>
                <c:pt idx="20">
                  <c:v>27.985359158151596</c:v>
                </c:pt>
                <c:pt idx="21">
                  <c:v>22.590813569498653</c:v>
                </c:pt>
                <c:pt idx="22">
                  <c:v>12.033072493725085</c:v>
                </c:pt>
                <c:pt idx="23">
                  <c:v>36.286691878264008</c:v>
                </c:pt>
                <c:pt idx="24">
                  <c:v>27.984328775885508</c:v>
                </c:pt>
                <c:pt idx="25">
                  <c:v>16.071745693482509</c:v>
                </c:pt>
                <c:pt idx="26">
                  <c:v>25.000000000000004</c:v>
                </c:pt>
                <c:pt idx="27">
                  <c:v>32.116649194701225</c:v>
                </c:pt>
                <c:pt idx="28">
                  <c:v>26.531308650400955</c:v>
                </c:pt>
                <c:pt idx="29">
                  <c:v>23.505513639001745</c:v>
                </c:pt>
                <c:pt idx="30">
                  <c:v>16.6696702108488</c:v>
                </c:pt>
                <c:pt idx="31">
                  <c:v>15.328852978932268</c:v>
                </c:pt>
                <c:pt idx="32">
                  <c:v>24.109740889566297</c:v>
                </c:pt>
                <c:pt idx="33">
                  <c:v>20.323707927165717</c:v>
                </c:pt>
                <c:pt idx="34">
                  <c:v>9.6666666666666679</c:v>
                </c:pt>
                <c:pt idx="35">
                  <c:v>10.719976821671736</c:v>
                </c:pt>
                <c:pt idx="36">
                  <c:v>7.9126444057604042</c:v>
                </c:pt>
                <c:pt idx="37">
                  <c:v>12.90133411523237</c:v>
                </c:pt>
                <c:pt idx="38">
                  <c:v>22.337383845603998</c:v>
                </c:pt>
                <c:pt idx="39">
                  <c:v>26.79697351828499</c:v>
                </c:pt>
                <c:pt idx="40">
                  <c:v>25.109679828246062</c:v>
                </c:pt>
                <c:pt idx="41">
                  <c:v>14.067821708870131</c:v>
                </c:pt>
                <c:pt idx="42">
                  <c:v>16.34958382877527</c:v>
                </c:pt>
                <c:pt idx="43">
                  <c:v>17.601246105919003</c:v>
                </c:pt>
                <c:pt idx="44">
                  <c:v>14.254859611231101</c:v>
                </c:pt>
                <c:pt idx="45">
                  <c:v>14.550928248871047</c:v>
                </c:pt>
                <c:pt idx="46">
                  <c:v>11.326378539493293</c:v>
                </c:pt>
                <c:pt idx="47">
                  <c:v>10.497614178595775</c:v>
                </c:pt>
                <c:pt idx="48">
                  <c:v>8.1669691470054442</c:v>
                </c:pt>
                <c:pt idx="49">
                  <c:v>5.0569800569800565</c:v>
                </c:pt>
                <c:pt idx="50">
                  <c:v>3.1254246500883265</c:v>
                </c:pt>
                <c:pt idx="51">
                  <c:v>0</c:v>
                </c:pt>
                <c:pt idx="52">
                  <c:v>8.5601551528121433</c:v>
                </c:pt>
                <c:pt idx="53">
                  <c:v>12.094264117385505</c:v>
                </c:pt>
                <c:pt idx="54">
                  <c:v>7.6092726950982126</c:v>
                </c:pt>
                <c:pt idx="55">
                  <c:v>4.8107761385503531</c:v>
                </c:pt>
                <c:pt idx="56">
                  <c:v>1.8809290153745502</c:v>
                </c:pt>
                <c:pt idx="57">
                  <c:v>2.2119978764820387</c:v>
                </c:pt>
                <c:pt idx="58">
                  <c:v>2.2336168872085698</c:v>
                </c:pt>
                <c:pt idx="59">
                  <c:v>2.4912805181863482</c:v>
                </c:pt>
                <c:pt idx="60">
                  <c:v>3.6753185464841902</c:v>
                </c:pt>
                <c:pt idx="61">
                  <c:v>2.0334481768590291</c:v>
                </c:pt>
                <c:pt idx="62">
                  <c:v>0.10790420212299326</c:v>
                </c:pt>
                <c:pt idx="63">
                  <c:v>5.4313390313390313</c:v>
                </c:pt>
                <c:pt idx="64">
                  <c:v>0.16430050280981956</c:v>
                </c:pt>
                <c:pt idx="65">
                  <c:v>3.4090909090909081E-2</c:v>
                </c:pt>
                <c:pt idx="66">
                  <c:v>5.9055998806949513E-2</c:v>
                </c:pt>
                <c:pt idx="67">
                  <c:v>0</c:v>
                </c:pt>
                <c:pt idx="68">
                  <c:v>0.12181435585690906</c:v>
                </c:pt>
                <c:pt idx="69">
                  <c:v>2.0010601643254702E-2</c:v>
                </c:pt>
                <c:pt idx="70">
                  <c:v>4.1058489971647599E-2</c:v>
                </c:pt>
                <c:pt idx="71">
                  <c:v>7.5003135582591238E-2</c:v>
                </c:pt>
                <c:pt idx="72">
                  <c:v>2.468957551256136E-2</c:v>
                </c:pt>
                <c:pt idx="73">
                  <c:v>5.3829763373331833E-3</c:v>
                </c:pt>
                <c:pt idx="74">
                  <c:v>2.5422582826233938E-2</c:v>
                </c:pt>
                <c:pt idx="75" formatCode="0">
                  <c:v>0</c:v>
                </c:pt>
                <c:pt idx="76">
                  <c:v>7.2978977952486757E-2</c:v>
                </c:pt>
                <c:pt idx="77">
                  <c:v>1.2406306539157403E-2</c:v>
                </c:pt>
                <c:pt idx="78" formatCode="0">
                  <c:v>0</c:v>
                </c:pt>
                <c:pt idx="79" formatCode="0">
                  <c:v>0</c:v>
                </c:pt>
                <c:pt idx="80">
                  <c:v>8.3601286173633424E-3</c:v>
                </c:pt>
                <c:pt idx="81">
                  <c:v>6.3620589936379405E-3</c:v>
                </c:pt>
                <c:pt idx="82">
                  <c:v>8.698764990155719E-2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Talimbue_B_densities!$D$1</c:f>
              <c:strCache>
                <c:ptCount val="1"/>
                <c:pt idx="0">
                  <c:v>Vertebrate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Talimbue_B_densities!$D$2:$D$84</c:f>
              <c:numCache>
                <c:formatCode>0.00</c:formatCode>
                <c:ptCount val="83"/>
                <c:pt idx="0">
                  <c:v>0.43822899309688162</c:v>
                </c:pt>
                <c:pt idx="1">
                  <c:v>2.519627310218421</c:v>
                </c:pt>
                <c:pt idx="2">
                  <c:v>8.8198357752374825</c:v>
                </c:pt>
                <c:pt idx="3">
                  <c:v>11.897269397269396</c:v>
                </c:pt>
                <c:pt idx="4">
                  <c:v>11.322658126501201</c:v>
                </c:pt>
                <c:pt idx="5">
                  <c:v>9.5061040557148715</c:v>
                </c:pt>
                <c:pt idx="6">
                  <c:v>15.788682745825602</c:v>
                </c:pt>
                <c:pt idx="7">
                  <c:v>8.8250534822914215</c:v>
                </c:pt>
                <c:pt idx="8">
                  <c:v>6.2946940284710662</c:v>
                </c:pt>
                <c:pt idx="9">
                  <c:v>5.4775716087191499</c:v>
                </c:pt>
                <c:pt idx="10">
                  <c:v>7.1018023370964549</c:v>
                </c:pt>
                <c:pt idx="11">
                  <c:v>6.7828207847295863</c:v>
                </c:pt>
                <c:pt idx="12">
                  <c:v>6.4587242026266427</c:v>
                </c:pt>
                <c:pt idx="13">
                  <c:v>7.347579358042208</c:v>
                </c:pt>
                <c:pt idx="14">
                  <c:v>6.0235350624399615</c:v>
                </c:pt>
                <c:pt idx="15">
                  <c:v>6.2029992107340171</c:v>
                </c:pt>
                <c:pt idx="16">
                  <c:v>10.973571608356407</c:v>
                </c:pt>
                <c:pt idx="17">
                  <c:v>9.1359965073128127</c:v>
                </c:pt>
                <c:pt idx="18">
                  <c:v>10.628376878099326</c:v>
                </c:pt>
                <c:pt idx="19">
                  <c:v>15.418346774193546</c:v>
                </c:pt>
                <c:pt idx="20">
                  <c:v>19.39240506329114</c:v>
                </c:pt>
                <c:pt idx="21">
                  <c:v>16.68357850495347</c:v>
                </c:pt>
                <c:pt idx="22">
                  <c:v>16.012992765391996</c:v>
                </c:pt>
                <c:pt idx="23">
                  <c:v>12.503151449666847</c:v>
                </c:pt>
                <c:pt idx="24">
                  <c:v>12.313104661389623</c:v>
                </c:pt>
                <c:pt idx="25">
                  <c:v>8.0094121825608244</c:v>
                </c:pt>
                <c:pt idx="26">
                  <c:v>6.9441082802547776</c:v>
                </c:pt>
                <c:pt idx="27">
                  <c:v>8.0531783093490894</c:v>
                </c:pt>
                <c:pt idx="28">
                  <c:v>7.9024057328101014</c:v>
                </c:pt>
                <c:pt idx="29">
                  <c:v>6.7351131746953001</c:v>
                </c:pt>
                <c:pt idx="30">
                  <c:v>9.5343305100018014</c:v>
                </c:pt>
                <c:pt idx="31">
                  <c:v>8.8692894359284153</c:v>
                </c:pt>
                <c:pt idx="32">
                  <c:v>7.7572398503533311</c:v>
                </c:pt>
                <c:pt idx="33">
                  <c:v>7.605848813684017</c:v>
                </c:pt>
                <c:pt idx="34">
                  <c:v>9.6095555555555574</c:v>
                </c:pt>
                <c:pt idx="35">
                  <c:v>3.9091699261190782</c:v>
                </c:pt>
                <c:pt idx="36">
                  <c:v>5.1452761512897602</c:v>
                </c:pt>
                <c:pt idx="37">
                  <c:v>5.4080046913942228</c:v>
                </c:pt>
                <c:pt idx="38">
                  <c:v>6.9206576125804142</c:v>
                </c:pt>
                <c:pt idx="39">
                  <c:v>5.0128205128205119</c:v>
                </c:pt>
                <c:pt idx="40">
                  <c:v>5.534584150098012</c:v>
                </c:pt>
                <c:pt idx="41">
                  <c:v>5.592329335110322</c:v>
                </c:pt>
                <c:pt idx="42">
                  <c:v>6.8503269916765763</c:v>
                </c:pt>
                <c:pt idx="43">
                  <c:v>5.6386292834890966E-2</c:v>
                </c:pt>
                <c:pt idx="44">
                  <c:v>11.127429805615551</c:v>
                </c:pt>
                <c:pt idx="45">
                  <c:v>8.427496236828901</c:v>
                </c:pt>
                <c:pt idx="46">
                  <c:v>7.9697466467958256</c:v>
                </c:pt>
                <c:pt idx="47">
                  <c:v>7.8329925017041582</c:v>
                </c:pt>
                <c:pt idx="48">
                  <c:v>8.3333333333333321</c:v>
                </c:pt>
                <c:pt idx="49">
                  <c:v>7.4974358974358974</c:v>
                </c:pt>
                <c:pt idx="50">
                  <c:v>8.8192689224079341</c:v>
                </c:pt>
                <c:pt idx="51">
                  <c:v>7.5704997450280462</c:v>
                </c:pt>
                <c:pt idx="52">
                  <c:v>0.19661606366615389</c:v>
                </c:pt>
                <c:pt idx="53">
                  <c:v>5.8514895509115163</c:v>
                </c:pt>
                <c:pt idx="54">
                  <c:v>4.5147761458149001</c:v>
                </c:pt>
                <c:pt idx="55">
                  <c:v>5.0283835792174472</c:v>
                </c:pt>
                <c:pt idx="56">
                  <c:v>7.3050376185803074</c:v>
                </c:pt>
                <c:pt idx="57">
                  <c:v>4.0707839320474255</c:v>
                </c:pt>
                <c:pt idx="58">
                  <c:v>6.655954631379962</c:v>
                </c:pt>
                <c:pt idx="59">
                  <c:v>0.32818468692908159</c:v>
                </c:pt>
                <c:pt idx="60">
                  <c:v>5.2697813434009753</c:v>
                </c:pt>
                <c:pt idx="61">
                  <c:v>4.2717484926787241</c:v>
                </c:pt>
                <c:pt idx="62">
                  <c:v>2.1794894288972722</c:v>
                </c:pt>
                <c:pt idx="63">
                  <c:v>0.8454212454212453</c:v>
                </c:pt>
                <c:pt idx="64">
                  <c:v>0.38257911860396332</c:v>
                </c:pt>
                <c:pt idx="65">
                  <c:v>4.6807359307359298E-2</c:v>
                </c:pt>
                <c:pt idx="66">
                  <c:v>0.13779733054954887</c:v>
                </c:pt>
                <c:pt idx="67">
                  <c:v>5.3807499033629677E-2</c:v>
                </c:pt>
                <c:pt idx="68">
                  <c:v>1.3794715922375498E-2</c:v>
                </c:pt>
                <c:pt idx="69" formatCode="0">
                  <c:v>4.2406573018817914E-3</c:v>
                </c:pt>
                <c:pt idx="70">
                  <c:v>3.0137561692743894E-2</c:v>
                </c:pt>
                <c:pt idx="71">
                  <c:v>1.680672268907563E-2</c:v>
                </c:pt>
                <c:pt idx="72" formatCode="0">
                  <c:v>0</c:v>
                </c:pt>
                <c:pt idx="73">
                  <c:v>1.727038241561063E-2</c:v>
                </c:pt>
                <c:pt idx="74" formatCode="0">
                  <c:v>0</c:v>
                </c:pt>
                <c:pt idx="75" formatCode="0">
                  <c:v>0</c:v>
                </c:pt>
                <c:pt idx="76">
                  <c:v>1.6151085284566741E-2</c:v>
                </c:pt>
                <c:pt idx="77" formatCode="0">
                  <c:v>0</c:v>
                </c:pt>
                <c:pt idx="78">
                  <c:v>1.6771202617943824E-2</c:v>
                </c:pt>
                <c:pt idx="79">
                  <c:v>2.8138528138528129E-2</c:v>
                </c:pt>
                <c:pt idx="80">
                  <c:v>0</c:v>
                </c:pt>
                <c:pt idx="81">
                  <c:v>7.7501445922498547E-3</c:v>
                </c:pt>
                <c:pt idx="82">
                  <c:v>9.3073205655987111E-3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Talimbue_B_densities!$E$1</c:f>
              <c:strCache>
                <c:ptCount val="1"/>
                <c:pt idx="0">
                  <c:v>Plant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Talimbue_B_densities!$E$2:$E$84</c:f>
              <c:numCache>
                <c:formatCode>0.00</c:formatCode>
                <c:ptCount val="83"/>
                <c:pt idx="0">
                  <c:v>2.2613663413472984E-2</c:v>
                </c:pt>
                <c:pt idx="1">
                  <c:v>5.9569268367191085E-3</c:v>
                </c:pt>
                <c:pt idx="2">
                  <c:v>0.13604894541941714</c:v>
                </c:pt>
                <c:pt idx="3">
                  <c:v>0.10872460872460872</c:v>
                </c:pt>
                <c:pt idx="4">
                  <c:v>0.10101414464905258</c:v>
                </c:pt>
                <c:pt idx="5">
                  <c:v>0.1812371978697255</c:v>
                </c:pt>
                <c:pt idx="6">
                  <c:v>0.1805194805194805</c:v>
                </c:pt>
                <c:pt idx="7">
                  <c:v>0.11433325410030902</c:v>
                </c:pt>
                <c:pt idx="8">
                  <c:v>5.8975781105564805E-2</c:v>
                </c:pt>
                <c:pt idx="9">
                  <c:v>5.7467123040893534E-2</c:v>
                </c:pt>
                <c:pt idx="10">
                  <c:v>0.10873440285204992</c:v>
                </c:pt>
                <c:pt idx="11">
                  <c:v>0.1007423117709438</c:v>
                </c:pt>
                <c:pt idx="12">
                  <c:v>0.3234521575984991</c:v>
                </c:pt>
                <c:pt idx="13">
                  <c:v>0.36318496187267252</c:v>
                </c:pt>
                <c:pt idx="14" formatCode="0">
                  <c:v>0</c:v>
                </c:pt>
                <c:pt idx="15">
                  <c:v>3.3827940015785321</c:v>
                </c:pt>
                <c:pt idx="16">
                  <c:v>0.19934558268311101</c:v>
                </c:pt>
                <c:pt idx="17">
                  <c:v>0.10870988867059594</c:v>
                </c:pt>
                <c:pt idx="18">
                  <c:v>0.16638294722818442</c:v>
                </c:pt>
                <c:pt idx="19">
                  <c:v>0.24311155913978491</c:v>
                </c:pt>
                <c:pt idx="20">
                  <c:v>7.915205124294647E-2</c:v>
                </c:pt>
                <c:pt idx="21">
                  <c:v>5.0135094566196345E-2</c:v>
                </c:pt>
                <c:pt idx="22">
                  <c:v>0.1350952310645209</c:v>
                </c:pt>
                <c:pt idx="23">
                  <c:v>0.14514676751305602</c:v>
                </c:pt>
                <c:pt idx="24">
                  <c:v>5.2290717198368926E-2</c:v>
                </c:pt>
                <c:pt idx="25">
                  <c:v>0.10726336352335288</c:v>
                </c:pt>
                <c:pt idx="26">
                  <c:v>8.2165605095541411E-2</c:v>
                </c:pt>
                <c:pt idx="27">
                  <c:v>0.21766892213856856</c:v>
                </c:pt>
                <c:pt idx="28">
                  <c:v>6.3470397543081383E-2</c:v>
                </c:pt>
                <c:pt idx="29">
                  <c:v>7.6726639582124209E-2</c:v>
                </c:pt>
                <c:pt idx="30">
                  <c:v>0.11749864840511803</c:v>
                </c:pt>
                <c:pt idx="31">
                  <c:v>0.20433436532507743</c:v>
                </c:pt>
                <c:pt idx="32">
                  <c:v>0.46515172509352909</c:v>
                </c:pt>
                <c:pt idx="33">
                  <c:v>0.39525473606768435</c:v>
                </c:pt>
                <c:pt idx="34">
                  <c:v>0.33422222222222225</c:v>
                </c:pt>
                <c:pt idx="35">
                  <c:v>2.7379400260756193E-2</c:v>
                </c:pt>
                <c:pt idx="36">
                  <c:v>4.4310808672258263E-2</c:v>
                </c:pt>
                <c:pt idx="37">
                  <c:v>0.19865122416068023</c:v>
                </c:pt>
                <c:pt idx="38">
                  <c:v>0.18263045032165831</c:v>
                </c:pt>
                <c:pt idx="39">
                  <c:v>0.14144598570828079</c:v>
                </c:pt>
                <c:pt idx="40">
                  <c:v>8.9610753290394862E-2</c:v>
                </c:pt>
                <c:pt idx="41">
                  <c:v>7.8779801569672736E-2</c:v>
                </c:pt>
                <c:pt idx="42">
                  <c:v>3.4185493460166475E-3</c:v>
                </c:pt>
                <c:pt idx="43">
                  <c:v>1.4641744548286604E-2</c:v>
                </c:pt>
                <c:pt idx="44" formatCode="0">
                  <c:v>4.1756659467242618E-3</c:v>
                </c:pt>
                <c:pt idx="45">
                  <c:v>1.8230473323298208E-2</c:v>
                </c:pt>
                <c:pt idx="46">
                  <c:v>7.4515648286140081E-3</c:v>
                </c:pt>
                <c:pt idx="47">
                  <c:v>3.1356509884117249E-2</c:v>
                </c:pt>
                <c:pt idx="48" formatCode="0">
                  <c:v>4.3859649122807015E-3</c:v>
                </c:pt>
                <c:pt idx="49">
                  <c:v>9.4017094017094013E-3</c:v>
                </c:pt>
                <c:pt idx="50">
                  <c:v>4.5114825383883665E-2</c:v>
                </c:pt>
                <c:pt idx="51">
                  <c:v>1.0198878123406424E-3</c:v>
                </c:pt>
                <c:pt idx="52">
                  <c:v>6.486992576740451E-2</c:v>
                </c:pt>
                <c:pt idx="53">
                  <c:v>6.0471320586927522E-2</c:v>
                </c:pt>
                <c:pt idx="54">
                  <c:v>0.11201557246505044</c:v>
                </c:pt>
                <c:pt idx="55">
                  <c:v>5.5163566388710714E-2</c:v>
                </c:pt>
                <c:pt idx="56">
                  <c:v>1.4883873078181224E-2</c:v>
                </c:pt>
                <c:pt idx="57" formatCode="0">
                  <c:v>0</c:v>
                </c:pt>
                <c:pt idx="58">
                  <c:v>5.6080655324511661E-2</c:v>
                </c:pt>
                <c:pt idx="59">
                  <c:v>8.3873110778940385E-2</c:v>
                </c:pt>
                <c:pt idx="60">
                  <c:v>1.9348749410099102E-2</c:v>
                </c:pt>
                <c:pt idx="61">
                  <c:v>5.1248923341946591E-2</c:v>
                </c:pt>
                <c:pt idx="62">
                  <c:v>8.5972453724010873E-3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>
                  <c:v>6.5617776452166123E-3</c:v>
                </c:pt>
                <c:pt idx="67">
                  <c:v>0</c:v>
                </c:pt>
                <c:pt idx="68" formatCode="0">
                  <c:v>3.0395136778115506E-3</c:v>
                </c:pt>
                <c:pt idx="69" formatCode="0">
                  <c:v>0</c:v>
                </c:pt>
                <c:pt idx="70">
                  <c:v>0.22807938674787362</c:v>
                </c:pt>
                <c:pt idx="71" formatCode="0">
                  <c:v>0</c:v>
                </c:pt>
                <c:pt idx="72" formatCode="0">
                  <c:v>0</c:v>
                </c:pt>
                <c:pt idx="73" formatCode="0">
                  <c:v>0</c:v>
                </c:pt>
                <c:pt idx="74" formatCode="0">
                  <c:v>0</c:v>
                </c:pt>
                <c:pt idx="75" formatCode="0">
                  <c:v>0</c:v>
                </c:pt>
                <c:pt idx="76" formatCode="0">
                  <c:v>0</c:v>
                </c:pt>
                <c:pt idx="77" formatCode="0">
                  <c:v>0</c:v>
                </c:pt>
                <c:pt idx="78" formatCode="0">
                  <c:v>0</c:v>
                </c:pt>
                <c:pt idx="79" formatCode="0">
                  <c:v>0</c:v>
                </c:pt>
                <c:pt idx="80" formatCode="0">
                  <c:v>0</c:v>
                </c:pt>
                <c:pt idx="81" formatCode="0">
                  <c:v>0</c:v>
                </c:pt>
                <c:pt idx="82" formatCode="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Talimbue_B_densities!$F$1</c:f>
              <c:strCache>
                <c:ptCount val="1"/>
                <c:pt idx="0">
                  <c:v>Baked_clay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Talimbue_B_densities!$F$2:$F$84</c:f>
              <c:numCache>
                <c:formatCode>0.00</c:formatCode>
                <c:ptCount val="83"/>
                <c:pt idx="0" formatCode="0">
                  <c:v>0</c:v>
                </c:pt>
                <c:pt idx="1">
                  <c:v>7.6370856881014207E-2</c:v>
                </c:pt>
                <c:pt idx="2">
                  <c:v>0.3703107390114313</c:v>
                </c:pt>
                <c:pt idx="3" formatCode="0">
                  <c:v>0</c:v>
                </c:pt>
                <c:pt idx="4">
                  <c:v>3.9765145449693091</c:v>
                </c:pt>
                <c:pt idx="5">
                  <c:v>2.3105284719377304</c:v>
                </c:pt>
                <c:pt idx="6">
                  <c:v>1.37291280148423</c:v>
                </c:pt>
                <c:pt idx="7">
                  <c:v>0.45162823864986934</c:v>
                </c:pt>
                <c:pt idx="8">
                  <c:v>2.070623035681272</c:v>
                </c:pt>
                <c:pt idx="9">
                  <c:v>2.9183930823275088</c:v>
                </c:pt>
                <c:pt idx="10">
                  <c:v>0.63378886908298682</c:v>
                </c:pt>
                <c:pt idx="11">
                  <c:v>1.7391304347826086</c:v>
                </c:pt>
                <c:pt idx="12">
                  <c:v>1.5947467166979366</c:v>
                </c:pt>
                <c:pt idx="13">
                  <c:v>0.56747650292605079</c:v>
                </c:pt>
                <c:pt idx="14">
                  <c:v>0.43227665706051871</c:v>
                </c:pt>
                <c:pt idx="15">
                  <c:v>7.1033938437253349E-2</c:v>
                </c:pt>
                <c:pt idx="16">
                  <c:v>1.9884218474704256</c:v>
                </c:pt>
                <c:pt idx="17">
                  <c:v>0.72764316379247618</c:v>
                </c:pt>
                <c:pt idx="18">
                  <c:v>0.72533491229368652</c:v>
                </c:pt>
                <c:pt idx="19">
                  <c:v>0.34442204301075263</c:v>
                </c:pt>
                <c:pt idx="20">
                  <c:v>0.27451578465761783</c:v>
                </c:pt>
                <c:pt idx="21">
                  <c:v>0.45031522065445817</c:v>
                </c:pt>
                <c:pt idx="22">
                  <c:v>0.4576996899453713</c:v>
                </c:pt>
                <c:pt idx="23" formatCode="0">
                  <c:v>0</c:v>
                </c:pt>
                <c:pt idx="24" formatCode="0">
                  <c:v>0</c:v>
                </c:pt>
                <c:pt idx="25">
                  <c:v>0.8701829160007104</c:v>
                </c:pt>
                <c:pt idx="26">
                  <c:v>0.88375796178343968</c:v>
                </c:pt>
                <c:pt idx="27">
                  <c:v>0.26684456304202803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>
                  <c:v>0.14713996689350745</c:v>
                </c:pt>
                <c:pt idx="34">
                  <c:v>0.17777777777777781</c:v>
                </c:pt>
                <c:pt idx="35">
                  <c:v>7.2432275822106332E-2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>
                  <c:v>0.53974484789008836</c:v>
                </c:pt>
                <c:pt idx="57">
                  <c:v>0.65475137143868345</c:v>
                </c:pt>
                <c:pt idx="58">
                  <c:v>0.45683679899180846</c:v>
                </c:pt>
                <c:pt idx="59" formatCode="0">
                  <c:v>0</c:v>
                </c:pt>
                <c:pt idx="60">
                  <c:v>2.0213937391851502</c:v>
                </c:pt>
                <c:pt idx="61" formatCode="0">
                  <c:v>0</c:v>
                </c:pt>
                <c:pt idx="62">
                  <c:v>0.23686288270900957</c:v>
                </c:pt>
                <c:pt idx="63">
                  <c:v>0.92796092796092788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>
                  <c:v>0.15461925009663702</c:v>
                </c:pt>
                <c:pt idx="68" formatCode="0">
                  <c:v>0</c:v>
                </c:pt>
                <c:pt idx="69" formatCode="0">
                  <c:v>0</c:v>
                </c:pt>
                <c:pt idx="70" formatCode="0">
                  <c:v>0</c:v>
                </c:pt>
                <c:pt idx="71" formatCode="0">
                  <c:v>0</c:v>
                </c:pt>
                <c:pt idx="72" formatCode="0">
                  <c:v>0</c:v>
                </c:pt>
                <c:pt idx="73" formatCode="0">
                  <c:v>0</c:v>
                </c:pt>
                <c:pt idx="74" formatCode="0">
                  <c:v>0</c:v>
                </c:pt>
                <c:pt idx="75" formatCode="0">
                  <c:v>0</c:v>
                </c:pt>
                <c:pt idx="76" formatCode="0">
                  <c:v>0</c:v>
                </c:pt>
                <c:pt idx="77" formatCode="0">
                  <c:v>0</c:v>
                </c:pt>
                <c:pt idx="78" formatCode="0">
                  <c:v>0</c:v>
                </c:pt>
                <c:pt idx="79">
                  <c:v>1.2732365673542141E-2</c:v>
                </c:pt>
                <c:pt idx="80" formatCode="0">
                  <c:v>0</c:v>
                </c:pt>
                <c:pt idx="81" formatCode="0">
                  <c:v>0</c:v>
                </c:pt>
                <c:pt idx="82" formatCode="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Talimbue_B_densities!$G$1</c:f>
              <c:strCache>
                <c:ptCount val="1"/>
                <c:pt idx="0">
                  <c:v>Pottery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Talimbue_B_densities!$G$2:$G$84</c:f>
              <c:numCache>
                <c:formatCode>0.00</c:formatCode>
                <c:ptCount val="83"/>
                <c:pt idx="0">
                  <c:v>1.5282075696262796</c:v>
                </c:pt>
                <c:pt idx="1">
                  <c:v>2.7233847563769666</c:v>
                </c:pt>
                <c:pt idx="2">
                  <c:v>0.63918853646755758</c:v>
                </c:pt>
                <c:pt idx="3">
                  <c:v>6.1605061605061608E-2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  <c:pt idx="69" formatCode="0">
                  <c:v>0</c:v>
                </c:pt>
                <c:pt idx="70" formatCode="0">
                  <c:v>0</c:v>
                </c:pt>
                <c:pt idx="71" formatCode="0">
                  <c:v>0</c:v>
                </c:pt>
                <c:pt idx="72" formatCode="0">
                  <c:v>0</c:v>
                </c:pt>
                <c:pt idx="73" formatCode="0">
                  <c:v>0</c:v>
                </c:pt>
                <c:pt idx="74" formatCode="0">
                  <c:v>0</c:v>
                </c:pt>
                <c:pt idx="75" formatCode="0">
                  <c:v>0</c:v>
                </c:pt>
                <c:pt idx="76" formatCode="0">
                  <c:v>0</c:v>
                </c:pt>
                <c:pt idx="77" formatCode="0">
                  <c:v>0</c:v>
                </c:pt>
                <c:pt idx="78" formatCode="0">
                  <c:v>0</c:v>
                </c:pt>
                <c:pt idx="79" formatCode="0">
                  <c:v>0</c:v>
                </c:pt>
                <c:pt idx="80" formatCode="0">
                  <c:v>0</c:v>
                </c:pt>
                <c:pt idx="81" formatCode="0">
                  <c:v>0</c:v>
                </c:pt>
                <c:pt idx="82" formatCode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26240"/>
        <c:axId val="146894848"/>
      </c:lineChart>
      <c:catAx>
        <c:axId val="1368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Spit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6894848"/>
        <c:crosses val="autoZero"/>
        <c:auto val="1"/>
        <c:lblAlgn val="ctr"/>
        <c:lblOffset val="100"/>
        <c:noMultiLvlLbl val="0"/>
      </c:catAx>
      <c:valAx>
        <c:axId val="146894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Grams/kg </a:t>
                </a:r>
              </a:p>
              <a:p>
                <a:pPr>
                  <a:defRPr/>
                </a:pPr>
                <a:r>
                  <a:rPr lang="en-US"/>
                  <a:t>sediment</a:t>
                </a:r>
              </a:p>
            </c:rich>
          </c:tx>
          <c:layout>
            <c:manualLayout>
              <c:xMode val="edge"/>
              <c:yMode val="edge"/>
              <c:x val="8.2962962962963068E-3"/>
              <c:y val="8.1087932359123621E-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3682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AU"/>
              <a:t>Pred(Vertebrate (g))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'Vertebrate_linear regression'!$E$97:$E$221</c:f>
              <c:numCache>
                <c:formatCode>0.000</c:formatCode>
                <c:ptCount val="125"/>
                <c:pt idx="0">
                  <c:v>175.40303438728449</c:v>
                </c:pt>
                <c:pt idx="1">
                  <c:v>459.23240491561779</c:v>
                </c:pt>
                <c:pt idx="2">
                  <c:v>829.45580335248712</c:v>
                </c:pt>
                <c:pt idx="3">
                  <c:v>576.03463288496073</c:v>
                </c:pt>
                <c:pt idx="4">
                  <c:v>637.9350195026708</c:v>
                </c:pt>
                <c:pt idx="5">
                  <c:v>498.54148462192438</c:v>
                </c:pt>
                <c:pt idx="6">
                  <c:v>444.84893399746448</c:v>
                </c:pt>
                <c:pt idx="7">
                  <c:v>306.11316732572749</c:v>
                </c:pt>
                <c:pt idx="8">
                  <c:v>383.19704920390512</c:v>
                </c:pt>
                <c:pt idx="9">
                  <c:v>397.15609818546392</c:v>
                </c:pt>
                <c:pt idx="10">
                  <c:v>429.2703094062843</c:v>
                </c:pt>
                <c:pt idx="11">
                  <c:v>502.28166728048467</c:v>
                </c:pt>
                <c:pt idx="12">
                  <c:v>509.21333057678532</c:v>
                </c:pt>
                <c:pt idx="13">
                  <c:v>516.63379889860892</c:v>
                </c:pt>
                <c:pt idx="14">
                  <c:v>529.23664071498922</c:v>
                </c:pt>
                <c:pt idx="15">
                  <c:v>378.19878641828598</c:v>
                </c:pt>
                <c:pt idx="16">
                  <c:v>265.9333055040932</c:v>
                </c:pt>
                <c:pt idx="17">
                  <c:v>509.50873024420065</c:v>
                </c:pt>
                <c:pt idx="18">
                  <c:v>586.86853397822586</c:v>
                </c:pt>
                <c:pt idx="19">
                  <c:v>512.93663788544609</c:v>
                </c:pt>
                <c:pt idx="20">
                  <c:v>609.99915847434534</c:v>
                </c:pt>
                <c:pt idx="21">
                  <c:v>563.17045816922916</c:v>
                </c:pt>
                <c:pt idx="22">
                  <c:v>453.88952227269476</c:v>
                </c:pt>
                <c:pt idx="23">
                  <c:v>574.55841305219656</c:v>
                </c:pt>
                <c:pt idx="24">
                  <c:v>577.61248203773721</c:v>
                </c:pt>
                <c:pt idx="25">
                  <c:v>397.62538759961973</c:v>
                </c:pt>
                <c:pt idx="26">
                  <c:v>548.77539202982018</c:v>
                </c:pt>
                <c:pt idx="27">
                  <c:v>499.18874097127389</c:v>
                </c:pt>
                <c:pt idx="28">
                  <c:v>520.36103633097503</c:v>
                </c:pt>
                <c:pt idx="29">
                  <c:v>771.33337968221372</c:v>
                </c:pt>
                <c:pt idx="30">
                  <c:v>395.49004397854958</c:v>
                </c:pt>
                <c:pt idx="31">
                  <c:v>475.18448720240758</c:v>
                </c:pt>
                <c:pt idx="32">
                  <c:v>623.15036089535943</c:v>
                </c:pt>
                <c:pt idx="33">
                  <c:v>411.10504382690289</c:v>
                </c:pt>
                <c:pt idx="34">
                  <c:v>244.22930830508835</c:v>
                </c:pt>
                <c:pt idx="35">
                  <c:v>453.14807797208738</c:v>
                </c:pt>
                <c:pt idx="36">
                  <c:v>376.11085453193971</c:v>
                </c:pt>
                <c:pt idx="37">
                  <c:v>465.609965198851</c:v>
                </c:pt>
                <c:pt idx="38">
                  <c:v>450.29323934031646</c:v>
                </c:pt>
                <c:pt idx="39">
                  <c:v>402.80511024404217</c:v>
                </c:pt>
                <c:pt idx="40">
                  <c:v>453.23511796845804</c:v>
                </c:pt>
                <c:pt idx="41">
                  <c:v>476.6243970821036</c:v>
                </c:pt>
                <c:pt idx="42">
                  <c:v>502.09462017757932</c:v>
                </c:pt>
                <c:pt idx="43">
                  <c:v>487.14747067370621</c:v>
                </c:pt>
                <c:pt idx="44">
                  <c:v>497.73055087454543</c:v>
                </c:pt>
                <c:pt idx="45">
                  <c:v>416.2489137562531</c:v>
                </c:pt>
                <c:pt idx="46">
                  <c:v>444.82774692126031</c:v>
                </c:pt>
                <c:pt idx="47">
                  <c:v>485.33460404088282</c:v>
                </c:pt>
                <c:pt idx="48">
                  <c:v>402.46651453590874</c:v>
                </c:pt>
                <c:pt idx="49">
                  <c:v>397.73625508024872</c:v>
                </c:pt>
                <c:pt idx="50">
                  <c:v>397.44781806273551</c:v>
                </c:pt>
                <c:pt idx="51">
                  <c:v>391.86440316333</c:v>
                </c:pt>
                <c:pt idx="52">
                  <c:v>471.7309013586945</c:v>
                </c:pt>
                <c:pt idx="53">
                  <c:v>361.24758228466106</c:v>
                </c:pt>
                <c:pt idx="54">
                  <c:v>320.52764604640157</c:v>
                </c:pt>
                <c:pt idx="55">
                  <c:v>337.60343246583983</c:v>
                </c:pt>
                <c:pt idx="56">
                  <c:v>300.55488092153445</c:v>
                </c:pt>
                <c:pt idx="57">
                  <c:v>273.21884501115107</c:v>
                </c:pt>
                <c:pt idx="58">
                  <c:v>318.6030962524099</c:v>
                </c:pt>
                <c:pt idx="59">
                  <c:v>298.49994698884149</c:v>
                </c:pt>
                <c:pt idx="60">
                  <c:v>357.82261121577312</c:v>
                </c:pt>
                <c:pt idx="61">
                  <c:v>256.49752682899174</c:v>
                </c:pt>
                <c:pt idx="62">
                  <c:v>338.79273690187398</c:v>
                </c:pt>
                <c:pt idx="63">
                  <c:v>503.62483133193916</c:v>
                </c:pt>
                <c:pt idx="64">
                  <c:v>433.66907177522324</c:v>
                </c:pt>
                <c:pt idx="65">
                  <c:v>520.56361459157233</c:v>
                </c:pt>
                <c:pt idx="66">
                  <c:v>451.01959874692267</c:v>
                </c:pt>
                <c:pt idx="67">
                  <c:v>303.34011365983275</c:v>
                </c:pt>
                <c:pt idx="68">
                  <c:v>508.01631585442681</c:v>
                </c:pt>
                <c:pt idx="69">
                  <c:v>492.94364987133628</c:v>
                </c:pt>
                <c:pt idx="70">
                  <c:v>342.0342156531658</c:v>
                </c:pt>
                <c:pt idx="71">
                  <c:v>398.80420984441707</c:v>
                </c:pt>
                <c:pt idx="72">
                  <c:v>412.78466379008125</c:v>
                </c:pt>
                <c:pt idx="73">
                  <c:v>422.08420555179117</c:v>
                </c:pt>
                <c:pt idx="74">
                  <c:v>545.55030772055113</c:v>
                </c:pt>
                <c:pt idx="75">
                  <c:v>354.23162854690827</c:v>
                </c:pt>
                <c:pt idx="76">
                  <c:v>370.90170324633277</c:v>
                </c:pt>
                <c:pt idx="77">
                  <c:v>286.26571763435214</c:v>
                </c:pt>
                <c:pt idx="78">
                  <c:v>377.61199623101044</c:v>
                </c:pt>
                <c:pt idx="79">
                  <c:v>342.03345279661983</c:v>
                </c:pt>
                <c:pt idx="80">
                  <c:v>405.83335454074012</c:v>
                </c:pt>
                <c:pt idx="81">
                  <c:v>503.90086753185415</c:v>
                </c:pt>
                <c:pt idx="82">
                  <c:v>429.12481444803672</c:v>
                </c:pt>
                <c:pt idx="83">
                  <c:v>418.1632411363392</c:v>
                </c:pt>
                <c:pt idx="84">
                  <c:v>478.81427635057076</c:v>
                </c:pt>
                <c:pt idx="85">
                  <c:v>378.37927586426719</c:v>
                </c:pt>
                <c:pt idx="86">
                  <c:v>582.13585194710345</c:v>
                </c:pt>
                <c:pt idx="87">
                  <c:v>501.11121210295221</c:v>
                </c:pt>
                <c:pt idx="88">
                  <c:v>414.23472084298584</c:v>
                </c:pt>
                <c:pt idx="89">
                  <c:v>481.55848700789511</c:v>
                </c:pt>
                <c:pt idx="90">
                  <c:v>488.49646470815571</c:v>
                </c:pt>
                <c:pt idx="91">
                  <c:v>349.91058634418863</c:v>
                </c:pt>
                <c:pt idx="92">
                  <c:v>415.45616233871607</c:v>
                </c:pt>
                <c:pt idx="93">
                  <c:v>418.17398182172849</c:v>
                </c:pt>
                <c:pt idx="94">
                  <c:v>392.67548918283887</c:v>
                </c:pt>
                <c:pt idx="95">
                  <c:v>400.86586153038326</c:v>
                </c:pt>
                <c:pt idx="96">
                  <c:v>240.85247917577163</c:v>
                </c:pt>
                <c:pt idx="97">
                  <c:v>320.99617874791966</c:v>
                </c:pt>
                <c:pt idx="98">
                  <c:v>257.05080392069902</c:v>
                </c:pt>
                <c:pt idx="99">
                  <c:v>246.61259294048548</c:v>
                </c:pt>
                <c:pt idx="100">
                  <c:v>287.71992275400311</c:v>
                </c:pt>
                <c:pt idx="101">
                  <c:v>260.54855484030327</c:v>
                </c:pt>
                <c:pt idx="102">
                  <c:v>354.4696508832572</c:v>
                </c:pt>
                <c:pt idx="103">
                  <c:v>395.48513369793108</c:v>
                </c:pt>
                <c:pt idx="104">
                  <c:v>454.025708412082</c:v>
                </c:pt>
                <c:pt idx="105">
                  <c:v>310.83104774681073</c:v>
                </c:pt>
                <c:pt idx="106">
                  <c:v>300.2884636499362</c:v>
                </c:pt>
                <c:pt idx="107">
                  <c:v>372.36963724924163</c:v>
                </c:pt>
                <c:pt idx="108">
                  <c:v>492.65980118778691</c:v>
                </c:pt>
                <c:pt idx="109">
                  <c:v>358.58836478246457</c:v>
                </c:pt>
                <c:pt idx="110">
                  <c:v>264.5895974386732</c:v>
                </c:pt>
                <c:pt idx="111">
                  <c:v>270.83382385485544</c:v>
                </c:pt>
                <c:pt idx="112">
                  <c:v>259.8424305653179</c:v>
                </c:pt>
                <c:pt idx="113">
                  <c:v>214.83196915887194</c:v>
                </c:pt>
                <c:pt idx="114">
                  <c:v>352.27314676188331</c:v>
                </c:pt>
                <c:pt idx="115">
                  <c:v>255.04084622577571</c:v>
                </c:pt>
                <c:pt idx="116">
                  <c:v>316.78662914939872</c:v>
                </c:pt>
                <c:pt idx="117">
                  <c:v>287.03371642670254</c:v>
                </c:pt>
                <c:pt idx="118">
                  <c:v>285.87019590465604</c:v>
                </c:pt>
                <c:pt idx="119">
                  <c:v>322.87510784815709</c:v>
                </c:pt>
                <c:pt idx="120">
                  <c:v>355.94173324889186</c:v>
                </c:pt>
                <c:pt idx="121">
                  <c:v>372.51147395369736</c:v>
                </c:pt>
                <c:pt idx="122">
                  <c:v>252.44645755070115</c:v>
                </c:pt>
                <c:pt idx="123">
                  <c:v>381.58138558064394</c:v>
                </c:pt>
                <c:pt idx="124">
                  <c:v>319.57175178409773</c:v>
                </c:pt>
              </c:numCache>
            </c:numRef>
          </c:xVal>
          <c:yVal>
            <c:numRef>
              <c:f>'Vertebrate_linear regression'!$G$97:$G$221</c:f>
              <c:numCache>
                <c:formatCode>0.000</c:formatCode>
                <c:ptCount val="125"/>
                <c:pt idx="0">
                  <c:v>-0.82218956251296316</c:v>
                </c:pt>
                <c:pt idx="1">
                  <c:v>-1.5411365274993736</c:v>
                </c:pt>
                <c:pt idx="2">
                  <c:v>-1.475062015594589</c:v>
                </c:pt>
                <c:pt idx="3">
                  <c:v>0.72542001327710282</c:v>
                </c:pt>
                <c:pt idx="4">
                  <c:v>1.1028564016399656</c:v>
                </c:pt>
                <c:pt idx="5">
                  <c:v>0.42718316921049182</c:v>
                </c:pt>
                <c:pt idx="6">
                  <c:v>2.1271095910066102</c:v>
                </c:pt>
                <c:pt idx="7">
                  <c:v>0.34123340541998881</c:v>
                </c:pt>
                <c:pt idx="8">
                  <c:v>-0.22371382357106756</c:v>
                </c:pt>
                <c:pt idx="9">
                  <c:v>-0.48755437167962618</c:v>
                </c:pt>
                <c:pt idx="10">
                  <c:v>-0.37026519480403225</c:v>
                </c:pt>
                <c:pt idx="11">
                  <c:v>-0.95562392865312951</c:v>
                </c:pt>
                <c:pt idx="12">
                  <c:v>-0.86393086882454551</c:v>
                </c:pt>
                <c:pt idx="13">
                  <c:v>-0.53577609980047658</c:v>
                </c:pt>
                <c:pt idx="14">
                  <c:v>-0.80131238613236333</c:v>
                </c:pt>
                <c:pt idx="15">
                  <c:v>7.7306077841456336E-2</c:v>
                </c:pt>
                <c:pt idx="16">
                  <c:v>0.89055299746272665</c:v>
                </c:pt>
                <c:pt idx="17">
                  <c:v>0.61939947793154615</c:v>
                </c:pt>
                <c:pt idx="18">
                  <c:v>0.68674972173707061</c:v>
                </c:pt>
                <c:pt idx="19">
                  <c:v>2.1197896640259817</c:v>
                </c:pt>
                <c:pt idx="20">
                  <c:v>3.4646659387949299</c:v>
                </c:pt>
                <c:pt idx="21">
                  <c:v>2.8714518468138257</c:v>
                </c:pt>
                <c:pt idx="22">
                  <c:v>3.3028897504668682</c:v>
                </c:pt>
                <c:pt idx="23">
                  <c:v>0.62709968866743748</c:v>
                </c:pt>
                <c:pt idx="24">
                  <c:v>1.007554315028637</c:v>
                </c:pt>
                <c:pt idx="25">
                  <c:v>0.27958100998363639</c:v>
                </c:pt>
                <c:pt idx="26">
                  <c:v>-0.59014562993951292</c:v>
                </c:pt>
                <c:pt idx="27">
                  <c:v>-0.40157488986226469</c:v>
                </c:pt>
                <c:pt idx="28">
                  <c:v>-0.29956803637691587</c:v>
                </c:pt>
                <c:pt idx="29">
                  <c:v>-1.0008291434641767</c:v>
                </c:pt>
                <c:pt idx="30">
                  <c:v>0.69952035856086847</c:v>
                </c:pt>
                <c:pt idx="31">
                  <c:v>0.5870563683695732</c:v>
                </c:pt>
                <c:pt idx="32">
                  <c:v>-0.33156323228127466</c:v>
                </c:pt>
                <c:pt idx="33">
                  <c:v>1.2699758704920521E-2</c:v>
                </c:pt>
                <c:pt idx="34">
                  <c:v>0.98562745139098495</c:v>
                </c:pt>
                <c:pt idx="35">
                  <c:v>-0.95995193115105393</c:v>
                </c:pt>
                <c:pt idx="36">
                  <c:v>-0.26699226910125556</c:v>
                </c:pt>
                <c:pt idx="37">
                  <c:v>-0.50658532768113018</c:v>
                </c:pt>
                <c:pt idx="38">
                  <c:v>-0.33000717444528616</c:v>
                </c:pt>
                <c:pt idx="39">
                  <c:v>-0.86043132640736386</c:v>
                </c:pt>
                <c:pt idx="40">
                  <c:v>-0.82104831057297389</c:v>
                </c:pt>
                <c:pt idx="41">
                  <c:v>-0.51833966108441543</c:v>
                </c:pt>
                <c:pt idx="42">
                  <c:v>-0.21579306858763844</c:v>
                </c:pt>
                <c:pt idx="43">
                  <c:v>-2.5322858503103971</c:v>
                </c:pt>
                <c:pt idx="44">
                  <c:v>1.44056856356588</c:v>
                </c:pt>
                <c:pt idx="45">
                  <c:v>0.4589335109196257</c:v>
                </c:pt>
                <c:pt idx="46">
                  <c:v>0.47103734250918244</c:v>
                </c:pt>
                <c:pt idx="47">
                  <c:v>0.46723071287415263</c:v>
                </c:pt>
                <c:pt idx="48">
                  <c:v>0.77788598652717023</c:v>
                </c:pt>
                <c:pt idx="49">
                  <c:v>0.67340702977336364</c:v>
                </c:pt>
                <c:pt idx="50">
                  <c:v>1.3174584536125005</c:v>
                </c:pt>
                <c:pt idx="51">
                  <c:v>1.0577157537841733</c:v>
                </c:pt>
                <c:pt idx="52">
                  <c:v>-2.3935204406332891</c:v>
                </c:pt>
                <c:pt idx="53">
                  <c:v>-0.16888408886549752</c:v>
                </c:pt>
                <c:pt idx="54">
                  <c:v>-0.34249457118986371</c:v>
                </c:pt>
                <c:pt idx="55">
                  <c:v>-0.12586569462711236</c:v>
                </c:pt>
                <c:pt idx="56">
                  <c:v>0.76501125491259436</c:v>
                </c:pt>
                <c:pt idx="57">
                  <c:v>-0.22613229834105755</c:v>
                </c:pt>
                <c:pt idx="58">
                  <c:v>0.5442241049954053</c:v>
                </c:pt>
                <c:pt idx="59">
                  <c:v>-1.4597913593050731</c:v>
                </c:pt>
                <c:pt idx="60">
                  <c:v>-0.31554946529380884</c:v>
                </c:pt>
                <c:pt idx="61">
                  <c:v>-0.69275176658814952</c:v>
                </c:pt>
                <c:pt idx="62">
                  <c:v>-1.5023312917998222</c:v>
                </c:pt>
                <c:pt idx="63">
                  <c:v>-1.8157308361257187</c:v>
                </c:pt>
                <c:pt idx="64">
                  <c:v>-0.74476434553019533</c:v>
                </c:pt>
                <c:pt idx="65">
                  <c:v>-0.16582578666772022</c:v>
                </c:pt>
                <c:pt idx="66">
                  <c:v>-0.30385493660331264</c:v>
                </c:pt>
                <c:pt idx="67">
                  <c:v>-1.4775460301600376</c:v>
                </c:pt>
                <c:pt idx="68">
                  <c:v>-7.8589705049244118E-2</c:v>
                </c:pt>
                <c:pt idx="69">
                  <c:v>-0.23375126931136642</c:v>
                </c:pt>
                <c:pt idx="70">
                  <c:v>0.15326808939410641</c:v>
                </c:pt>
                <c:pt idx="71">
                  <c:v>-0.44816142594459185</c:v>
                </c:pt>
                <c:pt idx="72">
                  <c:v>-1.9757759959462893</c:v>
                </c:pt>
                <c:pt idx="73">
                  <c:v>-0.39207197090454543</c:v>
                </c:pt>
                <c:pt idx="74">
                  <c:v>-0.73586773377684755</c:v>
                </c:pt>
                <c:pt idx="75">
                  <c:v>-0.61584012314625391</c:v>
                </c:pt>
                <c:pt idx="76">
                  <c:v>-0.41468317499063834</c:v>
                </c:pt>
                <c:pt idx="77">
                  <c:v>-0.35489641914761072</c:v>
                </c:pt>
                <c:pt idx="78">
                  <c:v>-0.50910977652050471</c:v>
                </c:pt>
                <c:pt idx="79">
                  <c:v>-0.10041345355378775</c:v>
                </c:pt>
                <c:pt idx="80">
                  <c:v>-0.16268215962392238</c:v>
                </c:pt>
                <c:pt idx="81">
                  <c:v>-0.17110087965221055</c:v>
                </c:pt>
                <c:pt idx="82">
                  <c:v>0.24700919646631334</c:v>
                </c:pt>
                <c:pt idx="83">
                  <c:v>-2.1696986749212939</c:v>
                </c:pt>
                <c:pt idx="84">
                  <c:v>-0.31283488934004633</c:v>
                </c:pt>
                <c:pt idx="85">
                  <c:v>1.137556140291704</c:v>
                </c:pt>
                <c:pt idx="86">
                  <c:v>0.17247970831973028</c:v>
                </c:pt>
                <c:pt idx="87">
                  <c:v>-0.50680134219521589</c:v>
                </c:pt>
                <c:pt idx="88">
                  <c:v>0.12006217545993017</c:v>
                </c:pt>
                <c:pt idx="89">
                  <c:v>-0.2814866608013929</c:v>
                </c:pt>
                <c:pt idx="90">
                  <c:v>0.37190559276704627</c:v>
                </c:pt>
                <c:pt idx="91">
                  <c:v>0.6156714102646873</c:v>
                </c:pt>
                <c:pt idx="92">
                  <c:v>-1.9933285322726153E-2</c:v>
                </c:pt>
                <c:pt idx="93">
                  <c:v>-0.31807045540946388</c:v>
                </c:pt>
                <c:pt idx="94">
                  <c:v>0.45083392753147988</c:v>
                </c:pt>
                <c:pt idx="95">
                  <c:v>-0.23203460618871999</c:v>
                </c:pt>
                <c:pt idx="96">
                  <c:v>-0.2394535865699563</c:v>
                </c:pt>
                <c:pt idx="97">
                  <c:v>-0.37977509965686057</c:v>
                </c:pt>
                <c:pt idx="98">
                  <c:v>-0.7074852040956543</c:v>
                </c:pt>
                <c:pt idx="99">
                  <c:v>-0.54540606379692014</c:v>
                </c:pt>
                <c:pt idx="100">
                  <c:v>-0.12102917402022725</c:v>
                </c:pt>
                <c:pt idx="101">
                  <c:v>-0.445722740141693</c:v>
                </c:pt>
                <c:pt idx="102">
                  <c:v>7.1697844397204294E-2</c:v>
                </c:pt>
                <c:pt idx="103">
                  <c:v>-9.8170299940372588E-2</c:v>
                </c:pt>
                <c:pt idx="104">
                  <c:v>-0.56322854892623264</c:v>
                </c:pt>
                <c:pt idx="105">
                  <c:v>1.7136288011333856</c:v>
                </c:pt>
                <c:pt idx="106">
                  <c:v>0.35209885377698308</c:v>
                </c:pt>
                <c:pt idx="107">
                  <c:v>0.84663286778600089</c:v>
                </c:pt>
                <c:pt idx="108">
                  <c:v>0.51082860906430327</c:v>
                </c:pt>
                <c:pt idx="109">
                  <c:v>0.33287918318207066</c:v>
                </c:pt>
                <c:pt idx="110">
                  <c:v>0.92466599365740731</c:v>
                </c:pt>
                <c:pt idx="111">
                  <c:v>1.0194878952783089</c:v>
                </c:pt>
                <c:pt idx="112">
                  <c:v>0.72763113265468482</c:v>
                </c:pt>
                <c:pt idx="113">
                  <c:v>0.23764967325192771</c:v>
                </c:pt>
                <c:pt idx="114">
                  <c:v>-9.6588761575930146E-2</c:v>
                </c:pt>
                <c:pt idx="115">
                  <c:v>-0.49826293912196218</c:v>
                </c:pt>
                <c:pt idx="116">
                  <c:v>-0.74867938464530936</c:v>
                </c:pt>
                <c:pt idx="117">
                  <c:v>-0.39437373706489404</c:v>
                </c:pt>
                <c:pt idx="118">
                  <c:v>-0.17518230693583947</c:v>
                </c:pt>
                <c:pt idx="119">
                  <c:v>0.33504345460563917</c:v>
                </c:pt>
                <c:pt idx="120">
                  <c:v>-3.75674811014474E-4</c:v>
                </c:pt>
                <c:pt idx="121">
                  <c:v>0.68359205963703396</c:v>
                </c:pt>
                <c:pt idx="122">
                  <c:v>2.2442766786668114</c:v>
                </c:pt>
                <c:pt idx="123">
                  <c:v>1.0585171234745958</c:v>
                </c:pt>
                <c:pt idx="124">
                  <c:v>-0.76237506575200609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6080"/>
        <c:axId val="46452736"/>
      </c:scatterChart>
      <c:valAx>
        <c:axId val="46446080"/>
        <c:scaling>
          <c:orientation val="minMax"/>
          <c:max val="9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Pred(Vertebrate (g))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452736"/>
        <c:crosses val="autoZero"/>
        <c:crossBetween val="midCat"/>
      </c:valAx>
      <c:valAx>
        <c:axId val="46452736"/>
        <c:scaling>
          <c:orientation val="minMax"/>
          <c:max val="4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44608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AU"/>
              <a:t>Pred(Vertebrate (g)) / Vertebrate (g)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'Vertebrate_linear regression'!$E$97:$E$221</c:f>
              <c:numCache>
                <c:formatCode>0.000</c:formatCode>
                <c:ptCount val="125"/>
                <c:pt idx="0">
                  <c:v>175.40303438728449</c:v>
                </c:pt>
                <c:pt idx="1">
                  <c:v>459.23240491561779</c:v>
                </c:pt>
                <c:pt idx="2">
                  <c:v>829.45580335248712</c:v>
                </c:pt>
                <c:pt idx="3">
                  <c:v>576.03463288496073</c:v>
                </c:pt>
                <c:pt idx="4">
                  <c:v>637.9350195026708</c:v>
                </c:pt>
                <c:pt idx="5">
                  <c:v>498.54148462192438</c:v>
                </c:pt>
                <c:pt idx="6">
                  <c:v>444.84893399746448</c:v>
                </c:pt>
                <c:pt idx="7">
                  <c:v>306.11316732572749</c:v>
                </c:pt>
                <c:pt idx="8">
                  <c:v>383.19704920390512</c:v>
                </c:pt>
                <c:pt idx="9">
                  <c:v>397.15609818546392</c:v>
                </c:pt>
                <c:pt idx="10">
                  <c:v>429.2703094062843</c:v>
                </c:pt>
                <c:pt idx="11">
                  <c:v>502.28166728048467</c:v>
                </c:pt>
                <c:pt idx="12">
                  <c:v>509.21333057678532</c:v>
                </c:pt>
                <c:pt idx="13">
                  <c:v>516.63379889860892</c:v>
                </c:pt>
                <c:pt idx="14">
                  <c:v>529.23664071498922</c:v>
                </c:pt>
                <c:pt idx="15">
                  <c:v>378.19878641828598</c:v>
                </c:pt>
                <c:pt idx="16">
                  <c:v>265.9333055040932</c:v>
                </c:pt>
                <c:pt idx="17">
                  <c:v>509.50873024420065</c:v>
                </c:pt>
                <c:pt idx="18">
                  <c:v>586.86853397822586</c:v>
                </c:pt>
                <c:pt idx="19">
                  <c:v>512.93663788544609</c:v>
                </c:pt>
                <c:pt idx="20">
                  <c:v>609.99915847434534</c:v>
                </c:pt>
                <c:pt idx="21">
                  <c:v>563.17045816922916</c:v>
                </c:pt>
                <c:pt idx="22">
                  <c:v>453.88952227269476</c:v>
                </c:pt>
                <c:pt idx="23">
                  <c:v>574.55841305219656</c:v>
                </c:pt>
                <c:pt idx="24">
                  <c:v>577.61248203773721</c:v>
                </c:pt>
                <c:pt idx="25">
                  <c:v>397.62538759961973</c:v>
                </c:pt>
                <c:pt idx="26">
                  <c:v>548.77539202982018</c:v>
                </c:pt>
                <c:pt idx="27">
                  <c:v>499.18874097127389</c:v>
                </c:pt>
                <c:pt idx="28">
                  <c:v>520.36103633097503</c:v>
                </c:pt>
                <c:pt idx="29">
                  <c:v>771.33337968221372</c:v>
                </c:pt>
                <c:pt idx="30">
                  <c:v>395.49004397854958</c:v>
                </c:pt>
                <c:pt idx="31">
                  <c:v>475.18448720240758</c:v>
                </c:pt>
                <c:pt idx="32">
                  <c:v>623.15036089535943</c:v>
                </c:pt>
                <c:pt idx="33">
                  <c:v>411.10504382690289</c:v>
                </c:pt>
                <c:pt idx="34">
                  <c:v>244.22930830508835</c:v>
                </c:pt>
                <c:pt idx="35">
                  <c:v>453.14807797208738</c:v>
                </c:pt>
                <c:pt idx="36">
                  <c:v>376.11085453193971</c:v>
                </c:pt>
                <c:pt idx="37">
                  <c:v>465.609965198851</c:v>
                </c:pt>
                <c:pt idx="38">
                  <c:v>450.29323934031646</c:v>
                </c:pt>
                <c:pt idx="39">
                  <c:v>402.80511024404217</c:v>
                </c:pt>
                <c:pt idx="40">
                  <c:v>453.23511796845804</c:v>
                </c:pt>
                <c:pt idx="41">
                  <c:v>476.6243970821036</c:v>
                </c:pt>
                <c:pt idx="42">
                  <c:v>502.09462017757932</c:v>
                </c:pt>
                <c:pt idx="43">
                  <c:v>487.14747067370621</c:v>
                </c:pt>
                <c:pt idx="44">
                  <c:v>497.73055087454543</c:v>
                </c:pt>
                <c:pt idx="45">
                  <c:v>416.2489137562531</c:v>
                </c:pt>
                <c:pt idx="46">
                  <c:v>444.82774692126031</c:v>
                </c:pt>
                <c:pt idx="47">
                  <c:v>485.33460404088282</c:v>
                </c:pt>
                <c:pt idx="48">
                  <c:v>402.46651453590874</c:v>
                </c:pt>
                <c:pt idx="49">
                  <c:v>397.73625508024872</c:v>
                </c:pt>
                <c:pt idx="50">
                  <c:v>397.44781806273551</c:v>
                </c:pt>
                <c:pt idx="51">
                  <c:v>391.86440316333</c:v>
                </c:pt>
                <c:pt idx="52">
                  <c:v>471.7309013586945</c:v>
                </c:pt>
                <c:pt idx="53">
                  <c:v>361.24758228466106</c:v>
                </c:pt>
                <c:pt idx="54">
                  <c:v>320.52764604640157</c:v>
                </c:pt>
                <c:pt idx="55">
                  <c:v>337.60343246583983</c:v>
                </c:pt>
                <c:pt idx="56">
                  <c:v>300.55488092153445</c:v>
                </c:pt>
                <c:pt idx="57">
                  <c:v>273.21884501115107</c:v>
                </c:pt>
                <c:pt idx="58">
                  <c:v>318.6030962524099</c:v>
                </c:pt>
                <c:pt idx="59">
                  <c:v>298.49994698884149</c:v>
                </c:pt>
                <c:pt idx="60">
                  <c:v>357.82261121577312</c:v>
                </c:pt>
                <c:pt idx="61">
                  <c:v>256.49752682899174</c:v>
                </c:pt>
                <c:pt idx="62">
                  <c:v>338.79273690187398</c:v>
                </c:pt>
                <c:pt idx="63">
                  <c:v>503.62483133193916</c:v>
                </c:pt>
                <c:pt idx="64">
                  <c:v>433.66907177522324</c:v>
                </c:pt>
                <c:pt idx="65">
                  <c:v>520.56361459157233</c:v>
                </c:pt>
                <c:pt idx="66">
                  <c:v>451.01959874692267</c:v>
                </c:pt>
                <c:pt idx="67">
                  <c:v>303.34011365983275</c:v>
                </c:pt>
                <c:pt idx="68">
                  <c:v>508.01631585442681</c:v>
                </c:pt>
                <c:pt idx="69">
                  <c:v>492.94364987133628</c:v>
                </c:pt>
                <c:pt idx="70">
                  <c:v>342.0342156531658</c:v>
                </c:pt>
                <c:pt idx="71">
                  <c:v>398.80420984441707</c:v>
                </c:pt>
                <c:pt idx="72">
                  <c:v>412.78466379008125</c:v>
                </c:pt>
                <c:pt idx="73">
                  <c:v>422.08420555179117</c:v>
                </c:pt>
                <c:pt idx="74">
                  <c:v>545.55030772055113</c:v>
                </c:pt>
                <c:pt idx="75">
                  <c:v>354.23162854690827</c:v>
                </c:pt>
                <c:pt idx="76">
                  <c:v>370.90170324633277</c:v>
                </c:pt>
                <c:pt idx="77">
                  <c:v>286.26571763435214</c:v>
                </c:pt>
                <c:pt idx="78">
                  <c:v>377.61199623101044</c:v>
                </c:pt>
                <c:pt idx="79">
                  <c:v>342.03345279661983</c:v>
                </c:pt>
                <c:pt idx="80">
                  <c:v>405.83335454074012</c:v>
                </c:pt>
                <c:pt idx="81">
                  <c:v>503.90086753185415</c:v>
                </c:pt>
                <c:pt idx="82">
                  <c:v>429.12481444803672</c:v>
                </c:pt>
                <c:pt idx="83">
                  <c:v>418.1632411363392</c:v>
                </c:pt>
                <c:pt idx="84">
                  <c:v>478.81427635057076</c:v>
                </c:pt>
                <c:pt idx="85">
                  <c:v>378.37927586426719</c:v>
                </c:pt>
                <c:pt idx="86">
                  <c:v>582.13585194710345</c:v>
                </c:pt>
                <c:pt idx="87">
                  <c:v>501.11121210295221</c:v>
                </c:pt>
                <c:pt idx="88">
                  <c:v>414.23472084298584</c:v>
                </c:pt>
                <c:pt idx="89">
                  <c:v>481.55848700789511</c:v>
                </c:pt>
                <c:pt idx="90">
                  <c:v>488.49646470815571</c:v>
                </c:pt>
                <c:pt idx="91">
                  <c:v>349.91058634418863</c:v>
                </c:pt>
                <c:pt idx="92">
                  <c:v>415.45616233871607</c:v>
                </c:pt>
                <c:pt idx="93">
                  <c:v>418.17398182172849</c:v>
                </c:pt>
                <c:pt idx="94">
                  <c:v>392.67548918283887</c:v>
                </c:pt>
                <c:pt idx="95">
                  <c:v>400.86586153038326</c:v>
                </c:pt>
                <c:pt idx="96">
                  <c:v>240.85247917577163</c:v>
                </c:pt>
                <c:pt idx="97">
                  <c:v>320.99617874791966</c:v>
                </c:pt>
                <c:pt idx="98">
                  <c:v>257.05080392069902</c:v>
                </c:pt>
                <c:pt idx="99">
                  <c:v>246.61259294048548</c:v>
                </c:pt>
                <c:pt idx="100">
                  <c:v>287.71992275400311</c:v>
                </c:pt>
                <c:pt idx="101">
                  <c:v>260.54855484030327</c:v>
                </c:pt>
                <c:pt idx="102">
                  <c:v>354.4696508832572</c:v>
                </c:pt>
                <c:pt idx="103">
                  <c:v>395.48513369793108</c:v>
                </c:pt>
                <c:pt idx="104">
                  <c:v>454.025708412082</c:v>
                </c:pt>
                <c:pt idx="105">
                  <c:v>310.83104774681073</c:v>
                </c:pt>
                <c:pt idx="106">
                  <c:v>300.2884636499362</c:v>
                </c:pt>
                <c:pt idx="107">
                  <c:v>372.36963724924163</c:v>
                </c:pt>
                <c:pt idx="108">
                  <c:v>492.65980118778691</c:v>
                </c:pt>
                <c:pt idx="109">
                  <c:v>358.58836478246457</c:v>
                </c:pt>
                <c:pt idx="110">
                  <c:v>264.5895974386732</c:v>
                </c:pt>
                <c:pt idx="111">
                  <c:v>270.83382385485544</c:v>
                </c:pt>
                <c:pt idx="112">
                  <c:v>259.8424305653179</c:v>
                </c:pt>
                <c:pt idx="113">
                  <c:v>214.83196915887194</c:v>
                </c:pt>
                <c:pt idx="114">
                  <c:v>352.27314676188331</c:v>
                </c:pt>
                <c:pt idx="115">
                  <c:v>255.04084622577571</c:v>
                </c:pt>
                <c:pt idx="116">
                  <c:v>316.78662914939872</c:v>
                </c:pt>
                <c:pt idx="117">
                  <c:v>287.03371642670254</c:v>
                </c:pt>
                <c:pt idx="118">
                  <c:v>285.87019590465604</c:v>
                </c:pt>
                <c:pt idx="119">
                  <c:v>322.87510784815709</c:v>
                </c:pt>
                <c:pt idx="120">
                  <c:v>355.94173324889186</c:v>
                </c:pt>
                <c:pt idx="121">
                  <c:v>372.51147395369736</c:v>
                </c:pt>
                <c:pt idx="122">
                  <c:v>252.44645755070115</c:v>
                </c:pt>
                <c:pt idx="123">
                  <c:v>381.58138558064394</c:v>
                </c:pt>
                <c:pt idx="124">
                  <c:v>319.57175178409773</c:v>
                </c:pt>
              </c:numCache>
            </c:numRef>
          </c:xVal>
          <c:yVal>
            <c:numRef>
              <c:f>'Vertebrate_linear regression'!$D$97:$D$221</c:f>
              <c:numCache>
                <c:formatCode>0.000</c:formatCode>
                <c:ptCount val="125"/>
                <c:pt idx="0">
                  <c:v>18.409999999999997</c:v>
                </c:pt>
                <c:pt idx="1">
                  <c:v>164.96</c:v>
                </c:pt>
                <c:pt idx="2">
                  <c:v>547.80000000000007</c:v>
                </c:pt>
                <c:pt idx="3">
                  <c:v>714.55</c:v>
                </c:pt>
                <c:pt idx="4">
                  <c:v>848.52</c:v>
                </c:pt>
                <c:pt idx="5">
                  <c:v>580.11</c:v>
                </c:pt>
                <c:pt idx="6">
                  <c:v>851.01</c:v>
                </c:pt>
                <c:pt idx="7">
                  <c:v>371.27000000000004</c:v>
                </c:pt>
                <c:pt idx="8">
                  <c:v>340.47999999999996</c:v>
                </c:pt>
                <c:pt idx="9">
                  <c:v>304.06</c:v>
                </c:pt>
                <c:pt idx="10">
                  <c:v>358.57</c:v>
                </c:pt>
                <c:pt idx="11">
                  <c:v>319.81</c:v>
                </c:pt>
                <c:pt idx="12">
                  <c:v>344.25</c:v>
                </c:pt>
                <c:pt idx="13">
                  <c:v>414.33000000000004</c:v>
                </c:pt>
                <c:pt idx="14">
                  <c:v>376.23</c:v>
                </c:pt>
                <c:pt idx="15">
                  <c:v>392.96</c:v>
                </c:pt>
                <c:pt idx="16">
                  <c:v>435.98</c:v>
                </c:pt>
                <c:pt idx="17">
                  <c:v>627.78</c:v>
                </c:pt>
                <c:pt idx="18">
                  <c:v>718</c:v>
                </c:pt>
                <c:pt idx="19">
                  <c:v>917.7</c:v>
                </c:pt>
                <c:pt idx="20">
                  <c:v>1271.56</c:v>
                </c:pt>
                <c:pt idx="21">
                  <c:v>1111.46</c:v>
                </c:pt>
                <c:pt idx="22">
                  <c:v>1084.56</c:v>
                </c:pt>
                <c:pt idx="23">
                  <c:v>694.3</c:v>
                </c:pt>
                <c:pt idx="24">
                  <c:v>770</c:v>
                </c:pt>
                <c:pt idx="25">
                  <c:v>451.01</c:v>
                </c:pt>
                <c:pt idx="26">
                  <c:v>436.09</c:v>
                </c:pt>
                <c:pt idx="27">
                  <c:v>422.51</c:v>
                </c:pt>
                <c:pt idx="28">
                  <c:v>463.16</c:v>
                </c:pt>
                <c:pt idx="29">
                  <c:v>580.23</c:v>
                </c:pt>
                <c:pt idx="30">
                  <c:v>529.05999999999995</c:v>
                </c:pt>
                <c:pt idx="31">
                  <c:v>587.28</c:v>
                </c:pt>
                <c:pt idx="32">
                  <c:v>559.84</c:v>
                </c:pt>
                <c:pt idx="33">
                  <c:v>413.53</c:v>
                </c:pt>
                <c:pt idx="34">
                  <c:v>432.43</c:v>
                </c:pt>
                <c:pt idx="35">
                  <c:v>269.84999999999997</c:v>
                </c:pt>
                <c:pt idx="36">
                  <c:v>325.13</c:v>
                </c:pt>
                <c:pt idx="37">
                  <c:v>368.88</c:v>
                </c:pt>
                <c:pt idx="38">
                  <c:v>387.28000000000003</c:v>
                </c:pt>
                <c:pt idx="39">
                  <c:v>238.51</c:v>
                </c:pt>
                <c:pt idx="40">
                  <c:v>296.45999999999998</c:v>
                </c:pt>
                <c:pt idx="41">
                  <c:v>377.65000000000003</c:v>
                </c:pt>
                <c:pt idx="42">
                  <c:v>460.89</c:v>
                </c:pt>
                <c:pt idx="43">
                  <c:v>3.62</c:v>
                </c:pt>
                <c:pt idx="44">
                  <c:v>772.8</c:v>
                </c:pt>
                <c:pt idx="45">
                  <c:v>503.88</c:v>
                </c:pt>
                <c:pt idx="46">
                  <c:v>534.77</c:v>
                </c:pt>
                <c:pt idx="47">
                  <c:v>574.54999999999995</c:v>
                </c:pt>
                <c:pt idx="48">
                  <c:v>551</c:v>
                </c:pt>
                <c:pt idx="49">
                  <c:v>526.32000000000005</c:v>
                </c:pt>
                <c:pt idx="50">
                  <c:v>649.01</c:v>
                </c:pt>
                <c:pt idx="51">
                  <c:v>593.83000000000004</c:v>
                </c:pt>
                <c:pt idx="52">
                  <c:v>14.7</c:v>
                </c:pt>
                <c:pt idx="53">
                  <c:v>329</c:v>
                </c:pt>
                <c:pt idx="54">
                  <c:v>255.13</c:v>
                </c:pt>
                <c:pt idx="55">
                  <c:v>313.57</c:v>
                </c:pt>
                <c:pt idx="56">
                  <c:v>446.63</c:v>
                </c:pt>
                <c:pt idx="57">
                  <c:v>230.04000000000002</c:v>
                </c:pt>
                <c:pt idx="58">
                  <c:v>422.52</c:v>
                </c:pt>
                <c:pt idx="59">
                  <c:v>19.760000000000002</c:v>
                </c:pt>
                <c:pt idx="60">
                  <c:v>297.57</c:v>
                </c:pt>
                <c:pt idx="61">
                  <c:v>124.22000000000001</c:v>
                </c:pt>
                <c:pt idx="62">
                  <c:v>51.93</c:v>
                </c:pt>
                <c:pt idx="63">
                  <c:v>156.91999999999999</c:v>
                </c:pt>
                <c:pt idx="64">
                  <c:v>291.45999999999998</c:v>
                </c:pt>
                <c:pt idx="65">
                  <c:v>488.90000000000003</c:v>
                </c:pt>
                <c:pt idx="66">
                  <c:v>393</c:v>
                </c:pt>
                <c:pt idx="67">
                  <c:v>21.21</c:v>
                </c:pt>
                <c:pt idx="68">
                  <c:v>493.01</c:v>
                </c:pt>
                <c:pt idx="69">
                  <c:v>448.31</c:v>
                </c:pt>
                <c:pt idx="70">
                  <c:v>371.3</c:v>
                </c:pt>
                <c:pt idx="71">
                  <c:v>313.23</c:v>
                </c:pt>
                <c:pt idx="72">
                  <c:v>35.520000000000003</c:v>
                </c:pt>
                <c:pt idx="73">
                  <c:v>347.22</c:v>
                </c:pt>
                <c:pt idx="74">
                  <c:v>405.04</c:v>
                </c:pt>
                <c:pt idx="75">
                  <c:v>236.64000000000001</c:v>
                </c:pt>
                <c:pt idx="76">
                  <c:v>291.72000000000003</c:v>
                </c:pt>
                <c:pt idx="77">
                  <c:v>218.5</c:v>
                </c:pt>
                <c:pt idx="78">
                  <c:v>280.39999999999998</c:v>
                </c:pt>
                <c:pt idx="79">
                  <c:v>322.86</c:v>
                </c:pt>
                <c:pt idx="80">
                  <c:v>374.77000000000004</c:v>
                </c:pt>
                <c:pt idx="81">
                  <c:v>471.23</c:v>
                </c:pt>
                <c:pt idx="82">
                  <c:v>476.29</c:v>
                </c:pt>
                <c:pt idx="83">
                  <c:v>3.87</c:v>
                </c:pt>
                <c:pt idx="84">
                  <c:v>419.08</c:v>
                </c:pt>
                <c:pt idx="85">
                  <c:v>595.59</c:v>
                </c:pt>
                <c:pt idx="86">
                  <c:v>615.07000000000005</c:v>
                </c:pt>
                <c:pt idx="87">
                  <c:v>404.34</c:v>
                </c:pt>
                <c:pt idx="88">
                  <c:v>437.15999999999997</c:v>
                </c:pt>
                <c:pt idx="89">
                  <c:v>427.81</c:v>
                </c:pt>
                <c:pt idx="90">
                  <c:v>559.51</c:v>
                </c:pt>
                <c:pt idx="91">
                  <c:v>467.46999999999997</c:v>
                </c:pt>
                <c:pt idx="92">
                  <c:v>411.65</c:v>
                </c:pt>
                <c:pt idx="93">
                  <c:v>357.44</c:v>
                </c:pt>
                <c:pt idx="94">
                  <c:v>478.76</c:v>
                </c:pt>
                <c:pt idx="95">
                  <c:v>356.56</c:v>
                </c:pt>
                <c:pt idx="96">
                  <c:v>195.13</c:v>
                </c:pt>
                <c:pt idx="97">
                  <c:v>248.48</c:v>
                </c:pt>
                <c:pt idx="98">
                  <c:v>121.96</c:v>
                </c:pt>
                <c:pt idx="99">
                  <c:v>142.47</c:v>
                </c:pt>
                <c:pt idx="100">
                  <c:v>264.61</c:v>
                </c:pt>
                <c:pt idx="101">
                  <c:v>175.44</c:v>
                </c:pt>
                <c:pt idx="102">
                  <c:v>368.15999999999997</c:v>
                </c:pt>
                <c:pt idx="103">
                  <c:v>376.74</c:v>
                </c:pt>
                <c:pt idx="104">
                  <c:v>346.48</c:v>
                </c:pt>
                <c:pt idx="105">
                  <c:v>638.04</c:v>
                </c:pt>
                <c:pt idx="106">
                  <c:v>367.52000000000004</c:v>
                </c:pt>
                <c:pt idx="107">
                  <c:v>534.03</c:v>
                </c:pt>
                <c:pt idx="108">
                  <c:v>590.19999999999993</c:v>
                </c:pt>
                <c:pt idx="109">
                  <c:v>422.15</c:v>
                </c:pt>
                <c:pt idx="110">
                  <c:v>441.15</c:v>
                </c:pt>
                <c:pt idx="111">
                  <c:v>465.5</c:v>
                </c:pt>
                <c:pt idx="112">
                  <c:v>398.78</c:v>
                </c:pt>
                <c:pt idx="113">
                  <c:v>260.20999999999998</c:v>
                </c:pt>
                <c:pt idx="114">
                  <c:v>333.83</c:v>
                </c:pt>
                <c:pt idx="115">
                  <c:v>159.89999999999998</c:v>
                </c:pt>
                <c:pt idx="116">
                  <c:v>173.83</c:v>
                </c:pt>
                <c:pt idx="117">
                  <c:v>211.73</c:v>
                </c:pt>
                <c:pt idx="118">
                  <c:v>252.42</c:v>
                </c:pt>
                <c:pt idx="119">
                  <c:v>386.84999999999997</c:v>
                </c:pt>
                <c:pt idx="120">
                  <c:v>355.87</c:v>
                </c:pt>
                <c:pt idx="121">
                  <c:v>503.04</c:v>
                </c:pt>
                <c:pt idx="122">
                  <c:v>680.98</c:v>
                </c:pt>
                <c:pt idx="123">
                  <c:v>583.70000000000005</c:v>
                </c:pt>
                <c:pt idx="124">
                  <c:v>174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1400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1400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B2B2B2"/>
              </a:solidFill>
              <a:prstDash val="solid"/>
            </a:ln>
          </c:spPr>
          <c:marker>
            <c:symbol val="none"/>
          </c:marker>
          <c:xVal>
            <c:numRef>
              <c:f>'Vertebrate_linear regression'!xdata1</c:f>
              <c:numCache>
                <c:formatCode>General</c:formatCode>
                <c:ptCount val="70"/>
                <c:pt idx="0">
                  <c:v>0</c:v>
                </c:pt>
                <c:pt idx="1">
                  <c:v>20.289855072463801</c:v>
                </c:pt>
                <c:pt idx="2">
                  <c:v>40.579710144927603</c:v>
                </c:pt>
                <c:pt idx="3">
                  <c:v>60.869565217391404</c:v>
                </c:pt>
                <c:pt idx="4">
                  <c:v>81.159420289855206</c:v>
                </c:pt>
                <c:pt idx="5">
                  <c:v>101.44927536231901</c:v>
                </c:pt>
                <c:pt idx="6">
                  <c:v>121.73913043478281</c:v>
                </c:pt>
                <c:pt idx="7">
                  <c:v>142.0289855072466</c:v>
                </c:pt>
                <c:pt idx="8">
                  <c:v>162.31884057971041</c:v>
                </c:pt>
                <c:pt idx="9">
                  <c:v>182.60869565217422</c:v>
                </c:pt>
                <c:pt idx="10">
                  <c:v>202.89855072463803</c:v>
                </c:pt>
                <c:pt idx="11">
                  <c:v>223.18840579710181</c:v>
                </c:pt>
                <c:pt idx="12">
                  <c:v>243.47826086956562</c:v>
                </c:pt>
                <c:pt idx="13">
                  <c:v>263.7681159420294</c:v>
                </c:pt>
                <c:pt idx="14">
                  <c:v>284.05797101449321</c:v>
                </c:pt>
                <c:pt idx="15">
                  <c:v>304.34782608695701</c:v>
                </c:pt>
                <c:pt idx="16">
                  <c:v>324.63768115942082</c:v>
                </c:pt>
                <c:pt idx="17">
                  <c:v>344.92753623188463</c:v>
                </c:pt>
                <c:pt idx="18">
                  <c:v>365.21739130434844</c:v>
                </c:pt>
                <c:pt idx="19">
                  <c:v>385.50724637681225</c:v>
                </c:pt>
                <c:pt idx="20">
                  <c:v>405.79710144927606</c:v>
                </c:pt>
                <c:pt idx="21">
                  <c:v>426.08695652173981</c:v>
                </c:pt>
                <c:pt idx="22">
                  <c:v>446.37681159420362</c:v>
                </c:pt>
                <c:pt idx="23">
                  <c:v>466.66666666666742</c:v>
                </c:pt>
                <c:pt idx="24">
                  <c:v>486.95652173913123</c:v>
                </c:pt>
                <c:pt idx="25">
                  <c:v>507.24637681159504</c:v>
                </c:pt>
                <c:pt idx="26">
                  <c:v>527.53623188405879</c:v>
                </c:pt>
                <c:pt idx="27">
                  <c:v>547.82608695652266</c:v>
                </c:pt>
                <c:pt idx="28">
                  <c:v>568.11594202898641</c:v>
                </c:pt>
                <c:pt idx="29">
                  <c:v>588.40579710145028</c:v>
                </c:pt>
                <c:pt idx="30">
                  <c:v>608.69565217391403</c:v>
                </c:pt>
                <c:pt idx="31">
                  <c:v>628.98550724637789</c:v>
                </c:pt>
                <c:pt idx="32">
                  <c:v>649.27536231884164</c:v>
                </c:pt>
                <c:pt idx="33">
                  <c:v>669.5652173913054</c:v>
                </c:pt>
                <c:pt idx="34">
                  <c:v>689.85507246376926</c:v>
                </c:pt>
                <c:pt idx="35">
                  <c:v>710.14492753623301</c:v>
                </c:pt>
                <c:pt idx="36">
                  <c:v>730.43478260869688</c:v>
                </c:pt>
                <c:pt idx="37">
                  <c:v>750.72463768116063</c:v>
                </c:pt>
                <c:pt idx="38">
                  <c:v>771.01449275362449</c:v>
                </c:pt>
                <c:pt idx="39">
                  <c:v>791.30434782608825</c:v>
                </c:pt>
                <c:pt idx="40">
                  <c:v>811.59420289855211</c:v>
                </c:pt>
                <c:pt idx="41">
                  <c:v>831.88405797101586</c:v>
                </c:pt>
                <c:pt idx="42">
                  <c:v>852.17391304347962</c:v>
                </c:pt>
                <c:pt idx="43">
                  <c:v>872.46376811594348</c:v>
                </c:pt>
                <c:pt idx="44">
                  <c:v>892.75362318840723</c:v>
                </c:pt>
                <c:pt idx="45">
                  <c:v>913.0434782608711</c:v>
                </c:pt>
                <c:pt idx="46">
                  <c:v>933.33333333333485</c:v>
                </c:pt>
                <c:pt idx="47">
                  <c:v>953.62318840579871</c:v>
                </c:pt>
                <c:pt idx="48">
                  <c:v>973.91304347826247</c:v>
                </c:pt>
                <c:pt idx="49">
                  <c:v>994.20289855072622</c:v>
                </c:pt>
                <c:pt idx="50">
                  <c:v>1014.4927536231901</c:v>
                </c:pt>
                <c:pt idx="51">
                  <c:v>1034.7826086956538</c:v>
                </c:pt>
                <c:pt idx="52">
                  <c:v>1055.0724637681176</c:v>
                </c:pt>
                <c:pt idx="53">
                  <c:v>1075.3623188405816</c:v>
                </c:pt>
                <c:pt idx="54">
                  <c:v>1095.6521739130453</c:v>
                </c:pt>
                <c:pt idx="55">
                  <c:v>1115.9420289855091</c:v>
                </c:pt>
                <c:pt idx="56">
                  <c:v>1136.2318840579728</c:v>
                </c:pt>
                <c:pt idx="57">
                  <c:v>1156.5217391304366</c:v>
                </c:pt>
                <c:pt idx="58">
                  <c:v>1176.8115942029006</c:v>
                </c:pt>
                <c:pt idx="59">
                  <c:v>1197.1014492753643</c:v>
                </c:pt>
                <c:pt idx="60">
                  <c:v>1217.3913043478281</c:v>
                </c:pt>
                <c:pt idx="61">
                  <c:v>1237.6811594202918</c:v>
                </c:pt>
                <c:pt idx="62">
                  <c:v>1257.9710144927558</c:v>
                </c:pt>
                <c:pt idx="63">
                  <c:v>1278.2608695652195</c:v>
                </c:pt>
                <c:pt idx="64">
                  <c:v>1298.5507246376833</c:v>
                </c:pt>
                <c:pt idx="65">
                  <c:v>1318.840579710147</c:v>
                </c:pt>
                <c:pt idx="66">
                  <c:v>1339.1304347826108</c:v>
                </c:pt>
                <c:pt idx="67">
                  <c:v>1359.4202898550748</c:v>
                </c:pt>
                <c:pt idx="68">
                  <c:v>1379.7101449275385</c:v>
                </c:pt>
                <c:pt idx="69">
                  <c:v>1400.0000000000023</c:v>
                </c:pt>
              </c:numCache>
            </c:numRef>
          </c:xVal>
          <c:yVal>
            <c:numRef>
              <c:f>'Vertebrate_linear regression'!ydata1</c:f>
              <c:numCache>
                <c:formatCode>General</c:formatCode>
                <c:ptCount val="70"/>
                <c:pt idx="0">
                  <c:v>-400.12118402293413</c:v>
                </c:pt>
                <c:pt idx="1">
                  <c:v>-377.89556634658345</c:v>
                </c:pt>
                <c:pt idx="2">
                  <c:v>-355.75886078438378</c:v>
                </c:pt>
                <c:pt idx="3">
                  <c:v>-333.71231580451803</c:v>
                </c:pt>
                <c:pt idx="4">
                  <c:v>-311.75714070517688</c:v>
                </c:pt>
                <c:pt idx="5">
                  <c:v>-289.89450193126743</c:v>
                </c:pt>
                <c:pt idx="6">
                  <c:v>-268.12551940864245</c:v>
                </c:pt>
                <c:pt idx="7">
                  <c:v>-246.45126291928017</c:v>
                </c:pt>
                <c:pt idx="8">
                  <c:v>-224.87274854176093</c:v>
                </c:pt>
                <c:pt idx="9">
                  <c:v>-203.39093518205289</c:v>
                </c:pt>
                <c:pt idx="10">
                  <c:v>-182.00672122001049</c:v>
                </c:pt>
                <c:pt idx="11">
                  <c:v>-160.72094129708276</c:v>
                </c:pt>
                <c:pt idx="12">
                  <c:v>-139.53436327049744</c:v>
                </c:pt>
                <c:pt idx="13">
                  <c:v>-118.4476853586317</c:v>
                </c:pt>
                <c:pt idx="14">
                  <c:v>-97.46153350137098</c:v>
                </c:pt>
                <c:pt idx="15">
                  <c:v>-76.576458958023522</c:v>
                </c:pt>
                <c:pt idx="16">
                  <c:v>-55.792936163769468</c:v>
                </c:pt>
                <c:pt idx="17">
                  <c:v>-35.111360863731932</c:v>
                </c:pt>
                <c:pt idx="18">
                  <c:v>-14.532048541553934</c:v>
                </c:pt>
                <c:pt idx="19">
                  <c:v>5.9447668431054126</c:v>
                </c:pt>
                <c:pt idx="20">
                  <c:v>26.31893379644589</c:v>
                </c:pt>
                <c:pt idx="21">
                  <c:v>46.590383902963254</c:v>
                </c:pt>
                <c:pt idx="22">
                  <c:v>66.759132102689193</c:v>
                </c:pt>
                <c:pt idx="23">
                  <c:v>86.825276630614326</c:v>
                </c:pt>
                <c:pt idx="24">
                  <c:v>106.78899861886947</c:v>
                </c:pt>
                <c:pt idx="25">
                  <c:v>126.65056136541403</c:v>
                </c:pt>
                <c:pt idx="26">
                  <c:v>146.4103092761008</c:v>
                </c:pt>
                <c:pt idx="27">
                  <c:v>166.06866648998363</c:v>
                </c:pt>
                <c:pt idx="28">
                  <c:v>185.62613520056976</c:v>
                </c:pt>
                <c:pt idx="29">
                  <c:v>205.08329368834768</c:v>
                </c:pt>
                <c:pt idx="30">
                  <c:v>224.44079408229328</c:v>
                </c:pt>
                <c:pt idx="31">
                  <c:v>243.69935987015816</c:v>
                </c:pt>
                <c:pt idx="32">
                  <c:v>262.85978317912367</c:v>
                </c:pt>
                <c:pt idx="33">
                  <c:v>281.9229218498719</c:v>
                </c:pt>
                <c:pt idx="34">
                  <c:v>300.88969632823773</c:v>
                </c:pt>
                <c:pt idx="35">
                  <c:v>319.76108639939252</c:v>
                </c:pt>
                <c:pt idx="36">
                  <c:v>338.53812778994592</c:v>
                </c:pt>
                <c:pt idx="37">
                  <c:v>357.22190866346307</c:v>
                </c:pt>
                <c:pt idx="38">
                  <c:v>375.81356603469732</c:v>
                </c:pt>
                <c:pt idx="39">
                  <c:v>394.3142821273392</c:v>
                </c:pt>
                <c:pt idx="40">
                  <c:v>412.72528069932855</c:v>
                </c:pt>
                <c:pt idx="41">
                  <c:v>431.04782335877621</c:v>
                </c:pt>
                <c:pt idx="42">
                  <c:v>449.28320589234465</c:v>
                </c:pt>
                <c:pt idx="43">
                  <c:v>467.43275462655686</c:v>
                </c:pt>
                <c:pt idx="44">
                  <c:v>485.49782284099319</c:v>
                </c:pt>
                <c:pt idx="45">
                  <c:v>503.47978725071721</c:v>
                </c:pt>
                <c:pt idx="46">
                  <c:v>521.38004457357306</c:v>
                </c:pt>
                <c:pt idx="47">
                  <c:v>539.20000819626739</c:v>
                </c:pt>
                <c:pt idx="48">
                  <c:v>556.94110495139387</c:v>
                </c:pt>
                <c:pt idx="49">
                  <c:v>574.6047720158208</c:v>
                </c:pt>
                <c:pt idx="50">
                  <c:v>592.19245393915548</c:v>
                </c:pt>
                <c:pt idx="51">
                  <c:v>609.70559980935423</c:v>
                </c:pt>
                <c:pt idx="52">
                  <c:v>627.14566056096169</c:v>
                </c:pt>
                <c:pt idx="53">
                  <c:v>644.51408642997535</c:v>
                </c:pt>
                <c:pt idx="54">
                  <c:v>661.81232455793315</c:v>
                </c:pt>
                <c:pt idx="55">
                  <c:v>679.04181674653091</c:v>
                </c:pt>
                <c:pt idx="56">
                  <c:v>696.20399736289437</c:v>
                </c:pt>
                <c:pt idx="57">
                  <c:v>713.30029139456224</c:v>
                </c:pt>
                <c:pt idx="58">
                  <c:v>730.33211265228442</c:v>
                </c:pt>
                <c:pt idx="59">
                  <c:v>747.30086211789455</c:v>
                </c:pt>
                <c:pt idx="60">
                  <c:v>764.20792643379093</c:v>
                </c:pt>
                <c:pt idx="61">
                  <c:v>781.05467652992729</c:v>
                </c:pt>
                <c:pt idx="62">
                  <c:v>797.84246638370087</c:v>
                </c:pt>
                <c:pt idx="63">
                  <c:v>814.5726319076914</c:v>
                </c:pt>
                <c:pt idx="64">
                  <c:v>831.24648995987013</c:v>
                </c:pt>
                <c:pt idx="65">
                  <c:v>847.86533747063822</c:v>
                </c:pt>
                <c:pt idx="66">
                  <c:v>864.43045068087713</c:v>
                </c:pt>
                <c:pt idx="67">
                  <c:v>880.9430844850765</c:v>
                </c:pt>
                <c:pt idx="68">
                  <c:v>897.40447187355528</c:v>
                </c:pt>
                <c:pt idx="69">
                  <c:v>913.81582346779248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B2B2B2"/>
              </a:solidFill>
              <a:prstDash val="solid"/>
            </a:ln>
          </c:spPr>
          <c:marker>
            <c:symbol val="none"/>
          </c:marker>
          <c:xVal>
            <c:numRef>
              <c:f>'Vertebrate_linear regression'!xdata2</c:f>
              <c:numCache>
                <c:formatCode>General</c:formatCode>
                <c:ptCount val="70"/>
                <c:pt idx="0">
                  <c:v>0</c:v>
                </c:pt>
                <c:pt idx="1">
                  <c:v>20.289855072463801</c:v>
                </c:pt>
                <c:pt idx="2">
                  <c:v>40.579710144927603</c:v>
                </c:pt>
                <c:pt idx="3">
                  <c:v>60.869565217391404</c:v>
                </c:pt>
                <c:pt idx="4">
                  <c:v>81.159420289855206</c:v>
                </c:pt>
                <c:pt idx="5">
                  <c:v>101.44927536231901</c:v>
                </c:pt>
                <c:pt idx="6">
                  <c:v>121.73913043478281</c:v>
                </c:pt>
                <c:pt idx="7">
                  <c:v>142.0289855072466</c:v>
                </c:pt>
                <c:pt idx="8">
                  <c:v>162.31884057971041</c:v>
                </c:pt>
                <c:pt idx="9">
                  <c:v>182.60869565217422</c:v>
                </c:pt>
                <c:pt idx="10">
                  <c:v>202.89855072463803</c:v>
                </c:pt>
                <c:pt idx="11">
                  <c:v>223.18840579710181</c:v>
                </c:pt>
                <c:pt idx="12">
                  <c:v>243.47826086956562</c:v>
                </c:pt>
                <c:pt idx="13">
                  <c:v>263.7681159420294</c:v>
                </c:pt>
                <c:pt idx="14">
                  <c:v>284.05797101449321</c:v>
                </c:pt>
                <c:pt idx="15">
                  <c:v>304.34782608695701</c:v>
                </c:pt>
                <c:pt idx="16">
                  <c:v>324.63768115942082</c:v>
                </c:pt>
                <c:pt idx="17">
                  <c:v>344.92753623188463</c:v>
                </c:pt>
                <c:pt idx="18">
                  <c:v>365.21739130434844</c:v>
                </c:pt>
                <c:pt idx="19">
                  <c:v>385.50724637681225</c:v>
                </c:pt>
                <c:pt idx="20">
                  <c:v>405.79710144927606</c:v>
                </c:pt>
                <c:pt idx="21">
                  <c:v>426.08695652173981</c:v>
                </c:pt>
                <c:pt idx="22">
                  <c:v>446.37681159420362</c:v>
                </c:pt>
                <c:pt idx="23">
                  <c:v>466.66666666666742</c:v>
                </c:pt>
                <c:pt idx="24">
                  <c:v>486.95652173913123</c:v>
                </c:pt>
                <c:pt idx="25">
                  <c:v>507.24637681159504</c:v>
                </c:pt>
                <c:pt idx="26">
                  <c:v>527.53623188405879</c:v>
                </c:pt>
                <c:pt idx="27">
                  <c:v>547.82608695652266</c:v>
                </c:pt>
                <c:pt idx="28">
                  <c:v>568.11594202898641</c:v>
                </c:pt>
                <c:pt idx="29">
                  <c:v>588.40579710145028</c:v>
                </c:pt>
                <c:pt idx="30">
                  <c:v>608.69565217391403</c:v>
                </c:pt>
                <c:pt idx="31">
                  <c:v>628.98550724637789</c:v>
                </c:pt>
                <c:pt idx="32">
                  <c:v>649.27536231884164</c:v>
                </c:pt>
                <c:pt idx="33">
                  <c:v>669.5652173913054</c:v>
                </c:pt>
                <c:pt idx="34">
                  <c:v>689.85507246376926</c:v>
                </c:pt>
                <c:pt idx="35">
                  <c:v>710.14492753623301</c:v>
                </c:pt>
                <c:pt idx="36">
                  <c:v>730.43478260869688</c:v>
                </c:pt>
                <c:pt idx="37">
                  <c:v>750.72463768116063</c:v>
                </c:pt>
                <c:pt idx="38">
                  <c:v>771.01449275362449</c:v>
                </c:pt>
                <c:pt idx="39">
                  <c:v>791.30434782608825</c:v>
                </c:pt>
                <c:pt idx="40">
                  <c:v>811.59420289855211</c:v>
                </c:pt>
                <c:pt idx="41">
                  <c:v>831.88405797101586</c:v>
                </c:pt>
                <c:pt idx="42">
                  <c:v>852.17391304347962</c:v>
                </c:pt>
                <c:pt idx="43">
                  <c:v>872.46376811594348</c:v>
                </c:pt>
                <c:pt idx="44">
                  <c:v>892.75362318840723</c:v>
                </c:pt>
                <c:pt idx="45">
                  <c:v>913.0434782608711</c:v>
                </c:pt>
                <c:pt idx="46">
                  <c:v>933.33333333333485</c:v>
                </c:pt>
                <c:pt idx="47">
                  <c:v>953.62318840579871</c:v>
                </c:pt>
                <c:pt idx="48">
                  <c:v>973.91304347826247</c:v>
                </c:pt>
                <c:pt idx="49">
                  <c:v>994.20289855072622</c:v>
                </c:pt>
                <c:pt idx="50">
                  <c:v>1014.4927536231901</c:v>
                </c:pt>
                <c:pt idx="51">
                  <c:v>1034.7826086956538</c:v>
                </c:pt>
                <c:pt idx="52">
                  <c:v>1055.0724637681176</c:v>
                </c:pt>
                <c:pt idx="53">
                  <c:v>1075.3623188405816</c:v>
                </c:pt>
                <c:pt idx="54">
                  <c:v>1095.6521739130453</c:v>
                </c:pt>
                <c:pt idx="55">
                  <c:v>1115.9420289855091</c:v>
                </c:pt>
                <c:pt idx="56">
                  <c:v>1136.2318840579728</c:v>
                </c:pt>
                <c:pt idx="57">
                  <c:v>1156.5217391304366</c:v>
                </c:pt>
                <c:pt idx="58">
                  <c:v>1176.8115942029006</c:v>
                </c:pt>
                <c:pt idx="59">
                  <c:v>1197.1014492753643</c:v>
                </c:pt>
                <c:pt idx="60">
                  <c:v>1217.3913043478281</c:v>
                </c:pt>
                <c:pt idx="61">
                  <c:v>1237.6811594202918</c:v>
                </c:pt>
                <c:pt idx="62">
                  <c:v>1257.9710144927558</c:v>
                </c:pt>
                <c:pt idx="63">
                  <c:v>1278.2608695652195</c:v>
                </c:pt>
                <c:pt idx="64">
                  <c:v>1298.5507246376833</c:v>
                </c:pt>
                <c:pt idx="65">
                  <c:v>1318.840579710147</c:v>
                </c:pt>
                <c:pt idx="66">
                  <c:v>1339.1304347826108</c:v>
                </c:pt>
                <c:pt idx="67">
                  <c:v>1359.4202898550748</c:v>
                </c:pt>
                <c:pt idx="68">
                  <c:v>1379.7101449275385</c:v>
                </c:pt>
                <c:pt idx="69">
                  <c:v>1400.0000000000023</c:v>
                </c:pt>
              </c:numCache>
            </c:numRef>
          </c:xVal>
          <c:yVal>
            <c:numRef>
              <c:f>'Vertebrate_linear regression'!ydata2</c:f>
              <c:numCache>
                <c:formatCode>General</c:formatCode>
                <c:ptCount val="70"/>
                <c:pt idx="0">
                  <c:v>400.12118402293413</c:v>
                </c:pt>
                <c:pt idx="1">
                  <c:v>418.47527649151107</c:v>
                </c:pt>
                <c:pt idx="2">
                  <c:v>436.91828107423902</c:v>
                </c:pt>
                <c:pt idx="3">
                  <c:v>455.45144623930088</c:v>
                </c:pt>
                <c:pt idx="4">
                  <c:v>474.07598128488735</c:v>
                </c:pt>
                <c:pt idx="5">
                  <c:v>492.79305265590551</c:v>
                </c:pt>
                <c:pt idx="6">
                  <c:v>511.60378027820803</c:v>
                </c:pt>
                <c:pt idx="7">
                  <c:v>530.50923393377343</c:v>
                </c:pt>
                <c:pt idx="8">
                  <c:v>549.51042970118169</c:v>
                </c:pt>
                <c:pt idx="9">
                  <c:v>568.60832648640132</c:v>
                </c:pt>
                <c:pt idx="10">
                  <c:v>587.80382266928655</c:v>
                </c:pt>
                <c:pt idx="11">
                  <c:v>607.0977528912864</c:v>
                </c:pt>
                <c:pt idx="12">
                  <c:v>626.49088500962864</c:v>
                </c:pt>
                <c:pt idx="13">
                  <c:v>645.9839172426905</c:v>
                </c:pt>
                <c:pt idx="14">
                  <c:v>665.57747553035733</c:v>
                </c:pt>
                <c:pt idx="15">
                  <c:v>685.27211113193755</c:v>
                </c:pt>
                <c:pt idx="16">
                  <c:v>705.06829848261111</c:v>
                </c:pt>
                <c:pt idx="17">
                  <c:v>724.96643332750114</c:v>
                </c:pt>
                <c:pt idx="18">
                  <c:v>744.96683115025075</c:v>
                </c:pt>
                <c:pt idx="19">
                  <c:v>765.06972591051908</c:v>
                </c:pt>
                <c:pt idx="20">
                  <c:v>785.27526910210622</c:v>
                </c:pt>
                <c:pt idx="21">
                  <c:v>805.58352914051636</c:v>
                </c:pt>
                <c:pt idx="22">
                  <c:v>825.99449108571798</c:v>
                </c:pt>
                <c:pt idx="23">
                  <c:v>846.50805670272052</c:v>
                </c:pt>
                <c:pt idx="24">
                  <c:v>867.12404485939305</c:v>
                </c:pt>
                <c:pt idx="25">
                  <c:v>887.84219225777611</c:v>
                </c:pt>
                <c:pt idx="26">
                  <c:v>908.66215449201673</c:v>
                </c:pt>
                <c:pt idx="27">
                  <c:v>929.58350742306175</c:v>
                </c:pt>
                <c:pt idx="28">
                  <c:v>950.60574885740311</c:v>
                </c:pt>
                <c:pt idx="29">
                  <c:v>971.72830051455287</c:v>
                </c:pt>
                <c:pt idx="30">
                  <c:v>992.95051026553483</c:v>
                </c:pt>
                <c:pt idx="31">
                  <c:v>1014.2716546225977</c:v>
                </c:pt>
                <c:pt idx="32">
                  <c:v>1035.6909414585596</c:v>
                </c:pt>
                <c:pt idx="33">
                  <c:v>1057.2075129327388</c:v>
                </c:pt>
                <c:pt idx="34">
                  <c:v>1078.8204485993008</c:v>
                </c:pt>
                <c:pt idx="35">
                  <c:v>1100.5287686730735</c:v>
                </c:pt>
                <c:pt idx="36">
                  <c:v>1122.3314374274478</c:v>
                </c:pt>
                <c:pt idx="37">
                  <c:v>1144.2273666988581</c:v>
                </c:pt>
                <c:pt idx="38">
                  <c:v>1166.2154194725517</c:v>
                </c:pt>
                <c:pt idx="39">
                  <c:v>1188.2944135248372</c:v>
                </c:pt>
                <c:pt idx="40">
                  <c:v>1210.4631250977757</c:v>
                </c:pt>
                <c:pt idx="41">
                  <c:v>1232.7202925832555</c:v>
                </c:pt>
                <c:pt idx="42">
                  <c:v>1255.0646201946147</c:v>
                </c:pt>
                <c:pt idx="43">
                  <c:v>1277.49478160533</c:v>
                </c:pt>
                <c:pt idx="44">
                  <c:v>1300.0094235358213</c:v>
                </c:pt>
                <c:pt idx="45">
                  <c:v>1322.607169271025</c:v>
                </c:pt>
                <c:pt idx="46">
                  <c:v>1345.2866220930966</c:v>
                </c:pt>
                <c:pt idx="47">
                  <c:v>1368.04636861533</c:v>
                </c:pt>
                <c:pt idx="48">
                  <c:v>1390.884982005131</c:v>
                </c:pt>
                <c:pt idx="49">
                  <c:v>1413.8010250856316</c:v>
                </c:pt>
                <c:pt idx="50">
                  <c:v>1436.7930533072247</c:v>
                </c:pt>
                <c:pt idx="51">
                  <c:v>1459.8596175819534</c:v>
                </c:pt>
                <c:pt idx="52">
                  <c:v>1482.9992669752735</c:v>
                </c:pt>
                <c:pt idx="53">
                  <c:v>1506.2105512511878</c:v>
                </c:pt>
                <c:pt idx="54">
                  <c:v>1529.4920232681575</c:v>
                </c:pt>
                <c:pt idx="55">
                  <c:v>1552.8422412244872</c:v>
                </c:pt>
                <c:pt idx="56">
                  <c:v>1576.2597707530513</c:v>
                </c:pt>
                <c:pt idx="57">
                  <c:v>1599.7431868663109</c:v>
                </c:pt>
                <c:pt idx="58">
                  <c:v>1623.2910757535167</c:v>
                </c:pt>
                <c:pt idx="59">
                  <c:v>1646.9020364328339</c:v>
                </c:pt>
                <c:pt idx="60">
                  <c:v>1670.5746822618653</c:v>
                </c:pt>
                <c:pt idx="61">
                  <c:v>1694.3076423106563</c:v>
                </c:pt>
                <c:pt idx="62">
                  <c:v>1718.0995626018107</c:v>
                </c:pt>
                <c:pt idx="63">
                  <c:v>1741.9491072227477</c:v>
                </c:pt>
                <c:pt idx="64">
                  <c:v>1765.8549593154964</c:v>
                </c:pt>
                <c:pt idx="65">
                  <c:v>1789.8158219496559</c:v>
                </c:pt>
                <c:pt idx="66">
                  <c:v>1813.8304188843445</c:v>
                </c:pt>
                <c:pt idx="67">
                  <c:v>1837.897495225073</c:v>
                </c:pt>
                <c:pt idx="68">
                  <c:v>1862.0158179815216</c:v>
                </c:pt>
                <c:pt idx="69">
                  <c:v>1886.1841765322119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400"/>
        <c:axId val="46600576"/>
      </c:scatterChart>
      <c:valAx>
        <c:axId val="46598400"/>
        <c:scaling>
          <c:orientation val="minMax"/>
          <c:max val="1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Pred(Vertebrate (g))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00576"/>
        <c:crosses val="autoZero"/>
        <c:crossBetween val="midCat"/>
        <c:majorUnit val="200"/>
      </c:valAx>
      <c:valAx>
        <c:axId val="46600576"/>
        <c:scaling>
          <c:orientation val="minMax"/>
          <c:max val="1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Vertebrate (g)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598400"/>
        <c:crosses val="autoZero"/>
        <c:crossBetween val="midCat"/>
        <c:majorUnit val="200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Standardized residuals / Vertebrate (g)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Active</c:v>
          </c:tx>
          <c:spPr>
            <a:solidFill>
              <a:srgbClr val="0000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'Vertebrate_linear regression'!$B$97:$B$221</c:f>
              <c:strCache>
                <c:ptCount val="12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</c:strCache>
            </c:strRef>
          </c:cat>
          <c:val>
            <c:numRef>
              <c:f>'Vertebrate_linear regression'!$G$97:$G$221</c:f>
              <c:numCache>
                <c:formatCode>0.000</c:formatCode>
                <c:ptCount val="125"/>
                <c:pt idx="0">
                  <c:v>-0.82218956251296316</c:v>
                </c:pt>
                <c:pt idx="1">
                  <c:v>-1.5411365274993736</c:v>
                </c:pt>
                <c:pt idx="2">
                  <c:v>-1.475062015594589</c:v>
                </c:pt>
                <c:pt idx="3">
                  <c:v>0.72542001327710282</c:v>
                </c:pt>
                <c:pt idx="4">
                  <c:v>1.1028564016399656</c:v>
                </c:pt>
                <c:pt idx="5">
                  <c:v>0.42718316921049182</c:v>
                </c:pt>
                <c:pt idx="6">
                  <c:v>2.1271095910066102</c:v>
                </c:pt>
                <c:pt idx="7">
                  <c:v>0.34123340541998881</c:v>
                </c:pt>
                <c:pt idx="8">
                  <c:v>-0.22371382357106756</c:v>
                </c:pt>
                <c:pt idx="9">
                  <c:v>-0.48755437167962618</c:v>
                </c:pt>
                <c:pt idx="10">
                  <c:v>-0.37026519480403225</c:v>
                </c:pt>
                <c:pt idx="11">
                  <c:v>-0.95562392865312951</c:v>
                </c:pt>
                <c:pt idx="12">
                  <c:v>-0.86393086882454551</c:v>
                </c:pt>
                <c:pt idx="13">
                  <c:v>-0.53577609980047658</c:v>
                </c:pt>
                <c:pt idx="14">
                  <c:v>-0.80131238613236333</c:v>
                </c:pt>
                <c:pt idx="15">
                  <c:v>7.7306077841456336E-2</c:v>
                </c:pt>
                <c:pt idx="16">
                  <c:v>0.89055299746272665</c:v>
                </c:pt>
                <c:pt idx="17">
                  <c:v>0.61939947793154615</c:v>
                </c:pt>
                <c:pt idx="18">
                  <c:v>0.68674972173707061</c:v>
                </c:pt>
                <c:pt idx="19">
                  <c:v>2.1197896640259817</c:v>
                </c:pt>
                <c:pt idx="20">
                  <c:v>3.4646659387949299</c:v>
                </c:pt>
                <c:pt idx="21">
                  <c:v>2.8714518468138257</c:v>
                </c:pt>
                <c:pt idx="22">
                  <c:v>3.3028897504668682</c:v>
                </c:pt>
                <c:pt idx="23">
                  <c:v>0.62709968866743748</c:v>
                </c:pt>
                <c:pt idx="24">
                  <c:v>1.007554315028637</c:v>
                </c:pt>
                <c:pt idx="25">
                  <c:v>0.27958100998363639</c:v>
                </c:pt>
                <c:pt idx="26">
                  <c:v>-0.59014562993951292</c:v>
                </c:pt>
                <c:pt idx="27">
                  <c:v>-0.40157488986226469</c:v>
                </c:pt>
                <c:pt idx="28">
                  <c:v>-0.29956803637691587</c:v>
                </c:pt>
                <c:pt idx="29">
                  <c:v>-1.0008291434641767</c:v>
                </c:pt>
                <c:pt idx="30">
                  <c:v>0.69952035856086847</c:v>
                </c:pt>
                <c:pt idx="31">
                  <c:v>0.5870563683695732</c:v>
                </c:pt>
                <c:pt idx="32">
                  <c:v>-0.33156323228127466</c:v>
                </c:pt>
                <c:pt idx="33">
                  <c:v>1.2699758704920521E-2</c:v>
                </c:pt>
                <c:pt idx="34">
                  <c:v>0.98562745139098495</c:v>
                </c:pt>
                <c:pt idx="35">
                  <c:v>-0.95995193115105393</c:v>
                </c:pt>
                <c:pt idx="36">
                  <c:v>-0.26699226910125556</c:v>
                </c:pt>
                <c:pt idx="37">
                  <c:v>-0.50658532768113018</c:v>
                </c:pt>
                <c:pt idx="38">
                  <c:v>-0.33000717444528616</c:v>
                </c:pt>
                <c:pt idx="39">
                  <c:v>-0.86043132640736386</c:v>
                </c:pt>
                <c:pt idx="40">
                  <c:v>-0.82104831057297389</c:v>
                </c:pt>
                <c:pt idx="41">
                  <c:v>-0.51833966108441543</c:v>
                </c:pt>
                <c:pt idx="42">
                  <c:v>-0.21579306858763844</c:v>
                </c:pt>
                <c:pt idx="43">
                  <c:v>-2.5322858503103971</c:v>
                </c:pt>
                <c:pt idx="44">
                  <c:v>1.44056856356588</c:v>
                </c:pt>
                <c:pt idx="45">
                  <c:v>0.4589335109196257</c:v>
                </c:pt>
                <c:pt idx="46">
                  <c:v>0.47103734250918244</c:v>
                </c:pt>
                <c:pt idx="47">
                  <c:v>0.46723071287415263</c:v>
                </c:pt>
                <c:pt idx="48">
                  <c:v>0.77788598652717023</c:v>
                </c:pt>
                <c:pt idx="49">
                  <c:v>0.67340702977336364</c:v>
                </c:pt>
                <c:pt idx="50">
                  <c:v>1.3174584536125005</c:v>
                </c:pt>
                <c:pt idx="51">
                  <c:v>1.0577157537841733</c:v>
                </c:pt>
                <c:pt idx="52">
                  <c:v>-2.3935204406332891</c:v>
                </c:pt>
                <c:pt idx="53">
                  <c:v>-0.16888408886549752</c:v>
                </c:pt>
                <c:pt idx="54">
                  <c:v>-0.34249457118986371</c:v>
                </c:pt>
                <c:pt idx="55">
                  <c:v>-0.12586569462711236</c:v>
                </c:pt>
                <c:pt idx="56">
                  <c:v>0.76501125491259436</c:v>
                </c:pt>
                <c:pt idx="57">
                  <c:v>-0.22613229834105755</c:v>
                </c:pt>
                <c:pt idx="58">
                  <c:v>0.5442241049954053</c:v>
                </c:pt>
                <c:pt idx="59">
                  <c:v>-1.4597913593050731</c:v>
                </c:pt>
                <c:pt idx="60">
                  <c:v>-0.31554946529380884</c:v>
                </c:pt>
                <c:pt idx="61">
                  <c:v>-0.69275176658814952</c:v>
                </c:pt>
                <c:pt idx="62">
                  <c:v>-1.5023312917998222</c:v>
                </c:pt>
                <c:pt idx="63">
                  <c:v>-1.8157308361257187</c:v>
                </c:pt>
                <c:pt idx="64">
                  <c:v>-0.74476434553019533</c:v>
                </c:pt>
                <c:pt idx="65">
                  <c:v>-0.16582578666772022</c:v>
                </c:pt>
                <c:pt idx="66">
                  <c:v>-0.30385493660331264</c:v>
                </c:pt>
                <c:pt idx="67">
                  <c:v>-1.4775460301600376</c:v>
                </c:pt>
                <c:pt idx="68">
                  <c:v>-7.8589705049244118E-2</c:v>
                </c:pt>
                <c:pt idx="69">
                  <c:v>-0.23375126931136642</c:v>
                </c:pt>
                <c:pt idx="70">
                  <c:v>0.15326808939410641</c:v>
                </c:pt>
                <c:pt idx="71">
                  <c:v>-0.44816142594459185</c:v>
                </c:pt>
                <c:pt idx="72">
                  <c:v>-1.9757759959462893</c:v>
                </c:pt>
                <c:pt idx="73">
                  <c:v>-0.39207197090454543</c:v>
                </c:pt>
                <c:pt idx="74">
                  <c:v>-0.73586773377684755</c:v>
                </c:pt>
                <c:pt idx="75">
                  <c:v>-0.61584012314625391</c:v>
                </c:pt>
                <c:pt idx="76">
                  <c:v>-0.41468317499063834</c:v>
                </c:pt>
                <c:pt idx="77">
                  <c:v>-0.35489641914761072</c:v>
                </c:pt>
                <c:pt idx="78">
                  <c:v>-0.50910977652050471</c:v>
                </c:pt>
                <c:pt idx="79">
                  <c:v>-0.10041345355378775</c:v>
                </c:pt>
                <c:pt idx="80">
                  <c:v>-0.16268215962392238</c:v>
                </c:pt>
                <c:pt idx="81">
                  <c:v>-0.17110087965221055</c:v>
                </c:pt>
                <c:pt idx="82">
                  <c:v>0.24700919646631334</c:v>
                </c:pt>
                <c:pt idx="83">
                  <c:v>-2.1696986749212939</c:v>
                </c:pt>
                <c:pt idx="84">
                  <c:v>-0.31283488934004633</c:v>
                </c:pt>
                <c:pt idx="85">
                  <c:v>1.137556140291704</c:v>
                </c:pt>
                <c:pt idx="86">
                  <c:v>0.17247970831973028</c:v>
                </c:pt>
                <c:pt idx="87">
                  <c:v>-0.50680134219521589</c:v>
                </c:pt>
                <c:pt idx="88">
                  <c:v>0.12006217545993017</c:v>
                </c:pt>
                <c:pt idx="89">
                  <c:v>-0.2814866608013929</c:v>
                </c:pt>
                <c:pt idx="90">
                  <c:v>0.37190559276704627</c:v>
                </c:pt>
                <c:pt idx="91">
                  <c:v>0.6156714102646873</c:v>
                </c:pt>
                <c:pt idx="92">
                  <c:v>-1.9933285322726153E-2</c:v>
                </c:pt>
                <c:pt idx="93">
                  <c:v>-0.31807045540946388</c:v>
                </c:pt>
                <c:pt idx="94">
                  <c:v>0.45083392753147988</c:v>
                </c:pt>
                <c:pt idx="95">
                  <c:v>-0.23203460618871999</c:v>
                </c:pt>
                <c:pt idx="96">
                  <c:v>-0.2394535865699563</c:v>
                </c:pt>
                <c:pt idx="97">
                  <c:v>-0.37977509965686057</c:v>
                </c:pt>
                <c:pt idx="98">
                  <c:v>-0.7074852040956543</c:v>
                </c:pt>
                <c:pt idx="99">
                  <c:v>-0.54540606379692014</c:v>
                </c:pt>
                <c:pt idx="100">
                  <c:v>-0.12102917402022725</c:v>
                </c:pt>
                <c:pt idx="101">
                  <c:v>-0.445722740141693</c:v>
                </c:pt>
                <c:pt idx="102">
                  <c:v>7.1697844397204294E-2</c:v>
                </c:pt>
                <c:pt idx="103">
                  <c:v>-9.8170299940372588E-2</c:v>
                </c:pt>
                <c:pt idx="104">
                  <c:v>-0.56322854892623264</c:v>
                </c:pt>
                <c:pt idx="105">
                  <c:v>1.7136288011333856</c:v>
                </c:pt>
                <c:pt idx="106">
                  <c:v>0.35209885377698308</c:v>
                </c:pt>
                <c:pt idx="107">
                  <c:v>0.84663286778600089</c:v>
                </c:pt>
                <c:pt idx="108">
                  <c:v>0.51082860906430327</c:v>
                </c:pt>
                <c:pt idx="109">
                  <c:v>0.33287918318207066</c:v>
                </c:pt>
                <c:pt idx="110">
                  <c:v>0.92466599365740731</c:v>
                </c:pt>
                <c:pt idx="111">
                  <c:v>1.0194878952783089</c:v>
                </c:pt>
                <c:pt idx="112">
                  <c:v>0.72763113265468482</c:v>
                </c:pt>
                <c:pt idx="113">
                  <c:v>0.23764967325192771</c:v>
                </c:pt>
                <c:pt idx="114">
                  <c:v>-9.6588761575930146E-2</c:v>
                </c:pt>
                <c:pt idx="115">
                  <c:v>-0.49826293912196218</c:v>
                </c:pt>
                <c:pt idx="116">
                  <c:v>-0.74867938464530936</c:v>
                </c:pt>
                <c:pt idx="117">
                  <c:v>-0.39437373706489404</c:v>
                </c:pt>
                <c:pt idx="118">
                  <c:v>-0.17518230693583947</c:v>
                </c:pt>
                <c:pt idx="119">
                  <c:v>0.33504345460563917</c:v>
                </c:pt>
                <c:pt idx="120">
                  <c:v>-3.75674811014474E-4</c:v>
                </c:pt>
                <c:pt idx="121">
                  <c:v>0.68359205963703396</c:v>
                </c:pt>
                <c:pt idx="122">
                  <c:v>2.2442766786668114</c:v>
                </c:pt>
                <c:pt idx="123">
                  <c:v>1.0585171234745958</c:v>
                </c:pt>
                <c:pt idx="124">
                  <c:v>-0.76237506575200609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08768"/>
        <c:axId val="46610688"/>
      </c:barChart>
      <c:catAx>
        <c:axId val="4660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Observations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10688"/>
        <c:crosses val="autoZero"/>
        <c:auto val="1"/>
        <c:lblAlgn val="ctr"/>
        <c:lblOffset val="100"/>
        <c:noMultiLvlLbl val="0"/>
      </c:catAx>
      <c:valAx>
        <c:axId val="46610688"/>
        <c:scaling>
          <c:orientation val="minMax"/>
          <c:max val="3.5"/>
          <c:min val="-3.5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0876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70610630857693E-2"/>
          <c:y val="9.6103705948313106E-2"/>
          <c:w val="0.82346290811507861"/>
          <c:h val="0.8163674511947171"/>
        </c:manualLayout>
      </c:layout>
      <c:lineChart>
        <c:grouping val="standard"/>
        <c:varyColors val="0"/>
        <c:ser>
          <c:idx val="0"/>
          <c:order val="0"/>
          <c:tx>
            <c:strRef>
              <c:f>Talimbue_E_densities!$B$1</c:f>
              <c:strCache>
                <c:ptCount val="1"/>
                <c:pt idx="0">
                  <c:v>Lithics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Talimbue_E_densities!$B$2:$B$87</c:f>
              <c:numCache>
                <c:formatCode>0.00</c:formatCode>
                <c:ptCount val="86"/>
                <c:pt idx="0" formatCode="General">
                  <c:v>0</c:v>
                </c:pt>
                <c:pt idx="1">
                  <c:v>3.9548387096774191</c:v>
                </c:pt>
                <c:pt idx="2">
                  <c:v>2.5044846843797601</c:v>
                </c:pt>
                <c:pt idx="3">
                  <c:v>2.7686350435624396</c:v>
                </c:pt>
                <c:pt idx="4">
                  <c:v>2.335314599233286</c:v>
                </c:pt>
                <c:pt idx="5">
                  <c:v>14.28684816255258</c:v>
                </c:pt>
                <c:pt idx="6">
                  <c:v>3.832826285366596</c:v>
                </c:pt>
                <c:pt idx="7">
                  <c:v>4.7274295572167917</c:v>
                </c:pt>
                <c:pt idx="8">
                  <c:v>6.7352581585629645</c:v>
                </c:pt>
                <c:pt idx="9">
                  <c:v>3.7655093910073982</c:v>
                </c:pt>
                <c:pt idx="10">
                  <c:v>8.8487652018204876</c:v>
                </c:pt>
                <c:pt idx="11">
                  <c:v>6.3899925037481262</c:v>
                </c:pt>
                <c:pt idx="12">
                  <c:v>5.495321959273527</c:v>
                </c:pt>
                <c:pt idx="13">
                  <c:v>2.9832214765100669</c:v>
                </c:pt>
                <c:pt idx="14">
                  <c:v>5.6539848539487911</c:v>
                </c:pt>
                <c:pt idx="15">
                  <c:v>10.060240963855422</c:v>
                </c:pt>
                <c:pt idx="16">
                  <c:v>6.3935802469135812</c:v>
                </c:pt>
                <c:pt idx="17">
                  <c:v>12.775411960748009</c:v>
                </c:pt>
                <c:pt idx="18">
                  <c:v>10.954513888888888</c:v>
                </c:pt>
                <c:pt idx="19">
                  <c:v>7.9817559863169887</c:v>
                </c:pt>
                <c:pt idx="20">
                  <c:v>7.0493695613567757</c:v>
                </c:pt>
                <c:pt idx="21">
                  <c:v>4.9831356560415117</c:v>
                </c:pt>
                <c:pt idx="22">
                  <c:v>6.4553831976654896</c:v>
                </c:pt>
                <c:pt idx="23">
                  <c:v>5.8687013519049565</c:v>
                </c:pt>
                <c:pt idx="24">
                  <c:v>12.109135499693442</c:v>
                </c:pt>
                <c:pt idx="25">
                  <c:v>6.9241241604646948</c:v>
                </c:pt>
                <c:pt idx="26">
                  <c:v>9.41360437842064</c:v>
                </c:pt>
                <c:pt idx="27">
                  <c:v>8.6840545346769407</c:v>
                </c:pt>
                <c:pt idx="28">
                  <c:v>6.6169154228855733</c:v>
                </c:pt>
                <c:pt idx="29">
                  <c:v>7.3703108759331002</c:v>
                </c:pt>
                <c:pt idx="30">
                  <c:v>13.917282591602458</c:v>
                </c:pt>
                <c:pt idx="31">
                  <c:v>9.7633136094674562</c:v>
                </c:pt>
                <c:pt idx="32">
                  <c:v>9.2536099247508634</c:v>
                </c:pt>
                <c:pt idx="33">
                  <c:v>14.514054749219179</c:v>
                </c:pt>
                <c:pt idx="34">
                  <c:v>6.5428087465352629</c:v>
                </c:pt>
                <c:pt idx="35">
                  <c:v>10.928961748633879</c:v>
                </c:pt>
                <c:pt idx="36">
                  <c:v>7.3306467088850509</c:v>
                </c:pt>
                <c:pt idx="37">
                  <c:v>4.375</c:v>
                </c:pt>
                <c:pt idx="38">
                  <c:v>6.5202975557917107</c:v>
                </c:pt>
                <c:pt idx="39">
                  <c:v>2.6037852293766717</c:v>
                </c:pt>
                <c:pt idx="40">
                  <c:v>12.405651248306562</c:v>
                </c:pt>
                <c:pt idx="41">
                  <c:v>5.4131637168141591</c:v>
                </c:pt>
                <c:pt idx="42">
                  <c:v>4.6750463630743866</c:v>
                </c:pt>
                <c:pt idx="43">
                  <c:v>12.466307277628031</c:v>
                </c:pt>
                <c:pt idx="44">
                  <c:v>9.2685550376479036</c:v>
                </c:pt>
                <c:pt idx="45">
                  <c:v>10.707663782447467</c:v>
                </c:pt>
                <c:pt idx="46">
                  <c:v>16.602665461938106</c:v>
                </c:pt>
                <c:pt idx="47">
                  <c:v>7.1218798955613574</c:v>
                </c:pt>
                <c:pt idx="48">
                  <c:v>7.1187043957999645</c:v>
                </c:pt>
                <c:pt idx="49">
                  <c:v>4.6335014311026299</c:v>
                </c:pt>
                <c:pt idx="50">
                  <c:v>5.142755807767335</c:v>
                </c:pt>
                <c:pt idx="51">
                  <c:v>10.865066225165565</c:v>
                </c:pt>
                <c:pt idx="52">
                  <c:v>7.1510924369747899</c:v>
                </c:pt>
                <c:pt idx="53">
                  <c:v>11.794276875483373</c:v>
                </c:pt>
                <c:pt idx="54">
                  <c:v>5.1541945647892877</c:v>
                </c:pt>
                <c:pt idx="55">
                  <c:v>11.015997754701093</c:v>
                </c:pt>
                <c:pt idx="56">
                  <c:v>14.163524326312885</c:v>
                </c:pt>
                <c:pt idx="57">
                  <c:v>12.891658840604453</c:v>
                </c:pt>
                <c:pt idx="58">
                  <c:v>12.61439081284766</c:v>
                </c:pt>
                <c:pt idx="59">
                  <c:v>14.710972654897889</c:v>
                </c:pt>
                <c:pt idx="60">
                  <c:v>27.217309178329185</c:v>
                </c:pt>
                <c:pt idx="61">
                  <c:v>13.543258942219508</c:v>
                </c:pt>
                <c:pt idx="62">
                  <c:v>15.067048365225254</c:v>
                </c:pt>
                <c:pt idx="63">
                  <c:v>9.6858638743455501</c:v>
                </c:pt>
                <c:pt idx="64">
                  <c:v>23.802548703676578</c:v>
                </c:pt>
                <c:pt idx="65">
                  <c:v>20.681642137877621</c:v>
                </c:pt>
                <c:pt idx="66">
                  <c:v>13.781886663242597</c:v>
                </c:pt>
                <c:pt idx="67">
                  <c:v>6.4612190419694482</c:v>
                </c:pt>
                <c:pt idx="68">
                  <c:v>3.2564938479335366</c:v>
                </c:pt>
                <c:pt idx="69">
                  <c:v>0.64647227677896946</c:v>
                </c:pt>
                <c:pt idx="70">
                  <c:v>2.3791859866048424</c:v>
                </c:pt>
                <c:pt idx="71">
                  <c:v>1.3664888609978034</c:v>
                </c:pt>
                <c:pt idx="72">
                  <c:v>0.38993848857645003</c:v>
                </c:pt>
                <c:pt idx="73">
                  <c:v>0.60485211033565978</c:v>
                </c:pt>
                <c:pt idx="74">
                  <c:v>0.86551983927674525</c:v>
                </c:pt>
                <c:pt idx="75">
                  <c:v>0.35165306998711887</c:v>
                </c:pt>
                <c:pt idx="76">
                  <c:v>0.44395280235988205</c:v>
                </c:pt>
                <c:pt idx="77">
                  <c:v>3.3205275229357794</c:v>
                </c:pt>
                <c:pt idx="78">
                  <c:v>0.79069514055349743</c:v>
                </c:pt>
                <c:pt idx="79">
                  <c:v>6.1745689655172409E-2</c:v>
                </c:pt>
                <c:pt idx="80">
                  <c:v>0.1702720785013381</c:v>
                </c:pt>
                <c:pt idx="81">
                  <c:v>1.4697406340057636E-2</c:v>
                </c:pt>
                <c:pt idx="82">
                  <c:v>5.2948963082806291E-2</c:v>
                </c:pt>
                <c:pt idx="83">
                  <c:v>3.6875091094592617E-2</c:v>
                </c:pt>
                <c:pt idx="84">
                  <c:v>6.3640161537390341E-2</c:v>
                </c:pt>
                <c:pt idx="85">
                  <c:v>1.5912489275646526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Talimbue_E_densities!$C$1</c:f>
              <c:strCache>
                <c:ptCount val="1"/>
                <c:pt idx="0">
                  <c:v>Shellfish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Talimbue_E_densities!$C$2:$C$87</c:f>
              <c:numCache>
                <c:formatCode>0.00</c:formatCode>
                <c:ptCount val="86"/>
                <c:pt idx="0">
                  <c:v>3.0326856115915981</c:v>
                </c:pt>
                <c:pt idx="1">
                  <c:v>17.147707979626485</c:v>
                </c:pt>
                <c:pt idx="2">
                  <c:v>25.977322728041973</c:v>
                </c:pt>
                <c:pt idx="3">
                  <c:v>27.105517909002906</c:v>
                </c:pt>
                <c:pt idx="4">
                  <c:v>5.6272640945380372</c:v>
                </c:pt>
                <c:pt idx="5">
                  <c:v>22.779585681403283</c:v>
                </c:pt>
                <c:pt idx="6">
                  <c:v>18.862184362640708</c:v>
                </c:pt>
                <c:pt idx="7">
                  <c:v>16.580410197431476</c:v>
                </c:pt>
                <c:pt idx="8">
                  <c:v>19.373648076742217</c:v>
                </c:pt>
                <c:pt idx="9">
                  <c:v>13.090495162208308</c:v>
                </c:pt>
                <c:pt idx="10">
                  <c:v>21.189285980750579</c:v>
                </c:pt>
                <c:pt idx="11">
                  <c:v>21.926536731634183</c:v>
                </c:pt>
                <c:pt idx="12">
                  <c:v>16.029168959823885</c:v>
                </c:pt>
                <c:pt idx="13">
                  <c:v>18.160284247927358</c:v>
                </c:pt>
                <c:pt idx="14">
                  <c:v>15.236206274792641</c:v>
                </c:pt>
                <c:pt idx="15">
                  <c:v>10.240963855421688</c:v>
                </c:pt>
                <c:pt idx="16">
                  <c:v>11.193415637860083</c:v>
                </c:pt>
                <c:pt idx="17">
                  <c:v>12.219959266802444</c:v>
                </c:pt>
                <c:pt idx="18">
                  <c:v>16.840277777777779</c:v>
                </c:pt>
                <c:pt idx="19">
                  <c:v>14.680729760547319</c:v>
                </c:pt>
                <c:pt idx="20">
                  <c:v>19.712306872669153</c:v>
                </c:pt>
                <c:pt idx="21">
                  <c:v>20.756115641215715</c:v>
                </c:pt>
                <c:pt idx="22">
                  <c:v>16.740900015358623</c:v>
                </c:pt>
                <c:pt idx="23">
                  <c:v>21.712412945514135</c:v>
                </c:pt>
                <c:pt idx="24">
                  <c:v>25.90435315757205</c:v>
                </c:pt>
                <c:pt idx="25">
                  <c:v>28.589580686149937</c:v>
                </c:pt>
                <c:pt idx="26">
                  <c:v>18.530101641907738</c:v>
                </c:pt>
                <c:pt idx="27">
                  <c:v>21.932424422050978</c:v>
                </c:pt>
                <c:pt idx="28">
                  <c:v>27.363184079601993</c:v>
                </c:pt>
                <c:pt idx="29">
                  <c:v>21.638476802418975</c:v>
                </c:pt>
                <c:pt idx="30">
                  <c:v>18.16323321276931</c:v>
                </c:pt>
                <c:pt idx="31">
                  <c:v>15.088757396449706</c:v>
                </c:pt>
                <c:pt idx="32">
                  <c:v>18.405531828350618</c:v>
                </c:pt>
                <c:pt idx="33">
                  <c:v>20.301304427705308</c:v>
                </c:pt>
                <c:pt idx="34">
                  <c:v>10.856174930705267</c:v>
                </c:pt>
                <c:pt idx="35">
                  <c:v>17.21311475409836</c:v>
                </c:pt>
                <c:pt idx="36">
                  <c:v>21.205142966800999</c:v>
                </c:pt>
                <c:pt idx="37">
                  <c:v>22.017045454545453</c:v>
                </c:pt>
                <c:pt idx="38">
                  <c:v>17.428267800212542</c:v>
                </c:pt>
                <c:pt idx="39">
                  <c:v>7.0973050812590017</c:v>
                </c:pt>
                <c:pt idx="40">
                  <c:v>3.3868782659183281</c:v>
                </c:pt>
                <c:pt idx="41">
                  <c:v>5.7153392330383479</c:v>
                </c:pt>
                <c:pt idx="42">
                  <c:v>7.5211209561096224</c:v>
                </c:pt>
                <c:pt idx="43">
                  <c:v>9.0128032345013462</c:v>
                </c:pt>
                <c:pt idx="44">
                  <c:v>16.314091072068845</c:v>
                </c:pt>
                <c:pt idx="45">
                  <c:v>14.060568603213845</c:v>
                </c:pt>
                <c:pt idx="46">
                  <c:v>18.861531511181386</c:v>
                </c:pt>
                <c:pt idx="47">
                  <c:v>13.054830287206267</c:v>
                </c:pt>
                <c:pt idx="48">
                  <c:v>13.347570742124933</c:v>
                </c:pt>
                <c:pt idx="49">
                  <c:v>11.039934578165463</c:v>
                </c:pt>
                <c:pt idx="50">
                  <c:v>11.526866465685407</c:v>
                </c:pt>
                <c:pt idx="51">
                  <c:v>8.071192052980134</c:v>
                </c:pt>
                <c:pt idx="52" formatCode="General">
                  <c:v>0</c:v>
                </c:pt>
                <c:pt idx="53">
                  <c:v>4.5657385924207272</c:v>
                </c:pt>
                <c:pt idx="54" formatCode="General">
                  <c:v>0</c:v>
                </c:pt>
                <c:pt idx="55">
                  <c:v>0.63149031714847037</c:v>
                </c:pt>
                <c:pt idx="56">
                  <c:v>1.9313896808608479</c:v>
                </c:pt>
                <c:pt idx="57">
                  <c:v>5.4513788098693743</c:v>
                </c:pt>
                <c:pt idx="58">
                  <c:v>4.5092409833123996</c:v>
                </c:pt>
                <c:pt idx="59">
                  <c:v>2.8040844582900659</c:v>
                </c:pt>
                <c:pt idx="60">
                  <c:v>6.3645573967545293</c:v>
                </c:pt>
                <c:pt idx="61">
                  <c:v>4.3365943136655467</c:v>
                </c:pt>
                <c:pt idx="62">
                  <c:v>5.2565918336597868</c:v>
                </c:pt>
                <c:pt idx="63">
                  <c:v>0.24659685863874345</c:v>
                </c:pt>
                <c:pt idx="64">
                  <c:v>4.9153361652263072</c:v>
                </c:pt>
                <c:pt idx="65">
                  <c:v>1.5081332300542218</c:v>
                </c:pt>
                <c:pt idx="66">
                  <c:v>0.20544427324088343</c:v>
                </c:pt>
                <c:pt idx="67">
                  <c:v>0.10855702209698945</c:v>
                </c:pt>
                <c:pt idx="68">
                  <c:v>3.8489851719423707E-2</c:v>
                </c:pt>
                <c:pt idx="69">
                  <c:v>1.66188245958604E-3</c:v>
                </c:pt>
                <c:pt idx="70" formatCode="General">
                  <c:v>0</c:v>
                </c:pt>
                <c:pt idx="71">
                  <c:v>2.0395356134295575E-2</c:v>
                </c:pt>
                <c:pt idx="72">
                  <c:v>1.6805799648506155E-2</c:v>
                </c:pt>
                <c:pt idx="73">
                  <c:v>2.1823418632989918E-2</c:v>
                </c:pt>
                <c:pt idx="74">
                  <c:v>8.32496233048719E-2</c:v>
                </c:pt>
                <c:pt idx="75">
                  <c:v>4.8661800486617997E-3</c:v>
                </c:pt>
                <c:pt idx="76" formatCode="General">
                  <c:v>0</c:v>
                </c:pt>
                <c:pt idx="77">
                  <c:v>3.6983944954128441E-2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>
                  <c:v>8.6455331412103734E-4</c:v>
                </c:pt>
                <c:pt idx="82">
                  <c:v>7.7364318282100289E-2</c:v>
                </c:pt>
                <c:pt idx="83" formatCode="General">
                  <c:v>0</c:v>
                </c:pt>
                <c:pt idx="84" formatCode="General">
                  <c:v>0</c:v>
                </c:pt>
                <c:pt idx="85">
                  <c:v>1.8384605956612329E-3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Talimbue_E_densities!$D$1</c:f>
              <c:strCache>
                <c:ptCount val="1"/>
                <c:pt idx="0">
                  <c:v>Vertebrate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Talimbue_E_densities!$D$2:$D$87</c:f>
              <c:numCache>
                <c:formatCode>0.00</c:formatCode>
                <c:ptCount val="86"/>
                <c:pt idx="0">
                  <c:v>1.7625519487813095</c:v>
                </c:pt>
                <c:pt idx="1">
                  <c:v>4.9483870967741925</c:v>
                </c:pt>
                <c:pt idx="2">
                  <c:v>8.2738195972245734</c:v>
                </c:pt>
                <c:pt idx="3">
                  <c:v>7.6089060987415298</c:v>
                </c:pt>
                <c:pt idx="4">
                  <c:v>0.37298209826609929</c:v>
                </c:pt>
                <c:pt idx="5">
                  <c:v>7.8261766806889419</c:v>
                </c:pt>
                <c:pt idx="6">
                  <c:v>6.8194402190447221</c:v>
                </c:pt>
                <c:pt idx="7">
                  <c:v>7.1171171171171181</c:v>
                </c:pt>
                <c:pt idx="8">
                  <c:v>5.8916580457067624</c:v>
                </c:pt>
                <c:pt idx="9">
                  <c:v>0.57760793560452062</c:v>
                </c:pt>
                <c:pt idx="10">
                  <c:v>8.2518839065880769</c:v>
                </c:pt>
                <c:pt idx="11">
                  <c:v>6.5071214392803602</c:v>
                </c:pt>
                <c:pt idx="12">
                  <c:v>5.5729223995597135</c:v>
                </c:pt>
                <c:pt idx="13">
                  <c:v>4.6711409395973158</c:v>
                </c:pt>
                <c:pt idx="14">
                  <c:v>5.2600072124053368</c:v>
                </c:pt>
                <c:pt idx="15">
                  <c:v>4.3875502008032132</c:v>
                </c:pt>
                <c:pt idx="16">
                  <c:v>4.6156378600823045</c:v>
                </c:pt>
                <c:pt idx="17">
                  <c:v>5.9777818922421782</c:v>
                </c:pt>
                <c:pt idx="18">
                  <c:v>6.5064236111111118</c:v>
                </c:pt>
                <c:pt idx="19">
                  <c:v>6.7165051311288479</c:v>
                </c:pt>
                <c:pt idx="20">
                  <c:v>8.4583555318771104</c:v>
                </c:pt>
                <c:pt idx="21">
                  <c:v>7.1719792438843591E-2</c:v>
                </c:pt>
                <c:pt idx="22">
                  <c:v>6.4364920903087084</c:v>
                </c:pt>
                <c:pt idx="23">
                  <c:v>12.199713232281852</c:v>
                </c:pt>
                <c:pt idx="24">
                  <c:v>9.4278050275904395</c:v>
                </c:pt>
                <c:pt idx="25">
                  <c:v>7.3396260664367396</c:v>
                </c:pt>
                <c:pt idx="26">
                  <c:v>7.740422204847536</c:v>
                </c:pt>
                <c:pt idx="27">
                  <c:v>8.3876704208654402</c:v>
                </c:pt>
                <c:pt idx="28">
                  <c:v>9.0878938640132692</c:v>
                </c:pt>
                <c:pt idx="29">
                  <c:v>8.2615515449305477</c:v>
                </c:pt>
                <c:pt idx="30">
                  <c:v>6.7276301305236688</c:v>
                </c:pt>
                <c:pt idx="31">
                  <c:v>8.2767751479289942</c:v>
                </c:pt>
                <c:pt idx="32">
                  <c:v>9.5072198495017286</c:v>
                </c:pt>
                <c:pt idx="33">
                  <c:v>7.5629248576152843</c:v>
                </c:pt>
                <c:pt idx="34">
                  <c:v>5.5041576840160147</c:v>
                </c:pt>
                <c:pt idx="35">
                  <c:v>8.7205828779599273</c:v>
                </c:pt>
                <c:pt idx="36">
                  <c:v>6.8424486662828636</c:v>
                </c:pt>
                <c:pt idx="37">
                  <c:v>5.5434659090909086</c:v>
                </c:pt>
                <c:pt idx="38">
                  <c:v>5.2811902231668437</c:v>
                </c:pt>
                <c:pt idx="39">
                  <c:v>2.5089487759720224</c:v>
                </c:pt>
                <c:pt idx="40">
                  <c:v>2.7573059802593383</c:v>
                </c:pt>
                <c:pt idx="41">
                  <c:v>4.8785029498525079</c:v>
                </c:pt>
                <c:pt idx="42">
                  <c:v>3.6150834535338965</c:v>
                </c:pt>
                <c:pt idx="43">
                  <c:v>6.2021563342318045</c:v>
                </c:pt>
                <c:pt idx="44">
                  <c:v>6.7540337038365017</c:v>
                </c:pt>
                <c:pt idx="45">
                  <c:v>5.3535228677379481</c:v>
                </c:pt>
                <c:pt idx="46">
                  <c:v>14.412468940591822</c:v>
                </c:pt>
                <c:pt idx="47">
                  <c:v>7.676657963446476</c:v>
                </c:pt>
                <c:pt idx="48">
                  <c:v>9.5040042712226374</c:v>
                </c:pt>
                <c:pt idx="49">
                  <c:v>8.0441597383126613</c:v>
                </c:pt>
                <c:pt idx="50">
                  <c:v>7.4862564284447606</c:v>
                </c:pt>
                <c:pt idx="51">
                  <c:v>9.1297599337748352</c:v>
                </c:pt>
                <c:pt idx="52">
                  <c:v>7.8235294117647056</c:v>
                </c:pt>
                <c:pt idx="53">
                  <c:v>7.7103634957463258</c:v>
                </c:pt>
                <c:pt idx="54">
                  <c:v>5.124261520283576</c:v>
                </c:pt>
                <c:pt idx="55">
                  <c:v>4.6846758349705295</c:v>
                </c:pt>
                <c:pt idx="56">
                  <c:v>2.9412305711395192</c:v>
                </c:pt>
                <c:pt idx="57">
                  <c:v>2.9681550414069835</c:v>
                </c:pt>
                <c:pt idx="58">
                  <c:v>3.7992104790956396</c:v>
                </c:pt>
                <c:pt idx="59">
                  <c:v>4.3686396677050876</c:v>
                </c:pt>
                <c:pt idx="60">
                  <c:v>6.6429123379410999</c:v>
                </c:pt>
                <c:pt idx="61">
                  <c:v>5.4397737694894541</c:v>
                </c:pt>
                <c:pt idx="62">
                  <c:v>7.5793280096429125</c:v>
                </c:pt>
                <c:pt idx="63">
                  <c:v>11.884467713787087</c:v>
                </c:pt>
                <c:pt idx="64">
                  <c:v>8.5498754943606272</c:v>
                </c:pt>
                <c:pt idx="65">
                  <c:v>2.6955848179705661</c:v>
                </c:pt>
                <c:pt idx="66">
                  <c:v>0.71169320321862695</c:v>
                </c:pt>
                <c:pt idx="67">
                  <c:v>6.0210588758712727E-2</c:v>
                </c:pt>
                <c:pt idx="68">
                  <c:v>3.4388474077190027E-2</c:v>
                </c:pt>
                <c:pt idx="69">
                  <c:v>1.4050460794681974E-2</c:v>
                </c:pt>
                <c:pt idx="70">
                  <c:v>2.1981796324918427E-2</c:v>
                </c:pt>
                <c:pt idx="71">
                  <c:v>3.027925949168497E-2</c:v>
                </c:pt>
                <c:pt idx="72" formatCode="General">
                  <c:v>0</c:v>
                </c:pt>
                <c:pt idx="73">
                  <c:v>3.3565968760385506E-2</c:v>
                </c:pt>
                <c:pt idx="74">
                  <c:v>3.9176293319939721E-2</c:v>
                </c:pt>
                <c:pt idx="75" formatCode="General">
                  <c:v>0</c:v>
                </c:pt>
                <c:pt idx="76" formatCode="General">
                  <c:v>0</c:v>
                </c:pt>
                <c:pt idx="77">
                  <c:v>3.9277522935779817E-2</c:v>
                </c:pt>
                <c:pt idx="78">
                  <c:v>1.1876225757245586E-2</c:v>
                </c:pt>
                <c:pt idx="79">
                  <c:v>3.7715517241379303E-3</c:v>
                </c:pt>
                <c:pt idx="80" formatCode="General">
                  <c:v>0</c:v>
                </c:pt>
                <c:pt idx="81" formatCode="General">
                  <c:v>0</c:v>
                </c:pt>
                <c:pt idx="82">
                  <c:v>5.5890572142962194E-3</c:v>
                </c:pt>
                <c:pt idx="83">
                  <c:v>5.3927998833989202E-3</c:v>
                </c:pt>
                <c:pt idx="84">
                  <c:v>2.7851274195794459E-3</c:v>
                </c:pt>
                <c:pt idx="85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Talimbue_E_densities!$E$1</c:f>
              <c:strCache>
                <c:ptCount val="1"/>
                <c:pt idx="0">
                  <c:v>Plant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Talimbue_E_densities!$E$2:$E$87</c:f>
              <c:numCache>
                <c:formatCode>0.00</c:formatCode>
                <c:ptCount val="86"/>
                <c:pt idx="0" formatCode="General">
                  <c:v>0</c:v>
                </c:pt>
                <c:pt idx="1">
                  <c:v>1.7996604414261458E-2</c:v>
                </c:pt>
                <c:pt idx="2">
                  <c:v>4.6539177525808093E-2</c:v>
                </c:pt>
                <c:pt idx="3">
                  <c:v>5.5759922555663116E-2</c:v>
                </c:pt>
                <c:pt idx="4">
                  <c:v>0.16195969472092292</c:v>
                </c:pt>
                <c:pt idx="5">
                  <c:v>0.76069529327724417</c:v>
                </c:pt>
                <c:pt idx="6">
                  <c:v>0.7417097657438394</c:v>
                </c:pt>
                <c:pt idx="7">
                  <c:v>1.0576959938662067</c:v>
                </c:pt>
                <c:pt idx="8">
                  <c:v>9.0661149252327669E-2</c:v>
                </c:pt>
                <c:pt idx="9">
                  <c:v>0.14391413936092362</c:v>
                </c:pt>
                <c:pt idx="10">
                  <c:v>2.1487726628366781E-2</c:v>
                </c:pt>
                <c:pt idx="11">
                  <c:v>0.13155922038980508</c:v>
                </c:pt>
                <c:pt idx="12">
                  <c:v>4.9119427627958165E-2</c:v>
                </c:pt>
                <c:pt idx="13">
                  <c:v>0.54559810501381756</c:v>
                </c:pt>
                <c:pt idx="14">
                  <c:v>0.55535521096285601</c:v>
                </c:pt>
                <c:pt idx="15">
                  <c:v>0.33674698795180724</c:v>
                </c:pt>
                <c:pt idx="16">
                  <c:v>0.49662551440329222</c:v>
                </c:pt>
                <c:pt idx="17">
                  <c:v>0.13719681540455472</c:v>
                </c:pt>
                <c:pt idx="18">
                  <c:v>0.50642361111111112</c:v>
                </c:pt>
                <c:pt idx="19">
                  <c:v>0.15607183580387682</c:v>
                </c:pt>
                <c:pt idx="20">
                  <c:v>0.19428165512342391</c:v>
                </c:pt>
                <c:pt idx="21">
                  <c:v>0.10989621942179391</c:v>
                </c:pt>
                <c:pt idx="22">
                  <c:v>0.26447550299493167</c:v>
                </c:pt>
                <c:pt idx="23" formatCode="General">
                  <c:v>0</c:v>
                </c:pt>
                <c:pt idx="24">
                  <c:v>0.14209074187614965</c:v>
                </c:pt>
                <c:pt idx="25">
                  <c:v>7.4968233799237616E-2</c:v>
                </c:pt>
                <c:pt idx="26" formatCode="General">
                  <c:v>0</c:v>
                </c:pt>
                <c:pt idx="27">
                  <c:v>1.1410788381742738E-2</c:v>
                </c:pt>
                <c:pt idx="28">
                  <c:v>1.6086235489220568E-2</c:v>
                </c:pt>
                <c:pt idx="29">
                  <c:v>0.16970613247661345</c:v>
                </c:pt>
                <c:pt idx="30">
                  <c:v>0.21324107564082409</c:v>
                </c:pt>
                <c:pt idx="31">
                  <c:v>8.1952662721893499E-2</c:v>
                </c:pt>
                <c:pt idx="32">
                  <c:v>0.22717103925157617</c:v>
                </c:pt>
                <c:pt idx="33">
                  <c:v>0.23700165349990812</c:v>
                </c:pt>
                <c:pt idx="34">
                  <c:v>0.13689559593470899</c:v>
                </c:pt>
                <c:pt idx="35">
                  <c:v>0.21183970856102005</c:v>
                </c:pt>
                <c:pt idx="36">
                  <c:v>0.24160429859911725</c:v>
                </c:pt>
                <c:pt idx="37">
                  <c:v>0.25142045454545453</c:v>
                </c:pt>
                <c:pt idx="38">
                  <c:v>0.30414452709883105</c:v>
                </c:pt>
                <c:pt idx="39">
                  <c:v>9.9362271137626024E-2</c:v>
                </c:pt>
                <c:pt idx="40">
                  <c:v>0.17185988000774147</c:v>
                </c:pt>
                <c:pt idx="41">
                  <c:v>6.1946902654867249E-2</c:v>
                </c:pt>
                <c:pt idx="42">
                  <c:v>6.7793117659179891E-2</c:v>
                </c:pt>
                <c:pt idx="43">
                  <c:v>0.15953504043126684</c:v>
                </c:pt>
                <c:pt idx="44">
                  <c:v>9.2685550376479034E-2</c:v>
                </c:pt>
                <c:pt idx="45">
                  <c:v>2.0859085290482079E-2</c:v>
                </c:pt>
                <c:pt idx="46">
                  <c:v>7.7930878698893161E-2</c:v>
                </c:pt>
                <c:pt idx="47">
                  <c:v>2.0052219321148826E-2</c:v>
                </c:pt>
                <c:pt idx="48">
                  <c:v>6.7627691760099667E-2</c:v>
                </c:pt>
                <c:pt idx="49">
                  <c:v>1.3356957884694015E-2</c:v>
                </c:pt>
                <c:pt idx="50">
                  <c:v>1.2945557723000533E-2</c:v>
                </c:pt>
                <c:pt idx="51">
                  <c:v>1.1796357615894041E-2</c:v>
                </c:pt>
                <c:pt idx="52">
                  <c:v>2.8571428571428571E-2</c:v>
                </c:pt>
                <c:pt idx="53">
                  <c:v>5.2784222737819027E-2</c:v>
                </c:pt>
                <c:pt idx="54">
                  <c:v>6.0063016935801489E-2</c:v>
                </c:pt>
                <c:pt idx="55">
                  <c:v>4.3783328655627278E-2</c:v>
                </c:pt>
                <c:pt idx="56">
                  <c:v>5.0216131702382046E-2</c:v>
                </c:pt>
                <c:pt idx="57">
                  <c:v>5.460599334073251E-2</c:v>
                </c:pt>
                <c:pt idx="58">
                  <c:v>7.8952090436030881E-2</c:v>
                </c:pt>
                <c:pt idx="59">
                  <c:v>5.659397715472482E-2</c:v>
                </c:pt>
                <c:pt idx="60">
                  <c:v>6.5252854812398051E-2</c:v>
                </c:pt>
                <c:pt idx="61" formatCode="General">
                  <c:v>0</c:v>
                </c:pt>
                <c:pt idx="62">
                  <c:v>6.4788307970468596E-3</c:v>
                </c:pt>
                <c:pt idx="63">
                  <c:v>0.28429319371727746</c:v>
                </c:pt>
                <c:pt idx="64">
                  <c:v>3.1785557345832723E-2</c:v>
                </c:pt>
                <c:pt idx="65">
                  <c:v>5.1123160340821082E-3</c:v>
                </c:pt>
                <c:pt idx="66">
                  <c:v>1.2840267077555215E-2</c:v>
                </c:pt>
                <c:pt idx="67">
                  <c:v>4.3007563399080516E-3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>
                  <c:v>0.10632688927943763</c:v>
                </c:pt>
                <c:pt idx="73" formatCode="General">
                  <c:v>0</c:v>
                </c:pt>
                <c:pt idx="74" formatCode="General">
                  <c:v>0</c:v>
                </c:pt>
                <c:pt idx="75">
                  <c:v>1.4312294260769999E-4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Talimbue_E_densities!$F$1</c:f>
              <c:strCache>
                <c:ptCount val="1"/>
                <c:pt idx="0">
                  <c:v>Baked_clay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Talimbue_E_densities!$F$2:$F$87</c:f>
              <c:numCache>
                <c:formatCode>0.00</c:formatCode>
                <c:ptCount val="86"/>
                <c:pt idx="0">
                  <c:v>2.8080422329551834E-2</c:v>
                </c:pt>
                <c:pt idx="1">
                  <c:v>0.54329371816638361</c:v>
                </c:pt>
                <c:pt idx="2">
                  <c:v>0.67693349128448133</c:v>
                </c:pt>
                <c:pt idx="3">
                  <c:v>0.90029041626331074</c:v>
                </c:pt>
                <c:pt idx="4">
                  <c:v>0.39566700664720578</c:v>
                </c:pt>
                <c:pt idx="5">
                  <c:v>1.0953250257956979</c:v>
                </c:pt>
                <c:pt idx="6">
                  <c:v>1.4755095832065714</c:v>
                </c:pt>
                <c:pt idx="7">
                  <c:v>2.1947479394287908</c:v>
                </c:pt>
                <c:pt idx="8">
                  <c:v>3.2540205022101008</c:v>
                </c:pt>
                <c:pt idx="9">
                  <c:v>0.13009187738840552</c:v>
                </c:pt>
                <c:pt idx="10">
                  <c:v>0.30590166380661044</c:v>
                </c:pt>
                <c:pt idx="11" formatCode="General">
                  <c:v>0</c:v>
                </c:pt>
                <c:pt idx="12">
                  <c:v>5.5035773252614197E-2</c:v>
                </c:pt>
                <c:pt idx="13">
                  <c:v>0.6514015001973944</c:v>
                </c:pt>
                <c:pt idx="14" formatCode="General">
                  <c:v>0</c:v>
                </c:pt>
                <c:pt idx="15">
                  <c:v>0.80321285140562249</c:v>
                </c:pt>
                <c:pt idx="16">
                  <c:v>1.6049382716049385</c:v>
                </c:pt>
                <c:pt idx="17">
                  <c:v>7.4615811886687657</c:v>
                </c:pt>
                <c:pt idx="18">
                  <c:v>1.2152777777777777</c:v>
                </c:pt>
                <c:pt idx="19">
                  <c:v>1.0547320410490306</c:v>
                </c:pt>
                <c:pt idx="20">
                  <c:v>2.921328360859528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0.56713672593500941</c:v>
                </c:pt>
                <c:pt idx="25">
                  <c:v>9.0760573606825198E-2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0.53067993366500843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0.32540166768354689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>
                  <c:v>1.680672268907563E-2</c:v>
                </c:pt>
                <c:pt idx="53">
                  <c:v>0.32869296210363497</c:v>
                </c:pt>
                <c:pt idx="54" formatCode="General">
                  <c:v>0</c:v>
                </c:pt>
                <c:pt idx="55">
                  <c:v>0.18944709514454111</c:v>
                </c:pt>
                <c:pt idx="56">
                  <c:v>1.6646739630276832</c:v>
                </c:pt>
                <c:pt idx="57">
                  <c:v>2.740544693929821</c:v>
                </c:pt>
                <c:pt idx="58" formatCode="General">
                  <c:v>0</c:v>
                </c:pt>
                <c:pt idx="59">
                  <c:v>0.94323295257874695</c:v>
                </c:pt>
                <c:pt idx="60">
                  <c:v>0.36919378380698892</c:v>
                </c:pt>
                <c:pt idx="61">
                  <c:v>0.16050137572607767</c:v>
                </c:pt>
                <c:pt idx="62">
                  <c:v>6.7801717643513643E-2</c:v>
                </c:pt>
                <c:pt idx="63" formatCode="General">
                  <c:v>0</c:v>
                </c:pt>
                <c:pt idx="64" formatCode="General">
                  <c:v>0</c:v>
                </c:pt>
                <c:pt idx="65">
                  <c:v>0.47250193648334637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Talimbue_E_densities!$G$1</c:f>
              <c:strCache>
                <c:ptCount val="1"/>
                <c:pt idx="0">
                  <c:v>Pottery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Talimbue_E_densities!$G$2:$G$87</c:f>
              <c:numCache>
                <c:formatCode>0.00</c:formatCode>
                <c:ptCount val="86"/>
                <c:pt idx="0">
                  <c:v>1.945411658991351</c:v>
                </c:pt>
                <c:pt idx="1">
                  <c:v>4.8896434634974533</c:v>
                </c:pt>
                <c:pt idx="2">
                  <c:v>1.3961753257742429</c:v>
                </c:pt>
                <c:pt idx="3">
                  <c:v>1.090029041626331</c:v>
                </c:pt>
                <c:pt idx="4">
                  <c:v>0.42028628706080967</c:v>
                </c:pt>
                <c:pt idx="5">
                  <c:v>0.39685689340423835</c:v>
                </c:pt>
                <c:pt idx="6">
                  <c:v>0.24186188013386067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91392"/>
        <c:axId val="151298432"/>
      </c:lineChart>
      <c:catAx>
        <c:axId val="1512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Spit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298432"/>
        <c:crosses val="autoZero"/>
        <c:auto val="1"/>
        <c:lblAlgn val="ctr"/>
        <c:lblOffset val="100"/>
        <c:noMultiLvlLbl val="0"/>
      </c:catAx>
      <c:valAx>
        <c:axId val="15129843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Grams/kg </a:t>
                </a:r>
              </a:p>
              <a:p>
                <a:pPr>
                  <a:defRPr/>
                </a:pPr>
                <a:r>
                  <a:rPr lang="en-US"/>
                  <a:t>sediment</a:t>
                </a:r>
              </a:p>
            </c:rich>
          </c:tx>
          <c:layout>
            <c:manualLayout>
              <c:xMode val="edge"/>
              <c:yMode val="edge"/>
              <c:x val="4.0774719673802263E-3"/>
              <c:y val="2.222508585484673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1291392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AU"/>
              <a:t>Lithics (g)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'Lithics_linear regression'!$B$70</c:f>
              <c:strCache>
                <c:ptCount val="1"/>
                <c:pt idx="0">
                  <c:v>Shell (g)</c:v>
                </c:pt>
              </c:strCache>
            </c:strRef>
          </c:tx>
          <c:spPr>
            <a:solidFill>
              <a:srgbClr val="4791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txPr>
              <a:bodyPr rot="0" vert="horz"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0.16597276110900108</c:v>
                </c:pt>
              </c:numLit>
            </c:plus>
            <c:minus>
              <c:numLit>
                <c:formatCode>General</c:formatCode>
                <c:ptCount val="1"/>
                <c:pt idx="0">
                  <c:v>0.16597276110900105</c:v>
                </c:pt>
              </c:numLit>
            </c:minus>
          </c:errBars>
          <c:val>
            <c:numRef>
              <c:f>'Lithics_linear regression'!$C$70</c:f>
              <c:numCache>
                <c:formatCode>0.000</c:formatCode>
                <c:ptCount val="1"/>
                <c:pt idx="0">
                  <c:v>-0.37152919618897384</c:v>
                </c:pt>
              </c:numCache>
            </c:numRef>
          </c:val>
        </c:ser>
        <c:ser>
          <c:idx val="1"/>
          <c:order val="1"/>
          <c:tx>
            <c:strRef>
              <c:f>'Lithics_linear regression'!$B$71</c:f>
              <c:strCache>
                <c:ptCount val="1"/>
                <c:pt idx="0">
                  <c:v>Plant (g)</c:v>
                </c:pt>
              </c:strCache>
            </c:strRef>
          </c:tx>
          <c:spPr>
            <a:solidFill>
              <a:srgbClr val="4791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txPr>
              <a:bodyPr rot="0" vert="horz"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0.16530210289383684</c:v>
                </c:pt>
              </c:numLit>
            </c:plus>
            <c:minus>
              <c:numLit>
                <c:formatCode>General</c:formatCode>
                <c:ptCount val="1"/>
                <c:pt idx="0">
                  <c:v>0.16530210289383684</c:v>
                </c:pt>
              </c:numLit>
            </c:minus>
          </c:errBars>
          <c:val>
            <c:numRef>
              <c:f>'Lithics_linear regression'!$C$71</c:f>
              <c:numCache>
                <c:formatCode>0.000</c:formatCode>
                <c:ptCount val="1"/>
                <c:pt idx="0">
                  <c:v>-5.9368937567724732E-2</c:v>
                </c:pt>
              </c:numCache>
            </c:numRef>
          </c:val>
        </c:ser>
        <c:ser>
          <c:idx val="2"/>
          <c:order val="2"/>
          <c:tx>
            <c:strRef>
              <c:f>'Lithics_linear regression'!$B$72</c:f>
              <c:strCache>
                <c:ptCount val="1"/>
                <c:pt idx="0">
                  <c:v>Sediment weight (kg)</c:v>
                </c:pt>
              </c:strCache>
            </c:strRef>
          </c:tx>
          <c:spPr>
            <a:solidFill>
              <a:srgbClr val="4791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txPr>
              <a:bodyPr rot="0" vert="horz"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0.16449463979211867</c:v>
                </c:pt>
              </c:numLit>
            </c:plus>
            <c:minus>
              <c:numLit>
                <c:formatCode>General</c:formatCode>
                <c:ptCount val="1"/>
                <c:pt idx="0">
                  <c:v>0.16449463979211862</c:v>
                </c:pt>
              </c:numLit>
            </c:minus>
          </c:errBars>
          <c:val>
            <c:numRef>
              <c:f>'Lithics_linear regression'!$C$72</c:f>
              <c:numCache>
                <c:formatCode>0.000</c:formatCode>
                <c:ptCount val="1"/>
                <c:pt idx="0">
                  <c:v>0.36471844388145369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46302336"/>
        <c:axId val="46304256"/>
      </c:barChart>
      <c:catAx>
        <c:axId val="4630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Variable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46304256"/>
        <c:crosses val="autoZero"/>
        <c:auto val="1"/>
        <c:lblAlgn val="ctr"/>
        <c:lblOffset val="100"/>
        <c:noMultiLvlLbl val="0"/>
      </c:catAx>
      <c:valAx>
        <c:axId val="4630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0233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AU"/>
              <a:t>Lithics (g)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'Lithics_linear regression'!$D$97:$D$209</c:f>
              <c:numCache>
                <c:formatCode>0.000</c:formatCode>
                <c:ptCount val="113"/>
                <c:pt idx="0">
                  <c:v>52.46</c:v>
                </c:pt>
                <c:pt idx="1">
                  <c:v>148.07</c:v>
                </c:pt>
                <c:pt idx="2">
                  <c:v>171.52</c:v>
                </c:pt>
                <c:pt idx="3">
                  <c:v>116.7</c:v>
                </c:pt>
                <c:pt idx="4">
                  <c:v>165.13</c:v>
                </c:pt>
                <c:pt idx="5">
                  <c:v>124.62</c:v>
                </c:pt>
                <c:pt idx="6">
                  <c:v>188.26</c:v>
                </c:pt>
                <c:pt idx="7">
                  <c:v>167.84</c:v>
                </c:pt>
                <c:pt idx="8">
                  <c:v>108.58</c:v>
                </c:pt>
                <c:pt idx="9">
                  <c:v>191.8</c:v>
                </c:pt>
                <c:pt idx="10">
                  <c:v>111.74</c:v>
                </c:pt>
                <c:pt idx="11">
                  <c:v>259.02</c:v>
                </c:pt>
                <c:pt idx="12">
                  <c:v>235.61</c:v>
                </c:pt>
                <c:pt idx="13">
                  <c:v>251.78</c:v>
                </c:pt>
                <c:pt idx="14">
                  <c:v>392.83</c:v>
                </c:pt>
                <c:pt idx="15">
                  <c:v>452.52</c:v>
                </c:pt>
                <c:pt idx="16">
                  <c:v>244.48</c:v>
                </c:pt>
                <c:pt idx="17">
                  <c:v>405.93</c:v>
                </c:pt>
                <c:pt idx="18">
                  <c:v>550</c:v>
                </c:pt>
                <c:pt idx="19">
                  <c:v>420</c:v>
                </c:pt>
                <c:pt idx="20">
                  <c:v>455</c:v>
                </c:pt>
                <c:pt idx="21">
                  <c:v>485</c:v>
                </c:pt>
                <c:pt idx="22">
                  <c:v>485</c:v>
                </c:pt>
                <c:pt idx="23">
                  <c:v>446.6</c:v>
                </c:pt>
                <c:pt idx="24">
                  <c:v>570</c:v>
                </c:pt>
                <c:pt idx="25">
                  <c:v>720</c:v>
                </c:pt>
                <c:pt idx="26">
                  <c:v>1050</c:v>
                </c:pt>
                <c:pt idx="27">
                  <c:v>500</c:v>
                </c:pt>
                <c:pt idx="28">
                  <c:v>492.46</c:v>
                </c:pt>
                <c:pt idx="29">
                  <c:v>880</c:v>
                </c:pt>
                <c:pt idx="30">
                  <c:v>425</c:v>
                </c:pt>
                <c:pt idx="31">
                  <c:v>845</c:v>
                </c:pt>
                <c:pt idx="32">
                  <c:v>635</c:v>
                </c:pt>
                <c:pt idx="33">
                  <c:v>505</c:v>
                </c:pt>
                <c:pt idx="34">
                  <c:v>387.84</c:v>
                </c:pt>
                <c:pt idx="35">
                  <c:v>355.2</c:v>
                </c:pt>
                <c:pt idx="36">
                  <c:v>505</c:v>
                </c:pt>
                <c:pt idx="37">
                  <c:v>950</c:v>
                </c:pt>
                <c:pt idx="38">
                  <c:v>655</c:v>
                </c:pt>
                <c:pt idx="39">
                  <c:v>645</c:v>
                </c:pt>
                <c:pt idx="40">
                  <c:v>1100</c:v>
                </c:pt>
                <c:pt idx="41">
                  <c:v>1030</c:v>
                </c:pt>
                <c:pt idx="42">
                  <c:v>288.20999999999998</c:v>
                </c:pt>
                <c:pt idx="43">
                  <c:v>405</c:v>
                </c:pt>
                <c:pt idx="44">
                  <c:v>455</c:v>
                </c:pt>
                <c:pt idx="45">
                  <c:v>800</c:v>
                </c:pt>
                <c:pt idx="46">
                  <c:v>580</c:v>
                </c:pt>
                <c:pt idx="47">
                  <c:v>645</c:v>
                </c:pt>
                <c:pt idx="48">
                  <c:v>1075</c:v>
                </c:pt>
                <c:pt idx="49">
                  <c:v>1050</c:v>
                </c:pt>
                <c:pt idx="50">
                  <c:v>1680</c:v>
                </c:pt>
                <c:pt idx="51">
                  <c:v>1395</c:v>
                </c:pt>
                <c:pt idx="52">
                  <c:v>1160</c:v>
                </c:pt>
                <c:pt idx="53">
                  <c:v>1310</c:v>
                </c:pt>
                <c:pt idx="54">
                  <c:v>945</c:v>
                </c:pt>
                <c:pt idx="55">
                  <c:v>920</c:v>
                </c:pt>
                <c:pt idx="56">
                  <c:v>1060</c:v>
                </c:pt>
                <c:pt idx="57">
                  <c:v>165</c:v>
                </c:pt>
                <c:pt idx="58">
                  <c:v>1905</c:v>
                </c:pt>
                <c:pt idx="59">
                  <c:v>2730</c:v>
                </c:pt>
                <c:pt idx="60">
                  <c:v>1420</c:v>
                </c:pt>
                <c:pt idx="61">
                  <c:v>232.94</c:v>
                </c:pt>
                <c:pt idx="62">
                  <c:v>147.99</c:v>
                </c:pt>
                <c:pt idx="63">
                  <c:v>143</c:v>
                </c:pt>
                <c:pt idx="64">
                  <c:v>132.80000000000001</c:v>
                </c:pt>
                <c:pt idx="65">
                  <c:v>900</c:v>
                </c:pt>
                <c:pt idx="66">
                  <c:v>251.97</c:v>
                </c:pt>
                <c:pt idx="67">
                  <c:v>246.63</c:v>
                </c:pt>
                <c:pt idx="68">
                  <c:v>358.08</c:v>
                </c:pt>
                <c:pt idx="69">
                  <c:v>231.56</c:v>
                </c:pt>
                <c:pt idx="70">
                  <c:v>340.97</c:v>
                </c:pt>
                <c:pt idx="71">
                  <c:v>399.4</c:v>
                </c:pt>
                <c:pt idx="72">
                  <c:v>151.13</c:v>
                </c:pt>
                <c:pt idx="73">
                  <c:v>313.57</c:v>
                </c:pt>
                <c:pt idx="74">
                  <c:v>0</c:v>
                </c:pt>
                <c:pt idx="75">
                  <c:v>388.41</c:v>
                </c:pt>
                <c:pt idx="76">
                  <c:v>690</c:v>
                </c:pt>
                <c:pt idx="77">
                  <c:v>630.98</c:v>
                </c:pt>
                <c:pt idx="78">
                  <c:v>560</c:v>
                </c:pt>
                <c:pt idx="79">
                  <c:v>396.95</c:v>
                </c:pt>
                <c:pt idx="80">
                  <c:v>268.89</c:v>
                </c:pt>
                <c:pt idx="81">
                  <c:v>420.31</c:v>
                </c:pt>
                <c:pt idx="82">
                  <c:v>286.51</c:v>
                </c:pt>
                <c:pt idx="83">
                  <c:v>790</c:v>
                </c:pt>
                <c:pt idx="84">
                  <c:v>381.45</c:v>
                </c:pt>
                <c:pt idx="85">
                  <c:v>885</c:v>
                </c:pt>
                <c:pt idx="86">
                  <c:v>660</c:v>
                </c:pt>
                <c:pt idx="87">
                  <c:v>455</c:v>
                </c:pt>
                <c:pt idx="88">
                  <c:v>790</c:v>
                </c:pt>
                <c:pt idx="89">
                  <c:v>424.89</c:v>
                </c:pt>
                <c:pt idx="90">
                  <c:v>600</c:v>
                </c:pt>
                <c:pt idx="91">
                  <c:v>306.77999999999997</c:v>
                </c:pt>
                <c:pt idx="92">
                  <c:v>126.57</c:v>
                </c:pt>
                <c:pt idx="93">
                  <c:v>293.61</c:v>
                </c:pt>
                <c:pt idx="94">
                  <c:v>226.88</c:v>
                </c:pt>
                <c:pt idx="95">
                  <c:v>740</c:v>
                </c:pt>
                <c:pt idx="96">
                  <c:v>735</c:v>
                </c:pt>
                <c:pt idx="97">
                  <c:v>340.96</c:v>
                </c:pt>
                <c:pt idx="98">
                  <c:v>400</c:v>
                </c:pt>
                <c:pt idx="99">
                  <c:v>339.96</c:v>
                </c:pt>
                <c:pt idx="100">
                  <c:v>290</c:v>
                </c:pt>
                <c:pt idx="101">
                  <c:v>425.49</c:v>
                </c:pt>
                <c:pt idx="102">
                  <c:v>610</c:v>
                </c:pt>
                <c:pt idx="103">
                  <c:v>261.73</c:v>
                </c:pt>
                <c:pt idx="104">
                  <c:v>785</c:v>
                </c:pt>
                <c:pt idx="105">
                  <c:v>770</c:v>
                </c:pt>
                <c:pt idx="106">
                  <c:v>755</c:v>
                </c:pt>
                <c:pt idx="107">
                  <c:v>850</c:v>
                </c:pt>
                <c:pt idx="108">
                  <c:v>1585</c:v>
                </c:pt>
                <c:pt idx="109">
                  <c:v>1000</c:v>
                </c:pt>
                <c:pt idx="110">
                  <c:v>555</c:v>
                </c:pt>
                <c:pt idx="111">
                  <c:v>1625</c:v>
                </c:pt>
                <c:pt idx="112">
                  <c:v>1335</c:v>
                </c:pt>
              </c:numCache>
            </c:numRef>
          </c:xVal>
          <c:yVal>
            <c:numRef>
              <c:f>'Lithics_linear regression'!$G$97:$G$209</c:f>
              <c:numCache>
                <c:formatCode>0.000</c:formatCode>
                <c:ptCount val="113"/>
                <c:pt idx="0">
                  <c:v>-1.1378002003695271</c:v>
                </c:pt>
                <c:pt idx="1">
                  <c:v>-1.4676066684545268</c:v>
                </c:pt>
                <c:pt idx="2">
                  <c:v>0.56508942738299772</c:v>
                </c:pt>
                <c:pt idx="3">
                  <c:v>-0.56549357338113315</c:v>
                </c:pt>
                <c:pt idx="4">
                  <c:v>-1.3303335716938105</c:v>
                </c:pt>
                <c:pt idx="5">
                  <c:v>-0.94576959266182681</c:v>
                </c:pt>
                <c:pt idx="6">
                  <c:v>-0.46482345734945452</c:v>
                </c:pt>
                <c:pt idx="7">
                  <c:v>-0.23311220001634919</c:v>
                </c:pt>
                <c:pt idx="8">
                  <c:v>-0.99937926063923255</c:v>
                </c:pt>
                <c:pt idx="9">
                  <c:v>-0.83107122302255942</c:v>
                </c:pt>
                <c:pt idx="10">
                  <c:v>-0.48775134842478524</c:v>
                </c:pt>
                <c:pt idx="11">
                  <c:v>0.48566039018035373</c:v>
                </c:pt>
                <c:pt idx="12">
                  <c:v>3.4767314801383099E-2</c:v>
                </c:pt>
                <c:pt idx="13">
                  <c:v>-0.11677929138707904</c:v>
                </c:pt>
                <c:pt idx="14">
                  <c:v>-0.2769387255780435</c:v>
                </c:pt>
                <c:pt idx="15">
                  <c:v>0.24357193870823185</c:v>
                </c:pt>
                <c:pt idx="16">
                  <c:v>-1.2252280151044046E-2</c:v>
                </c:pt>
                <c:pt idx="17">
                  <c:v>-0.78652698243593</c:v>
                </c:pt>
                <c:pt idx="18">
                  <c:v>4.9298046630809396E-2</c:v>
                </c:pt>
                <c:pt idx="19">
                  <c:v>2.8254690785355117E-2</c:v>
                </c:pt>
                <c:pt idx="20">
                  <c:v>3.007069675490669E-2</c:v>
                </c:pt>
                <c:pt idx="21">
                  <c:v>-0.19447403190136323</c:v>
                </c:pt>
                <c:pt idx="22">
                  <c:v>-0.74315194081766023</c:v>
                </c:pt>
                <c:pt idx="23">
                  <c:v>0.65663455481958322</c:v>
                </c:pt>
                <c:pt idx="24">
                  <c:v>0.41506532593489553</c:v>
                </c:pt>
                <c:pt idx="25">
                  <c:v>0.50448488776090827</c:v>
                </c:pt>
                <c:pt idx="26">
                  <c:v>1.5300618318378831</c:v>
                </c:pt>
                <c:pt idx="27">
                  <c:v>0.71708022046208841</c:v>
                </c:pt>
                <c:pt idx="28">
                  <c:v>0.26719832740929428</c:v>
                </c:pt>
                <c:pt idx="29">
                  <c:v>0.24912050176861147</c:v>
                </c:pt>
                <c:pt idx="30">
                  <c:v>-0.20960476898306818</c:v>
                </c:pt>
                <c:pt idx="31">
                  <c:v>0.43676792556839833</c:v>
                </c:pt>
                <c:pt idx="32">
                  <c:v>0.1863003136940882</c:v>
                </c:pt>
                <c:pt idx="33">
                  <c:v>0.23611068905298394</c:v>
                </c:pt>
                <c:pt idx="34">
                  <c:v>-0.1139772931656777</c:v>
                </c:pt>
                <c:pt idx="35">
                  <c:v>-1.226447342802758</c:v>
                </c:pt>
                <c:pt idx="36">
                  <c:v>-0.71487586673532022</c:v>
                </c:pt>
                <c:pt idx="37">
                  <c:v>0.51096635737028073</c:v>
                </c:pt>
                <c:pt idx="38">
                  <c:v>0.62053596590459081</c:v>
                </c:pt>
                <c:pt idx="39">
                  <c:v>1.0246134332155179</c:v>
                </c:pt>
                <c:pt idx="40">
                  <c:v>1.9589059115749186</c:v>
                </c:pt>
                <c:pt idx="41">
                  <c:v>0.78070173917161489</c:v>
                </c:pt>
                <c:pt idx="42">
                  <c:v>-1.0521071825463224</c:v>
                </c:pt>
                <c:pt idx="43">
                  <c:v>-0.5668214704534581</c:v>
                </c:pt>
                <c:pt idx="44">
                  <c:v>-0.40562932003661983</c:v>
                </c:pt>
                <c:pt idx="45">
                  <c:v>4.4993601253673729E-2</c:v>
                </c:pt>
                <c:pt idx="46">
                  <c:v>-0.83272548518732525</c:v>
                </c:pt>
                <c:pt idx="47">
                  <c:v>-0.47460250241510571</c:v>
                </c:pt>
                <c:pt idx="48">
                  <c:v>0.30875166446603453</c:v>
                </c:pt>
                <c:pt idx="49">
                  <c:v>-0.43682674506734065</c:v>
                </c:pt>
                <c:pt idx="50">
                  <c:v>1.8853254054070017</c:v>
                </c:pt>
                <c:pt idx="51">
                  <c:v>2.0998277584936678</c:v>
                </c:pt>
                <c:pt idx="52">
                  <c:v>1.2947321079227403</c:v>
                </c:pt>
                <c:pt idx="53">
                  <c:v>1.2868676501280243</c:v>
                </c:pt>
                <c:pt idx="54">
                  <c:v>0.24867161949691616</c:v>
                </c:pt>
                <c:pt idx="55">
                  <c:v>0.42133171986841128</c:v>
                </c:pt>
                <c:pt idx="56">
                  <c:v>0.45961046003007699</c:v>
                </c:pt>
                <c:pt idx="57">
                  <c:v>-1.7061551101935668</c:v>
                </c:pt>
                <c:pt idx="58">
                  <c:v>2.3584687055058886</c:v>
                </c:pt>
                <c:pt idx="59">
                  <c:v>5.0455380376213013</c:v>
                </c:pt>
                <c:pt idx="60">
                  <c:v>1.6359518828747091</c:v>
                </c:pt>
                <c:pt idx="61">
                  <c:v>-0.83812359307077744</c:v>
                </c:pt>
                <c:pt idx="62">
                  <c:v>-0.67600503222837349</c:v>
                </c:pt>
                <c:pt idx="63">
                  <c:v>-0.41338732222874158</c:v>
                </c:pt>
                <c:pt idx="64">
                  <c:v>-1.4829226668651259</c:v>
                </c:pt>
                <c:pt idx="65">
                  <c:v>1.1612296264749862</c:v>
                </c:pt>
                <c:pt idx="66">
                  <c:v>-0.81425188237502488</c:v>
                </c:pt>
                <c:pt idx="67">
                  <c:v>-0.40146465475544502</c:v>
                </c:pt>
                <c:pt idx="68">
                  <c:v>-0.19498916598276442</c:v>
                </c:pt>
                <c:pt idx="69">
                  <c:v>-1.1000731362222682</c:v>
                </c:pt>
                <c:pt idx="70">
                  <c:v>-0.13907885666102221</c:v>
                </c:pt>
                <c:pt idx="71">
                  <c:v>-0.97501617445992195</c:v>
                </c:pt>
                <c:pt idx="72">
                  <c:v>-0.62032325071097316</c:v>
                </c:pt>
                <c:pt idx="73">
                  <c:v>-0.48310460541927186</c:v>
                </c:pt>
                <c:pt idx="74">
                  <c:v>-1.3097532137803538</c:v>
                </c:pt>
                <c:pt idx="75">
                  <c:v>-0.67821557230978735</c:v>
                </c:pt>
                <c:pt idx="76">
                  <c:v>0.36488924048122556</c:v>
                </c:pt>
                <c:pt idx="77">
                  <c:v>0.32680169206560206</c:v>
                </c:pt>
                <c:pt idx="78">
                  <c:v>-0.50471133516058264</c:v>
                </c:pt>
                <c:pt idx="79">
                  <c:v>-0.17359615374281176</c:v>
                </c:pt>
                <c:pt idx="80">
                  <c:v>-0.39832082671029195</c:v>
                </c:pt>
                <c:pt idx="81">
                  <c:v>-0.55150088625679095</c:v>
                </c:pt>
                <c:pt idx="82">
                  <c:v>-0.15592136834244291</c:v>
                </c:pt>
                <c:pt idx="83">
                  <c:v>0.82848193511508639</c:v>
                </c:pt>
                <c:pt idx="84">
                  <c:v>0.17038958920376909</c:v>
                </c:pt>
                <c:pt idx="85">
                  <c:v>0.77753193063121895</c:v>
                </c:pt>
                <c:pt idx="86">
                  <c:v>-0.13827364200926542</c:v>
                </c:pt>
                <c:pt idx="87">
                  <c:v>0.18730014678687043</c:v>
                </c:pt>
                <c:pt idx="88">
                  <c:v>0.95188045349318062</c:v>
                </c:pt>
                <c:pt idx="89">
                  <c:v>-0.84194742181285775</c:v>
                </c:pt>
                <c:pt idx="90">
                  <c:v>0.30870884503471041</c:v>
                </c:pt>
                <c:pt idx="91">
                  <c:v>-0.1466763643111515</c:v>
                </c:pt>
                <c:pt idx="92">
                  <c:v>-1.0780117289123985</c:v>
                </c:pt>
                <c:pt idx="93">
                  <c:v>-0.95544428687603933</c:v>
                </c:pt>
                <c:pt idx="94">
                  <c:v>-0.80155371236818296</c:v>
                </c:pt>
                <c:pt idx="95">
                  <c:v>0.13977087812104363</c:v>
                </c:pt>
                <c:pt idx="96">
                  <c:v>1.091020176108328</c:v>
                </c:pt>
                <c:pt idx="97">
                  <c:v>-0.2848617003504299</c:v>
                </c:pt>
                <c:pt idx="98">
                  <c:v>-0.44834760814687052</c:v>
                </c:pt>
                <c:pt idx="99">
                  <c:v>-1.4362045804528181</c:v>
                </c:pt>
                <c:pt idx="100">
                  <c:v>-0.82981021697854207</c:v>
                </c:pt>
                <c:pt idx="101">
                  <c:v>-1.1103788732680628</c:v>
                </c:pt>
                <c:pt idx="102">
                  <c:v>-5.7296975591723864E-2</c:v>
                </c:pt>
                <c:pt idx="103">
                  <c:v>-1.0948179544456209</c:v>
                </c:pt>
                <c:pt idx="104">
                  <c:v>-0.72519815979578717</c:v>
                </c:pt>
                <c:pt idx="105">
                  <c:v>0.13080129862454734</c:v>
                </c:pt>
                <c:pt idx="106">
                  <c:v>3.9828181941512365E-2</c:v>
                </c:pt>
                <c:pt idx="107">
                  <c:v>0.2117624438285643</c:v>
                </c:pt>
                <c:pt idx="108">
                  <c:v>2.2677407886886534</c:v>
                </c:pt>
                <c:pt idx="109">
                  <c:v>0.30044897328011672</c:v>
                </c:pt>
                <c:pt idx="110">
                  <c:v>-0.60465648347940759</c:v>
                </c:pt>
                <c:pt idx="111">
                  <c:v>1.8352590420119339</c:v>
                </c:pt>
                <c:pt idx="112">
                  <c:v>1.0821004962033227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2064"/>
        <c:axId val="46314624"/>
      </c:scatterChart>
      <c:valAx>
        <c:axId val="46312064"/>
        <c:scaling>
          <c:orientation val="minMax"/>
          <c:max val="3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Lithics (g)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14624"/>
        <c:crosses val="autoZero"/>
        <c:crossBetween val="midCat"/>
      </c:valAx>
      <c:valAx>
        <c:axId val="46314624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1206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AU"/>
              <a:t>Pred(Lithics (g))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'Lithics_linear regression'!$E$97:$E$209</c:f>
              <c:numCache>
                <c:formatCode>0.000</c:formatCode>
                <c:ptCount val="113"/>
                <c:pt idx="0">
                  <c:v>487.38384313901167</c:v>
                </c:pt>
                <c:pt idx="1">
                  <c:v>709.06228340211419</c:v>
                </c:pt>
                <c:pt idx="2">
                  <c:v>-44.485292840357232</c:v>
                </c:pt>
                <c:pt idx="3">
                  <c:v>332.85977754746239</c:v>
                </c:pt>
                <c:pt idx="4">
                  <c:v>673.64967636322103</c:v>
                </c:pt>
                <c:pt idx="5">
                  <c:v>486.14019118199121</c:v>
                </c:pt>
                <c:pt idx="6">
                  <c:v>365.93865077359817</c:v>
                </c:pt>
                <c:pt idx="7">
                  <c:v>256.94708038263053</c:v>
                </c:pt>
                <c:pt idx="8">
                  <c:v>490.5924734109513</c:v>
                </c:pt>
                <c:pt idx="9">
                  <c:v>509.47676796138728</c:v>
                </c:pt>
                <c:pt idx="10">
                  <c:v>298.18283142527753</c:v>
                </c:pt>
                <c:pt idx="11">
                  <c:v>73.376436842750522</c:v>
                </c:pt>
                <c:pt idx="12">
                  <c:v>222.32020257851033</c:v>
                </c:pt>
                <c:pt idx="13">
                  <c:v>296.41885504029938</c:v>
                </c:pt>
                <c:pt idx="14">
                  <c:v>498.68975886039107</c:v>
                </c:pt>
                <c:pt idx="15">
                  <c:v>359.41468710815917</c:v>
                </c:pt>
                <c:pt idx="16">
                  <c:v>249.16343103541135</c:v>
                </c:pt>
                <c:pt idx="17">
                  <c:v>706.57974309414465</c:v>
                </c:pt>
                <c:pt idx="18">
                  <c:v>531.15583395665215</c:v>
                </c:pt>
                <c:pt idx="19">
                  <c:v>409.19965148619235</c:v>
                </c:pt>
                <c:pt idx="20">
                  <c:v>443.50548365674018</c:v>
                </c:pt>
                <c:pt idx="21">
                  <c:v>559.33765024633487</c:v>
                </c:pt>
                <c:pt idx="22">
                  <c:v>769.06964424128307</c:v>
                </c:pt>
                <c:pt idx="23">
                  <c:v>195.60160500300805</c:v>
                </c:pt>
                <c:pt idx="24">
                  <c:v>411.34138256372023</c:v>
                </c:pt>
                <c:pt idx="25">
                  <c:v>527.16077733219959</c:v>
                </c:pt>
                <c:pt idx="26">
                  <c:v>465.13424595361761</c:v>
                </c:pt>
                <c:pt idx="27">
                  <c:v>225.89626436956812</c:v>
                </c:pt>
                <c:pt idx="28">
                  <c:v>390.32350591305573</c:v>
                </c:pt>
                <c:pt idx="29">
                  <c:v>784.77375026060395</c:v>
                </c:pt>
                <c:pt idx="30">
                  <c:v>505.12137072640144</c:v>
                </c:pt>
                <c:pt idx="31">
                  <c:v>678.04556926043131</c:v>
                </c:pt>
                <c:pt idx="32">
                  <c:v>563.78675150213451</c:v>
                </c:pt>
                <c:pt idx="33">
                  <c:v>414.74674793010854</c:v>
                </c:pt>
                <c:pt idx="34">
                  <c:v>431.40779191821099</c:v>
                </c:pt>
                <c:pt idx="35">
                  <c:v>824.00919125006897</c:v>
                </c:pt>
                <c:pt idx="36">
                  <c:v>778.26112196753002</c:v>
                </c:pt>
                <c:pt idx="37">
                  <c:v>754.68323718870033</c:v>
                </c:pt>
                <c:pt idx="38">
                  <c:v>417.80028162277381</c:v>
                </c:pt>
                <c:pt idx="39">
                  <c:v>253.3417704081773</c:v>
                </c:pt>
                <c:pt idx="40">
                  <c:v>351.20870330907496</c:v>
                </c:pt>
                <c:pt idx="41">
                  <c:v>731.57695469243754</c:v>
                </c:pt>
                <c:pt idx="42">
                  <c:v>690.37770842419638</c:v>
                </c:pt>
                <c:pt idx="43">
                  <c:v>621.66736587254888</c:v>
                </c:pt>
                <c:pt idx="44">
                  <c:v>610.05170653239031</c:v>
                </c:pt>
                <c:pt idx="45">
                  <c:v>782.80120712972575</c:v>
                </c:pt>
                <c:pt idx="46">
                  <c:v>898.3091092617542</c:v>
                </c:pt>
                <c:pt idx="47">
                  <c:v>826.41668831375796</c:v>
                </c:pt>
                <c:pt idx="48">
                  <c:v>956.97975317501027</c:v>
                </c:pt>
                <c:pt idx="49">
                  <c:v>1216.9769144783861</c:v>
                </c:pt>
                <c:pt idx="50">
                  <c:v>959.33483346116213</c:v>
                </c:pt>
                <c:pt idx="51">
                  <c:v>592.34136243126136</c:v>
                </c:pt>
                <c:pt idx="52">
                  <c:v>665.08897429412582</c:v>
                </c:pt>
                <c:pt idx="53">
                  <c:v>818.09516132693841</c:v>
                </c:pt>
                <c:pt idx="54">
                  <c:v>849.94533539713257</c:v>
                </c:pt>
                <c:pt idx="55">
                  <c:v>758.94605504373692</c:v>
                </c:pt>
                <c:pt idx="56">
                  <c:v>884.31401615305617</c:v>
                </c:pt>
                <c:pt idx="57">
                  <c:v>817.17736582895031</c:v>
                </c:pt>
                <c:pt idx="58">
                  <c:v>1003.4759248692578</c:v>
                </c:pt>
                <c:pt idx="59">
                  <c:v>801.34434207901097</c:v>
                </c:pt>
                <c:pt idx="60">
                  <c:v>794.65780032444195</c:v>
                </c:pt>
                <c:pt idx="61">
                  <c:v>553.31253465541079</c:v>
                </c:pt>
                <c:pt idx="62">
                  <c:v>406.39275516086991</c:v>
                </c:pt>
                <c:pt idx="63">
                  <c:v>301.0172009376318</c:v>
                </c:pt>
                <c:pt idx="64">
                  <c:v>699.64681997899777</c:v>
                </c:pt>
                <c:pt idx="65">
                  <c:v>456.12026456898633</c:v>
                </c:pt>
                <c:pt idx="66">
                  <c:v>563.21757918895241</c:v>
                </c:pt>
                <c:pt idx="67">
                  <c:v>400.08976426617528</c:v>
                </c:pt>
                <c:pt idx="68">
                  <c:v>432.61456012061871</c:v>
                </c:pt>
                <c:pt idx="69">
                  <c:v>652.06268226740269</c:v>
                </c:pt>
                <c:pt idx="70">
                  <c:v>394.13285831092878</c:v>
                </c:pt>
                <c:pt idx="71">
                  <c:v>772.0996897883158</c:v>
                </c:pt>
                <c:pt idx="72">
                  <c:v>388.2484080474581</c:v>
                </c:pt>
                <c:pt idx="73">
                  <c:v>498.23661506903073</c:v>
                </c:pt>
                <c:pt idx="74">
                  <c:v>500.65283967784342</c:v>
                </c:pt>
                <c:pt idx="75">
                  <c:v>647.65773355629392</c:v>
                </c:pt>
                <c:pt idx="76">
                  <c:v>550.52117872836686</c:v>
                </c:pt>
                <c:pt idx="77">
                  <c:v>506.06013462175326</c:v>
                </c:pt>
                <c:pt idx="78">
                  <c:v>752.9257821299127</c:v>
                </c:pt>
                <c:pt idx="79">
                  <c:v>463.30708652138895</c:v>
                </c:pt>
                <c:pt idx="80">
                  <c:v>421.1480367791155</c:v>
                </c:pt>
                <c:pt idx="81">
                  <c:v>631.12107638008331</c:v>
                </c:pt>
                <c:pt idx="82">
                  <c:v>346.11090420529416</c:v>
                </c:pt>
                <c:pt idx="83">
                  <c:v>473.31298669619304</c:v>
                </c:pt>
                <c:pt idx="84">
                  <c:v>316.31862197483099</c:v>
                </c:pt>
                <c:pt idx="85">
                  <c:v>587.78861321733154</c:v>
                </c:pt>
                <c:pt idx="86">
                  <c:v>712.85506521089223</c:v>
                </c:pt>
                <c:pt idx="87">
                  <c:v>383.40456555149996</c:v>
                </c:pt>
                <c:pt idx="88">
                  <c:v>426.14393378758001</c:v>
                </c:pt>
                <c:pt idx="89">
                  <c:v>746.72419223946713</c:v>
                </c:pt>
                <c:pt idx="90">
                  <c:v>481.9961208919666</c:v>
                </c:pt>
                <c:pt idx="91">
                  <c:v>362.84700371747647</c:v>
                </c:pt>
                <c:pt idx="92">
                  <c:v>538.63971481920976</c:v>
                </c:pt>
                <c:pt idx="93">
                  <c:v>658.82834063518476</c:v>
                </c:pt>
                <c:pt idx="94">
                  <c:v>533.27370686724373</c:v>
                </c:pt>
                <c:pt idx="95">
                  <c:v>686.57261665837655</c:v>
                </c:pt>
                <c:pt idx="96">
                  <c:v>317.95780948085002</c:v>
                </c:pt>
                <c:pt idx="97">
                  <c:v>449.84831399334024</c:v>
                </c:pt>
                <c:pt idx="98">
                  <c:v>571.38076152042402</c:v>
                </c:pt>
                <c:pt idx="99">
                  <c:v>888.94884308644464</c:v>
                </c:pt>
                <c:pt idx="100">
                  <c:v>607.19474871520731</c:v>
                </c:pt>
                <c:pt idx="101">
                  <c:v>849.93204768576118</c:v>
                </c:pt>
                <c:pt idx="102">
                  <c:v>631.90175464593995</c:v>
                </c:pt>
                <c:pt idx="103">
                  <c:v>680.22389034246612</c:v>
                </c:pt>
                <c:pt idx="104">
                  <c:v>1062.2068159183725</c:v>
                </c:pt>
                <c:pt idx="105">
                  <c:v>720.00123618638338</c:v>
                </c:pt>
                <c:pt idx="106">
                  <c:v>739.7756873749745</c:v>
                </c:pt>
                <c:pt idx="107">
                  <c:v>769.05385860143417</c:v>
                </c:pt>
                <c:pt idx="108">
                  <c:v>718.15664847023197</c:v>
                </c:pt>
                <c:pt idx="109">
                  <c:v>885.15345481243571</c:v>
                </c:pt>
                <c:pt idx="110">
                  <c:v>786.12979017614475</c:v>
                </c:pt>
                <c:pt idx="111">
                  <c:v>923.47268839624235</c:v>
                </c:pt>
                <c:pt idx="112">
                  <c:v>921.36735490244052</c:v>
                </c:pt>
              </c:numCache>
            </c:numRef>
          </c:xVal>
          <c:yVal>
            <c:numRef>
              <c:f>'Lithics_linear regression'!$G$97:$G$209</c:f>
              <c:numCache>
                <c:formatCode>0.000</c:formatCode>
                <c:ptCount val="113"/>
                <c:pt idx="0">
                  <c:v>-1.1378002003695271</c:v>
                </c:pt>
                <c:pt idx="1">
                  <c:v>-1.4676066684545268</c:v>
                </c:pt>
                <c:pt idx="2">
                  <c:v>0.56508942738299772</c:v>
                </c:pt>
                <c:pt idx="3">
                  <c:v>-0.56549357338113315</c:v>
                </c:pt>
                <c:pt idx="4">
                  <c:v>-1.3303335716938105</c:v>
                </c:pt>
                <c:pt idx="5">
                  <c:v>-0.94576959266182681</c:v>
                </c:pt>
                <c:pt idx="6">
                  <c:v>-0.46482345734945452</c:v>
                </c:pt>
                <c:pt idx="7">
                  <c:v>-0.23311220001634919</c:v>
                </c:pt>
                <c:pt idx="8">
                  <c:v>-0.99937926063923255</c:v>
                </c:pt>
                <c:pt idx="9">
                  <c:v>-0.83107122302255942</c:v>
                </c:pt>
                <c:pt idx="10">
                  <c:v>-0.48775134842478524</c:v>
                </c:pt>
                <c:pt idx="11">
                  <c:v>0.48566039018035373</c:v>
                </c:pt>
                <c:pt idx="12">
                  <c:v>3.4767314801383099E-2</c:v>
                </c:pt>
                <c:pt idx="13">
                  <c:v>-0.11677929138707904</c:v>
                </c:pt>
                <c:pt idx="14">
                  <c:v>-0.2769387255780435</c:v>
                </c:pt>
                <c:pt idx="15">
                  <c:v>0.24357193870823185</c:v>
                </c:pt>
                <c:pt idx="16">
                  <c:v>-1.2252280151044046E-2</c:v>
                </c:pt>
                <c:pt idx="17">
                  <c:v>-0.78652698243593</c:v>
                </c:pt>
                <c:pt idx="18">
                  <c:v>4.9298046630809396E-2</c:v>
                </c:pt>
                <c:pt idx="19">
                  <c:v>2.8254690785355117E-2</c:v>
                </c:pt>
                <c:pt idx="20">
                  <c:v>3.007069675490669E-2</c:v>
                </c:pt>
                <c:pt idx="21">
                  <c:v>-0.19447403190136323</c:v>
                </c:pt>
                <c:pt idx="22">
                  <c:v>-0.74315194081766023</c:v>
                </c:pt>
                <c:pt idx="23">
                  <c:v>0.65663455481958322</c:v>
                </c:pt>
                <c:pt idx="24">
                  <c:v>0.41506532593489553</c:v>
                </c:pt>
                <c:pt idx="25">
                  <c:v>0.50448488776090827</c:v>
                </c:pt>
                <c:pt idx="26">
                  <c:v>1.5300618318378831</c:v>
                </c:pt>
                <c:pt idx="27">
                  <c:v>0.71708022046208841</c:v>
                </c:pt>
                <c:pt idx="28">
                  <c:v>0.26719832740929428</c:v>
                </c:pt>
                <c:pt idx="29">
                  <c:v>0.24912050176861147</c:v>
                </c:pt>
                <c:pt idx="30">
                  <c:v>-0.20960476898306818</c:v>
                </c:pt>
                <c:pt idx="31">
                  <c:v>0.43676792556839833</c:v>
                </c:pt>
                <c:pt idx="32">
                  <c:v>0.1863003136940882</c:v>
                </c:pt>
                <c:pt idx="33">
                  <c:v>0.23611068905298394</c:v>
                </c:pt>
                <c:pt idx="34">
                  <c:v>-0.1139772931656777</c:v>
                </c:pt>
                <c:pt idx="35">
                  <c:v>-1.226447342802758</c:v>
                </c:pt>
                <c:pt idx="36">
                  <c:v>-0.71487586673532022</c:v>
                </c:pt>
                <c:pt idx="37">
                  <c:v>0.51096635737028073</c:v>
                </c:pt>
                <c:pt idx="38">
                  <c:v>0.62053596590459081</c:v>
                </c:pt>
                <c:pt idx="39">
                  <c:v>1.0246134332155179</c:v>
                </c:pt>
                <c:pt idx="40">
                  <c:v>1.9589059115749186</c:v>
                </c:pt>
                <c:pt idx="41">
                  <c:v>0.78070173917161489</c:v>
                </c:pt>
                <c:pt idx="42">
                  <c:v>-1.0521071825463224</c:v>
                </c:pt>
                <c:pt idx="43">
                  <c:v>-0.5668214704534581</c:v>
                </c:pt>
                <c:pt idx="44">
                  <c:v>-0.40562932003661983</c:v>
                </c:pt>
                <c:pt idx="45">
                  <c:v>4.4993601253673729E-2</c:v>
                </c:pt>
                <c:pt idx="46">
                  <c:v>-0.83272548518732525</c:v>
                </c:pt>
                <c:pt idx="47">
                  <c:v>-0.47460250241510571</c:v>
                </c:pt>
                <c:pt idx="48">
                  <c:v>0.30875166446603453</c:v>
                </c:pt>
                <c:pt idx="49">
                  <c:v>-0.43682674506734065</c:v>
                </c:pt>
                <c:pt idx="50">
                  <c:v>1.8853254054070017</c:v>
                </c:pt>
                <c:pt idx="51">
                  <c:v>2.0998277584936678</c:v>
                </c:pt>
                <c:pt idx="52">
                  <c:v>1.2947321079227403</c:v>
                </c:pt>
                <c:pt idx="53">
                  <c:v>1.2868676501280243</c:v>
                </c:pt>
                <c:pt idx="54">
                  <c:v>0.24867161949691616</c:v>
                </c:pt>
                <c:pt idx="55">
                  <c:v>0.42133171986841128</c:v>
                </c:pt>
                <c:pt idx="56">
                  <c:v>0.45961046003007699</c:v>
                </c:pt>
                <c:pt idx="57">
                  <c:v>-1.7061551101935668</c:v>
                </c:pt>
                <c:pt idx="58">
                  <c:v>2.3584687055058886</c:v>
                </c:pt>
                <c:pt idx="59">
                  <c:v>5.0455380376213013</c:v>
                </c:pt>
                <c:pt idx="60">
                  <c:v>1.6359518828747091</c:v>
                </c:pt>
                <c:pt idx="61">
                  <c:v>-0.83812359307077744</c:v>
                </c:pt>
                <c:pt idx="62">
                  <c:v>-0.67600503222837349</c:v>
                </c:pt>
                <c:pt idx="63">
                  <c:v>-0.41338732222874158</c:v>
                </c:pt>
                <c:pt idx="64">
                  <c:v>-1.4829226668651259</c:v>
                </c:pt>
                <c:pt idx="65">
                  <c:v>1.1612296264749862</c:v>
                </c:pt>
                <c:pt idx="66">
                  <c:v>-0.81425188237502488</c:v>
                </c:pt>
                <c:pt idx="67">
                  <c:v>-0.40146465475544502</c:v>
                </c:pt>
                <c:pt idx="68">
                  <c:v>-0.19498916598276442</c:v>
                </c:pt>
                <c:pt idx="69">
                  <c:v>-1.1000731362222682</c:v>
                </c:pt>
                <c:pt idx="70">
                  <c:v>-0.13907885666102221</c:v>
                </c:pt>
                <c:pt idx="71">
                  <c:v>-0.97501617445992195</c:v>
                </c:pt>
                <c:pt idx="72">
                  <c:v>-0.62032325071097316</c:v>
                </c:pt>
                <c:pt idx="73">
                  <c:v>-0.48310460541927186</c:v>
                </c:pt>
                <c:pt idx="74">
                  <c:v>-1.3097532137803538</c:v>
                </c:pt>
                <c:pt idx="75">
                  <c:v>-0.67821557230978735</c:v>
                </c:pt>
                <c:pt idx="76">
                  <c:v>0.36488924048122556</c:v>
                </c:pt>
                <c:pt idx="77">
                  <c:v>0.32680169206560206</c:v>
                </c:pt>
                <c:pt idx="78">
                  <c:v>-0.50471133516058264</c:v>
                </c:pt>
                <c:pt idx="79">
                  <c:v>-0.17359615374281176</c:v>
                </c:pt>
                <c:pt idx="80">
                  <c:v>-0.39832082671029195</c:v>
                </c:pt>
                <c:pt idx="81">
                  <c:v>-0.55150088625679095</c:v>
                </c:pt>
                <c:pt idx="82">
                  <c:v>-0.15592136834244291</c:v>
                </c:pt>
                <c:pt idx="83">
                  <c:v>0.82848193511508639</c:v>
                </c:pt>
                <c:pt idx="84">
                  <c:v>0.17038958920376909</c:v>
                </c:pt>
                <c:pt idx="85">
                  <c:v>0.77753193063121895</c:v>
                </c:pt>
                <c:pt idx="86">
                  <c:v>-0.13827364200926542</c:v>
                </c:pt>
                <c:pt idx="87">
                  <c:v>0.18730014678687043</c:v>
                </c:pt>
                <c:pt idx="88">
                  <c:v>0.95188045349318062</c:v>
                </c:pt>
                <c:pt idx="89">
                  <c:v>-0.84194742181285775</c:v>
                </c:pt>
                <c:pt idx="90">
                  <c:v>0.30870884503471041</c:v>
                </c:pt>
                <c:pt idx="91">
                  <c:v>-0.1466763643111515</c:v>
                </c:pt>
                <c:pt idx="92">
                  <c:v>-1.0780117289123985</c:v>
                </c:pt>
                <c:pt idx="93">
                  <c:v>-0.95544428687603933</c:v>
                </c:pt>
                <c:pt idx="94">
                  <c:v>-0.80155371236818296</c:v>
                </c:pt>
                <c:pt idx="95">
                  <c:v>0.13977087812104363</c:v>
                </c:pt>
                <c:pt idx="96">
                  <c:v>1.091020176108328</c:v>
                </c:pt>
                <c:pt idx="97">
                  <c:v>-0.2848617003504299</c:v>
                </c:pt>
                <c:pt idx="98">
                  <c:v>-0.44834760814687052</c:v>
                </c:pt>
                <c:pt idx="99">
                  <c:v>-1.4362045804528181</c:v>
                </c:pt>
                <c:pt idx="100">
                  <c:v>-0.82981021697854207</c:v>
                </c:pt>
                <c:pt idx="101">
                  <c:v>-1.1103788732680628</c:v>
                </c:pt>
                <c:pt idx="102">
                  <c:v>-5.7296975591723864E-2</c:v>
                </c:pt>
                <c:pt idx="103">
                  <c:v>-1.0948179544456209</c:v>
                </c:pt>
                <c:pt idx="104">
                  <c:v>-0.72519815979578717</c:v>
                </c:pt>
                <c:pt idx="105">
                  <c:v>0.13080129862454734</c:v>
                </c:pt>
                <c:pt idx="106">
                  <c:v>3.9828181941512365E-2</c:v>
                </c:pt>
                <c:pt idx="107">
                  <c:v>0.2117624438285643</c:v>
                </c:pt>
                <c:pt idx="108">
                  <c:v>2.2677407886886534</c:v>
                </c:pt>
                <c:pt idx="109">
                  <c:v>0.30044897328011672</c:v>
                </c:pt>
                <c:pt idx="110">
                  <c:v>-0.60465648347940759</c:v>
                </c:pt>
                <c:pt idx="111">
                  <c:v>1.8352590420119339</c:v>
                </c:pt>
                <c:pt idx="112">
                  <c:v>1.0821004962033227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528"/>
        <c:axId val="46328832"/>
      </c:scatterChart>
      <c:valAx>
        <c:axId val="46326528"/>
        <c:scaling>
          <c:orientation val="minMax"/>
          <c:max val="14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Pred(Lithics (g))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28832"/>
        <c:crosses val="autoZero"/>
        <c:crossBetween val="midCat"/>
      </c:valAx>
      <c:valAx>
        <c:axId val="46328832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2652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AU"/>
              <a:t>Pred(Lithics (g)) / Lithics (g)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'Lithics_linear regression'!$E$97:$E$209</c:f>
              <c:numCache>
                <c:formatCode>0.000</c:formatCode>
                <c:ptCount val="113"/>
                <c:pt idx="0">
                  <c:v>487.38384313901167</c:v>
                </c:pt>
                <c:pt idx="1">
                  <c:v>709.06228340211419</c:v>
                </c:pt>
                <c:pt idx="2">
                  <c:v>-44.485292840357232</c:v>
                </c:pt>
                <c:pt idx="3">
                  <c:v>332.85977754746239</c:v>
                </c:pt>
                <c:pt idx="4">
                  <c:v>673.64967636322103</c:v>
                </c:pt>
                <c:pt idx="5">
                  <c:v>486.14019118199121</c:v>
                </c:pt>
                <c:pt idx="6">
                  <c:v>365.93865077359817</c:v>
                </c:pt>
                <c:pt idx="7">
                  <c:v>256.94708038263053</c:v>
                </c:pt>
                <c:pt idx="8">
                  <c:v>490.5924734109513</c:v>
                </c:pt>
                <c:pt idx="9">
                  <c:v>509.47676796138728</c:v>
                </c:pt>
                <c:pt idx="10">
                  <c:v>298.18283142527753</c:v>
                </c:pt>
                <c:pt idx="11">
                  <c:v>73.376436842750522</c:v>
                </c:pt>
                <c:pt idx="12">
                  <c:v>222.32020257851033</c:v>
                </c:pt>
                <c:pt idx="13">
                  <c:v>296.41885504029938</c:v>
                </c:pt>
                <c:pt idx="14">
                  <c:v>498.68975886039107</c:v>
                </c:pt>
                <c:pt idx="15">
                  <c:v>359.41468710815917</c:v>
                </c:pt>
                <c:pt idx="16">
                  <c:v>249.16343103541135</c:v>
                </c:pt>
                <c:pt idx="17">
                  <c:v>706.57974309414465</c:v>
                </c:pt>
                <c:pt idx="18">
                  <c:v>531.15583395665215</c:v>
                </c:pt>
                <c:pt idx="19">
                  <c:v>409.19965148619235</c:v>
                </c:pt>
                <c:pt idx="20">
                  <c:v>443.50548365674018</c:v>
                </c:pt>
                <c:pt idx="21">
                  <c:v>559.33765024633487</c:v>
                </c:pt>
                <c:pt idx="22">
                  <c:v>769.06964424128307</c:v>
                </c:pt>
                <c:pt idx="23">
                  <c:v>195.60160500300805</c:v>
                </c:pt>
                <c:pt idx="24">
                  <c:v>411.34138256372023</c:v>
                </c:pt>
                <c:pt idx="25">
                  <c:v>527.16077733219959</c:v>
                </c:pt>
                <c:pt idx="26">
                  <c:v>465.13424595361761</c:v>
                </c:pt>
                <c:pt idx="27">
                  <c:v>225.89626436956812</c:v>
                </c:pt>
                <c:pt idx="28">
                  <c:v>390.32350591305573</c:v>
                </c:pt>
                <c:pt idx="29">
                  <c:v>784.77375026060395</c:v>
                </c:pt>
                <c:pt idx="30">
                  <c:v>505.12137072640144</c:v>
                </c:pt>
                <c:pt idx="31">
                  <c:v>678.04556926043131</c:v>
                </c:pt>
                <c:pt idx="32">
                  <c:v>563.78675150213451</c:v>
                </c:pt>
                <c:pt idx="33">
                  <c:v>414.74674793010854</c:v>
                </c:pt>
                <c:pt idx="34">
                  <c:v>431.40779191821099</c:v>
                </c:pt>
                <c:pt idx="35">
                  <c:v>824.00919125006897</c:v>
                </c:pt>
                <c:pt idx="36">
                  <c:v>778.26112196753002</c:v>
                </c:pt>
                <c:pt idx="37">
                  <c:v>754.68323718870033</c:v>
                </c:pt>
                <c:pt idx="38">
                  <c:v>417.80028162277381</c:v>
                </c:pt>
                <c:pt idx="39">
                  <c:v>253.3417704081773</c:v>
                </c:pt>
                <c:pt idx="40">
                  <c:v>351.20870330907496</c:v>
                </c:pt>
                <c:pt idx="41">
                  <c:v>731.57695469243754</c:v>
                </c:pt>
                <c:pt idx="42">
                  <c:v>690.37770842419638</c:v>
                </c:pt>
                <c:pt idx="43">
                  <c:v>621.66736587254888</c:v>
                </c:pt>
                <c:pt idx="44">
                  <c:v>610.05170653239031</c:v>
                </c:pt>
                <c:pt idx="45">
                  <c:v>782.80120712972575</c:v>
                </c:pt>
                <c:pt idx="46">
                  <c:v>898.3091092617542</c:v>
                </c:pt>
                <c:pt idx="47">
                  <c:v>826.41668831375796</c:v>
                </c:pt>
                <c:pt idx="48">
                  <c:v>956.97975317501027</c:v>
                </c:pt>
                <c:pt idx="49">
                  <c:v>1216.9769144783861</c:v>
                </c:pt>
                <c:pt idx="50">
                  <c:v>959.33483346116213</c:v>
                </c:pt>
                <c:pt idx="51">
                  <c:v>592.34136243126136</c:v>
                </c:pt>
                <c:pt idx="52">
                  <c:v>665.08897429412582</c:v>
                </c:pt>
                <c:pt idx="53">
                  <c:v>818.09516132693841</c:v>
                </c:pt>
                <c:pt idx="54">
                  <c:v>849.94533539713257</c:v>
                </c:pt>
                <c:pt idx="55">
                  <c:v>758.94605504373692</c:v>
                </c:pt>
                <c:pt idx="56">
                  <c:v>884.31401615305617</c:v>
                </c:pt>
                <c:pt idx="57">
                  <c:v>817.17736582895031</c:v>
                </c:pt>
                <c:pt idx="58">
                  <c:v>1003.4759248692578</c:v>
                </c:pt>
                <c:pt idx="59">
                  <c:v>801.34434207901097</c:v>
                </c:pt>
                <c:pt idx="60">
                  <c:v>794.65780032444195</c:v>
                </c:pt>
                <c:pt idx="61">
                  <c:v>553.31253465541079</c:v>
                </c:pt>
                <c:pt idx="62">
                  <c:v>406.39275516086991</c:v>
                </c:pt>
                <c:pt idx="63">
                  <c:v>301.0172009376318</c:v>
                </c:pt>
                <c:pt idx="64">
                  <c:v>699.64681997899777</c:v>
                </c:pt>
                <c:pt idx="65">
                  <c:v>456.12026456898633</c:v>
                </c:pt>
                <c:pt idx="66">
                  <c:v>563.21757918895241</c:v>
                </c:pt>
                <c:pt idx="67">
                  <c:v>400.08976426617528</c:v>
                </c:pt>
                <c:pt idx="68">
                  <c:v>432.61456012061871</c:v>
                </c:pt>
                <c:pt idx="69">
                  <c:v>652.06268226740269</c:v>
                </c:pt>
                <c:pt idx="70">
                  <c:v>394.13285831092878</c:v>
                </c:pt>
                <c:pt idx="71">
                  <c:v>772.0996897883158</c:v>
                </c:pt>
                <c:pt idx="72">
                  <c:v>388.2484080474581</c:v>
                </c:pt>
                <c:pt idx="73">
                  <c:v>498.23661506903073</c:v>
                </c:pt>
                <c:pt idx="74">
                  <c:v>500.65283967784342</c:v>
                </c:pt>
                <c:pt idx="75">
                  <c:v>647.65773355629392</c:v>
                </c:pt>
                <c:pt idx="76">
                  <c:v>550.52117872836686</c:v>
                </c:pt>
                <c:pt idx="77">
                  <c:v>506.06013462175326</c:v>
                </c:pt>
                <c:pt idx="78">
                  <c:v>752.9257821299127</c:v>
                </c:pt>
                <c:pt idx="79">
                  <c:v>463.30708652138895</c:v>
                </c:pt>
                <c:pt idx="80">
                  <c:v>421.1480367791155</c:v>
                </c:pt>
                <c:pt idx="81">
                  <c:v>631.12107638008331</c:v>
                </c:pt>
                <c:pt idx="82">
                  <c:v>346.11090420529416</c:v>
                </c:pt>
                <c:pt idx="83">
                  <c:v>473.31298669619304</c:v>
                </c:pt>
                <c:pt idx="84">
                  <c:v>316.31862197483099</c:v>
                </c:pt>
                <c:pt idx="85">
                  <c:v>587.78861321733154</c:v>
                </c:pt>
                <c:pt idx="86">
                  <c:v>712.85506521089223</c:v>
                </c:pt>
                <c:pt idx="87">
                  <c:v>383.40456555149996</c:v>
                </c:pt>
                <c:pt idx="88">
                  <c:v>426.14393378758001</c:v>
                </c:pt>
                <c:pt idx="89">
                  <c:v>746.72419223946713</c:v>
                </c:pt>
                <c:pt idx="90">
                  <c:v>481.9961208919666</c:v>
                </c:pt>
                <c:pt idx="91">
                  <c:v>362.84700371747647</c:v>
                </c:pt>
                <c:pt idx="92">
                  <c:v>538.63971481920976</c:v>
                </c:pt>
                <c:pt idx="93">
                  <c:v>658.82834063518476</c:v>
                </c:pt>
                <c:pt idx="94">
                  <c:v>533.27370686724373</c:v>
                </c:pt>
                <c:pt idx="95">
                  <c:v>686.57261665837655</c:v>
                </c:pt>
                <c:pt idx="96">
                  <c:v>317.95780948085002</c:v>
                </c:pt>
                <c:pt idx="97">
                  <c:v>449.84831399334024</c:v>
                </c:pt>
                <c:pt idx="98">
                  <c:v>571.38076152042402</c:v>
                </c:pt>
                <c:pt idx="99">
                  <c:v>888.94884308644464</c:v>
                </c:pt>
                <c:pt idx="100">
                  <c:v>607.19474871520731</c:v>
                </c:pt>
                <c:pt idx="101">
                  <c:v>849.93204768576118</c:v>
                </c:pt>
                <c:pt idx="102">
                  <c:v>631.90175464593995</c:v>
                </c:pt>
                <c:pt idx="103">
                  <c:v>680.22389034246612</c:v>
                </c:pt>
                <c:pt idx="104">
                  <c:v>1062.2068159183725</c:v>
                </c:pt>
                <c:pt idx="105">
                  <c:v>720.00123618638338</c:v>
                </c:pt>
                <c:pt idx="106">
                  <c:v>739.7756873749745</c:v>
                </c:pt>
                <c:pt idx="107">
                  <c:v>769.05385860143417</c:v>
                </c:pt>
                <c:pt idx="108">
                  <c:v>718.15664847023197</c:v>
                </c:pt>
                <c:pt idx="109">
                  <c:v>885.15345481243571</c:v>
                </c:pt>
                <c:pt idx="110">
                  <c:v>786.12979017614475</c:v>
                </c:pt>
                <c:pt idx="111">
                  <c:v>923.47268839624235</c:v>
                </c:pt>
                <c:pt idx="112">
                  <c:v>921.36735490244052</c:v>
                </c:pt>
              </c:numCache>
            </c:numRef>
          </c:xVal>
          <c:yVal>
            <c:numRef>
              <c:f>'Lithics_linear regression'!$D$97:$D$209</c:f>
              <c:numCache>
                <c:formatCode>0.000</c:formatCode>
                <c:ptCount val="113"/>
                <c:pt idx="0">
                  <c:v>52.46</c:v>
                </c:pt>
                <c:pt idx="1">
                  <c:v>148.07</c:v>
                </c:pt>
                <c:pt idx="2">
                  <c:v>171.52</c:v>
                </c:pt>
                <c:pt idx="3">
                  <c:v>116.7</c:v>
                </c:pt>
                <c:pt idx="4">
                  <c:v>165.13</c:v>
                </c:pt>
                <c:pt idx="5">
                  <c:v>124.62</c:v>
                </c:pt>
                <c:pt idx="6">
                  <c:v>188.26</c:v>
                </c:pt>
                <c:pt idx="7">
                  <c:v>167.84</c:v>
                </c:pt>
                <c:pt idx="8">
                  <c:v>108.58</c:v>
                </c:pt>
                <c:pt idx="9">
                  <c:v>191.8</c:v>
                </c:pt>
                <c:pt idx="10">
                  <c:v>111.74</c:v>
                </c:pt>
                <c:pt idx="11">
                  <c:v>259.02</c:v>
                </c:pt>
                <c:pt idx="12">
                  <c:v>235.61</c:v>
                </c:pt>
                <c:pt idx="13">
                  <c:v>251.78</c:v>
                </c:pt>
                <c:pt idx="14">
                  <c:v>392.83</c:v>
                </c:pt>
                <c:pt idx="15">
                  <c:v>452.52</c:v>
                </c:pt>
                <c:pt idx="16">
                  <c:v>244.48</c:v>
                </c:pt>
                <c:pt idx="17">
                  <c:v>405.93</c:v>
                </c:pt>
                <c:pt idx="18">
                  <c:v>550</c:v>
                </c:pt>
                <c:pt idx="19">
                  <c:v>420</c:v>
                </c:pt>
                <c:pt idx="20">
                  <c:v>455</c:v>
                </c:pt>
                <c:pt idx="21">
                  <c:v>485</c:v>
                </c:pt>
                <c:pt idx="22">
                  <c:v>485</c:v>
                </c:pt>
                <c:pt idx="23">
                  <c:v>446.6</c:v>
                </c:pt>
                <c:pt idx="24">
                  <c:v>570</c:v>
                </c:pt>
                <c:pt idx="25">
                  <c:v>720</c:v>
                </c:pt>
                <c:pt idx="26">
                  <c:v>1050</c:v>
                </c:pt>
                <c:pt idx="27">
                  <c:v>500</c:v>
                </c:pt>
                <c:pt idx="28">
                  <c:v>492.46</c:v>
                </c:pt>
                <c:pt idx="29">
                  <c:v>880</c:v>
                </c:pt>
                <c:pt idx="30">
                  <c:v>425</c:v>
                </c:pt>
                <c:pt idx="31">
                  <c:v>845</c:v>
                </c:pt>
                <c:pt idx="32">
                  <c:v>635</c:v>
                </c:pt>
                <c:pt idx="33">
                  <c:v>505</c:v>
                </c:pt>
                <c:pt idx="34">
                  <c:v>387.84</c:v>
                </c:pt>
                <c:pt idx="35">
                  <c:v>355.2</c:v>
                </c:pt>
                <c:pt idx="36">
                  <c:v>505</c:v>
                </c:pt>
                <c:pt idx="37">
                  <c:v>950</c:v>
                </c:pt>
                <c:pt idx="38">
                  <c:v>655</c:v>
                </c:pt>
                <c:pt idx="39">
                  <c:v>645</c:v>
                </c:pt>
                <c:pt idx="40">
                  <c:v>1100</c:v>
                </c:pt>
                <c:pt idx="41">
                  <c:v>1030</c:v>
                </c:pt>
                <c:pt idx="42">
                  <c:v>288.20999999999998</c:v>
                </c:pt>
                <c:pt idx="43">
                  <c:v>405</c:v>
                </c:pt>
                <c:pt idx="44">
                  <c:v>455</c:v>
                </c:pt>
                <c:pt idx="45">
                  <c:v>800</c:v>
                </c:pt>
                <c:pt idx="46">
                  <c:v>580</c:v>
                </c:pt>
                <c:pt idx="47">
                  <c:v>645</c:v>
                </c:pt>
                <c:pt idx="48">
                  <c:v>1075</c:v>
                </c:pt>
                <c:pt idx="49">
                  <c:v>1050</c:v>
                </c:pt>
                <c:pt idx="50">
                  <c:v>1680</c:v>
                </c:pt>
                <c:pt idx="51">
                  <c:v>1395</c:v>
                </c:pt>
                <c:pt idx="52">
                  <c:v>1160</c:v>
                </c:pt>
                <c:pt idx="53">
                  <c:v>1310</c:v>
                </c:pt>
                <c:pt idx="54">
                  <c:v>945</c:v>
                </c:pt>
                <c:pt idx="55">
                  <c:v>920</c:v>
                </c:pt>
                <c:pt idx="56">
                  <c:v>1060</c:v>
                </c:pt>
                <c:pt idx="57">
                  <c:v>165</c:v>
                </c:pt>
                <c:pt idx="58">
                  <c:v>1905</c:v>
                </c:pt>
                <c:pt idx="59">
                  <c:v>2730</c:v>
                </c:pt>
                <c:pt idx="60">
                  <c:v>1420</c:v>
                </c:pt>
                <c:pt idx="61">
                  <c:v>232.94</c:v>
                </c:pt>
                <c:pt idx="62">
                  <c:v>147.99</c:v>
                </c:pt>
                <c:pt idx="63">
                  <c:v>143</c:v>
                </c:pt>
                <c:pt idx="64">
                  <c:v>132.80000000000001</c:v>
                </c:pt>
                <c:pt idx="65">
                  <c:v>900</c:v>
                </c:pt>
                <c:pt idx="66">
                  <c:v>251.97</c:v>
                </c:pt>
                <c:pt idx="67">
                  <c:v>246.63</c:v>
                </c:pt>
                <c:pt idx="68">
                  <c:v>358.08</c:v>
                </c:pt>
                <c:pt idx="69">
                  <c:v>231.56</c:v>
                </c:pt>
                <c:pt idx="70">
                  <c:v>340.97</c:v>
                </c:pt>
                <c:pt idx="71">
                  <c:v>399.4</c:v>
                </c:pt>
                <c:pt idx="72">
                  <c:v>151.13</c:v>
                </c:pt>
                <c:pt idx="73">
                  <c:v>313.57</c:v>
                </c:pt>
                <c:pt idx="74">
                  <c:v>0</c:v>
                </c:pt>
                <c:pt idx="75">
                  <c:v>388.41</c:v>
                </c:pt>
                <c:pt idx="76">
                  <c:v>690</c:v>
                </c:pt>
                <c:pt idx="77">
                  <c:v>630.98</c:v>
                </c:pt>
                <c:pt idx="78">
                  <c:v>560</c:v>
                </c:pt>
                <c:pt idx="79">
                  <c:v>396.95</c:v>
                </c:pt>
                <c:pt idx="80">
                  <c:v>268.89</c:v>
                </c:pt>
                <c:pt idx="81">
                  <c:v>420.31</c:v>
                </c:pt>
                <c:pt idx="82">
                  <c:v>286.51</c:v>
                </c:pt>
                <c:pt idx="83">
                  <c:v>790</c:v>
                </c:pt>
                <c:pt idx="84">
                  <c:v>381.45</c:v>
                </c:pt>
                <c:pt idx="85">
                  <c:v>885</c:v>
                </c:pt>
                <c:pt idx="86">
                  <c:v>660</c:v>
                </c:pt>
                <c:pt idx="87">
                  <c:v>455</c:v>
                </c:pt>
                <c:pt idx="88">
                  <c:v>790</c:v>
                </c:pt>
                <c:pt idx="89">
                  <c:v>424.89</c:v>
                </c:pt>
                <c:pt idx="90">
                  <c:v>600</c:v>
                </c:pt>
                <c:pt idx="91">
                  <c:v>306.77999999999997</c:v>
                </c:pt>
                <c:pt idx="92">
                  <c:v>126.57</c:v>
                </c:pt>
                <c:pt idx="93">
                  <c:v>293.61</c:v>
                </c:pt>
                <c:pt idx="94">
                  <c:v>226.88</c:v>
                </c:pt>
                <c:pt idx="95">
                  <c:v>740</c:v>
                </c:pt>
                <c:pt idx="96">
                  <c:v>735</c:v>
                </c:pt>
                <c:pt idx="97">
                  <c:v>340.96</c:v>
                </c:pt>
                <c:pt idx="98">
                  <c:v>400</c:v>
                </c:pt>
                <c:pt idx="99">
                  <c:v>339.96</c:v>
                </c:pt>
                <c:pt idx="100">
                  <c:v>290</c:v>
                </c:pt>
                <c:pt idx="101">
                  <c:v>425.49</c:v>
                </c:pt>
                <c:pt idx="102">
                  <c:v>610</c:v>
                </c:pt>
                <c:pt idx="103">
                  <c:v>261.73</c:v>
                </c:pt>
                <c:pt idx="104">
                  <c:v>785</c:v>
                </c:pt>
                <c:pt idx="105">
                  <c:v>770</c:v>
                </c:pt>
                <c:pt idx="106">
                  <c:v>755</c:v>
                </c:pt>
                <c:pt idx="107">
                  <c:v>850</c:v>
                </c:pt>
                <c:pt idx="108">
                  <c:v>1585</c:v>
                </c:pt>
                <c:pt idx="109">
                  <c:v>1000</c:v>
                </c:pt>
                <c:pt idx="110">
                  <c:v>555</c:v>
                </c:pt>
                <c:pt idx="111">
                  <c:v>1625</c:v>
                </c:pt>
                <c:pt idx="112">
                  <c:v>1335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3300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3300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B2B2B2"/>
              </a:solidFill>
              <a:prstDash val="solid"/>
            </a:ln>
          </c:spPr>
          <c:marker>
            <c:symbol val="none"/>
          </c:marker>
          <c:xVal>
            <c:numRef>
              <c:f>'Lithics_linear regression'!xdata1</c:f>
              <c:numCache>
                <c:formatCode>General</c:formatCode>
                <c:ptCount val="70"/>
                <c:pt idx="0">
                  <c:v>-200</c:v>
                </c:pt>
                <c:pt idx="1">
                  <c:v>-149.27536231884059</c:v>
                </c:pt>
                <c:pt idx="2">
                  <c:v>-98.550724637681199</c:v>
                </c:pt>
                <c:pt idx="3">
                  <c:v>-47.826086956521806</c:v>
                </c:pt>
                <c:pt idx="4">
                  <c:v>2.8985507246376017</c:v>
                </c:pt>
                <c:pt idx="5">
                  <c:v>53.623188405797009</c:v>
                </c:pt>
                <c:pt idx="6">
                  <c:v>104.34782608695639</c:v>
                </c:pt>
                <c:pt idx="7">
                  <c:v>155.07246376811582</c:v>
                </c:pt>
                <c:pt idx="8">
                  <c:v>205.7971014492752</c:v>
                </c:pt>
                <c:pt idx="9">
                  <c:v>256.52173913043458</c:v>
                </c:pt>
                <c:pt idx="10">
                  <c:v>307.24637681159402</c:v>
                </c:pt>
                <c:pt idx="11">
                  <c:v>357.9710144927534</c:v>
                </c:pt>
                <c:pt idx="12">
                  <c:v>408.69565217391278</c:v>
                </c:pt>
                <c:pt idx="13">
                  <c:v>459.42028985507216</c:v>
                </c:pt>
                <c:pt idx="14">
                  <c:v>510.14492753623165</c:v>
                </c:pt>
                <c:pt idx="15">
                  <c:v>560.86956521739103</c:v>
                </c:pt>
                <c:pt idx="16">
                  <c:v>611.59420289855041</c:v>
                </c:pt>
                <c:pt idx="17">
                  <c:v>662.31884057970979</c:v>
                </c:pt>
                <c:pt idx="18">
                  <c:v>713.04347826086916</c:v>
                </c:pt>
                <c:pt idx="19">
                  <c:v>763.76811594202866</c:v>
                </c:pt>
                <c:pt idx="20">
                  <c:v>814.49275362318804</c:v>
                </c:pt>
                <c:pt idx="21">
                  <c:v>865.2173913043473</c:v>
                </c:pt>
                <c:pt idx="22">
                  <c:v>915.94202898550679</c:v>
                </c:pt>
                <c:pt idx="23">
                  <c:v>966.66666666666629</c:v>
                </c:pt>
                <c:pt idx="24">
                  <c:v>1017.3913043478256</c:v>
                </c:pt>
                <c:pt idx="25">
                  <c:v>1068.115942028985</c:v>
                </c:pt>
                <c:pt idx="26">
                  <c:v>1118.8405797101443</c:v>
                </c:pt>
                <c:pt idx="27">
                  <c:v>1169.5652173913038</c:v>
                </c:pt>
                <c:pt idx="28">
                  <c:v>1220.2898550724633</c:v>
                </c:pt>
                <c:pt idx="29">
                  <c:v>1271.0144927536226</c:v>
                </c:pt>
                <c:pt idx="30">
                  <c:v>1321.7391304347821</c:v>
                </c:pt>
                <c:pt idx="31">
                  <c:v>1372.4637681159413</c:v>
                </c:pt>
                <c:pt idx="32">
                  <c:v>1423.1884057971008</c:v>
                </c:pt>
                <c:pt idx="33">
                  <c:v>1473.9130434782603</c:v>
                </c:pt>
                <c:pt idx="34">
                  <c:v>1524.6376811594196</c:v>
                </c:pt>
                <c:pt idx="35">
                  <c:v>1575.3623188405791</c:v>
                </c:pt>
                <c:pt idx="36">
                  <c:v>1626.0869565217383</c:v>
                </c:pt>
                <c:pt idx="37">
                  <c:v>1676.8115942028978</c:v>
                </c:pt>
                <c:pt idx="38">
                  <c:v>1727.5362318840573</c:v>
                </c:pt>
                <c:pt idx="39">
                  <c:v>1778.2608695652166</c:v>
                </c:pt>
                <c:pt idx="40">
                  <c:v>1828.9855072463761</c:v>
                </c:pt>
                <c:pt idx="41">
                  <c:v>1879.7101449275356</c:v>
                </c:pt>
                <c:pt idx="42">
                  <c:v>1930.4347826086946</c:v>
                </c:pt>
                <c:pt idx="43">
                  <c:v>1981.1594202898541</c:v>
                </c:pt>
                <c:pt idx="44">
                  <c:v>2031.8840579710136</c:v>
                </c:pt>
                <c:pt idx="45">
                  <c:v>2082.6086956521731</c:v>
                </c:pt>
                <c:pt idx="46">
                  <c:v>2133.3333333333326</c:v>
                </c:pt>
                <c:pt idx="47">
                  <c:v>2184.0579710144916</c:v>
                </c:pt>
                <c:pt idx="48">
                  <c:v>2234.7826086956511</c:v>
                </c:pt>
                <c:pt idx="49">
                  <c:v>2285.5072463768106</c:v>
                </c:pt>
                <c:pt idx="50">
                  <c:v>2336.2318840579701</c:v>
                </c:pt>
                <c:pt idx="51">
                  <c:v>2386.9565217391296</c:v>
                </c:pt>
                <c:pt idx="52">
                  <c:v>2437.6811594202886</c:v>
                </c:pt>
                <c:pt idx="53">
                  <c:v>2488.4057971014481</c:v>
                </c:pt>
                <c:pt idx="54">
                  <c:v>2539.1304347826076</c:v>
                </c:pt>
                <c:pt idx="55">
                  <c:v>2589.8550724637671</c:v>
                </c:pt>
                <c:pt idx="56">
                  <c:v>2640.5797101449266</c:v>
                </c:pt>
                <c:pt idx="57">
                  <c:v>2691.3043478260856</c:v>
                </c:pt>
                <c:pt idx="58">
                  <c:v>2742.0289855072451</c:v>
                </c:pt>
                <c:pt idx="59">
                  <c:v>2792.7536231884046</c:v>
                </c:pt>
                <c:pt idx="60">
                  <c:v>2843.4782608695641</c:v>
                </c:pt>
                <c:pt idx="61">
                  <c:v>2894.2028985507236</c:v>
                </c:pt>
                <c:pt idx="62">
                  <c:v>2944.9275362318826</c:v>
                </c:pt>
                <c:pt idx="63">
                  <c:v>2995.6521739130421</c:v>
                </c:pt>
                <c:pt idx="64">
                  <c:v>3046.3768115942016</c:v>
                </c:pt>
                <c:pt idx="65">
                  <c:v>3097.1014492753611</c:v>
                </c:pt>
                <c:pt idx="66">
                  <c:v>3147.8260869565206</c:v>
                </c:pt>
                <c:pt idx="67">
                  <c:v>3198.5507246376797</c:v>
                </c:pt>
                <c:pt idx="68">
                  <c:v>3249.2753623188391</c:v>
                </c:pt>
                <c:pt idx="69">
                  <c:v>3299.9999999999986</c:v>
                </c:pt>
              </c:numCache>
            </c:numRef>
          </c:xVal>
          <c:yVal>
            <c:numRef>
              <c:f>'Lithics_linear regression'!ydata1</c:f>
              <c:numCache>
                <c:formatCode>General</c:formatCode>
                <c:ptCount val="70"/>
                <c:pt idx="0">
                  <c:v>-1001.8509123385808</c:v>
                </c:pt>
                <c:pt idx="1">
                  <c:v>-946.08583605720582</c:v>
                </c:pt>
                <c:pt idx="2">
                  <c:v>-890.62999224260591</c:v>
                </c:pt>
                <c:pt idx="3">
                  <c:v>-835.48895325745548</c:v>
                </c:pt>
                <c:pt idx="4">
                  <c:v>-780.66804210503597</c:v>
                </c:pt>
                <c:pt idx="5">
                  <c:v>-726.17230370572895</c:v>
                </c:pt>
                <c:pt idx="6">
                  <c:v>-672.00647660329253</c:v>
                </c:pt>
                <c:pt idx="7">
                  <c:v>-618.17496543118068</c:v>
                </c:pt>
                <c:pt idx="8">
                  <c:v>-564.68181447927373</c:v>
                </c:pt>
                <c:pt idx="9">
                  <c:v>-511.53068270481702</c:v>
                </c:pt>
                <c:pt idx="10">
                  <c:v>-458.7248205274517</c:v>
                </c:pt>
                <c:pt idx="11">
                  <c:v>-406.26704873655183</c:v>
                </c:pt>
                <c:pt idx="12">
                  <c:v>-354.1597398194848</c:v>
                </c:pt>
                <c:pt idx="13">
                  <c:v>-302.40480199198259</c:v>
                </c:pt>
                <c:pt idx="14">
                  <c:v>-251.00366617697966</c:v>
                </c:pt>
                <c:pt idx="15">
                  <c:v>-199.95727613672261</c:v>
                </c:pt>
                <c:pt idx="16">
                  <c:v>-149.26608191569062</c:v>
                </c:pt>
                <c:pt idx="17">
                  <c:v>-98.930036700113419</c:v>
                </c:pt>
                <c:pt idx="18">
                  <c:v>-48.948597145054578</c:v>
                </c:pt>
                <c:pt idx="19">
                  <c:v>0.67927283625056134</c:v>
                </c:pt>
                <c:pt idx="20">
                  <c:v>49.955094882262642</c:v>
                </c:pt>
                <c:pt idx="21">
                  <c:v>98.880865708021133</c:v>
                </c:pt>
                <c:pt idx="22">
                  <c:v>147.45904351185675</c:v>
                </c:pt>
                <c:pt idx="23">
                  <c:v>195.69253147704001</c:v>
                </c:pt>
                <c:pt idx="24">
                  <c:v>243.58465862181299</c:v>
                </c:pt>
                <c:pt idx="25">
                  <c:v>291.13915828474376</c:v>
                </c:pt>
                <c:pt idx="26">
                  <c:v>338.36014455830718</c:v>
                </c:pt>
                <c:pt idx="27">
                  <c:v>385.25208700171947</c:v>
                </c:pt>
                <c:pt idx="28">
                  <c:v>431.81978397421972</c:v>
                </c:pt>
                <c:pt idx="29">
                  <c:v>478.06833493249906</c:v>
                </c:pt>
                <c:pt idx="30">
                  <c:v>524.00311203123306</c:v>
                </c:pt>
                <c:pt idx="31">
                  <c:v>569.62973135437915</c:v>
                </c:pt>
                <c:pt idx="32">
                  <c:v>614.95402408791142</c:v>
                </c:pt>
                <c:pt idx="33">
                  <c:v>659.98200792287719</c:v>
                </c:pt>
                <c:pt idx="34">
                  <c:v>704.71985895213675</c:v>
                </c:pt>
                <c:pt idx="35">
                  <c:v>749.17388429585526</c:v>
                </c:pt>
                <c:pt idx="36">
                  <c:v>793.35049566077578</c:v>
                </c:pt>
                <c:pt idx="37">
                  <c:v>837.2561840074336</c:v>
                </c:pt>
                <c:pt idx="38">
                  <c:v>880.89749546860162</c:v>
                </c:pt>
                <c:pt idx="39">
                  <c:v>924.28100863212831</c:v>
                </c:pt>
                <c:pt idx="40">
                  <c:v>967.41331327254136</c:v>
                </c:pt>
                <c:pt idx="41">
                  <c:v>1010.3009905888377</c:v>
                </c:pt>
                <c:pt idx="42">
                  <c:v>1052.95059498112</c:v>
                </c:pt>
                <c:pt idx="43">
                  <c:v>1095.3686373764326</c:v>
                </c:pt>
                <c:pt idx="44">
                  <c:v>1137.5615700944245</c:v>
                </c:pt>
                <c:pt idx="45">
                  <c:v>1179.535773226401</c:v>
                </c:pt>
                <c:pt idx="46">
                  <c:v>1221.2975424868716</c:v>
                </c:pt>
                <c:pt idx="47">
                  <c:v>1262.8530784847749</c:v>
                </c:pt>
                <c:pt idx="48">
                  <c:v>1304.2084773520505</c:v>
                </c:pt>
                <c:pt idx="49">
                  <c:v>1345.3697226599029</c:v>
                </c:pt>
                <c:pt idx="50">
                  <c:v>1386.3426785478359</c:v>
                </c:pt>
                <c:pt idx="51">
                  <c:v>1427.1330839870388</c:v>
                </c:pt>
                <c:pt idx="52">
                  <c:v>1467.7465480978237</c:v>
                </c:pt>
                <c:pt idx="53">
                  <c:v>1508.1885464402831</c:v>
                </c:pt>
                <c:pt idx="54">
                  <c:v>1548.4644181979777</c:v>
                </c:pt>
                <c:pt idx="55">
                  <c:v>1588.579364176067</c:v>
                </c:pt>
                <c:pt idx="56">
                  <c:v>1628.5384455376652</c:v>
                </c:pt>
                <c:pt idx="57">
                  <c:v>1668.3465832052059</c:v>
                </c:pt>
                <c:pt idx="58">
                  <c:v>1708.0085578570552</c:v>
                </c:pt>
                <c:pt idx="59">
                  <c:v>1747.5290104533863</c:v>
                </c:pt>
                <c:pt idx="60">
                  <c:v>1786.9124432293622</c:v>
                </c:pt>
                <c:pt idx="61">
                  <c:v>1826.1632210977741</c:v>
                </c:pt>
                <c:pt idx="62">
                  <c:v>1865.2855734074724</c:v>
                </c:pt>
                <c:pt idx="63">
                  <c:v>1904.2835960080604</c:v>
                </c:pt>
                <c:pt idx="64">
                  <c:v>1943.1612535753748</c:v>
                </c:pt>
                <c:pt idx="65">
                  <c:v>1981.9223821562307</c:v>
                </c:pt>
                <c:pt idx="66">
                  <c:v>2020.5706918946703</c:v>
                </c:pt>
                <c:pt idx="67">
                  <c:v>2059.1097699055554</c:v>
                </c:pt>
                <c:pt idx="68">
                  <c:v>2097.5430832647553</c:v>
                </c:pt>
                <c:pt idx="69">
                  <c:v>2135.8739820883525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B2B2B2"/>
              </a:solidFill>
              <a:prstDash val="solid"/>
            </a:ln>
          </c:spPr>
          <c:marker>
            <c:symbol val="none"/>
          </c:marker>
          <c:xVal>
            <c:numRef>
              <c:f>'Lithics_linear regression'!xdata2</c:f>
              <c:numCache>
                <c:formatCode>General</c:formatCode>
                <c:ptCount val="70"/>
                <c:pt idx="0">
                  <c:v>-200</c:v>
                </c:pt>
                <c:pt idx="1">
                  <c:v>-149.27536231884059</c:v>
                </c:pt>
                <c:pt idx="2">
                  <c:v>-98.550724637681199</c:v>
                </c:pt>
                <c:pt idx="3">
                  <c:v>-47.826086956521806</c:v>
                </c:pt>
                <c:pt idx="4">
                  <c:v>2.8985507246376017</c:v>
                </c:pt>
                <c:pt idx="5">
                  <c:v>53.623188405797009</c:v>
                </c:pt>
                <c:pt idx="6">
                  <c:v>104.34782608695639</c:v>
                </c:pt>
                <c:pt idx="7">
                  <c:v>155.07246376811582</c:v>
                </c:pt>
                <c:pt idx="8">
                  <c:v>205.7971014492752</c:v>
                </c:pt>
                <c:pt idx="9">
                  <c:v>256.52173913043458</c:v>
                </c:pt>
                <c:pt idx="10">
                  <c:v>307.24637681159402</c:v>
                </c:pt>
                <c:pt idx="11">
                  <c:v>357.9710144927534</c:v>
                </c:pt>
                <c:pt idx="12">
                  <c:v>408.69565217391278</c:v>
                </c:pt>
                <c:pt idx="13">
                  <c:v>459.42028985507216</c:v>
                </c:pt>
                <c:pt idx="14">
                  <c:v>510.14492753623165</c:v>
                </c:pt>
                <c:pt idx="15">
                  <c:v>560.86956521739103</c:v>
                </c:pt>
                <c:pt idx="16">
                  <c:v>611.59420289855041</c:v>
                </c:pt>
                <c:pt idx="17">
                  <c:v>662.31884057970979</c:v>
                </c:pt>
                <c:pt idx="18">
                  <c:v>713.04347826086916</c:v>
                </c:pt>
                <c:pt idx="19">
                  <c:v>763.76811594202866</c:v>
                </c:pt>
                <c:pt idx="20">
                  <c:v>814.49275362318804</c:v>
                </c:pt>
                <c:pt idx="21">
                  <c:v>865.2173913043473</c:v>
                </c:pt>
                <c:pt idx="22">
                  <c:v>915.94202898550679</c:v>
                </c:pt>
                <c:pt idx="23">
                  <c:v>966.66666666666629</c:v>
                </c:pt>
                <c:pt idx="24">
                  <c:v>1017.3913043478256</c:v>
                </c:pt>
                <c:pt idx="25">
                  <c:v>1068.115942028985</c:v>
                </c:pt>
                <c:pt idx="26">
                  <c:v>1118.8405797101443</c:v>
                </c:pt>
                <c:pt idx="27">
                  <c:v>1169.5652173913038</c:v>
                </c:pt>
                <c:pt idx="28">
                  <c:v>1220.2898550724633</c:v>
                </c:pt>
                <c:pt idx="29">
                  <c:v>1271.0144927536226</c:v>
                </c:pt>
                <c:pt idx="30">
                  <c:v>1321.7391304347821</c:v>
                </c:pt>
                <c:pt idx="31">
                  <c:v>1372.4637681159413</c:v>
                </c:pt>
                <c:pt idx="32">
                  <c:v>1423.1884057971008</c:v>
                </c:pt>
                <c:pt idx="33">
                  <c:v>1473.9130434782603</c:v>
                </c:pt>
                <c:pt idx="34">
                  <c:v>1524.6376811594196</c:v>
                </c:pt>
                <c:pt idx="35">
                  <c:v>1575.3623188405791</c:v>
                </c:pt>
                <c:pt idx="36">
                  <c:v>1626.0869565217383</c:v>
                </c:pt>
                <c:pt idx="37">
                  <c:v>1676.8115942028978</c:v>
                </c:pt>
                <c:pt idx="38">
                  <c:v>1727.5362318840573</c:v>
                </c:pt>
                <c:pt idx="39">
                  <c:v>1778.2608695652166</c:v>
                </c:pt>
                <c:pt idx="40">
                  <c:v>1828.9855072463761</c:v>
                </c:pt>
                <c:pt idx="41">
                  <c:v>1879.7101449275356</c:v>
                </c:pt>
                <c:pt idx="42">
                  <c:v>1930.4347826086946</c:v>
                </c:pt>
                <c:pt idx="43">
                  <c:v>1981.1594202898541</c:v>
                </c:pt>
                <c:pt idx="44">
                  <c:v>2031.8840579710136</c:v>
                </c:pt>
                <c:pt idx="45">
                  <c:v>2082.6086956521731</c:v>
                </c:pt>
                <c:pt idx="46">
                  <c:v>2133.3333333333326</c:v>
                </c:pt>
                <c:pt idx="47">
                  <c:v>2184.0579710144916</c:v>
                </c:pt>
                <c:pt idx="48">
                  <c:v>2234.7826086956511</c:v>
                </c:pt>
                <c:pt idx="49">
                  <c:v>2285.5072463768106</c:v>
                </c:pt>
                <c:pt idx="50">
                  <c:v>2336.2318840579701</c:v>
                </c:pt>
                <c:pt idx="51">
                  <c:v>2386.9565217391296</c:v>
                </c:pt>
                <c:pt idx="52">
                  <c:v>2437.6811594202886</c:v>
                </c:pt>
                <c:pt idx="53">
                  <c:v>2488.4057971014481</c:v>
                </c:pt>
                <c:pt idx="54">
                  <c:v>2539.1304347826076</c:v>
                </c:pt>
                <c:pt idx="55">
                  <c:v>2589.8550724637671</c:v>
                </c:pt>
                <c:pt idx="56">
                  <c:v>2640.5797101449266</c:v>
                </c:pt>
                <c:pt idx="57">
                  <c:v>2691.3043478260856</c:v>
                </c:pt>
                <c:pt idx="58">
                  <c:v>2742.0289855072451</c:v>
                </c:pt>
                <c:pt idx="59">
                  <c:v>2792.7536231884046</c:v>
                </c:pt>
                <c:pt idx="60">
                  <c:v>2843.4782608695641</c:v>
                </c:pt>
                <c:pt idx="61">
                  <c:v>2894.2028985507236</c:v>
                </c:pt>
                <c:pt idx="62">
                  <c:v>2944.9275362318826</c:v>
                </c:pt>
                <c:pt idx="63">
                  <c:v>2995.6521739130421</c:v>
                </c:pt>
                <c:pt idx="64">
                  <c:v>3046.3768115942016</c:v>
                </c:pt>
                <c:pt idx="65">
                  <c:v>3097.1014492753611</c:v>
                </c:pt>
                <c:pt idx="66">
                  <c:v>3147.8260869565206</c:v>
                </c:pt>
                <c:pt idx="67">
                  <c:v>3198.5507246376797</c:v>
                </c:pt>
                <c:pt idx="68">
                  <c:v>3249.2753623188391</c:v>
                </c:pt>
                <c:pt idx="69">
                  <c:v>3299.9999999999986</c:v>
                </c:pt>
              </c:numCache>
            </c:numRef>
          </c:xVal>
          <c:yVal>
            <c:numRef>
              <c:f>'Lithics_linear regression'!ydata2</c:f>
              <c:numCache>
                <c:formatCode>General</c:formatCode>
                <c:ptCount val="70"/>
                <c:pt idx="0">
                  <c:v>601.85091233858077</c:v>
                </c:pt>
                <c:pt idx="1">
                  <c:v>647.53511141952458</c:v>
                </c:pt>
                <c:pt idx="2">
                  <c:v>693.52854296724342</c:v>
                </c:pt>
                <c:pt idx="3">
                  <c:v>739.83677934441175</c:v>
                </c:pt>
                <c:pt idx="4">
                  <c:v>786.46514355431123</c:v>
                </c:pt>
                <c:pt idx="5">
                  <c:v>833.41868051732297</c:v>
                </c:pt>
                <c:pt idx="6">
                  <c:v>880.7021287772053</c:v>
                </c:pt>
                <c:pt idx="7">
                  <c:v>928.31989296741222</c:v>
                </c:pt>
                <c:pt idx="8">
                  <c:v>976.27601737782425</c:v>
                </c:pt>
                <c:pt idx="9">
                  <c:v>1024.5741609656861</c:v>
                </c:pt>
                <c:pt idx="10">
                  <c:v>1073.2175741506398</c:v>
                </c:pt>
                <c:pt idx="11">
                  <c:v>1122.2090777220587</c:v>
                </c:pt>
                <c:pt idx="12">
                  <c:v>1171.5510441673105</c:v>
                </c:pt>
                <c:pt idx="13">
                  <c:v>1221.2453817021269</c:v>
                </c:pt>
                <c:pt idx="14">
                  <c:v>1271.2935212494431</c:v>
                </c:pt>
                <c:pt idx="15">
                  <c:v>1321.6964065715047</c:v>
                </c:pt>
                <c:pt idx="16">
                  <c:v>1372.4544877127914</c:v>
                </c:pt>
                <c:pt idx="17">
                  <c:v>1423.5677178595329</c:v>
                </c:pt>
                <c:pt idx="18">
                  <c:v>1475.035553666793</c:v>
                </c:pt>
                <c:pt idx="19">
                  <c:v>1526.8569590478069</c:v>
                </c:pt>
                <c:pt idx="20">
                  <c:v>1579.0304123641135</c:v>
                </c:pt>
                <c:pt idx="21">
                  <c:v>1631.5539169006734</c:v>
                </c:pt>
                <c:pt idx="22">
                  <c:v>1684.425014459157</c:v>
                </c:pt>
                <c:pt idx="23">
                  <c:v>1737.6408018562925</c:v>
                </c:pt>
                <c:pt idx="24">
                  <c:v>1791.197950073838</c:v>
                </c:pt>
                <c:pt idx="25">
                  <c:v>1845.0927257732264</c:v>
                </c:pt>
                <c:pt idx="26">
                  <c:v>1899.3210148619814</c:v>
                </c:pt>
                <c:pt idx="27">
                  <c:v>1953.8783477808881</c:v>
                </c:pt>
                <c:pt idx="28">
                  <c:v>2008.7599261707069</c:v>
                </c:pt>
                <c:pt idx="29">
                  <c:v>2063.9606505747461</c:v>
                </c:pt>
                <c:pt idx="30">
                  <c:v>2119.4751488383308</c:v>
                </c:pt>
                <c:pt idx="31">
                  <c:v>2175.2978048775035</c:v>
                </c:pt>
                <c:pt idx="32">
                  <c:v>2231.4227875062902</c:v>
                </c:pt>
                <c:pt idx="33">
                  <c:v>2287.8440790336435</c:v>
                </c:pt>
                <c:pt idx="34">
                  <c:v>2344.5555033667024</c:v>
                </c:pt>
                <c:pt idx="35">
                  <c:v>2401.5507533853029</c:v>
                </c:pt>
                <c:pt idx="36">
                  <c:v>2458.8234173827009</c:v>
                </c:pt>
                <c:pt idx="37">
                  <c:v>2516.367004398362</c:v>
                </c:pt>
                <c:pt idx="38">
                  <c:v>2574.1749682995132</c:v>
                </c:pt>
                <c:pt idx="39">
                  <c:v>2632.2407304983049</c:v>
                </c:pt>
                <c:pt idx="40">
                  <c:v>2690.5577012202107</c:v>
                </c:pt>
                <c:pt idx="41">
                  <c:v>2749.1192992662336</c:v>
                </c:pt>
                <c:pt idx="42">
                  <c:v>2807.9189702362692</c:v>
                </c:pt>
                <c:pt idx="43">
                  <c:v>2866.9502032032756</c:v>
                </c:pt>
                <c:pt idx="44">
                  <c:v>2926.2065458476027</c:v>
                </c:pt>
                <c:pt idx="45">
                  <c:v>2985.6816180779451</c:v>
                </c:pt>
                <c:pt idx="46">
                  <c:v>3045.3691241797933</c:v>
                </c:pt>
                <c:pt idx="47">
                  <c:v>3105.2628635442084</c:v>
                </c:pt>
                <c:pt idx="48">
                  <c:v>3165.3567400392517</c:v>
                </c:pt>
                <c:pt idx="49">
                  <c:v>3225.6447700937183</c:v>
                </c:pt>
                <c:pt idx="50">
                  <c:v>3286.1210895681043</c:v>
                </c:pt>
                <c:pt idx="51">
                  <c:v>3346.7799594912203</c:v>
                </c:pt>
                <c:pt idx="52">
                  <c:v>3407.6157707427537</c:v>
                </c:pt>
                <c:pt idx="53">
                  <c:v>3468.6230477626132</c:v>
                </c:pt>
                <c:pt idx="54">
                  <c:v>3529.7964513672378</c:v>
                </c:pt>
                <c:pt idx="55">
                  <c:v>3591.1307807514672</c:v>
                </c:pt>
                <c:pt idx="56">
                  <c:v>3652.620974752188</c:v>
                </c:pt>
                <c:pt idx="57">
                  <c:v>3714.2621124469651</c:v>
                </c:pt>
                <c:pt idx="58">
                  <c:v>3776.0494131574351</c:v>
                </c:pt>
                <c:pt idx="59">
                  <c:v>3837.9782359234232</c:v>
                </c:pt>
                <c:pt idx="60">
                  <c:v>3900.0440785097662</c:v>
                </c:pt>
                <c:pt idx="61">
                  <c:v>3962.2425760036731</c:v>
                </c:pt>
                <c:pt idx="62">
                  <c:v>4024.5694990562929</c:v>
                </c:pt>
                <c:pt idx="63">
                  <c:v>4087.0207518180241</c:v>
                </c:pt>
                <c:pt idx="64">
                  <c:v>4149.5923696130285</c:v>
                </c:pt>
                <c:pt idx="65">
                  <c:v>4212.2805163944913</c:v>
                </c:pt>
                <c:pt idx="66">
                  <c:v>4275.0814820183714</c:v>
                </c:pt>
                <c:pt idx="67">
                  <c:v>4337.9916793698039</c:v>
                </c:pt>
                <c:pt idx="68">
                  <c:v>4401.007641372923</c:v>
                </c:pt>
                <c:pt idx="69">
                  <c:v>4464.1260179116452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2256"/>
        <c:axId val="46354432"/>
      </c:scatterChart>
      <c:valAx>
        <c:axId val="46352256"/>
        <c:scaling>
          <c:orientation val="minMax"/>
          <c:max val="33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Pred(Lithics (g))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54432"/>
        <c:crosses val="autoZero"/>
        <c:crossBetween val="midCat"/>
        <c:majorUnit val="500"/>
      </c:valAx>
      <c:valAx>
        <c:axId val="46354432"/>
        <c:scaling>
          <c:orientation val="minMax"/>
          <c:max val="33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Lithics (g)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52256"/>
        <c:crosses val="autoZero"/>
        <c:crossBetween val="midCat"/>
        <c:majorUnit val="500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Standardized residuals / Lithics (g)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Active</c:v>
          </c:tx>
          <c:spPr>
            <a:solidFill>
              <a:srgbClr val="0000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'Lithics_linear regression'!$B$97:$B$209</c:f>
              <c:strCache>
                <c:ptCount val="11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</c:strCache>
            </c:strRef>
          </c:cat>
          <c:val>
            <c:numRef>
              <c:f>'Lithics_linear regression'!$G$97:$G$209</c:f>
              <c:numCache>
                <c:formatCode>0.000</c:formatCode>
                <c:ptCount val="113"/>
                <c:pt idx="0">
                  <c:v>-1.1378002003695271</c:v>
                </c:pt>
                <c:pt idx="1">
                  <c:v>-1.4676066684545268</c:v>
                </c:pt>
                <c:pt idx="2">
                  <c:v>0.56508942738299772</c:v>
                </c:pt>
                <c:pt idx="3">
                  <c:v>-0.56549357338113315</c:v>
                </c:pt>
                <c:pt idx="4">
                  <c:v>-1.3303335716938105</c:v>
                </c:pt>
                <c:pt idx="5">
                  <c:v>-0.94576959266182681</c:v>
                </c:pt>
                <c:pt idx="6">
                  <c:v>-0.46482345734945452</c:v>
                </c:pt>
                <c:pt idx="7">
                  <c:v>-0.23311220001634919</c:v>
                </c:pt>
                <c:pt idx="8">
                  <c:v>-0.99937926063923255</c:v>
                </c:pt>
                <c:pt idx="9">
                  <c:v>-0.83107122302255942</c:v>
                </c:pt>
                <c:pt idx="10">
                  <c:v>-0.48775134842478524</c:v>
                </c:pt>
                <c:pt idx="11">
                  <c:v>0.48566039018035373</c:v>
                </c:pt>
                <c:pt idx="12">
                  <c:v>3.4767314801383099E-2</c:v>
                </c:pt>
                <c:pt idx="13">
                  <c:v>-0.11677929138707904</c:v>
                </c:pt>
                <c:pt idx="14">
                  <c:v>-0.2769387255780435</c:v>
                </c:pt>
                <c:pt idx="15">
                  <c:v>0.24357193870823185</c:v>
                </c:pt>
                <c:pt idx="16">
                  <c:v>-1.2252280151044046E-2</c:v>
                </c:pt>
                <c:pt idx="17">
                  <c:v>-0.78652698243593</c:v>
                </c:pt>
                <c:pt idx="18">
                  <c:v>4.9298046630809396E-2</c:v>
                </c:pt>
                <c:pt idx="19">
                  <c:v>2.8254690785355117E-2</c:v>
                </c:pt>
                <c:pt idx="20">
                  <c:v>3.007069675490669E-2</c:v>
                </c:pt>
                <c:pt idx="21">
                  <c:v>-0.19447403190136323</c:v>
                </c:pt>
                <c:pt idx="22">
                  <c:v>-0.74315194081766023</c:v>
                </c:pt>
                <c:pt idx="23">
                  <c:v>0.65663455481958322</c:v>
                </c:pt>
                <c:pt idx="24">
                  <c:v>0.41506532593489553</c:v>
                </c:pt>
                <c:pt idx="25">
                  <c:v>0.50448488776090827</c:v>
                </c:pt>
                <c:pt idx="26">
                  <c:v>1.5300618318378831</c:v>
                </c:pt>
                <c:pt idx="27">
                  <c:v>0.71708022046208841</c:v>
                </c:pt>
                <c:pt idx="28">
                  <c:v>0.26719832740929428</c:v>
                </c:pt>
                <c:pt idx="29">
                  <c:v>0.24912050176861147</c:v>
                </c:pt>
                <c:pt idx="30">
                  <c:v>-0.20960476898306818</c:v>
                </c:pt>
                <c:pt idx="31">
                  <c:v>0.43676792556839833</c:v>
                </c:pt>
                <c:pt idx="32">
                  <c:v>0.1863003136940882</c:v>
                </c:pt>
                <c:pt idx="33">
                  <c:v>0.23611068905298394</c:v>
                </c:pt>
                <c:pt idx="34">
                  <c:v>-0.1139772931656777</c:v>
                </c:pt>
                <c:pt idx="35">
                  <c:v>-1.226447342802758</c:v>
                </c:pt>
                <c:pt idx="36">
                  <c:v>-0.71487586673532022</c:v>
                </c:pt>
                <c:pt idx="37">
                  <c:v>0.51096635737028073</c:v>
                </c:pt>
                <c:pt idx="38">
                  <c:v>0.62053596590459081</c:v>
                </c:pt>
                <c:pt idx="39">
                  <c:v>1.0246134332155179</c:v>
                </c:pt>
                <c:pt idx="40">
                  <c:v>1.9589059115749186</c:v>
                </c:pt>
                <c:pt idx="41">
                  <c:v>0.78070173917161489</c:v>
                </c:pt>
                <c:pt idx="42">
                  <c:v>-1.0521071825463224</c:v>
                </c:pt>
                <c:pt idx="43">
                  <c:v>-0.5668214704534581</c:v>
                </c:pt>
                <c:pt idx="44">
                  <c:v>-0.40562932003661983</c:v>
                </c:pt>
                <c:pt idx="45">
                  <c:v>4.4993601253673729E-2</c:v>
                </c:pt>
                <c:pt idx="46">
                  <c:v>-0.83272548518732525</c:v>
                </c:pt>
                <c:pt idx="47">
                  <c:v>-0.47460250241510571</c:v>
                </c:pt>
                <c:pt idx="48">
                  <c:v>0.30875166446603453</c:v>
                </c:pt>
                <c:pt idx="49">
                  <c:v>-0.43682674506734065</c:v>
                </c:pt>
                <c:pt idx="50">
                  <c:v>1.8853254054070017</c:v>
                </c:pt>
                <c:pt idx="51">
                  <c:v>2.0998277584936678</c:v>
                </c:pt>
                <c:pt idx="52">
                  <c:v>1.2947321079227403</c:v>
                </c:pt>
                <c:pt idx="53">
                  <c:v>1.2868676501280243</c:v>
                </c:pt>
                <c:pt idx="54">
                  <c:v>0.24867161949691616</c:v>
                </c:pt>
                <c:pt idx="55">
                  <c:v>0.42133171986841128</c:v>
                </c:pt>
                <c:pt idx="56">
                  <c:v>0.45961046003007699</c:v>
                </c:pt>
                <c:pt idx="57">
                  <c:v>-1.7061551101935668</c:v>
                </c:pt>
                <c:pt idx="58">
                  <c:v>2.3584687055058886</c:v>
                </c:pt>
                <c:pt idx="59">
                  <c:v>5.0455380376213013</c:v>
                </c:pt>
                <c:pt idx="60">
                  <c:v>1.6359518828747091</c:v>
                </c:pt>
                <c:pt idx="61">
                  <c:v>-0.83812359307077744</c:v>
                </c:pt>
                <c:pt idx="62">
                  <c:v>-0.67600503222837349</c:v>
                </c:pt>
                <c:pt idx="63">
                  <c:v>-0.41338732222874158</c:v>
                </c:pt>
                <c:pt idx="64">
                  <c:v>-1.4829226668651259</c:v>
                </c:pt>
                <c:pt idx="65">
                  <c:v>1.1612296264749862</c:v>
                </c:pt>
                <c:pt idx="66">
                  <c:v>-0.81425188237502488</c:v>
                </c:pt>
                <c:pt idx="67">
                  <c:v>-0.40146465475544502</c:v>
                </c:pt>
                <c:pt idx="68">
                  <c:v>-0.19498916598276442</c:v>
                </c:pt>
                <c:pt idx="69">
                  <c:v>-1.1000731362222682</c:v>
                </c:pt>
                <c:pt idx="70">
                  <c:v>-0.13907885666102221</c:v>
                </c:pt>
                <c:pt idx="71">
                  <c:v>-0.97501617445992195</c:v>
                </c:pt>
                <c:pt idx="72">
                  <c:v>-0.62032325071097316</c:v>
                </c:pt>
                <c:pt idx="73">
                  <c:v>-0.48310460541927186</c:v>
                </c:pt>
                <c:pt idx="74">
                  <c:v>-1.3097532137803538</c:v>
                </c:pt>
                <c:pt idx="75">
                  <c:v>-0.67821557230978735</c:v>
                </c:pt>
                <c:pt idx="76">
                  <c:v>0.36488924048122556</c:v>
                </c:pt>
                <c:pt idx="77">
                  <c:v>0.32680169206560206</c:v>
                </c:pt>
                <c:pt idx="78">
                  <c:v>-0.50471133516058264</c:v>
                </c:pt>
                <c:pt idx="79">
                  <c:v>-0.17359615374281176</c:v>
                </c:pt>
                <c:pt idx="80">
                  <c:v>-0.39832082671029195</c:v>
                </c:pt>
                <c:pt idx="81">
                  <c:v>-0.55150088625679095</c:v>
                </c:pt>
                <c:pt idx="82">
                  <c:v>-0.15592136834244291</c:v>
                </c:pt>
                <c:pt idx="83">
                  <c:v>0.82848193511508639</c:v>
                </c:pt>
                <c:pt idx="84">
                  <c:v>0.17038958920376909</c:v>
                </c:pt>
                <c:pt idx="85">
                  <c:v>0.77753193063121895</c:v>
                </c:pt>
                <c:pt idx="86">
                  <c:v>-0.13827364200926542</c:v>
                </c:pt>
                <c:pt idx="87">
                  <c:v>0.18730014678687043</c:v>
                </c:pt>
                <c:pt idx="88">
                  <c:v>0.95188045349318062</c:v>
                </c:pt>
                <c:pt idx="89">
                  <c:v>-0.84194742181285775</c:v>
                </c:pt>
                <c:pt idx="90">
                  <c:v>0.30870884503471041</c:v>
                </c:pt>
                <c:pt idx="91">
                  <c:v>-0.1466763643111515</c:v>
                </c:pt>
                <c:pt idx="92">
                  <c:v>-1.0780117289123985</c:v>
                </c:pt>
                <c:pt idx="93">
                  <c:v>-0.95544428687603933</c:v>
                </c:pt>
                <c:pt idx="94">
                  <c:v>-0.80155371236818296</c:v>
                </c:pt>
                <c:pt idx="95">
                  <c:v>0.13977087812104363</c:v>
                </c:pt>
                <c:pt idx="96">
                  <c:v>1.091020176108328</c:v>
                </c:pt>
                <c:pt idx="97">
                  <c:v>-0.2848617003504299</c:v>
                </c:pt>
                <c:pt idx="98">
                  <c:v>-0.44834760814687052</c:v>
                </c:pt>
                <c:pt idx="99">
                  <c:v>-1.4362045804528181</c:v>
                </c:pt>
                <c:pt idx="100">
                  <c:v>-0.82981021697854207</c:v>
                </c:pt>
                <c:pt idx="101">
                  <c:v>-1.1103788732680628</c:v>
                </c:pt>
                <c:pt idx="102">
                  <c:v>-5.7296975591723864E-2</c:v>
                </c:pt>
                <c:pt idx="103">
                  <c:v>-1.0948179544456209</c:v>
                </c:pt>
                <c:pt idx="104">
                  <c:v>-0.72519815979578717</c:v>
                </c:pt>
                <c:pt idx="105">
                  <c:v>0.13080129862454734</c:v>
                </c:pt>
                <c:pt idx="106">
                  <c:v>3.9828181941512365E-2</c:v>
                </c:pt>
                <c:pt idx="107">
                  <c:v>0.2117624438285643</c:v>
                </c:pt>
                <c:pt idx="108">
                  <c:v>2.2677407886886534</c:v>
                </c:pt>
                <c:pt idx="109">
                  <c:v>0.30044897328011672</c:v>
                </c:pt>
                <c:pt idx="110">
                  <c:v>-0.60465648347940759</c:v>
                </c:pt>
                <c:pt idx="111">
                  <c:v>1.8352590420119339</c:v>
                </c:pt>
                <c:pt idx="112">
                  <c:v>1.0821004962033227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6720"/>
        <c:axId val="46368640"/>
      </c:barChart>
      <c:catAx>
        <c:axId val="4636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Observations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68640"/>
        <c:crosses val="autoZero"/>
        <c:auto val="1"/>
        <c:lblAlgn val="ctr"/>
        <c:lblOffset val="100"/>
        <c:noMultiLvlLbl val="0"/>
      </c:catAx>
      <c:valAx>
        <c:axId val="46368640"/>
        <c:scaling>
          <c:orientation val="minMax"/>
          <c:max val="5.5"/>
          <c:min val="-5.5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66720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AU"/>
              <a:t>Vertebrate (g)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'Vertebrate_linear regression'!$B$70</c:f>
              <c:strCache>
                <c:ptCount val="1"/>
                <c:pt idx="0">
                  <c:v>Shell (g)</c:v>
                </c:pt>
              </c:strCache>
            </c:strRef>
          </c:tx>
          <c:spPr>
            <a:solidFill>
              <a:srgbClr val="4791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txPr>
              <a:bodyPr rot="0" vert="horz"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0.15724891340138331</c:v>
                </c:pt>
              </c:numLit>
            </c:plus>
            <c:minus>
              <c:numLit>
                <c:formatCode>General</c:formatCode>
                <c:ptCount val="1"/>
                <c:pt idx="0">
                  <c:v>0.15724891340138331</c:v>
                </c:pt>
              </c:numLit>
            </c:minus>
          </c:errBars>
          <c:val>
            <c:numRef>
              <c:f>'Vertebrate_linear regression'!$C$70</c:f>
              <c:numCache>
                <c:formatCode>0.000</c:formatCode>
                <c:ptCount val="1"/>
                <c:pt idx="0">
                  <c:v>0.42488099221300174</c:v>
                </c:pt>
              </c:numCache>
            </c:numRef>
          </c:val>
        </c:ser>
        <c:ser>
          <c:idx val="1"/>
          <c:order val="1"/>
          <c:tx>
            <c:strRef>
              <c:f>'Vertebrate_linear regression'!$B$71</c:f>
              <c:strCache>
                <c:ptCount val="1"/>
                <c:pt idx="0">
                  <c:v>Plant (g)</c:v>
                </c:pt>
              </c:strCache>
            </c:strRef>
          </c:tx>
          <c:spPr>
            <a:solidFill>
              <a:srgbClr val="4791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txPr>
              <a:bodyPr rot="0" vert="horz"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0.15705731346873789</c:v>
                </c:pt>
              </c:numLit>
            </c:plus>
            <c:minus>
              <c:numLit>
                <c:formatCode>General</c:formatCode>
                <c:ptCount val="1"/>
                <c:pt idx="0">
                  <c:v>0.15705731346873789</c:v>
                </c:pt>
              </c:numLit>
            </c:minus>
          </c:errBars>
          <c:val>
            <c:numRef>
              <c:f>'Vertebrate_linear regression'!$C$71</c:f>
              <c:numCache>
                <c:formatCode>0.000</c:formatCode>
                <c:ptCount val="1"/>
                <c:pt idx="0">
                  <c:v>-4.3970006390980143E-2</c:v>
                </c:pt>
              </c:numCache>
            </c:numRef>
          </c:val>
        </c:ser>
        <c:ser>
          <c:idx val="2"/>
          <c:order val="2"/>
          <c:tx>
            <c:strRef>
              <c:f>'Vertebrate_linear regression'!$B$72</c:f>
              <c:strCache>
                <c:ptCount val="1"/>
                <c:pt idx="0">
                  <c:v>Sediment weight (kg)</c:v>
                </c:pt>
              </c:strCache>
            </c:strRef>
          </c:tx>
          <c:spPr>
            <a:solidFill>
              <a:srgbClr val="4791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txPr>
              <a:bodyPr rot="0" vert="horz"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0.15557454688638239</c:v>
                </c:pt>
              </c:numLit>
            </c:plus>
            <c:minus>
              <c:numLit>
                <c:formatCode>General</c:formatCode>
                <c:ptCount val="1"/>
                <c:pt idx="0">
                  <c:v>0.15557454688638239</c:v>
                </c:pt>
              </c:numLit>
            </c:minus>
          </c:errBars>
          <c:val>
            <c:numRef>
              <c:f>'Vertebrate_linear regression'!$C$72</c:f>
              <c:numCache>
                <c:formatCode>0.000</c:formatCode>
                <c:ptCount val="1"/>
                <c:pt idx="0">
                  <c:v>0.25825548959384792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46421888"/>
        <c:axId val="46424064"/>
      </c:barChart>
      <c:catAx>
        <c:axId val="464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txPr>
          <a:bodyPr/>
          <a:lstStyle/>
          <a:p>
            <a:pPr>
              <a:defRPr sz="700"/>
            </a:pPr>
            <a:endParaRPr lang="en-US"/>
          </a:p>
        </c:txPr>
        <c:crossAx val="46424064"/>
        <c:crosses val="autoZero"/>
        <c:auto val="1"/>
        <c:lblAlgn val="ctr"/>
        <c:lblOffset val="100"/>
        <c:noMultiLvlLbl val="0"/>
      </c:catAx>
      <c:valAx>
        <c:axId val="4642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42188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AU"/>
              <a:t>Vertebrate (g)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'Vertebrate_linear regression'!$D$97:$D$221</c:f>
              <c:numCache>
                <c:formatCode>0.000</c:formatCode>
                <c:ptCount val="125"/>
                <c:pt idx="0">
                  <c:v>18.409999999999997</c:v>
                </c:pt>
                <c:pt idx="1">
                  <c:v>164.96</c:v>
                </c:pt>
                <c:pt idx="2">
                  <c:v>547.80000000000007</c:v>
                </c:pt>
                <c:pt idx="3">
                  <c:v>714.55</c:v>
                </c:pt>
                <c:pt idx="4">
                  <c:v>848.52</c:v>
                </c:pt>
                <c:pt idx="5">
                  <c:v>580.11</c:v>
                </c:pt>
                <c:pt idx="6">
                  <c:v>851.01</c:v>
                </c:pt>
                <c:pt idx="7">
                  <c:v>371.27000000000004</c:v>
                </c:pt>
                <c:pt idx="8">
                  <c:v>340.47999999999996</c:v>
                </c:pt>
                <c:pt idx="9">
                  <c:v>304.06</c:v>
                </c:pt>
                <c:pt idx="10">
                  <c:v>358.57</c:v>
                </c:pt>
                <c:pt idx="11">
                  <c:v>319.81</c:v>
                </c:pt>
                <c:pt idx="12">
                  <c:v>344.25</c:v>
                </c:pt>
                <c:pt idx="13">
                  <c:v>414.33000000000004</c:v>
                </c:pt>
                <c:pt idx="14">
                  <c:v>376.23</c:v>
                </c:pt>
                <c:pt idx="15">
                  <c:v>392.96</c:v>
                </c:pt>
                <c:pt idx="16">
                  <c:v>435.98</c:v>
                </c:pt>
                <c:pt idx="17">
                  <c:v>627.78</c:v>
                </c:pt>
                <c:pt idx="18">
                  <c:v>718</c:v>
                </c:pt>
                <c:pt idx="19">
                  <c:v>917.7</c:v>
                </c:pt>
                <c:pt idx="20">
                  <c:v>1271.56</c:v>
                </c:pt>
                <c:pt idx="21">
                  <c:v>1111.46</c:v>
                </c:pt>
                <c:pt idx="22">
                  <c:v>1084.56</c:v>
                </c:pt>
                <c:pt idx="23">
                  <c:v>694.3</c:v>
                </c:pt>
                <c:pt idx="24">
                  <c:v>770</c:v>
                </c:pt>
                <c:pt idx="25">
                  <c:v>451.01</c:v>
                </c:pt>
                <c:pt idx="26">
                  <c:v>436.09</c:v>
                </c:pt>
                <c:pt idx="27">
                  <c:v>422.51</c:v>
                </c:pt>
                <c:pt idx="28">
                  <c:v>463.16</c:v>
                </c:pt>
                <c:pt idx="29">
                  <c:v>580.23</c:v>
                </c:pt>
                <c:pt idx="30">
                  <c:v>529.05999999999995</c:v>
                </c:pt>
                <c:pt idx="31">
                  <c:v>587.28</c:v>
                </c:pt>
                <c:pt idx="32">
                  <c:v>559.84</c:v>
                </c:pt>
                <c:pt idx="33">
                  <c:v>413.53</c:v>
                </c:pt>
                <c:pt idx="34">
                  <c:v>432.43</c:v>
                </c:pt>
                <c:pt idx="35">
                  <c:v>269.84999999999997</c:v>
                </c:pt>
                <c:pt idx="36">
                  <c:v>325.13</c:v>
                </c:pt>
                <c:pt idx="37">
                  <c:v>368.88</c:v>
                </c:pt>
                <c:pt idx="38">
                  <c:v>387.28000000000003</c:v>
                </c:pt>
                <c:pt idx="39">
                  <c:v>238.51</c:v>
                </c:pt>
                <c:pt idx="40">
                  <c:v>296.45999999999998</c:v>
                </c:pt>
                <c:pt idx="41">
                  <c:v>377.65000000000003</c:v>
                </c:pt>
                <c:pt idx="42">
                  <c:v>460.89</c:v>
                </c:pt>
                <c:pt idx="43">
                  <c:v>3.62</c:v>
                </c:pt>
                <c:pt idx="44">
                  <c:v>772.8</c:v>
                </c:pt>
                <c:pt idx="45">
                  <c:v>503.88</c:v>
                </c:pt>
                <c:pt idx="46">
                  <c:v>534.77</c:v>
                </c:pt>
                <c:pt idx="47">
                  <c:v>574.54999999999995</c:v>
                </c:pt>
                <c:pt idx="48">
                  <c:v>551</c:v>
                </c:pt>
                <c:pt idx="49">
                  <c:v>526.32000000000005</c:v>
                </c:pt>
                <c:pt idx="50">
                  <c:v>649.01</c:v>
                </c:pt>
                <c:pt idx="51">
                  <c:v>593.83000000000004</c:v>
                </c:pt>
                <c:pt idx="52">
                  <c:v>14.7</c:v>
                </c:pt>
                <c:pt idx="53">
                  <c:v>329</c:v>
                </c:pt>
                <c:pt idx="54">
                  <c:v>255.13</c:v>
                </c:pt>
                <c:pt idx="55">
                  <c:v>313.57</c:v>
                </c:pt>
                <c:pt idx="56">
                  <c:v>446.63</c:v>
                </c:pt>
                <c:pt idx="57">
                  <c:v>230.04000000000002</c:v>
                </c:pt>
                <c:pt idx="58">
                  <c:v>422.52</c:v>
                </c:pt>
                <c:pt idx="59">
                  <c:v>19.760000000000002</c:v>
                </c:pt>
                <c:pt idx="60">
                  <c:v>297.57</c:v>
                </c:pt>
                <c:pt idx="61">
                  <c:v>124.22000000000001</c:v>
                </c:pt>
                <c:pt idx="62">
                  <c:v>51.93</c:v>
                </c:pt>
                <c:pt idx="63">
                  <c:v>156.91999999999999</c:v>
                </c:pt>
                <c:pt idx="64">
                  <c:v>291.45999999999998</c:v>
                </c:pt>
                <c:pt idx="65">
                  <c:v>488.90000000000003</c:v>
                </c:pt>
                <c:pt idx="66">
                  <c:v>393</c:v>
                </c:pt>
                <c:pt idx="67">
                  <c:v>21.21</c:v>
                </c:pt>
                <c:pt idx="68">
                  <c:v>493.01</c:v>
                </c:pt>
                <c:pt idx="69">
                  <c:v>448.31</c:v>
                </c:pt>
                <c:pt idx="70">
                  <c:v>371.3</c:v>
                </c:pt>
                <c:pt idx="71">
                  <c:v>313.23</c:v>
                </c:pt>
                <c:pt idx="72">
                  <c:v>35.520000000000003</c:v>
                </c:pt>
                <c:pt idx="73">
                  <c:v>347.22</c:v>
                </c:pt>
                <c:pt idx="74">
                  <c:v>405.04</c:v>
                </c:pt>
                <c:pt idx="75">
                  <c:v>236.64000000000001</c:v>
                </c:pt>
                <c:pt idx="76">
                  <c:v>291.72000000000003</c:v>
                </c:pt>
                <c:pt idx="77">
                  <c:v>218.5</c:v>
                </c:pt>
                <c:pt idx="78">
                  <c:v>280.39999999999998</c:v>
                </c:pt>
                <c:pt idx="79">
                  <c:v>322.86</c:v>
                </c:pt>
                <c:pt idx="80">
                  <c:v>374.77000000000004</c:v>
                </c:pt>
                <c:pt idx="81">
                  <c:v>471.23</c:v>
                </c:pt>
                <c:pt idx="82">
                  <c:v>476.29</c:v>
                </c:pt>
                <c:pt idx="83">
                  <c:v>3.87</c:v>
                </c:pt>
                <c:pt idx="84">
                  <c:v>419.08</c:v>
                </c:pt>
                <c:pt idx="85">
                  <c:v>595.59</c:v>
                </c:pt>
                <c:pt idx="86">
                  <c:v>615.07000000000005</c:v>
                </c:pt>
                <c:pt idx="87">
                  <c:v>404.34</c:v>
                </c:pt>
                <c:pt idx="88">
                  <c:v>437.15999999999997</c:v>
                </c:pt>
                <c:pt idx="89">
                  <c:v>427.81</c:v>
                </c:pt>
                <c:pt idx="90">
                  <c:v>559.51</c:v>
                </c:pt>
                <c:pt idx="91">
                  <c:v>467.46999999999997</c:v>
                </c:pt>
                <c:pt idx="92">
                  <c:v>411.65</c:v>
                </c:pt>
                <c:pt idx="93">
                  <c:v>357.44</c:v>
                </c:pt>
                <c:pt idx="94">
                  <c:v>478.76</c:v>
                </c:pt>
                <c:pt idx="95">
                  <c:v>356.56</c:v>
                </c:pt>
                <c:pt idx="96">
                  <c:v>195.13</c:v>
                </c:pt>
                <c:pt idx="97">
                  <c:v>248.48</c:v>
                </c:pt>
                <c:pt idx="98">
                  <c:v>121.96</c:v>
                </c:pt>
                <c:pt idx="99">
                  <c:v>142.47</c:v>
                </c:pt>
                <c:pt idx="100">
                  <c:v>264.61</c:v>
                </c:pt>
                <c:pt idx="101">
                  <c:v>175.44</c:v>
                </c:pt>
                <c:pt idx="102">
                  <c:v>368.15999999999997</c:v>
                </c:pt>
                <c:pt idx="103">
                  <c:v>376.74</c:v>
                </c:pt>
                <c:pt idx="104">
                  <c:v>346.48</c:v>
                </c:pt>
                <c:pt idx="105">
                  <c:v>638.04</c:v>
                </c:pt>
                <c:pt idx="106">
                  <c:v>367.52000000000004</c:v>
                </c:pt>
                <c:pt idx="107">
                  <c:v>534.03</c:v>
                </c:pt>
                <c:pt idx="108">
                  <c:v>590.19999999999993</c:v>
                </c:pt>
                <c:pt idx="109">
                  <c:v>422.15</c:v>
                </c:pt>
                <c:pt idx="110">
                  <c:v>441.15</c:v>
                </c:pt>
                <c:pt idx="111">
                  <c:v>465.5</c:v>
                </c:pt>
                <c:pt idx="112">
                  <c:v>398.78</c:v>
                </c:pt>
                <c:pt idx="113">
                  <c:v>260.20999999999998</c:v>
                </c:pt>
                <c:pt idx="114">
                  <c:v>333.83</c:v>
                </c:pt>
                <c:pt idx="115">
                  <c:v>159.89999999999998</c:v>
                </c:pt>
                <c:pt idx="116">
                  <c:v>173.83</c:v>
                </c:pt>
                <c:pt idx="117">
                  <c:v>211.73</c:v>
                </c:pt>
                <c:pt idx="118">
                  <c:v>252.42</c:v>
                </c:pt>
                <c:pt idx="119">
                  <c:v>386.84999999999997</c:v>
                </c:pt>
                <c:pt idx="120">
                  <c:v>355.87</c:v>
                </c:pt>
                <c:pt idx="121">
                  <c:v>503.04</c:v>
                </c:pt>
                <c:pt idx="122">
                  <c:v>680.98</c:v>
                </c:pt>
                <c:pt idx="123">
                  <c:v>583.70000000000005</c:v>
                </c:pt>
                <c:pt idx="124">
                  <c:v>174</c:v>
                </c:pt>
              </c:numCache>
            </c:numRef>
          </c:xVal>
          <c:yVal>
            <c:numRef>
              <c:f>'Vertebrate_linear regression'!$G$97:$G$221</c:f>
              <c:numCache>
                <c:formatCode>0.000</c:formatCode>
                <c:ptCount val="125"/>
                <c:pt idx="0">
                  <c:v>-0.82218956251296316</c:v>
                </c:pt>
                <c:pt idx="1">
                  <c:v>-1.5411365274993736</c:v>
                </c:pt>
                <c:pt idx="2">
                  <c:v>-1.475062015594589</c:v>
                </c:pt>
                <c:pt idx="3">
                  <c:v>0.72542001327710282</c:v>
                </c:pt>
                <c:pt idx="4">
                  <c:v>1.1028564016399656</c:v>
                </c:pt>
                <c:pt idx="5">
                  <c:v>0.42718316921049182</c:v>
                </c:pt>
                <c:pt idx="6">
                  <c:v>2.1271095910066102</c:v>
                </c:pt>
                <c:pt idx="7">
                  <c:v>0.34123340541998881</c:v>
                </c:pt>
                <c:pt idx="8">
                  <c:v>-0.22371382357106756</c:v>
                </c:pt>
                <c:pt idx="9">
                  <c:v>-0.48755437167962618</c:v>
                </c:pt>
                <c:pt idx="10">
                  <c:v>-0.37026519480403225</c:v>
                </c:pt>
                <c:pt idx="11">
                  <c:v>-0.95562392865312951</c:v>
                </c:pt>
                <c:pt idx="12">
                  <c:v>-0.86393086882454551</c:v>
                </c:pt>
                <c:pt idx="13">
                  <c:v>-0.53577609980047658</c:v>
                </c:pt>
                <c:pt idx="14">
                  <c:v>-0.80131238613236333</c:v>
                </c:pt>
                <c:pt idx="15">
                  <c:v>7.7306077841456336E-2</c:v>
                </c:pt>
                <c:pt idx="16">
                  <c:v>0.89055299746272665</c:v>
                </c:pt>
                <c:pt idx="17">
                  <c:v>0.61939947793154615</c:v>
                </c:pt>
                <c:pt idx="18">
                  <c:v>0.68674972173707061</c:v>
                </c:pt>
                <c:pt idx="19">
                  <c:v>2.1197896640259817</c:v>
                </c:pt>
                <c:pt idx="20">
                  <c:v>3.4646659387949299</c:v>
                </c:pt>
                <c:pt idx="21">
                  <c:v>2.8714518468138257</c:v>
                </c:pt>
                <c:pt idx="22">
                  <c:v>3.3028897504668682</c:v>
                </c:pt>
                <c:pt idx="23">
                  <c:v>0.62709968866743748</c:v>
                </c:pt>
                <c:pt idx="24">
                  <c:v>1.007554315028637</c:v>
                </c:pt>
                <c:pt idx="25">
                  <c:v>0.27958100998363639</c:v>
                </c:pt>
                <c:pt idx="26">
                  <c:v>-0.59014562993951292</c:v>
                </c:pt>
                <c:pt idx="27">
                  <c:v>-0.40157488986226469</c:v>
                </c:pt>
                <c:pt idx="28">
                  <c:v>-0.29956803637691587</c:v>
                </c:pt>
                <c:pt idx="29">
                  <c:v>-1.0008291434641767</c:v>
                </c:pt>
                <c:pt idx="30">
                  <c:v>0.69952035856086847</c:v>
                </c:pt>
                <c:pt idx="31">
                  <c:v>0.5870563683695732</c:v>
                </c:pt>
                <c:pt idx="32">
                  <c:v>-0.33156323228127466</c:v>
                </c:pt>
                <c:pt idx="33">
                  <c:v>1.2699758704920521E-2</c:v>
                </c:pt>
                <c:pt idx="34">
                  <c:v>0.98562745139098495</c:v>
                </c:pt>
                <c:pt idx="35">
                  <c:v>-0.95995193115105393</c:v>
                </c:pt>
                <c:pt idx="36">
                  <c:v>-0.26699226910125556</c:v>
                </c:pt>
                <c:pt idx="37">
                  <c:v>-0.50658532768113018</c:v>
                </c:pt>
                <c:pt idx="38">
                  <c:v>-0.33000717444528616</c:v>
                </c:pt>
                <c:pt idx="39">
                  <c:v>-0.86043132640736386</c:v>
                </c:pt>
                <c:pt idx="40">
                  <c:v>-0.82104831057297389</c:v>
                </c:pt>
                <c:pt idx="41">
                  <c:v>-0.51833966108441543</c:v>
                </c:pt>
                <c:pt idx="42">
                  <c:v>-0.21579306858763844</c:v>
                </c:pt>
                <c:pt idx="43">
                  <c:v>-2.5322858503103971</c:v>
                </c:pt>
                <c:pt idx="44">
                  <c:v>1.44056856356588</c:v>
                </c:pt>
                <c:pt idx="45">
                  <c:v>0.4589335109196257</c:v>
                </c:pt>
                <c:pt idx="46">
                  <c:v>0.47103734250918244</c:v>
                </c:pt>
                <c:pt idx="47">
                  <c:v>0.46723071287415263</c:v>
                </c:pt>
                <c:pt idx="48">
                  <c:v>0.77788598652717023</c:v>
                </c:pt>
                <c:pt idx="49">
                  <c:v>0.67340702977336364</c:v>
                </c:pt>
                <c:pt idx="50">
                  <c:v>1.3174584536125005</c:v>
                </c:pt>
                <c:pt idx="51">
                  <c:v>1.0577157537841733</c:v>
                </c:pt>
                <c:pt idx="52">
                  <c:v>-2.3935204406332891</c:v>
                </c:pt>
                <c:pt idx="53">
                  <c:v>-0.16888408886549752</c:v>
                </c:pt>
                <c:pt idx="54">
                  <c:v>-0.34249457118986371</c:v>
                </c:pt>
                <c:pt idx="55">
                  <c:v>-0.12586569462711236</c:v>
                </c:pt>
                <c:pt idx="56">
                  <c:v>0.76501125491259436</c:v>
                </c:pt>
                <c:pt idx="57">
                  <c:v>-0.22613229834105755</c:v>
                </c:pt>
                <c:pt idx="58">
                  <c:v>0.5442241049954053</c:v>
                </c:pt>
                <c:pt idx="59">
                  <c:v>-1.4597913593050731</c:v>
                </c:pt>
                <c:pt idx="60">
                  <c:v>-0.31554946529380884</c:v>
                </c:pt>
                <c:pt idx="61">
                  <c:v>-0.69275176658814952</c:v>
                </c:pt>
                <c:pt idx="62">
                  <c:v>-1.5023312917998222</c:v>
                </c:pt>
                <c:pt idx="63">
                  <c:v>-1.8157308361257187</c:v>
                </c:pt>
                <c:pt idx="64">
                  <c:v>-0.74476434553019533</c:v>
                </c:pt>
                <c:pt idx="65">
                  <c:v>-0.16582578666772022</c:v>
                </c:pt>
                <c:pt idx="66">
                  <c:v>-0.30385493660331264</c:v>
                </c:pt>
                <c:pt idx="67">
                  <c:v>-1.4775460301600376</c:v>
                </c:pt>
                <c:pt idx="68">
                  <c:v>-7.8589705049244118E-2</c:v>
                </c:pt>
                <c:pt idx="69">
                  <c:v>-0.23375126931136642</c:v>
                </c:pt>
                <c:pt idx="70">
                  <c:v>0.15326808939410641</c:v>
                </c:pt>
                <c:pt idx="71">
                  <c:v>-0.44816142594459185</c:v>
                </c:pt>
                <c:pt idx="72">
                  <c:v>-1.9757759959462893</c:v>
                </c:pt>
                <c:pt idx="73">
                  <c:v>-0.39207197090454543</c:v>
                </c:pt>
                <c:pt idx="74">
                  <c:v>-0.73586773377684755</c:v>
                </c:pt>
                <c:pt idx="75">
                  <c:v>-0.61584012314625391</c:v>
                </c:pt>
                <c:pt idx="76">
                  <c:v>-0.41468317499063834</c:v>
                </c:pt>
                <c:pt idx="77">
                  <c:v>-0.35489641914761072</c:v>
                </c:pt>
                <c:pt idx="78">
                  <c:v>-0.50910977652050471</c:v>
                </c:pt>
                <c:pt idx="79">
                  <c:v>-0.10041345355378775</c:v>
                </c:pt>
                <c:pt idx="80">
                  <c:v>-0.16268215962392238</c:v>
                </c:pt>
                <c:pt idx="81">
                  <c:v>-0.17110087965221055</c:v>
                </c:pt>
                <c:pt idx="82">
                  <c:v>0.24700919646631334</c:v>
                </c:pt>
                <c:pt idx="83">
                  <c:v>-2.1696986749212939</c:v>
                </c:pt>
                <c:pt idx="84">
                  <c:v>-0.31283488934004633</c:v>
                </c:pt>
                <c:pt idx="85">
                  <c:v>1.137556140291704</c:v>
                </c:pt>
                <c:pt idx="86">
                  <c:v>0.17247970831973028</c:v>
                </c:pt>
                <c:pt idx="87">
                  <c:v>-0.50680134219521589</c:v>
                </c:pt>
                <c:pt idx="88">
                  <c:v>0.12006217545993017</c:v>
                </c:pt>
                <c:pt idx="89">
                  <c:v>-0.2814866608013929</c:v>
                </c:pt>
                <c:pt idx="90">
                  <c:v>0.37190559276704627</c:v>
                </c:pt>
                <c:pt idx="91">
                  <c:v>0.6156714102646873</c:v>
                </c:pt>
                <c:pt idx="92">
                  <c:v>-1.9933285322726153E-2</c:v>
                </c:pt>
                <c:pt idx="93">
                  <c:v>-0.31807045540946388</c:v>
                </c:pt>
                <c:pt idx="94">
                  <c:v>0.45083392753147988</c:v>
                </c:pt>
                <c:pt idx="95">
                  <c:v>-0.23203460618871999</c:v>
                </c:pt>
                <c:pt idx="96">
                  <c:v>-0.2394535865699563</c:v>
                </c:pt>
                <c:pt idx="97">
                  <c:v>-0.37977509965686057</c:v>
                </c:pt>
                <c:pt idx="98">
                  <c:v>-0.7074852040956543</c:v>
                </c:pt>
                <c:pt idx="99">
                  <c:v>-0.54540606379692014</c:v>
                </c:pt>
                <c:pt idx="100">
                  <c:v>-0.12102917402022725</c:v>
                </c:pt>
                <c:pt idx="101">
                  <c:v>-0.445722740141693</c:v>
                </c:pt>
                <c:pt idx="102">
                  <c:v>7.1697844397204294E-2</c:v>
                </c:pt>
                <c:pt idx="103">
                  <c:v>-9.8170299940372588E-2</c:v>
                </c:pt>
                <c:pt idx="104">
                  <c:v>-0.56322854892623264</c:v>
                </c:pt>
                <c:pt idx="105">
                  <c:v>1.7136288011333856</c:v>
                </c:pt>
                <c:pt idx="106">
                  <c:v>0.35209885377698308</c:v>
                </c:pt>
                <c:pt idx="107">
                  <c:v>0.84663286778600089</c:v>
                </c:pt>
                <c:pt idx="108">
                  <c:v>0.51082860906430327</c:v>
                </c:pt>
                <c:pt idx="109">
                  <c:v>0.33287918318207066</c:v>
                </c:pt>
                <c:pt idx="110">
                  <c:v>0.92466599365740731</c:v>
                </c:pt>
                <c:pt idx="111">
                  <c:v>1.0194878952783089</c:v>
                </c:pt>
                <c:pt idx="112">
                  <c:v>0.72763113265468482</c:v>
                </c:pt>
                <c:pt idx="113">
                  <c:v>0.23764967325192771</c:v>
                </c:pt>
                <c:pt idx="114">
                  <c:v>-9.6588761575930146E-2</c:v>
                </c:pt>
                <c:pt idx="115">
                  <c:v>-0.49826293912196218</c:v>
                </c:pt>
                <c:pt idx="116">
                  <c:v>-0.74867938464530936</c:v>
                </c:pt>
                <c:pt idx="117">
                  <c:v>-0.39437373706489404</c:v>
                </c:pt>
                <c:pt idx="118">
                  <c:v>-0.17518230693583947</c:v>
                </c:pt>
                <c:pt idx="119">
                  <c:v>0.33504345460563917</c:v>
                </c:pt>
                <c:pt idx="120">
                  <c:v>-3.75674811014474E-4</c:v>
                </c:pt>
                <c:pt idx="121">
                  <c:v>0.68359205963703396</c:v>
                </c:pt>
                <c:pt idx="122">
                  <c:v>2.2442766786668114</c:v>
                </c:pt>
                <c:pt idx="123">
                  <c:v>1.0585171234745958</c:v>
                </c:pt>
                <c:pt idx="124">
                  <c:v>-0.76237506575200609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1616"/>
        <c:axId val="46438272"/>
      </c:scatterChart>
      <c:valAx>
        <c:axId val="46431616"/>
        <c:scaling>
          <c:orientation val="minMax"/>
          <c:max val="1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Vertebrate (g)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438272"/>
        <c:crosses val="autoZero"/>
        <c:crossBetween val="midCat"/>
      </c:valAx>
      <c:valAx>
        <c:axId val="46438272"/>
        <c:scaling>
          <c:orientation val="minMax"/>
          <c:max val="4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AU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43161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0</xdr:row>
      <xdr:rowOff>190499</xdr:rowOff>
    </xdr:from>
    <xdr:to>
      <xdr:col>25</xdr:col>
      <xdr:colOff>581024</xdr:colOff>
      <xdr:row>34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</xdr:row>
      <xdr:rowOff>57149</xdr:rowOff>
    </xdr:from>
    <xdr:to>
      <xdr:col>26</xdr:col>
      <xdr:colOff>285750</xdr:colOff>
      <xdr:row>34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74</xdr:row>
      <xdr:rowOff>0</xdr:rowOff>
    </xdr:from>
    <xdr:to>
      <xdr:col>7</xdr:col>
      <xdr:colOff>1</xdr:colOff>
      <xdr:row>91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211</xdr:row>
      <xdr:rowOff>0</xdr:rowOff>
    </xdr:from>
    <xdr:to>
      <xdr:col>7</xdr:col>
      <xdr:colOff>1</xdr:colOff>
      <xdr:row>228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127001</xdr:colOff>
      <xdr:row>211</xdr:row>
      <xdr:rowOff>0</xdr:rowOff>
    </xdr:from>
    <xdr:to>
      <xdr:col>14</xdr:col>
      <xdr:colOff>3176</xdr:colOff>
      <xdr:row>228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130176</xdr:colOff>
      <xdr:row>211</xdr:row>
      <xdr:rowOff>0</xdr:rowOff>
    </xdr:from>
    <xdr:to>
      <xdr:col>21</xdr:col>
      <xdr:colOff>6351</xdr:colOff>
      <xdr:row>228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133351</xdr:colOff>
      <xdr:row>211</xdr:row>
      <xdr:rowOff>0</xdr:rowOff>
    </xdr:from>
    <xdr:to>
      <xdr:col>28</xdr:col>
      <xdr:colOff>9526</xdr:colOff>
      <xdr:row>228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0</xdr:colOff>
      <xdr:row>91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7</xdr:col>
      <xdr:colOff>0</xdr:colOff>
      <xdr:row>240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223</xdr:row>
      <xdr:rowOff>0</xdr:rowOff>
    </xdr:from>
    <xdr:to>
      <xdr:col>13</xdr:col>
      <xdr:colOff>412750</xdr:colOff>
      <xdr:row>240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539750</xdr:colOff>
      <xdr:row>223</xdr:row>
      <xdr:rowOff>0</xdr:rowOff>
    </xdr:from>
    <xdr:to>
      <xdr:col>20</xdr:col>
      <xdr:colOff>215900</xdr:colOff>
      <xdr:row>240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342900</xdr:colOff>
      <xdr:row>223</xdr:row>
      <xdr:rowOff>0</xdr:rowOff>
    </xdr:from>
    <xdr:to>
      <xdr:col>27</xdr:col>
      <xdr:colOff>19050</xdr:colOff>
      <xdr:row>240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29</v>
      </c>
    </row>
    <row r="3" spans="1:1" x14ac:dyDescent="0.25">
      <c r="A3" t="s">
        <v>30</v>
      </c>
    </row>
    <row r="5" spans="1:1" x14ac:dyDescent="0.25">
      <c r="A5" t="s">
        <v>228</v>
      </c>
    </row>
    <row r="7" spans="1:1" x14ac:dyDescent="0.25">
      <c r="A7" t="s">
        <v>235</v>
      </c>
    </row>
    <row r="9" spans="1:1" x14ac:dyDescent="0.25">
      <c r="A9" t="s">
        <v>393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pane ySplit="1" topLeftCell="A2" activePane="bottomLeft" state="frozen"/>
      <selection pane="bottomLeft" activeCell="K33" sqref="K33"/>
    </sheetView>
  </sheetViews>
  <sheetFormatPr defaultRowHeight="15" x14ac:dyDescent="0.25"/>
  <cols>
    <col min="1" max="1" width="14" customWidth="1"/>
  </cols>
  <sheetData>
    <row r="1" spans="1:4" x14ac:dyDescent="0.25">
      <c r="A1" t="s">
        <v>3</v>
      </c>
      <c r="B1" t="s">
        <v>2</v>
      </c>
      <c r="C1" t="s">
        <v>23</v>
      </c>
      <c r="D1" t="s">
        <v>22</v>
      </c>
    </row>
    <row r="2" spans="1:4" x14ac:dyDescent="0.25">
      <c r="A2">
        <v>18.409999999999997</v>
      </c>
      <c r="B2">
        <v>92.87</v>
      </c>
      <c r="C2">
        <v>0.95</v>
      </c>
      <c r="D2">
        <v>42.01</v>
      </c>
    </row>
    <row r="3" spans="1:4" x14ac:dyDescent="0.25">
      <c r="A3">
        <v>164.96</v>
      </c>
      <c r="B3">
        <v>910</v>
      </c>
      <c r="C3">
        <v>0.39</v>
      </c>
      <c r="D3">
        <v>65.47</v>
      </c>
    </row>
    <row r="4" spans="1:4" x14ac:dyDescent="0.25">
      <c r="A4">
        <v>547.80000000000007</v>
      </c>
      <c r="B4">
        <v>3310</v>
      </c>
      <c r="C4">
        <v>8.4499999999999993</v>
      </c>
      <c r="D4">
        <v>62.110000000000007</v>
      </c>
    </row>
    <row r="5" spans="1:4" x14ac:dyDescent="0.25">
      <c r="A5">
        <v>714.55</v>
      </c>
      <c r="B5">
        <v>1845</v>
      </c>
      <c r="C5">
        <v>6.53</v>
      </c>
      <c r="D5">
        <v>60.06</v>
      </c>
    </row>
    <row r="6" spans="1:4" x14ac:dyDescent="0.25">
      <c r="A6">
        <v>848.52</v>
      </c>
      <c r="B6">
        <v>1650</v>
      </c>
      <c r="C6">
        <v>7.57</v>
      </c>
      <c r="D6">
        <v>74.94</v>
      </c>
    </row>
    <row r="7" spans="1:4" x14ac:dyDescent="0.25">
      <c r="A7">
        <v>580.11</v>
      </c>
      <c r="B7">
        <v>1350</v>
      </c>
      <c r="C7">
        <v>11.059999999999999</v>
      </c>
      <c r="D7">
        <v>61.024999999999999</v>
      </c>
    </row>
    <row r="8" spans="1:4" x14ac:dyDescent="0.25">
      <c r="A8">
        <v>851.01</v>
      </c>
      <c r="B8">
        <v>1295</v>
      </c>
      <c r="C8">
        <v>9.73</v>
      </c>
      <c r="D8">
        <v>53.900000000000006</v>
      </c>
    </row>
    <row r="9" spans="1:4" x14ac:dyDescent="0.25">
      <c r="A9">
        <v>371.27000000000004</v>
      </c>
      <c r="B9">
        <v>895</v>
      </c>
      <c r="C9">
        <v>4.8099999999999996</v>
      </c>
      <c r="D9">
        <v>42.069999999999993</v>
      </c>
    </row>
    <row r="10" spans="1:4" x14ac:dyDescent="0.25">
      <c r="A10">
        <v>340.47999999999996</v>
      </c>
      <c r="B10">
        <v>895</v>
      </c>
      <c r="C10">
        <v>3.19</v>
      </c>
      <c r="D10">
        <v>54.089999999999996</v>
      </c>
    </row>
    <row r="11" spans="1:4" x14ac:dyDescent="0.25">
      <c r="A11">
        <v>304.06</v>
      </c>
      <c r="B11">
        <v>925</v>
      </c>
      <c r="C11">
        <v>3.19</v>
      </c>
      <c r="D11">
        <v>55.51</v>
      </c>
    </row>
    <row r="12" spans="1:4" x14ac:dyDescent="0.25">
      <c r="A12">
        <v>358.57</v>
      </c>
      <c r="B12">
        <v>1320</v>
      </c>
      <c r="C12">
        <v>5.49</v>
      </c>
      <c r="D12">
        <v>50.489999999999995</v>
      </c>
    </row>
    <row r="13" spans="1:4" x14ac:dyDescent="0.25">
      <c r="A13">
        <v>319.81</v>
      </c>
      <c r="B13">
        <v>1890</v>
      </c>
      <c r="C13">
        <v>4.75</v>
      </c>
      <c r="D13">
        <v>47.15</v>
      </c>
    </row>
    <row r="14" spans="1:4" x14ac:dyDescent="0.25">
      <c r="A14">
        <v>344.25</v>
      </c>
      <c r="B14">
        <v>1730</v>
      </c>
      <c r="C14">
        <v>17.239999999999998</v>
      </c>
      <c r="D14">
        <v>53.29999999999999</v>
      </c>
    </row>
    <row r="15" spans="1:4" x14ac:dyDescent="0.25">
      <c r="A15">
        <v>414.33000000000004</v>
      </c>
      <c r="B15">
        <v>1665</v>
      </c>
      <c r="C15">
        <v>20.48</v>
      </c>
      <c r="D15">
        <v>56.389999999999993</v>
      </c>
    </row>
    <row r="16" spans="1:4" x14ac:dyDescent="0.25">
      <c r="A16">
        <v>376.23</v>
      </c>
      <c r="B16">
        <v>1450</v>
      </c>
      <c r="C16">
        <v>0</v>
      </c>
      <c r="D16">
        <v>62.46</v>
      </c>
    </row>
    <row r="17" spans="1:4" x14ac:dyDescent="0.25">
      <c r="A17">
        <v>392.96</v>
      </c>
      <c r="B17">
        <v>1100</v>
      </c>
      <c r="C17">
        <v>214.3</v>
      </c>
      <c r="D17">
        <v>63.35</v>
      </c>
    </row>
    <row r="18" spans="1:4" x14ac:dyDescent="0.25">
      <c r="A18">
        <v>435.98</v>
      </c>
      <c r="B18">
        <v>750</v>
      </c>
      <c r="C18">
        <v>7.92</v>
      </c>
      <c r="D18">
        <v>39.729999999999997</v>
      </c>
    </row>
    <row r="19" spans="1:4" x14ac:dyDescent="0.25">
      <c r="A19">
        <v>627.78</v>
      </c>
      <c r="B19">
        <v>1110</v>
      </c>
      <c r="C19">
        <v>7.4700000000000006</v>
      </c>
      <c r="D19">
        <v>68.715000000000003</v>
      </c>
    </row>
    <row r="20" spans="1:4" x14ac:dyDescent="0.25">
      <c r="A20">
        <v>718</v>
      </c>
      <c r="B20">
        <v>1635</v>
      </c>
      <c r="C20">
        <v>11.24</v>
      </c>
      <c r="D20">
        <v>67.555000000000007</v>
      </c>
    </row>
    <row r="21" spans="1:4" x14ac:dyDescent="0.25">
      <c r="A21">
        <v>917.7</v>
      </c>
      <c r="B21">
        <v>1505</v>
      </c>
      <c r="C21">
        <v>14.47</v>
      </c>
      <c r="D21">
        <v>59.52000000000001</v>
      </c>
    </row>
    <row r="22" spans="1:4" x14ac:dyDescent="0.25">
      <c r="A22">
        <v>1271.56</v>
      </c>
      <c r="B22">
        <v>1835</v>
      </c>
      <c r="C22">
        <v>5.1899999999999995</v>
      </c>
      <c r="D22">
        <v>65.569999999999993</v>
      </c>
    </row>
    <row r="23" spans="1:4" x14ac:dyDescent="0.25">
      <c r="A23">
        <v>1111.46</v>
      </c>
      <c r="B23">
        <v>1505</v>
      </c>
      <c r="C23">
        <v>3.34</v>
      </c>
      <c r="D23">
        <v>66.61999999999999</v>
      </c>
    </row>
    <row r="24" spans="1:4" x14ac:dyDescent="0.25">
      <c r="A24">
        <v>1084.56</v>
      </c>
      <c r="B24">
        <v>815</v>
      </c>
      <c r="C24">
        <v>9.15</v>
      </c>
      <c r="D24">
        <v>67.73</v>
      </c>
    </row>
    <row r="25" spans="1:4" x14ac:dyDescent="0.25">
      <c r="A25">
        <v>694.3</v>
      </c>
      <c r="B25">
        <v>2015</v>
      </c>
      <c r="C25">
        <v>8.06</v>
      </c>
      <c r="D25">
        <v>55.529999999999994</v>
      </c>
    </row>
    <row r="26" spans="1:4" x14ac:dyDescent="0.25">
      <c r="A26">
        <v>770</v>
      </c>
      <c r="B26">
        <v>1750</v>
      </c>
      <c r="C26">
        <v>3.27</v>
      </c>
      <c r="D26">
        <v>62.534999999999989</v>
      </c>
    </row>
    <row r="27" spans="1:4" x14ac:dyDescent="0.25">
      <c r="A27">
        <v>451.01</v>
      </c>
      <c r="B27">
        <v>905</v>
      </c>
      <c r="C27">
        <v>6.04</v>
      </c>
      <c r="D27">
        <v>56.309999999999995</v>
      </c>
    </row>
    <row r="28" spans="1:4" x14ac:dyDescent="0.25">
      <c r="A28">
        <v>436.09</v>
      </c>
      <c r="B28">
        <v>1570</v>
      </c>
      <c r="C28">
        <v>5.16</v>
      </c>
      <c r="D28">
        <v>62.79999999999999</v>
      </c>
    </row>
    <row r="29" spans="1:4" x14ac:dyDescent="0.25">
      <c r="A29">
        <v>422.51</v>
      </c>
      <c r="B29">
        <v>1685</v>
      </c>
      <c r="C29">
        <v>11.42</v>
      </c>
      <c r="D29">
        <v>52.465000000000003</v>
      </c>
    </row>
    <row r="30" spans="1:4" x14ac:dyDescent="0.25">
      <c r="A30">
        <v>463.16</v>
      </c>
      <c r="B30">
        <v>1555</v>
      </c>
      <c r="C30">
        <v>3.72</v>
      </c>
      <c r="D30">
        <v>58.61</v>
      </c>
    </row>
    <row r="31" spans="1:4" x14ac:dyDescent="0.25">
      <c r="A31">
        <v>580.23</v>
      </c>
      <c r="B31">
        <v>2025</v>
      </c>
      <c r="C31">
        <v>6.61</v>
      </c>
      <c r="D31">
        <v>86.149999999999991</v>
      </c>
    </row>
    <row r="32" spans="1:4" x14ac:dyDescent="0.25">
      <c r="A32">
        <v>529.05999999999995</v>
      </c>
      <c r="B32">
        <v>925</v>
      </c>
      <c r="C32">
        <v>6.52</v>
      </c>
      <c r="D32">
        <v>55.49</v>
      </c>
    </row>
    <row r="33" spans="1:4" x14ac:dyDescent="0.25">
      <c r="A33">
        <v>587.28</v>
      </c>
      <c r="B33">
        <v>1015</v>
      </c>
      <c r="C33">
        <v>13.53</v>
      </c>
      <c r="D33">
        <v>66.214999999999989</v>
      </c>
    </row>
    <row r="34" spans="1:4" x14ac:dyDescent="0.25">
      <c r="A34">
        <v>559.84</v>
      </c>
      <c r="B34">
        <v>1740</v>
      </c>
      <c r="C34">
        <v>33.57</v>
      </c>
      <c r="D34">
        <v>72.170000000000016</v>
      </c>
    </row>
    <row r="35" spans="1:4" x14ac:dyDescent="0.25">
      <c r="A35">
        <v>413.53</v>
      </c>
      <c r="B35">
        <v>1105</v>
      </c>
      <c r="C35">
        <v>21.49</v>
      </c>
      <c r="D35">
        <v>54.37</v>
      </c>
    </row>
    <row r="36" spans="1:4" x14ac:dyDescent="0.25">
      <c r="A36">
        <v>432.43</v>
      </c>
      <c r="B36">
        <v>435</v>
      </c>
      <c r="C36">
        <v>15.04</v>
      </c>
      <c r="D36">
        <v>44.999999999999993</v>
      </c>
    </row>
    <row r="37" spans="1:4" x14ac:dyDescent="0.25">
      <c r="A37">
        <v>269.84999999999997</v>
      </c>
      <c r="B37">
        <v>740</v>
      </c>
      <c r="C37">
        <v>1.89</v>
      </c>
      <c r="D37">
        <v>69.03</v>
      </c>
    </row>
    <row r="38" spans="1:4" x14ac:dyDescent="0.25">
      <c r="A38">
        <v>325.13</v>
      </c>
      <c r="B38">
        <v>500</v>
      </c>
      <c r="C38">
        <v>2.8</v>
      </c>
      <c r="D38">
        <v>63.190000000000005</v>
      </c>
    </row>
    <row r="39" spans="1:4" x14ac:dyDescent="0.25">
      <c r="A39">
        <v>368.88</v>
      </c>
      <c r="B39">
        <v>880</v>
      </c>
      <c r="C39">
        <v>13.55</v>
      </c>
      <c r="D39">
        <v>68.210000000000008</v>
      </c>
    </row>
    <row r="40" spans="1:4" x14ac:dyDescent="0.25">
      <c r="A40">
        <v>387.28000000000003</v>
      </c>
      <c r="B40">
        <v>1250</v>
      </c>
      <c r="C40">
        <v>10.220000000000001</v>
      </c>
      <c r="D40">
        <v>55.960000000000008</v>
      </c>
    </row>
    <row r="41" spans="1:4" x14ac:dyDescent="0.25">
      <c r="A41">
        <v>238.51</v>
      </c>
      <c r="B41">
        <v>1275</v>
      </c>
      <c r="C41">
        <v>6.73</v>
      </c>
      <c r="D41">
        <v>47.580000000000005</v>
      </c>
    </row>
    <row r="42" spans="1:4" x14ac:dyDescent="0.25">
      <c r="A42">
        <v>296.45999999999998</v>
      </c>
      <c r="B42">
        <v>1345</v>
      </c>
      <c r="C42">
        <v>4.8</v>
      </c>
      <c r="D42">
        <v>53.564999999999991</v>
      </c>
    </row>
    <row r="43" spans="1:4" x14ac:dyDescent="0.25">
      <c r="A43">
        <v>377.65000000000003</v>
      </c>
      <c r="B43">
        <v>950</v>
      </c>
      <c r="C43">
        <v>5.32</v>
      </c>
      <c r="D43">
        <v>67.53</v>
      </c>
    </row>
    <row r="44" spans="1:4" x14ac:dyDescent="0.25">
      <c r="A44">
        <v>460.89</v>
      </c>
      <c r="B44">
        <v>1100</v>
      </c>
      <c r="C44">
        <v>0.23</v>
      </c>
      <c r="D44">
        <v>67.279999999999987</v>
      </c>
    </row>
    <row r="45" spans="1:4" x14ac:dyDescent="0.25">
      <c r="A45">
        <v>3.62</v>
      </c>
      <c r="B45">
        <v>1130</v>
      </c>
      <c r="C45">
        <v>0.94</v>
      </c>
      <c r="D45">
        <v>64.2</v>
      </c>
    </row>
    <row r="46" spans="1:4" x14ac:dyDescent="0.25">
      <c r="A46">
        <v>772.8</v>
      </c>
      <c r="B46">
        <v>990</v>
      </c>
      <c r="C46">
        <v>0.28999999999999998</v>
      </c>
      <c r="D46">
        <v>69.45</v>
      </c>
    </row>
    <row r="47" spans="1:4" x14ac:dyDescent="0.25">
      <c r="A47">
        <v>503.88</v>
      </c>
      <c r="B47">
        <v>870</v>
      </c>
      <c r="C47">
        <v>1.0900000000000001</v>
      </c>
      <c r="D47">
        <v>59.790000000000006</v>
      </c>
    </row>
    <row r="48" spans="1:4" x14ac:dyDescent="0.25">
      <c r="A48">
        <v>534.77</v>
      </c>
      <c r="B48">
        <v>760</v>
      </c>
      <c r="C48">
        <v>0.5</v>
      </c>
      <c r="D48">
        <v>67.100000000000009</v>
      </c>
    </row>
    <row r="49" spans="1:4" x14ac:dyDescent="0.25">
      <c r="A49">
        <v>574.54999999999995</v>
      </c>
      <c r="B49">
        <v>770</v>
      </c>
      <c r="C49">
        <v>2.2999999999999998</v>
      </c>
      <c r="D49">
        <v>73.349999999999994</v>
      </c>
    </row>
    <row r="50" spans="1:4" x14ac:dyDescent="0.25">
      <c r="A50">
        <v>551</v>
      </c>
      <c r="B50">
        <v>540</v>
      </c>
      <c r="C50">
        <v>0.28999999999999998</v>
      </c>
      <c r="D50">
        <v>66.12</v>
      </c>
    </row>
    <row r="51" spans="1:4" x14ac:dyDescent="0.25">
      <c r="A51">
        <v>526.32000000000005</v>
      </c>
      <c r="B51">
        <v>355</v>
      </c>
      <c r="C51">
        <v>0.66</v>
      </c>
      <c r="D51">
        <v>70.2</v>
      </c>
    </row>
    <row r="52" spans="1:4" x14ac:dyDescent="0.25">
      <c r="A52">
        <v>649.01</v>
      </c>
      <c r="B52">
        <v>230</v>
      </c>
      <c r="C52">
        <v>3.32</v>
      </c>
      <c r="D52">
        <v>73.590000000000018</v>
      </c>
    </row>
    <row r="53" spans="1:4" x14ac:dyDescent="0.25">
      <c r="A53">
        <v>593.83000000000004</v>
      </c>
      <c r="B53">
        <v>0</v>
      </c>
      <c r="C53">
        <v>0.08</v>
      </c>
      <c r="D53">
        <v>78.440000000000012</v>
      </c>
    </row>
    <row r="54" spans="1:4" x14ac:dyDescent="0.25">
      <c r="A54">
        <v>14.7</v>
      </c>
      <c r="B54">
        <v>640</v>
      </c>
      <c r="C54">
        <v>4.8499999999999996</v>
      </c>
      <c r="D54">
        <v>74.765000000000015</v>
      </c>
    </row>
    <row r="55" spans="1:4" x14ac:dyDescent="0.25">
      <c r="A55">
        <v>329</v>
      </c>
      <c r="B55">
        <v>680</v>
      </c>
      <c r="C55">
        <v>3.4</v>
      </c>
      <c r="D55">
        <v>56.225000000000001</v>
      </c>
    </row>
    <row r="56" spans="1:4" x14ac:dyDescent="0.25">
      <c r="A56">
        <v>255.13</v>
      </c>
      <c r="B56">
        <v>430</v>
      </c>
      <c r="C56">
        <v>6.33</v>
      </c>
      <c r="D56">
        <v>56.51</v>
      </c>
    </row>
    <row r="57" spans="1:4" x14ac:dyDescent="0.25">
      <c r="A57">
        <v>313.57</v>
      </c>
      <c r="B57">
        <v>300</v>
      </c>
      <c r="C57">
        <v>3.44</v>
      </c>
      <c r="D57">
        <v>62.36</v>
      </c>
    </row>
    <row r="58" spans="1:4" x14ac:dyDescent="0.25">
      <c r="A58">
        <v>446.63</v>
      </c>
      <c r="B58">
        <v>115</v>
      </c>
      <c r="C58">
        <v>0.91</v>
      </c>
      <c r="D58">
        <v>61.14</v>
      </c>
    </row>
    <row r="59" spans="1:4" x14ac:dyDescent="0.25">
      <c r="A59">
        <v>230.04000000000002</v>
      </c>
      <c r="B59">
        <v>125</v>
      </c>
      <c r="C59">
        <v>0</v>
      </c>
      <c r="D59">
        <v>56.51</v>
      </c>
    </row>
    <row r="60" spans="1:4" x14ac:dyDescent="0.25">
      <c r="A60">
        <v>422.52</v>
      </c>
      <c r="B60">
        <v>141.79</v>
      </c>
      <c r="C60">
        <v>3.56</v>
      </c>
      <c r="D60">
        <v>63.48</v>
      </c>
    </row>
    <row r="61" spans="1:4" x14ac:dyDescent="0.25">
      <c r="A61">
        <v>19.760000000000002</v>
      </c>
      <c r="B61">
        <v>150</v>
      </c>
      <c r="C61">
        <v>5.05</v>
      </c>
      <c r="D61">
        <v>60.209999999999994</v>
      </c>
    </row>
    <row r="62" spans="1:4" x14ac:dyDescent="0.25">
      <c r="A62">
        <v>297.57</v>
      </c>
      <c r="B62">
        <v>141.65</v>
      </c>
      <c r="C62">
        <v>3.57</v>
      </c>
      <c r="D62">
        <v>69.660000000000011</v>
      </c>
    </row>
    <row r="63" spans="1:4" x14ac:dyDescent="0.25">
      <c r="A63">
        <v>124.22000000000001</v>
      </c>
      <c r="B63">
        <v>6.15</v>
      </c>
      <c r="C63">
        <v>0.49</v>
      </c>
      <c r="D63">
        <v>56.994999999999997</v>
      </c>
    </row>
    <row r="64" spans="1:4" x14ac:dyDescent="0.25">
      <c r="A64">
        <v>51.93</v>
      </c>
      <c r="B64">
        <v>333.62</v>
      </c>
      <c r="C64">
        <v>0</v>
      </c>
      <c r="D64">
        <v>61.425000000000004</v>
      </c>
    </row>
    <row r="65" spans="1:4" x14ac:dyDescent="0.25">
      <c r="A65">
        <v>156.91999999999999</v>
      </c>
      <c r="B65">
        <v>270</v>
      </c>
      <c r="C65">
        <v>0</v>
      </c>
      <c r="D65">
        <v>89.03</v>
      </c>
    </row>
    <row r="66" spans="1:4" x14ac:dyDescent="0.25">
      <c r="A66">
        <v>291.45999999999998</v>
      </c>
      <c r="B66">
        <v>1010</v>
      </c>
      <c r="C66">
        <v>1.06</v>
      </c>
      <c r="D66">
        <v>58.900000000000006</v>
      </c>
    </row>
    <row r="67" spans="1:4" x14ac:dyDescent="0.25">
      <c r="A67">
        <v>488.90000000000003</v>
      </c>
      <c r="B67">
        <v>1535</v>
      </c>
      <c r="C67">
        <v>2.75</v>
      </c>
      <c r="D67">
        <v>59.089999999999996</v>
      </c>
    </row>
    <row r="68" spans="1:4" x14ac:dyDescent="0.25">
      <c r="A68">
        <v>393</v>
      </c>
      <c r="B68">
        <v>1400</v>
      </c>
      <c r="C68">
        <v>2.88</v>
      </c>
      <c r="D68">
        <v>51.65</v>
      </c>
    </row>
    <row r="69" spans="1:4" x14ac:dyDescent="0.25">
      <c r="A69">
        <v>21.21</v>
      </c>
      <c r="B69">
        <v>320</v>
      </c>
      <c r="C69">
        <v>9.2100000000000009</v>
      </c>
      <c r="D69">
        <v>56.865999999999993</v>
      </c>
    </row>
    <row r="70" spans="1:4" x14ac:dyDescent="0.25">
      <c r="A70">
        <v>493.01</v>
      </c>
      <c r="B70">
        <v>1435</v>
      </c>
      <c r="C70">
        <v>47.92</v>
      </c>
      <c r="D70">
        <v>62.995000000000012</v>
      </c>
    </row>
    <row r="71" spans="1:4" x14ac:dyDescent="0.25">
      <c r="A71">
        <v>448.31</v>
      </c>
      <c r="B71">
        <v>1240</v>
      </c>
      <c r="C71">
        <v>48.76</v>
      </c>
      <c r="D71">
        <v>65.739999999999995</v>
      </c>
    </row>
    <row r="72" spans="1:4" x14ac:dyDescent="0.25">
      <c r="A72">
        <v>371.3</v>
      </c>
      <c r="B72">
        <v>865</v>
      </c>
      <c r="C72">
        <v>55.18</v>
      </c>
      <c r="D72">
        <v>52.169999999999995</v>
      </c>
    </row>
    <row r="73" spans="1:4" x14ac:dyDescent="0.25">
      <c r="A73">
        <v>313.23</v>
      </c>
      <c r="B73">
        <v>1030</v>
      </c>
      <c r="C73">
        <v>4.82</v>
      </c>
      <c r="D73">
        <v>53.164999999999999</v>
      </c>
    </row>
    <row r="74" spans="1:4" x14ac:dyDescent="0.25">
      <c r="A74">
        <v>35.520000000000003</v>
      </c>
      <c r="B74">
        <v>805</v>
      </c>
      <c r="C74">
        <v>8.85</v>
      </c>
      <c r="D74">
        <v>61.495000000000012</v>
      </c>
    </row>
    <row r="75" spans="1:4" x14ac:dyDescent="0.25">
      <c r="A75">
        <v>347.22</v>
      </c>
      <c r="B75">
        <v>1170</v>
      </c>
      <c r="C75">
        <v>7.02</v>
      </c>
      <c r="D75">
        <v>53.36</v>
      </c>
    </row>
    <row r="76" spans="1:4" x14ac:dyDescent="0.25">
      <c r="A76">
        <v>405.04</v>
      </c>
      <c r="B76">
        <v>1165</v>
      </c>
      <c r="C76">
        <v>3.57</v>
      </c>
      <c r="D76">
        <v>72.680000000000007</v>
      </c>
    </row>
    <row r="77" spans="1:4" x14ac:dyDescent="0.25">
      <c r="A77">
        <v>236.64000000000001</v>
      </c>
      <c r="B77">
        <v>920</v>
      </c>
      <c r="C77">
        <v>27.64</v>
      </c>
      <c r="D77">
        <v>50.660000000000004</v>
      </c>
    </row>
    <row r="78" spans="1:4" x14ac:dyDescent="0.25">
      <c r="A78">
        <v>291.72000000000003</v>
      </c>
      <c r="B78">
        <v>845</v>
      </c>
      <c r="C78">
        <v>30.8</v>
      </c>
      <c r="D78">
        <v>55.460000000000008</v>
      </c>
    </row>
    <row r="79" spans="1:4" x14ac:dyDescent="0.25">
      <c r="A79">
        <v>218.5</v>
      </c>
      <c r="B79">
        <v>510</v>
      </c>
      <c r="C79">
        <v>16.77</v>
      </c>
      <c r="D79">
        <v>49.8</v>
      </c>
    </row>
    <row r="80" spans="1:4" x14ac:dyDescent="0.25">
      <c r="A80">
        <v>280.39999999999998</v>
      </c>
      <c r="B80">
        <v>680</v>
      </c>
      <c r="C80">
        <v>30.169999999999998</v>
      </c>
      <c r="D80">
        <v>60.749999999999993</v>
      </c>
    </row>
    <row r="81" spans="1:4" x14ac:dyDescent="0.25">
      <c r="A81">
        <v>322.86</v>
      </c>
      <c r="B81">
        <v>660</v>
      </c>
      <c r="C81">
        <v>7.41</v>
      </c>
      <c r="D81">
        <v>54.01</v>
      </c>
    </row>
    <row r="82" spans="1:4" x14ac:dyDescent="0.25">
      <c r="A82">
        <v>374.77000000000004</v>
      </c>
      <c r="B82">
        <v>970</v>
      </c>
      <c r="C82">
        <v>29.17</v>
      </c>
      <c r="D82">
        <v>57.6</v>
      </c>
    </row>
    <row r="83" spans="1:4" x14ac:dyDescent="0.25">
      <c r="A83">
        <v>471.23</v>
      </c>
      <c r="B83">
        <v>1030</v>
      </c>
      <c r="C83">
        <v>10.95</v>
      </c>
      <c r="D83">
        <v>70.160000000000011</v>
      </c>
    </row>
    <row r="84" spans="1:4" x14ac:dyDescent="0.25">
      <c r="A84">
        <v>476.29</v>
      </c>
      <c r="B84">
        <v>1110</v>
      </c>
      <c r="C84">
        <v>10.94</v>
      </c>
      <c r="D84">
        <v>56.309999999999995</v>
      </c>
    </row>
    <row r="85" spans="1:4" x14ac:dyDescent="0.25">
      <c r="A85">
        <v>3.87</v>
      </c>
      <c r="B85">
        <v>1120</v>
      </c>
      <c r="C85">
        <v>5.93</v>
      </c>
      <c r="D85">
        <v>53.96</v>
      </c>
    </row>
    <row r="86" spans="1:4" x14ac:dyDescent="0.25">
      <c r="A86">
        <v>419.08</v>
      </c>
      <c r="B86">
        <v>1090</v>
      </c>
      <c r="C86">
        <v>17.22</v>
      </c>
      <c r="D86">
        <v>65.11</v>
      </c>
    </row>
    <row r="87" spans="1:4" x14ac:dyDescent="0.25">
      <c r="A87">
        <v>595.59</v>
      </c>
      <c r="B87">
        <v>1060</v>
      </c>
      <c r="C87">
        <v>0</v>
      </c>
      <c r="D87">
        <v>48.82</v>
      </c>
    </row>
    <row r="88" spans="1:4" x14ac:dyDescent="0.25">
      <c r="A88">
        <v>615.07000000000005</v>
      </c>
      <c r="B88">
        <v>1690</v>
      </c>
      <c r="C88">
        <v>9.27</v>
      </c>
      <c r="D88">
        <v>65.239999999999981</v>
      </c>
    </row>
    <row r="89" spans="1:4" x14ac:dyDescent="0.25">
      <c r="A89">
        <v>404.34</v>
      </c>
      <c r="B89">
        <v>1575</v>
      </c>
      <c r="C89">
        <v>4.13</v>
      </c>
      <c r="D89">
        <v>55.089999999999996</v>
      </c>
    </row>
    <row r="90" spans="1:4" x14ac:dyDescent="0.25">
      <c r="A90">
        <v>437.15999999999997</v>
      </c>
      <c r="B90">
        <v>1145</v>
      </c>
      <c r="C90">
        <v>8.98</v>
      </c>
      <c r="D90">
        <v>52.914999999999999</v>
      </c>
    </row>
    <row r="91" spans="1:4" x14ac:dyDescent="0.25">
      <c r="A91">
        <v>427.81</v>
      </c>
      <c r="B91">
        <v>1155</v>
      </c>
      <c r="C91">
        <v>13.56</v>
      </c>
      <c r="D91">
        <v>63.589999999999982</v>
      </c>
    </row>
    <row r="92" spans="1:4" x14ac:dyDescent="0.25">
      <c r="A92">
        <v>559.51</v>
      </c>
      <c r="B92">
        <v>1020</v>
      </c>
      <c r="C92">
        <v>5.54</v>
      </c>
      <c r="D92">
        <v>67.599999999999994</v>
      </c>
    </row>
    <row r="93" spans="1:4" x14ac:dyDescent="0.25">
      <c r="A93">
        <v>467.46999999999997</v>
      </c>
      <c r="B93">
        <v>905</v>
      </c>
      <c r="C93">
        <v>11.17</v>
      </c>
      <c r="D93">
        <v>49.17</v>
      </c>
    </row>
    <row r="94" spans="1:4" x14ac:dyDescent="0.25">
      <c r="A94">
        <v>411.65</v>
      </c>
      <c r="B94">
        <v>1105</v>
      </c>
      <c r="C94">
        <v>12.9</v>
      </c>
      <c r="D94">
        <v>54.430000000000007</v>
      </c>
    </row>
    <row r="95" spans="1:4" x14ac:dyDescent="0.25">
      <c r="A95">
        <v>357.44</v>
      </c>
      <c r="B95">
        <v>705</v>
      </c>
      <c r="C95">
        <v>8.89</v>
      </c>
      <c r="D95">
        <v>64.94</v>
      </c>
    </row>
    <row r="96" spans="1:4" x14ac:dyDescent="0.25">
      <c r="A96">
        <v>478.76</v>
      </c>
      <c r="B96">
        <v>945</v>
      </c>
      <c r="C96">
        <v>11.63</v>
      </c>
      <c r="D96">
        <v>54.9</v>
      </c>
    </row>
    <row r="97" spans="1:4" x14ac:dyDescent="0.25">
      <c r="A97">
        <v>356.56</v>
      </c>
      <c r="B97">
        <v>1105</v>
      </c>
      <c r="C97">
        <v>12.59</v>
      </c>
      <c r="D97">
        <v>52.11</v>
      </c>
    </row>
    <row r="98" spans="1:4" x14ac:dyDescent="0.25">
      <c r="A98">
        <v>195.13</v>
      </c>
      <c r="B98">
        <v>775</v>
      </c>
      <c r="C98">
        <v>8.85</v>
      </c>
      <c r="D98">
        <v>35.200000000000003</v>
      </c>
    </row>
    <row r="99" spans="1:4" x14ac:dyDescent="0.25">
      <c r="A99">
        <v>248.48</v>
      </c>
      <c r="B99">
        <v>820</v>
      </c>
      <c r="C99">
        <v>14.31</v>
      </c>
      <c r="D99">
        <v>47.05</v>
      </c>
    </row>
    <row r="100" spans="1:4" x14ac:dyDescent="0.25">
      <c r="A100">
        <v>121.96</v>
      </c>
      <c r="B100">
        <v>345</v>
      </c>
      <c r="C100">
        <v>4.83</v>
      </c>
      <c r="D100">
        <v>48.609999999999992</v>
      </c>
    </row>
    <row r="101" spans="1:4" x14ac:dyDescent="0.25">
      <c r="A101">
        <v>142.47</v>
      </c>
      <c r="B101">
        <v>175</v>
      </c>
      <c r="C101">
        <v>8.8800000000000008</v>
      </c>
      <c r="D101">
        <v>51.669999999999995</v>
      </c>
    </row>
    <row r="102" spans="1:4" x14ac:dyDescent="0.25">
      <c r="A102">
        <v>264.61</v>
      </c>
      <c r="B102">
        <v>310</v>
      </c>
      <c r="C102">
        <v>3.36</v>
      </c>
      <c r="D102">
        <v>54.24</v>
      </c>
    </row>
    <row r="103" spans="1:4" x14ac:dyDescent="0.25">
      <c r="A103">
        <v>175.44</v>
      </c>
      <c r="B103">
        <v>365</v>
      </c>
      <c r="C103">
        <v>3.29</v>
      </c>
      <c r="D103">
        <v>48.53</v>
      </c>
    </row>
    <row r="104" spans="1:4" x14ac:dyDescent="0.25">
      <c r="A104">
        <v>368.15999999999997</v>
      </c>
      <c r="B104">
        <v>535</v>
      </c>
      <c r="C104">
        <v>9.4700000000000006</v>
      </c>
      <c r="D104">
        <v>59.360000000000007</v>
      </c>
    </row>
    <row r="105" spans="1:4" x14ac:dyDescent="0.25">
      <c r="A105">
        <v>376.74</v>
      </c>
      <c r="B105">
        <v>910</v>
      </c>
      <c r="C105">
        <v>5.17</v>
      </c>
      <c r="D105">
        <v>55.779999999999994</v>
      </c>
    </row>
    <row r="106" spans="1:4" x14ac:dyDescent="0.25">
      <c r="A106">
        <v>346.48</v>
      </c>
      <c r="B106">
        <v>910</v>
      </c>
      <c r="C106">
        <v>1.35</v>
      </c>
      <c r="D106">
        <v>64.72</v>
      </c>
    </row>
    <row r="107" spans="1:4" x14ac:dyDescent="0.25">
      <c r="A107">
        <v>638.04</v>
      </c>
      <c r="B107">
        <v>835</v>
      </c>
      <c r="C107">
        <v>3.45</v>
      </c>
      <c r="D107">
        <v>44.27</v>
      </c>
    </row>
    <row r="108" spans="1:4" x14ac:dyDescent="0.25">
      <c r="A108">
        <v>367.52000000000004</v>
      </c>
      <c r="B108">
        <v>625</v>
      </c>
      <c r="C108">
        <v>0.96</v>
      </c>
      <c r="D108">
        <v>47.875</v>
      </c>
    </row>
    <row r="109" spans="1:4" x14ac:dyDescent="0.25">
      <c r="A109">
        <v>534.03</v>
      </c>
      <c r="B109">
        <v>750</v>
      </c>
      <c r="C109">
        <v>3.8</v>
      </c>
      <c r="D109">
        <v>56.19</v>
      </c>
    </row>
    <row r="110" spans="1:4" x14ac:dyDescent="0.25">
      <c r="A110">
        <v>590.19999999999993</v>
      </c>
      <c r="B110">
        <v>810</v>
      </c>
      <c r="C110">
        <v>0.98</v>
      </c>
      <c r="D110">
        <v>73.37</v>
      </c>
    </row>
    <row r="111" spans="1:4" x14ac:dyDescent="0.25">
      <c r="A111">
        <v>422.15</v>
      </c>
      <c r="B111">
        <v>650</v>
      </c>
      <c r="C111">
        <v>0.73</v>
      </c>
      <c r="D111">
        <v>56.389999999999993</v>
      </c>
    </row>
    <row r="112" spans="1:4" x14ac:dyDescent="0.25">
      <c r="A112">
        <v>441.15</v>
      </c>
      <c r="B112">
        <v>390</v>
      </c>
      <c r="C112">
        <v>0.56999999999999995</v>
      </c>
      <c r="D112">
        <v>48.319999999999993</v>
      </c>
    </row>
    <row r="113" spans="1:4" x14ac:dyDescent="0.25">
      <c r="A113">
        <v>465.5</v>
      </c>
      <c r="B113">
        <v>0</v>
      </c>
      <c r="C113">
        <v>1.7</v>
      </c>
      <c r="D113">
        <v>59.5</v>
      </c>
    </row>
    <row r="114" spans="1:4" x14ac:dyDescent="0.25">
      <c r="A114">
        <v>398.78</v>
      </c>
      <c r="B114">
        <v>236.14</v>
      </c>
      <c r="C114">
        <v>2.73</v>
      </c>
      <c r="D114">
        <v>51.72</v>
      </c>
    </row>
    <row r="115" spans="1:4" x14ac:dyDescent="0.25">
      <c r="A115">
        <v>260.20999999999998</v>
      </c>
      <c r="B115">
        <v>0</v>
      </c>
      <c r="C115">
        <v>3.05</v>
      </c>
      <c r="D115">
        <v>50.78</v>
      </c>
    </row>
    <row r="116" spans="1:4" x14ac:dyDescent="0.25">
      <c r="A116">
        <v>333.83</v>
      </c>
      <c r="B116">
        <v>45</v>
      </c>
      <c r="C116">
        <v>3.12</v>
      </c>
      <c r="D116">
        <v>71.260000000000005</v>
      </c>
    </row>
    <row r="117" spans="1:4" x14ac:dyDescent="0.25">
      <c r="A117">
        <v>159.89999999999998</v>
      </c>
      <c r="B117">
        <v>105</v>
      </c>
      <c r="C117">
        <v>2.73</v>
      </c>
      <c r="D117">
        <v>54.365000000000002</v>
      </c>
    </row>
    <row r="118" spans="1:4" x14ac:dyDescent="0.25">
      <c r="A118">
        <v>173.83</v>
      </c>
      <c r="B118">
        <v>319.26</v>
      </c>
      <c r="C118">
        <v>3.198</v>
      </c>
      <c r="D118">
        <v>58.565000000000012</v>
      </c>
    </row>
    <row r="119" spans="1:4" x14ac:dyDescent="0.25">
      <c r="A119">
        <v>211.73</v>
      </c>
      <c r="B119">
        <v>251.3</v>
      </c>
      <c r="C119">
        <v>4.4000000000000004</v>
      </c>
      <c r="D119">
        <v>55.73</v>
      </c>
    </row>
    <row r="120" spans="1:4" x14ac:dyDescent="0.25">
      <c r="A120">
        <v>252.42</v>
      </c>
      <c r="B120">
        <v>162.02000000000001</v>
      </c>
      <c r="C120">
        <v>3.27</v>
      </c>
      <c r="D120">
        <v>57.78</v>
      </c>
    </row>
    <row r="121" spans="1:4" x14ac:dyDescent="0.25">
      <c r="A121">
        <v>386.84999999999997</v>
      </c>
      <c r="B121">
        <v>370.64</v>
      </c>
      <c r="C121">
        <v>3.8000000000000003</v>
      </c>
      <c r="D121">
        <v>58.234999999999999</v>
      </c>
    </row>
    <row r="122" spans="1:4" x14ac:dyDescent="0.25">
      <c r="A122">
        <v>355.87</v>
      </c>
      <c r="B122">
        <v>283.7</v>
      </c>
      <c r="C122">
        <v>0</v>
      </c>
      <c r="D122">
        <v>65.419999999999987</v>
      </c>
    </row>
    <row r="123" spans="1:4" x14ac:dyDescent="0.25">
      <c r="A123">
        <v>503.04</v>
      </c>
      <c r="B123">
        <v>348.88</v>
      </c>
      <c r="C123">
        <v>0.43</v>
      </c>
      <c r="D123">
        <v>66.36999999999999</v>
      </c>
    </row>
    <row r="124" spans="1:4" x14ac:dyDescent="0.25">
      <c r="A124">
        <v>680.98</v>
      </c>
      <c r="B124">
        <v>14.129999999999999</v>
      </c>
      <c r="C124">
        <v>16.29</v>
      </c>
      <c r="D124">
        <v>57.3</v>
      </c>
    </row>
    <row r="125" spans="1:4" x14ac:dyDescent="0.25">
      <c r="A125">
        <v>583.70000000000005</v>
      </c>
      <c r="B125">
        <v>335.57</v>
      </c>
      <c r="C125">
        <v>2.17</v>
      </c>
      <c r="D125">
        <v>68.27</v>
      </c>
    </row>
    <row r="126" spans="1:4" x14ac:dyDescent="0.25">
      <c r="A126">
        <v>174</v>
      </c>
      <c r="B126">
        <v>97.35</v>
      </c>
      <c r="C126">
        <v>0.33</v>
      </c>
      <c r="D126">
        <v>64.549999999999983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1"/>
  <sheetViews>
    <sheetView topLeftCell="A60" zoomScaleNormal="100" workbookViewId="0">
      <selection activeCell="J221" sqref="J221"/>
    </sheetView>
  </sheetViews>
  <sheetFormatPr defaultRowHeight="15" x14ac:dyDescent="0.25"/>
  <cols>
    <col min="1" max="1" width="5" customWidth="1"/>
    <col min="3" max="3" width="9.5703125" bestFit="1" customWidth="1"/>
    <col min="4" max="4" width="11.5703125" bestFit="1" customWidth="1"/>
    <col min="5" max="5" width="10.5703125" bestFit="1" customWidth="1"/>
  </cols>
  <sheetData>
    <row r="1" spans="2:6" x14ac:dyDescent="0.25">
      <c r="B1" t="s">
        <v>204</v>
      </c>
    </row>
    <row r="2" spans="2:6" x14ac:dyDescent="0.25">
      <c r="B2" t="s">
        <v>205</v>
      </c>
    </row>
    <row r="3" spans="2:6" x14ac:dyDescent="0.25">
      <c r="B3" t="s">
        <v>206</v>
      </c>
    </row>
    <row r="4" spans="2:6" x14ac:dyDescent="0.25">
      <c r="B4" t="s">
        <v>34</v>
      </c>
    </row>
    <row r="5" spans="2:6" x14ac:dyDescent="0.25">
      <c r="B5" t="s">
        <v>35</v>
      </c>
    </row>
    <row r="9" spans="2:6" x14ac:dyDescent="0.25">
      <c r="B9" t="s">
        <v>36</v>
      </c>
    </row>
    <row r="10" spans="2:6" ht="15.75" thickBot="1" x14ac:dyDescent="0.3"/>
    <row r="11" spans="2:6" x14ac:dyDescent="0.25">
      <c r="B11" s="3" t="s">
        <v>37</v>
      </c>
      <c r="C11" s="4" t="s">
        <v>2</v>
      </c>
      <c r="D11" s="4" t="s">
        <v>23</v>
      </c>
      <c r="E11" s="4" t="s">
        <v>22</v>
      </c>
      <c r="F11" s="5" t="s">
        <v>3</v>
      </c>
    </row>
    <row r="12" spans="2:6" x14ac:dyDescent="0.25">
      <c r="B12" s="6" t="s">
        <v>2</v>
      </c>
      <c r="C12" s="13">
        <v>1</v>
      </c>
      <c r="D12" s="8">
        <v>0.14572481221856459</v>
      </c>
      <c r="E12" s="8">
        <v>4.9897780712292068E-2</v>
      </c>
      <c r="F12" s="9">
        <v>0.43135984707592651</v>
      </c>
    </row>
    <row r="13" spans="2:6" x14ac:dyDescent="0.25">
      <c r="B13" s="2" t="s">
        <v>23</v>
      </c>
      <c r="C13" s="10">
        <v>0.14572481221856459</v>
      </c>
      <c r="D13" s="14">
        <v>1</v>
      </c>
      <c r="E13" s="10">
        <v>-7.3828151721796968E-3</v>
      </c>
      <c r="F13" s="11">
        <v>1.6039043867624787E-2</v>
      </c>
    </row>
    <row r="14" spans="2:6" x14ac:dyDescent="0.25">
      <c r="B14" s="2" t="s">
        <v>22</v>
      </c>
      <c r="C14" s="10">
        <v>4.9897780712292068E-2</v>
      </c>
      <c r="D14" s="10">
        <v>-7.3828151721796968E-3</v>
      </c>
      <c r="E14" s="14">
        <v>1</v>
      </c>
      <c r="F14" s="11">
        <v>0.27978073060241754</v>
      </c>
    </row>
    <row r="15" spans="2:6" ht="15.75" thickBot="1" x14ac:dyDescent="0.3">
      <c r="B15" s="7" t="s">
        <v>3</v>
      </c>
      <c r="C15" s="12">
        <v>0.43135984707592651</v>
      </c>
      <c r="D15" s="12">
        <v>1.6039043867624787E-2</v>
      </c>
      <c r="E15" s="12">
        <v>0.27978073060241754</v>
      </c>
      <c r="F15" s="15">
        <v>1</v>
      </c>
    </row>
    <row r="18" spans="2:5" x14ac:dyDescent="0.25">
      <c r="B18" t="s">
        <v>38</v>
      </c>
    </row>
    <row r="19" spans="2:5" ht="15.75" thickBot="1" x14ac:dyDescent="0.3"/>
    <row r="20" spans="2:5" x14ac:dyDescent="0.25">
      <c r="B20" s="3" t="s">
        <v>39</v>
      </c>
      <c r="C20" s="4" t="s">
        <v>2</v>
      </c>
      <c r="D20" s="4" t="s">
        <v>23</v>
      </c>
      <c r="E20" s="4" t="s">
        <v>22</v>
      </c>
    </row>
    <row r="21" spans="2:5" x14ac:dyDescent="0.25">
      <c r="B21" s="6" t="s">
        <v>40</v>
      </c>
      <c r="C21" s="8">
        <v>0.97616582549098563</v>
      </c>
      <c r="D21" s="8">
        <v>0.9785489986989081</v>
      </c>
      <c r="E21" s="8">
        <v>0.99729080788418889</v>
      </c>
    </row>
    <row r="22" spans="2:5" ht="15.75" thickBot="1" x14ac:dyDescent="0.3">
      <c r="B22" s="16" t="s">
        <v>41</v>
      </c>
      <c r="C22" s="17">
        <v>1.0244161123926117</v>
      </c>
      <c r="D22" s="17">
        <v>1.0219212337140127</v>
      </c>
      <c r="E22" s="17">
        <v>1.002716551776466</v>
      </c>
    </row>
    <row r="25" spans="2:5" x14ac:dyDescent="0.25">
      <c r="B25" s="18" t="s">
        <v>207</v>
      </c>
    </row>
    <row r="27" spans="2:5" x14ac:dyDescent="0.25">
      <c r="B27" t="s">
        <v>43</v>
      </c>
    </row>
    <row r="28" spans="2:5" ht="15.75" thickBot="1" x14ac:dyDescent="0.3"/>
    <row r="29" spans="2:5" x14ac:dyDescent="0.25">
      <c r="B29" s="19" t="s">
        <v>44</v>
      </c>
      <c r="C29" s="20">
        <v>125</v>
      </c>
    </row>
    <row r="30" spans="2:5" x14ac:dyDescent="0.25">
      <c r="B30" s="2" t="s">
        <v>45</v>
      </c>
      <c r="C30" s="10">
        <v>125</v>
      </c>
    </row>
    <row r="31" spans="2:5" x14ac:dyDescent="0.25">
      <c r="B31" s="2" t="s">
        <v>46</v>
      </c>
      <c r="C31" s="10">
        <v>121</v>
      </c>
    </row>
    <row r="32" spans="2:5" x14ac:dyDescent="0.25">
      <c r="B32" s="2" t="s">
        <v>47</v>
      </c>
      <c r="C32" s="10">
        <v>0.25482627252575552</v>
      </c>
    </row>
    <row r="33" spans="2:7" x14ac:dyDescent="0.25">
      <c r="B33" s="2" t="s">
        <v>48</v>
      </c>
      <c r="C33" s="10">
        <v>0.23635089085284036</v>
      </c>
    </row>
    <row r="34" spans="2:7" x14ac:dyDescent="0.25">
      <c r="B34" s="2" t="s">
        <v>49</v>
      </c>
      <c r="C34" s="10">
        <v>36460.015493373343</v>
      </c>
    </row>
    <row r="35" spans="2:7" x14ac:dyDescent="0.25">
      <c r="B35" s="2" t="s">
        <v>50</v>
      </c>
      <c r="C35" s="10">
        <v>190.94505883466411</v>
      </c>
    </row>
    <row r="36" spans="2:7" x14ac:dyDescent="0.25">
      <c r="B36" s="2" t="s">
        <v>51</v>
      </c>
      <c r="C36" s="10">
        <v>288.02283038586097</v>
      </c>
    </row>
    <row r="37" spans="2:7" x14ac:dyDescent="0.25">
      <c r="B37" s="2" t="s">
        <v>52</v>
      </c>
      <c r="C37" s="10">
        <v>1.0709362468695356</v>
      </c>
    </row>
    <row r="38" spans="2:7" x14ac:dyDescent="0.25">
      <c r="B38" s="2" t="s">
        <v>53</v>
      </c>
      <c r="C38" s="10">
        <v>4</v>
      </c>
    </row>
    <row r="39" spans="2:7" x14ac:dyDescent="0.25">
      <c r="B39" s="2" t="s">
        <v>54</v>
      </c>
      <c r="C39" s="10">
        <v>1316.9310351835843</v>
      </c>
    </row>
    <row r="40" spans="2:7" x14ac:dyDescent="0.25">
      <c r="B40" s="2" t="s">
        <v>55</v>
      </c>
      <c r="C40" s="10">
        <v>1328.2442901327936</v>
      </c>
    </row>
    <row r="41" spans="2:7" ht="15.75" thickBot="1" x14ac:dyDescent="0.3">
      <c r="B41" s="16" t="s">
        <v>56</v>
      </c>
      <c r="C41" s="17">
        <v>0.79444141193535156</v>
      </c>
    </row>
    <row r="44" spans="2:7" x14ac:dyDescent="0.25">
      <c r="B44" t="s">
        <v>57</v>
      </c>
    </row>
    <row r="45" spans="2:7" ht="15.75" thickBot="1" x14ac:dyDescent="0.3"/>
    <row r="46" spans="2:7" x14ac:dyDescent="0.25">
      <c r="B46" s="3" t="s">
        <v>58</v>
      </c>
      <c r="C46" s="4" t="s">
        <v>46</v>
      </c>
      <c r="D46" s="4" t="s">
        <v>59</v>
      </c>
      <c r="E46" s="4" t="s">
        <v>60</v>
      </c>
      <c r="F46" s="4" t="s">
        <v>61</v>
      </c>
      <c r="G46" s="4" t="s">
        <v>62</v>
      </c>
    </row>
    <row r="47" spans="2:7" x14ac:dyDescent="0.25">
      <c r="B47" s="6" t="s">
        <v>63</v>
      </c>
      <c r="C47" s="21">
        <v>3</v>
      </c>
      <c r="D47" s="8">
        <v>1508651.3516570255</v>
      </c>
      <c r="E47" s="8">
        <v>502883.78388567519</v>
      </c>
      <c r="F47" s="8">
        <v>13.792747399602037</v>
      </c>
      <c r="G47" s="24" t="s">
        <v>66</v>
      </c>
    </row>
    <row r="48" spans="2:7" x14ac:dyDescent="0.25">
      <c r="B48" s="2" t="s">
        <v>64</v>
      </c>
      <c r="C48" s="22">
        <v>121</v>
      </c>
      <c r="D48" s="10">
        <v>4411661.8746981742</v>
      </c>
      <c r="E48" s="10">
        <v>36460.015493373343</v>
      </c>
      <c r="F48" s="10"/>
      <c r="G48" s="10"/>
    </row>
    <row r="49" spans="2:21" ht="15.75" thickBot="1" x14ac:dyDescent="0.3">
      <c r="B49" s="16" t="s">
        <v>65</v>
      </c>
      <c r="C49" s="23">
        <v>124</v>
      </c>
      <c r="D49" s="17">
        <v>5920313.2263551997</v>
      </c>
      <c r="E49" s="17"/>
      <c r="F49" s="17"/>
      <c r="G49" s="17"/>
    </row>
    <row r="50" spans="2:21" x14ac:dyDescent="0.25">
      <c r="B50" s="25" t="s">
        <v>67</v>
      </c>
    </row>
    <row r="53" spans="2:21" x14ac:dyDescent="0.25">
      <c r="B53" t="s">
        <v>68</v>
      </c>
    </row>
    <row r="54" spans="2:21" ht="15.75" thickBot="1" x14ac:dyDescent="0.3"/>
    <row r="55" spans="2:21" x14ac:dyDescent="0.25">
      <c r="B55" s="3" t="s">
        <v>58</v>
      </c>
      <c r="C55" s="4" t="s">
        <v>69</v>
      </c>
      <c r="D55" s="4" t="s">
        <v>70</v>
      </c>
      <c r="E55" s="4" t="s">
        <v>71</v>
      </c>
      <c r="F55" s="4" t="s">
        <v>72</v>
      </c>
      <c r="G55" s="4" t="s">
        <v>73</v>
      </c>
      <c r="H55" s="4" t="s">
        <v>74</v>
      </c>
    </row>
    <row r="56" spans="2:21" x14ac:dyDescent="0.25">
      <c r="B56" s="6" t="s">
        <v>75</v>
      </c>
      <c r="C56" s="8">
        <v>-106.2458694818787</v>
      </c>
      <c r="D56" s="8">
        <v>118.05672943532629</v>
      </c>
      <c r="E56" s="8">
        <v>-0.8999560634117193</v>
      </c>
      <c r="F56" s="8">
        <v>0.36993123448297766</v>
      </c>
      <c r="G56" s="8">
        <v>-339.97030433783891</v>
      </c>
      <c r="H56" s="8">
        <v>127.4785653740815</v>
      </c>
    </row>
    <row r="57" spans="2:21" x14ac:dyDescent="0.25">
      <c r="B57" s="2" t="s">
        <v>2</v>
      </c>
      <c r="C57" s="10">
        <v>0.16470283526669141</v>
      </c>
      <c r="D57" s="10">
        <v>3.0789884176573825E-2</v>
      </c>
      <c r="E57" s="10">
        <v>5.34925153736057</v>
      </c>
      <c r="F57" s="26" t="s">
        <v>66</v>
      </c>
      <c r="G57" s="10">
        <v>0.10374613832217301</v>
      </c>
      <c r="H57" s="10">
        <v>0.22565953221120982</v>
      </c>
    </row>
    <row r="58" spans="2:21" x14ac:dyDescent="0.25">
      <c r="B58" s="2" t="s">
        <v>23</v>
      </c>
      <c r="C58" s="10">
        <v>-0.46217436352138869</v>
      </c>
      <c r="D58" s="10">
        <v>0.83386187280940127</v>
      </c>
      <c r="E58" s="10">
        <v>-0.55425769973659589</v>
      </c>
      <c r="F58" s="10">
        <v>0.58042544061980861</v>
      </c>
      <c r="G58" s="10">
        <v>-2.1130238822443044</v>
      </c>
      <c r="H58" s="10">
        <v>1.1886751552015271</v>
      </c>
    </row>
    <row r="59" spans="2:21" ht="15.75" thickBot="1" x14ac:dyDescent="0.3">
      <c r="B59" s="16" t="s">
        <v>22</v>
      </c>
      <c r="C59" s="17">
        <v>6.3506788194070669</v>
      </c>
      <c r="D59" s="17">
        <v>1.9323943607530496</v>
      </c>
      <c r="E59" s="17">
        <v>3.2864300105555171</v>
      </c>
      <c r="F59" s="17">
        <v>1.3280556541517821E-3</v>
      </c>
      <c r="G59" s="17">
        <v>2.5249944891184475</v>
      </c>
      <c r="H59" s="17">
        <v>10.176363149695685</v>
      </c>
    </row>
    <row r="62" spans="2:21" x14ac:dyDescent="0.25">
      <c r="B62" t="s">
        <v>76</v>
      </c>
    </row>
    <row r="63" spans="2:21" x14ac:dyDescent="0.25">
      <c r="P63" t="s">
        <v>222</v>
      </c>
    </row>
    <row r="64" spans="2:21" x14ac:dyDescent="0.25">
      <c r="B64" s="28" t="s">
        <v>208</v>
      </c>
      <c r="P64" t="s">
        <v>223</v>
      </c>
      <c r="Q64" t="s">
        <v>0</v>
      </c>
      <c r="R64" t="s">
        <v>224</v>
      </c>
      <c r="S64" t="s">
        <v>28</v>
      </c>
      <c r="T64" t="s">
        <v>225</v>
      </c>
      <c r="U64" t="s">
        <v>230</v>
      </c>
    </row>
    <row r="65" spans="2:21" x14ac:dyDescent="0.25">
      <c r="P65" t="s">
        <v>226</v>
      </c>
      <c r="Q65">
        <v>61</v>
      </c>
      <c r="R65">
        <v>233.64</v>
      </c>
      <c r="S65">
        <v>1.23</v>
      </c>
      <c r="T65">
        <v>63.57</v>
      </c>
      <c r="U65">
        <f>-106.25+0.165*R65-0.462*S65+6.35*T65</f>
        <v>335.40183999999999</v>
      </c>
    </row>
    <row r="66" spans="2:21" x14ac:dyDescent="0.25">
      <c r="P66" t="s">
        <v>229</v>
      </c>
      <c r="Q66">
        <v>11</v>
      </c>
      <c r="R66">
        <v>1420</v>
      </c>
      <c r="S66">
        <v>1.44</v>
      </c>
      <c r="T66">
        <v>67.015000000000001</v>
      </c>
      <c r="U66">
        <f>-106.25+0.165*R66-0.462*S66+6.35*T66</f>
        <v>552.92996999999991</v>
      </c>
    </row>
    <row r="67" spans="2:21" x14ac:dyDescent="0.25">
      <c r="B67" t="s">
        <v>78</v>
      </c>
      <c r="P67" t="s">
        <v>229</v>
      </c>
      <c r="Q67">
        <v>27</v>
      </c>
      <c r="R67">
        <v>1185</v>
      </c>
      <c r="S67">
        <v>0</v>
      </c>
      <c r="T67">
        <v>63.95000000000001</v>
      </c>
      <c r="U67">
        <f>-106.25+0.165*R67-0.462*S67+6.35*T67</f>
        <v>495.35750000000007</v>
      </c>
    </row>
    <row r="68" spans="2:21" ht="15.75" thickBot="1" x14ac:dyDescent="0.3">
      <c r="P68" t="s">
        <v>229</v>
      </c>
      <c r="Q68">
        <v>28</v>
      </c>
      <c r="R68">
        <v>1480</v>
      </c>
      <c r="S68">
        <v>0.77</v>
      </c>
      <c r="T68">
        <v>67.48</v>
      </c>
      <c r="U68">
        <f>-106.25+0.165*R68-0.462*S68+6.35*T68</f>
        <v>566.09226000000001</v>
      </c>
    </row>
    <row r="69" spans="2:21" x14ac:dyDescent="0.25">
      <c r="B69" s="3" t="s">
        <v>58</v>
      </c>
      <c r="C69" s="4" t="s">
        <v>69</v>
      </c>
      <c r="D69" s="4" t="s">
        <v>70</v>
      </c>
      <c r="E69" s="4" t="s">
        <v>71</v>
      </c>
      <c r="F69" s="4" t="s">
        <v>72</v>
      </c>
      <c r="G69" s="4" t="s">
        <v>73</v>
      </c>
      <c r="H69" s="4" t="s">
        <v>74</v>
      </c>
      <c r="P69" t="s">
        <v>229</v>
      </c>
      <c r="Q69">
        <v>29</v>
      </c>
      <c r="R69">
        <v>1650</v>
      </c>
      <c r="S69">
        <v>0.97</v>
      </c>
      <c r="T69">
        <v>60.29999999999999</v>
      </c>
      <c r="U69">
        <f>-106.25+0.165*R69-0.462*S69+6.35*T69</f>
        <v>548.45685999999989</v>
      </c>
    </row>
    <row r="70" spans="2:21" x14ac:dyDescent="0.25">
      <c r="B70" s="6" t="s">
        <v>2</v>
      </c>
      <c r="C70" s="8">
        <v>0.42488099221300174</v>
      </c>
      <c r="D70" s="8">
        <v>7.9428119849201687E-2</v>
      </c>
      <c r="E70" s="8">
        <v>5.34925153736057</v>
      </c>
      <c r="F70" s="24" t="s">
        <v>66</v>
      </c>
      <c r="G70" s="8">
        <v>0.26763207881161866</v>
      </c>
      <c r="H70" s="8">
        <v>0.58212990561438482</v>
      </c>
    </row>
    <row r="71" spans="2:21" x14ac:dyDescent="0.25">
      <c r="B71" s="2" t="s">
        <v>23</v>
      </c>
      <c r="C71" s="10">
        <v>-4.3970006390980143E-2</v>
      </c>
      <c r="D71" s="10">
        <v>7.9331340659545807E-2</v>
      </c>
      <c r="E71" s="10">
        <v>-0.55425769973659589</v>
      </c>
      <c r="F71" s="10">
        <v>0.58042544061980861</v>
      </c>
      <c r="G71" s="10">
        <v>-0.20102731985971792</v>
      </c>
      <c r="H71" s="10">
        <v>0.11308730707775763</v>
      </c>
    </row>
    <row r="72" spans="2:21" ht="15.75" thickBot="1" x14ac:dyDescent="0.3">
      <c r="B72" s="16" t="s">
        <v>22</v>
      </c>
      <c r="C72" s="17">
        <v>0.25825548959384792</v>
      </c>
      <c r="D72" s="17">
        <v>7.8582379288276411E-2</v>
      </c>
      <c r="E72" s="17">
        <v>3.2864300105555175</v>
      </c>
      <c r="F72" s="17">
        <v>1.3280556541517728E-3</v>
      </c>
      <c r="G72" s="17">
        <v>0.10268094270746564</v>
      </c>
      <c r="H72" s="17">
        <v>0.4138300364802302</v>
      </c>
    </row>
    <row r="94" spans="2:13" x14ac:dyDescent="0.25">
      <c r="B94" t="s">
        <v>79</v>
      </c>
    </row>
    <row r="95" spans="2:13" ht="15.75" thickBot="1" x14ac:dyDescent="0.3"/>
    <row r="96" spans="2:13" x14ac:dyDescent="0.25">
      <c r="B96" s="3" t="s">
        <v>80</v>
      </c>
      <c r="C96" s="4" t="s">
        <v>81</v>
      </c>
      <c r="D96" s="4" t="s">
        <v>3</v>
      </c>
      <c r="E96" s="4" t="s">
        <v>209</v>
      </c>
      <c r="F96" s="4" t="s">
        <v>83</v>
      </c>
      <c r="G96" s="4" t="s">
        <v>84</v>
      </c>
      <c r="H96" s="4" t="s">
        <v>85</v>
      </c>
      <c r="I96" s="4" t="s">
        <v>86</v>
      </c>
      <c r="J96" s="4" t="s">
        <v>87</v>
      </c>
      <c r="K96" s="4" t="s">
        <v>88</v>
      </c>
      <c r="L96" s="4" t="s">
        <v>89</v>
      </c>
      <c r="M96" s="4" t="s">
        <v>90</v>
      </c>
    </row>
    <row r="97" spans="2:13" x14ac:dyDescent="0.25">
      <c r="B97" s="6" t="s">
        <v>91</v>
      </c>
      <c r="C97" s="21">
        <v>1</v>
      </c>
      <c r="D97" s="8">
        <v>18.409999999999997</v>
      </c>
      <c r="E97" s="8">
        <v>175.40303438728449</v>
      </c>
      <c r="F97" s="8">
        <v>-156.9930343872845</v>
      </c>
      <c r="G97" s="8">
        <v>-0.82218956251296316</v>
      </c>
      <c r="H97" s="8">
        <v>44.078191019065194</v>
      </c>
      <c r="I97" s="8">
        <v>88.138629090949507</v>
      </c>
      <c r="J97" s="8">
        <v>262.66743968361948</v>
      </c>
      <c r="K97" s="8">
        <v>195.96658494979837</v>
      </c>
      <c r="L97" s="8">
        <v>-212.56450915825684</v>
      </c>
      <c r="M97" s="8">
        <v>563.37057793282588</v>
      </c>
    </row>
    <row r="98" spans="2:13" x14ac:dyDescent="0.25">
      <c r="B98" s="2" t="s">
        <v>92</v>
      </c>
      <c r="C98" s="22">
        <v>1</v>
      </c>
      <c r="D98" s="10">
        <v>164.96</v>
      </c>
      <c r="E98" s="10">
        <v>459.23240491561779</v>
      </c>
      <c r="F98" s="10">
        <v>-294.27240491561781</v>
      </c>
      <c r="G98" s="10">
        <v>-1.5411365274993736</v>
      </c>
      <c r="H98" s="10">
        <v>21.995111096845797</v>
      </c>
      <c r="I98" s="10">
        <v>415.6872810138027</v>
      </c>
      <c r="J98" s="10">
        <v>502.77752881743288</v>
      </c>
      <c r="K98" s="10">
        <v>192.20770121287006</v>
      </c>
      <c r="L98" s="10">
        <v>78.706563179917907</v>
      </c>
      <c r="M98" s="10">
        <v>839.75824665131768</v>
      </c>
    </row>
    <row r="99" spans="2:13" x14ac:dyDescent="0.25">
      <c r="B99" s="2" t="s">
        <v>93</v>
      </c>
      <c r="C99" s="22">
        <v>1</v>
      </c>
      <c r="D99" s="10">
        <v>547.80000000000007</v>
      </c>
      <c r="E99" s="10">
        <v>829.45580335248712</v>
      </c>
      <c r="F99" s="10">
        <v>-281.65580335248706</v>
      </c>
      <c r="G99" s="10">
        <v>-1.475062015594589</v>
      </c>
      <c r="H99" s="10">
        <v>76.71648258821196</v>
      </c>
      <c r="I99" s="10">
        <v>677.5752911374708</v>
      </c>
      <c r="J99" s="10">
        <v>981.33631556750345</v>
      </c>
      <c r="K99" s="10">
        <v>205.78006267391595</v>
      </c>
      <c r="L99" s="10">
        <v>422.05989222458413</v>
      </c>
      <c r="M99" s="10">
        <v>1236.85171448039</v>
      </c>
    </row>
    <row r="100" spans="2:13" x14ac:dyDescent="0.25">
      <c r="B100" s="2" t="s">
        <v>94</v>
      </c>
      <c r="C100" s="22">
        <v>1</v>
      </c>
      <c r="D100" s="10">
        <v>714.55</v>
      </c>
      <c r="E100" s="10">
        <v>576.03463288496073</v>
      </c>
      <c r="F100" s="10">
        <v>138.51536711503923</v>
      </c>
      <c r="G100" s="10">
        <v>0.72542001327710282</v>
      </c>
      <c r="H100" s="10">
        <v>34.578900133668647</v>
      </c>
      <c r="I100" s="10">
        <v>507.5765794530314</v>
      </c>
      <c r="J100" s="10">
        <v>644.49268631689006</v>
      </c>
      <c r="K100" s="10">
        <v>194.05080733619116</v>
      </c>
      <c r="L100" s="10">
        <v>191.85987643585798</v>
      </c>
      <c r="M100" s="10">
        <v>960.20938933406342</v>
      </c>
    </row>
    <row r="101" spans="2:13" x14ac:dyDescent="0.25">
      <c r="B101" s="2" t="s">
        <v>95</v>
      </c>
      <c r="C101" s="22">
        <v>1</v>
      </c>
      <c r="D101" s="10">
        <v>848.52</v>
      </c>
      <c r="E101" s="10">
        <v>637.9350195026708</v>
      </c>
      <c r="F101" s="10">
        <v>210.58498049732918</v>
      </c>
      <c r="G101" s="10">
        <v>1.1028564016399656</v>
      </c>
      <c r="H101" s="10">
        <v>41.045234601152757</v>
      </c>
      <c r="I101" s="10">
        <v>556.67515141577701</v>
      </c>
      <c r="J101" s="10">
        <v>719.19488758956459</v>
      </c>
      <c r="K101" s="10">
        <v>195.3067504640764</v>
      </c>
      <c r="L101" s="10">
        <v>251.2737923612132</v>
      </c>
      <c r="M101" s="10">
        <v>1024.5962466441283</v>
      </c>
    </row>
    <row r="102" spans="2:13" x14ac:dyDescent="0.25">
      <c r="B102" s="2" t="s">
        <v>96</v>
      </c>
      <c r="C102" s="22">
        <v>1</v>
      </c>
      <c r="D102" s="10">
        <v>580.11</v>
      </c>
      <c r="E102" s="10">
        <v>498.54148462192438</v>
      </c>
      <c r="F102" s="10">
        <v>81.568515378075631</v>
      </c>
      <c r="G102" s="10">
        <v>0.42718316921049182</v>
      </c>
      <c r="H102" s="10">
        <v>22.358585699873466</v>
      </c>
      <c r="I102" s="10">
        <v>454.27676687244411</v>
      </c>
      <c r="J102" s="10">
        <v>542.80620237140465</v>
      </c>
      <c r="K102" s="10">
        <v>192.24963419437739</v>
      </c>
      <c r="L102" s="10">
        <v>117.93262548898248</v>
      </c>
      <c r="M102" s="10">
        <v>879.1503437548663</v>
      </c>
    </row>
    <row r="103" spans="2:13" x14ac:dyDescent="0.25">
      <c r="B103" s="2" t="s">
        <v>97</v>
      </c>
      <c r="C103" s="22">
        <v>1</v>
      </c>
      <c r="D103" s="10">
        <v>851.01</v>
      </c>
      <c r="E103" s="10">
        <v>444.84893399746448</v>
      </c>
      <c r="F103" s="10">
        <v>406.16106600253551</v>
      </c>
      <c r="G103" s="10">
        <v>2.1271095910066102</v>
      </c>
      <c r="H103" s="10">
        <v>24.121634961399224</v>
      </c>
      <c r="I103" s="10">
        <v>397.09379520850365</v>
      </c>
      <c r="J103" s="10">
        <v>492.60407278642532</v>
      </c>
      <c r="K103" s="10">
        <v>192.46264252208618</v>
      </c>
      <c r="L103" s="10">
        <v>63.81836869621285</v>
      </c>
      <c r="M103" s="10">
        <v>825.87949929871615</v>
      </c>
    </row>
    <row r="104" spans="2:13" x14ac:dyDescent="0.25">
      <c r="B104" s="2" t="s">
        <v>98</v>
      </c>
      <c r="C104" s="22">
        <v>1</v>
      </c>
      <c r="D104" s="10">
        <v>371.27000000000004</v>
      </c>
      <c r="E104" s="10">
        <v>306.11316732572749</v>
      </c>
      <c r="F104" s="10">
        <v>65.15683267427255</v>
      </c>
      <c r="G104" s="10">
        <v>0.34123340541998881</v>
      </c>
      <c r="H104" s="10">
        <v>37.977906259322175</v>
      </c>
      <c r="I104" s="10">
        <v>230.92588473769553</v>
      </c>
      <c r="J104" s="10">
        <v>381.30044991375945</v>
      </c>
      <c r="K104" s="10">
        <v>194.68522506141858</v>
      </c>
      <c r="L104" s="10">
        <v>-79.317586346071593</v>
      </c>
      <c r="M104" s="10">
        <v>691.54392099752658</v>
      </c>
    </row>
    <row r="105" spans="2:13" x14ac:dyDescent="0.25">
      <c r="B105" s="2" t="s">
        <v>99</v>
      </c>
      <c r="C105" s="22">
        <v>1</v>
      </c>
      <c r="D105" s="10">
        <v>340.47999999999996</v>
      </c>
      <c r="E105" s="10">
        <v>383.19704920390512</v>
      </c>
      <c r="F105" s="10">
        <v>-42.717049203905162</v>
      </c>
      <c r="G105" s="10">
        <v>-0.22371382357106756</v>
      </c>
      <c r="H105" s="10">
        <v>20.74114561188637</v>
      </c>
      <c r="I105" s="10">
        <v>342.1344807286452</v>
      </c>
      <c r="J105" s="10">
        <v>424.25961767916505</v>
      </c>
      <c r="K105" s="10">
        <v>192.06824468054791</v>
      </c>
      <c r="L105" s="10">
        <v>2.9472984573413061</v>
      </c>
      <c r="M105" s="10">
        <v>763.44679995046886</v>
      </c>
    </row>
    <row r="106" spans="2:13" x14ac:dyDescent="0.25">
      <c r="B106" s="2" t="s">
        <v>100</v>
      </c>
      <c r="C106" s="22">
        <v>1</v>
      </c>
      <c r="D106" s="10">
        <v>304.06</v>
      </c>
      <c r="E106" s="10">
        <v>397.15609818546392</v>
      </c>
      <c r="F106" s="10">
        <v>-93.096098185463916</v>
      </c>
      <c r="G106" s="10">
        <v>-0.48755437167962618</v>
      </c>
      <c r="H106" s="10">
        <v>19.594910155790362</v>
      </c>
      <c r="I106" s="10">
        <v>358.36280512948167</v>
      </c>
      <c r="J106" s="10">
        <v>435.94939124144616</v>
      </c>
      <c r="K106" s="10">
        <v>191.94784707671727</v>
      </c>
      <c r="L106" s="10">
        <v>17.144706252056476</v>
      </c>
      <c r="M106" s="10">
        <v>777.16749011887134</v>
      </c>
    </row>
    <row r="107" spans="2:13" x14ac:dyDescent="0.25">
      <c r="B107" s="2" t="s">
        <v>101</v>
      </c>
      <c r="C107" s="22">
        <v>1</v>
      </c>
      <c r="D107" s="10">
        <v>358.57</v>
      </c>
      <c r="E107" s="10">
        <v>429.2703094062843</v>
      </c>
      <c r="F107" s="10">
        <v>-70.700309406284305</v>
      </c>
      <c r="G107" s="10">
        <v>-0.37026519480403225</v>
      </c>
      <c r="H107" s="10">
        <v>28.70691234798544</v>
      </c>
      <c r="I107" s="10">
        <v>372.43740460632472</v>
      </c>
      <c r="J107" s="10">
        <v>486.10321420624388</v>
      </c>
      <c r="K107" s="10">
        <v>193.09091721240608</v>
      </c>
      <c r="L107" s="10">
        <v>46.995908640238042</v>
      </c>
      <c r="M107" s="10">
        <v>811.5447101723305</v>
      </c>
    </row>
    <row r="108" spans="2:13" x14ac:dyDescent="0.25">
      <c r="B108" s="2" t="s">
        <v>102</v>
      </c>
      <c r="C108" s="22">
        <v>1</v>
      </c>
      <c r="D108" s="10">
        <v>319.81</v>
      </c>
      <c r="E108" s="10">
        <v>502.28166728048467</v>
      </c>
      <c r="F108" s="10">
        <v>-182.47166728048467</v>
      </c>
      <c r="G108" s="10">
        <v>-0.95562392865312951</v>
      </c>
      <c r="H108" s="10">
        <v>44.168552823242521</v>
      </c>
      <c r="I108" s="10">
        <v>414.83836695872481</v>
      </c>
      <c r="J108" s="10">
        <v>589.72496760224453</v>
      </c>
      <c r="K108" s="10">
        <v>195.98692954345935</v>
      </c>
      <c r="L108" s="10">
        <v>114.27384624565043</v>
      </c>
      <c r="M108" s="10">
        <v>890.28948831531898</v>
      </c>
    </row>
    <row r="109" spans="2:13" x14ac:dyDescent="0.25">
      <c r="B109" s="2" t="s">
        <v>103</v>
      </c>
      <c r="C109" s="22">
        <v>1</v>
      </c>
      <c r="D109" s="10">
        <v>344.25</v>
      </c>
      <c r="E109" s="10">
        <v>509.21333057678532</v>
      </c>
      <c r="F109" s="10">
        <v>-164.96333057678532</v>
      </c>
      <c r="G109" s="10">
        <v>-0.86393086882454551</v>
      </c>
      <c r="H109" s="10">
        <v>33.707342876017897</v>
      </c>
      <c r="I109" s="10">
        <v>442.4807546205015</v>
      </c>
      <c r="J109" s="10">
        <v>575.94590653306909</v>
      </c>
      <c r="K109" s="10">
        <v>193.89739672603852</v>
      </c>
      <c r="L109" s="10">
        <v>125.34229089444661</v>
      </c>
      <c r="M109" s="10">
        <v>893.08437025912406</v>
      </c>
    </row>
    <row r="110" spans="2:13" x14ac:dyDescent="0.25">
      <c r="B110" s="2" t="s">
        <v>104</v>
      </c>
      <c r="C110" s="22">
        <v>1</v>
      </c>
      <c r="D110" s="10">
        <v>414.33000000000004</v>
      </c>
      <c r="E110" s="10">
        <v>516.63379889860892</v>
      </c>
      <c r="F110" s="10">
        <v>-102.30379889860887</v>
      </c>
      <c r="G110" s="10">
        <v>-0.53577609980047658</v>
      </c>
      <c r="H110" s="10">
        <v>30.64848361448059</v>
      </c>
      <c r="I110" s="10">
        <v>455.95704166292057</v>
      </c>
      <c r="J110" s="10">
        <v>577.31055613429726</v>
      </c>
      <c r="K110" s="10">
        <v>193.38910269516333</v>
      </c>
      <c r="L110" s="10">
        <v>133.76906131929468</v>
      </c>
      <c r="M110" s="10">
        <v>899.49853647792315</v>
      </c>
    </row>
    <row r="111" spans="2:13" x14ac:dyDescent="0.25">
      <c r="B111" s="2" t="s">
        <v>105</v>
      </c>
      <c r="C111" s="22">
        <v>1</v>
      </c>
      <c r="D111" s="10">
        <v>376.23</v>
      </c>
      <c r="E111" s="10">
        <v>529.23664071498922</v>
      </c>
      <c r="F111" s="10">
        <v>-153.0066407149892</v>
      </c>
      <c r="G111" s="10">
        <v>-0.80131238613236333</v>
      </c>
      <c r="H111" s="10">
        <v>26.884480538221926</v>
      </c>
      <c r="I111" s="10">
        <v>476.01172037163656</v>
      </c>
      <c r="J111" s="10">
        <v>582.46156105834189</v>
      </c>
      <c r="K111" s="10">
        <v>192.8283972530586</v>
      </c>
      <c r="L111" s="10">
        <v>147.4819674513935</v>
      </c>
      <c r="M111" s="10">
        <v>910.99131397858491</v>
      </c>
    </row>
    <row r="112" spans="2:13" x14ac:dyDescent="0.25">
      <c r="B112" s="2" t="s">
        <v>106</v>
      </c>
      <c r="C112" s="22">
        <v>1</v>
      </c>
      <c r="D112" s="10">
        <v>392.96</v>
      </c>
      <c r="E112" s="10">
        <v>378.19878641828598</v>
      </c>
      <c r="F112" s="10">
        <v>14.761213581714003</v>
      </c>
      <c r="G112" s="10">
        <v>7.7306077841456336E-2</v>
      </c>
      <c r="H112" s="10">
        <v>171.00679093152098</v>
      </c>
      <c r="I112" s="10">
        <v>39.645738589728566</v>
      </c>
      <c r="J112" s="10">
        <v>716.75183424684337</v>
      </c>
      <c r="K112" s="10">
        <v>256.32662374023943</v>
      </c>
      <c r="L112" s="10">
        <v>-129.26737462798908</v>
      </c>
      <c r="M112" s="10">
        <v>885.66494746456101</v>
      </c>
    </row>
    <row r="113" spans="2:13" x14ac:dyDescent="0.25">
      <c r="B113" s="2" t="s">
        <v>107</v>
      </c>
      <c r="C113" s="22">
        <v>1</v>
      </c>
      <c r="D113" s="10">
        <v>435.98</v>
      </c>
      <c r="E113" s="10">
        <v>265.9333055040932</v>
      </c>
      <c r="F113" s="10">
        <v>170.04669449590682</v>
      </c>
      <c r="G113" s="10">
        <v>0.89055299746272665</v>
      </c>
      <c r="H113" s="10">
        <v>41.80431497787184</v>
      </c>
      <c r="I113" s="10">
        <v>183.170637594542</v>
      </c>
      <c r="J113" s="10">
        <v>348.69597341364442</v>
      </c>
      <c r="K113" s="10">
        <v>195.46768593335949</v>
      </c>
      <c r="L113" s="10">
        <v>-121.04653584755286</v>
      </c>
      <c r="M113" s="10">
        <v>652.91314685573923</v>
      </c>
    </row>
    <row r="114" spans="2:13" x14ac:dyDescent="0.25">
      <c r="B114" s="2" t="s">
        <v>108</v>
      </c>
      <c r="C114" s="22">
        <v>1</v>
      </c>
      <c r="D114" s="10">
        <v>627.78</v>
      </c>
      <c r="E114" s="10">
        <v>509.50873024420065</v>
      </c>
      <c r="F114" s="10">
        <v>118.27126975579932</v>
      </c>
      <c r="G114" s="10">
        <v>0.61939947793154615</v>
      </c>
      <c r="H114" s="10">
        <v>25.559940912536014</v>
      </c>
      <c r="I114" s="10">
        <v>458.90608545378336</v>
      </c>
      <c r="J114" s="10">
        <v>560.11137503461794</v>
      </c>
      <c r="K114" s="10">
        <v>192.64819249820559</v>
      </c>
      <c r="L114" s="10">
        <v>128.11081982409408</v>
      </c>
      <c r="M114" s="10">
        <v>890.90664066430725</v>
      </c>
    </row>
    <row r="115" spans="2:13" x14ac:dyDescent="0.25">
      <c r="B115" s="2" t="s">
        <v>109</v>
      </c>
      <c r="C115" s="22">
        <v>1</v>
      </c>
      <c r="D115" s="10">
        <v>718</v>
      </c>
      <c r="E115" s="10">
        <v>586.86853397822586</v>
      </c>
      <c r="F115" s="10">
        <v>131.13146602177414</v>
      </c>
      <c r="G115" s="10">
        <v>0.68674972173707061</v>
      </c>
      <c r="H115" s="10">
        <v>32.076516177601896</v>
      </c>
      <c r="I115" s="10">
        <v>523.36460962239232</v>
      </c>
      <c r="J115" s="10">
        <v>650.37245833405939</v>
      </c>
      <c r="K115" s="10">
        <v>193.62055258537328</v>
      </c>
      <c r="L115" s="10">
        <v>203.54558029343812</v>
      </c>
      <c r="M115" s="10">
        <v>970.1914876630135</v>
      </c>
    </row>
    <row r="116" spans="2:13" x14ac:dyDescent="0.25">
      <c r="B116" s="2" t="s">
        <v>110</v>
      </c>
      <c r="C116" s="22">
        <v>1</v>
      </c>
      <c r="D116" s="10">
        <v>917.7</v>
      </c>
      <c r="E116" s="10">
        <v>512.93663788544609</v>
      </c>
      <c r="F116" s="10">
        <v>404.76336211455396</v>
      </c>
      <c r="G116" s="10">
        <v>2.1197896640259817</v>
      </c>
      <c r="H116" s="10">
        <v>25.547188608011155</v>
      </c>
      <c r="I116" s="10">
        <v>462.35923964541558</v>
      </c>
      <c r="J116" s="10">
        <v>563.51403612547665</v>
      </c>
      <c r="K116" s="10">
        <v>192.64650097820785</v>
      </c>
      <c r="L116" s="10">
        <v>131.54207627533458</v>
      </c>
      <c r="M116" s="10">
        <v>894.3311994955576</v>
      </c>
    </row>
    <row r="117" spans="2:13" x14ac:dyDescent="0.25">
      <c r="B117" s="2" t="s">
        <v>111</v>
      </c>
      <c r="C117" s="22">
        <v>1</v>
      </c>
      <c r="D117" s="10">
        <v>1271.56</v>
      </c>
      <c r="E117" s="10">
        <v>609.99915847434534</v>
      </c>
      <c r="F117" s="10">
        <v>661.56084152565461</v>
      </c>
      <c r="G117" s="10">
        <v>3.4646659387949299</v>
      </c>
      <c r="H117" s="10">
        <v>36.034922845657896</v>
      </c>
      <c r="I117" s="10">
        <v>538.6585240398349</v>
      </c>
      <c r="J117" s="10">
        <v>681.33979290885577</v>
      </c>
      <c r="K117" s="10">
        <v>194.31554533249741</v>
      </c>
      <c r="L117" s="10">
        <v>225.30028333359721</v>
      </c>
      <c r="M117" s="10">
        <v>994.69803361509344</v>
      </c>
    </row>
    <row r="118" spans="2:13" x14ac:dyDescent="0.25">
      <c r="B118" s="2" t="s">
        <v>112</v>
      </c>
      <c r="C118" s="22">
        <v>1</v>
      </c>
      <c r="D118" s="10">
        <v>1111.46</v>
      </c>
      <c r="E118" s="10">
        <v>563.17045816922916</v>
      </c>
      <c r="F118" s="10">
        <v>548.28954183077087</v>
      </c>
      <c r="G118" s="10">
        <v>2.8714518468138257</v>
      </c>
      <c r="H118" s="10">
        <v>29.610332510565321</v>
      </c>
      <c r="I118" s="10">
        <v>504.54899486907726</v>
      </c>
      <c r="J118" s="10">
        <v>621.79192146938112</v>
      </c>
      <c r="K118" s="10">
        <v>193.22729435760257</v>
      </c>
      <c r="L118" s="10">
        <v>180.62606287308896</v>
      </c>
      <c r="M118" s="10">
        <v>945.71485346536929</v>
      </c>
    </row>
    <row r="119" spans="2:13" x14ac:dyDescent="0.25">
      <c r="B119" s="2" t="s">
        <v>113</v>
      </c>
      <c r="C119" s="22">
        <v>1</v>
      </c>
      <c r="D119" s="10">
        <v>1084.56</v>
      </c>
      <c r="E119" s="10">
        <v>453.88952227269476</v>
      </c>
      <c r="F119" s="10">
        <v>630.67047772730518</v>
      </c>
      <c r="G119" s="10">
        <v>3.3028897504668682</v>
      </c>
      <c r="H119" s="10">
        <v>23.549676391525892</v>
      </c>
      <c r="I119" s="10">
        <v>407.26672633402353</v>
      </c>
      <c r="J119" s="10">
        <v>500.51231821136599</v>
      </c>
      <c r="K119" s="10">
        <v>192.39179491734811</v>
      </c>
      <c r="L119" s="10">
        <v>72.999218491963873</v>
      </c>
      <c r="M119" s="10">
        <v>834.77982605342572</v>
      </c>
    </row>
    <row r="120" spans="2:13" x14ac:dyDescent="0.25">
      <c r="B120" s="2" t="s">
        <v>114</v>
      </c>
      <c r="C120" s="22">
        <v>1</v>
      </c>
      <c r="D120" s="10">
        <v>694.3</v>
      </c>
      <c r="E120" s="10">
        <v>574.55841305219656</v>
      </c>
      <c r="F120" s="10">
        <v>119.7415869478034</v>
      </c>
      <c r="G120" s="10">
        <v>0.62709968866743748</v>
      </c>
      <c r="H120" s="10">
        <v>40.086056411247675</v>
      </c>
      <c r="I120" s="10">
        <v>495.19749118746228</v>
      </c>
      <c r="J120" s="10">
        <v>653.91933491693078</v>
      </c>
      <c r="K120" s="10">
        <v>195.10742531225989</v>
      </c>
      <c r="L120" s="10">
        <v>188.29180262326116</v>
      </c>
      <c r="M120" s="10">
        <v>960.82502348113189</v>
      </c>
    </row>
    <row r="121" spans="2:13" x14ac:dyDescent="0.25">
      <c r="B121" s="2" t="s">
        <v>115</v>
      </c>
      <c r="C121" s="22">
        <v>1</v>
      </c>
      <c r="D121" s="10">
        <v>770</v>
      </c>
      <c r="E121" s="10">
        <v>577.61248203773721</v>
      </c>
      <c r="F121" s="10">
        <v>192.38751796226279</v>
      </c>
      <c r="G121" s="10">
        <v>1.007554315028637</v>
      </c>
      <c r="H121" s="10">
        <v>33.035613667839563</v>
      </c>
      <c r="I121" s="10">
        <v>512.2097712260213</v>
      </c>
      <c r="J121" s="10">
        <v>643.01519284945311</v>
      </c>
      <c r="K121" s="10">
        <v>193.78175162740195</v>
      </c>
      <c r="L121" s="10">
        <v>193.97039233099053</v>
      </c>
      <c r="M121" s="10">
        <v>961.25457174448388</v>
      </c>
    </row>
    <row r="122" spans="2:13" x14ac:dyDescent="0.25">
      <c r="B122" s="2" t="s">
        <v>116</v>
      </c>
      <c r="C122" s="22">
        <v>1</v>
      </c>
      <c r="D122" s="10">
        <v>451.01</v>
      </c>
      <c r="E122" s="10">
        <v>397.62538759961973</v>
      </c>
      <c r="F122" s="10">
        <v>53.384612400380263</v>
      </c>
      <c r="G122" s="10">
        <v>0.27958100998363639</v>
      </c>
      <c r="H122" s="10">
        <v>18.419774348316682</v>
      </c>
      <c r="I122" s="10">
        <v>361.15858583129636</v>
      </c>
      <c r="J122" s="10">
        <v>434.09218936794309</v>
      </c>
      <c r="K122" s="10">
        <v>191.83144575490289</v>
      </c>
      <c r="L122" s="10">
        <v>17.844442785048123</v>
      </c>
      <c r="M122" s="10">
        <v>777.40633241419141</v>
      </c>
    </row>
    <row r="123" spans="2:13" x14ac:dyDescent="0.25">
      <c r="B123" s="2" t="s">
        <v>117</v>
      </c>
      <c r="C123" s="22">
        <v>1</v>
      </c>
      <c r="D123" s="10">
        <v>436.09</v>
      </c>
      <c r="E123" s="10">
        <v>548.77539202982018</v>
      </c>
      <c r="F123" s="10">
        <v>-112.68539202982021</v>
      </c>
      <c r="G123" s="10">
        <v>-0.59014562993951292</v>
      </c>
      <c r="H123" s="10">
        <v>28.330421797106528</v>
      </c>
      <c r="I123" s="10">
        <v>492.68784957941637</v>
      </c>
      <c r="J123" s="10">
        <v>604.862934480224</v>
      </c>
      <c r="K123" s="10">
        <v>193.035303228646</v>
      </c>
      <c r="L123" s="10">
        <v>166.61109381351071</v>
      </c>
      <c r="M123" s="10">
        <v>930.93969024612966</v>
      </c>
    </row>
    <row r="124" spans="2:13" x14ac:dyDescent="0.25">
      <c r="B124" s="2" t="s">
        <v>118</v>
      </c>
      <c r="C124" s="22">
        <v>1</v>
      </c>
      <c r="D124" s="10">
        <v>422.51</v>
      </c>
      <c r="E124" s="10">
        <v>499.18874097127389</v>
      </c>
      <c r="F124" s="10">
        <v>-76.678740971273896</v>
      </c>
      <c r="G124" s="10">
        <v>-0.40157488986226469</v>
      </c>
      <c r="H124" s="10">
        <v>33.313606214148358</v>
      </c>
      <c r="I124" s="10">
        <v>433.23567059012919</v>
      </c>
      <c r="J124" s="10">
        <v>565.14181135241859</v>
      </c>
      <c r="K124" s="10">
        <v>193.82933692391532</v>
      </c>
      <c r="L124" s="10">
        <v>115.45244361886198</v>
      </c>
      <c r="M124" s="10">
        <v>882.92503832368584</v>
      </c>
    </row>
    <row r="125" spans="2:13" x14ac:dyDescent="0.25">
      <c r="B125" s="2" t="s">
        <v>119</v>
      </c>
      <c r="C125" s="22">
        <v>1</v>
      </c>
      <c r="D125" s="10">
        <v>463.16</v>
      </c>
      <c r="E125" s="10">
        <v>520.36103633097503</v>
      </c>
      <c r="F125" s="10">
        <v>-57.201036330975001</v>
      </c>
      <c r="G125" s="10">
        <v>-0.29956803637691587</v>
      </c>
      <c r="H125" s="10">
        <v>27.925315438222565</v>
      </c>
      <c r="I125" s="10">
        <v>465.07550876985016</v>
      </c>
      <c r="J125" s="10">
        <v>575.64656389209983</v>
      </c>
      <c r="K125" s="10">
        <v>192.97626469516288</v>
      </c>
      <c r="L125" s="10">
        <v>138.31362046384689</v>
      </c>
      <c r="M125" s="10">
        <v>902.40845219810319</v>
      </c>
    </row>
    <row r="126" spans="2:13" x14ac:dyDescent="0.25">
      <c r="B126" s="2" t="s">
        <v>120</v>
      </c>
      <c r="C126" s="22">
        <v>1</v>
      </c>
      <c r="D126" s="10">
        <v>580.23</v>
      </c>
      <c r="E126" s="10">
        <v>771.33337968221372</v>
      </c>
      <c r="F126" s="10">
        <v>-191.1033796822137</v>
      </c>
      <c r="G126" s="10">
        <v>-1.0008291434641767</v>
      </c>
      <c r="H126" s="10">
        <v>63.47943007631001</v>
      </c>
      <c r="I126" s="10">
        <v>645.65910435264152</v>
      </c>
      <c r="J126" s="10">
        <v>897.00765501178591</v>
      </c>
      <c r="K126" s="10">
        <v>201.2204103369896</v>
      </c>
      <c r="L126" s="10">
        <v>372.96450302058042</v>
      </c>
      <c r="M126" s="10">
        <v>1169.702256343847</v>
      </c>
    </row>
    <row r="127" spans="2:13" x14ac:dyDescent="0.25">
      <c r="B127" s="2" t="s">
        <v>121</v>
      </c>
      <c r="C127" s="22">
        <v>1</v>
      </c>
      <c r="D127" s="10">
        <v>529.05999999999995</v>
      </c>
      <c r="E127" s="10">
        <v>395.49004397854958</v>
      </c>
      <c r="F127" s="10">
        <v>133.56995602145037</v>
      </c>
      <c r="G127" s="10">
        <v>0.69952035856086847</v>
      </c>
      <c r="H127" s="10">
        <v>19.004220249751757</v>
      </c>
      <c r="I127" s="10">
        <v>357.86617739342029</v>
      </c>
      <c r="J127" s="10">
        <v>433.11391056367887</v>
      </c>
      <c r="K127" s="10">
        <v>191.88844644916591</v>
      </c>
      <c r="L127" s="10">
        <v>15.596251255038389</v>
      </c>
      <c r="M127" s="10">
        <v>775.38383670206076</v>
      </c>
    </row>
    <row r="128" spans="2:13" x14ac:dyDescent="0.25">
      <c r="B128" s="2" t="s">
        <v>122</v>
      </c>
      <c r="C128" s="22">
        <v>1</v>
      </c>
      <c r="D128" s="10">
        <v>587.28</v>
      </c>
      <c r="E128" s="10">
        <v>475.18448720240758</v>
      </c>
      <c r="F128" s="10">
        <v>112.09551279759239</v>
      </c>
      <c r="G128" s="10">
        <v>0.5870563683695732</v>
      </c>
      <c r="H128" s="10">
        <v>21.945622801581798</v>
      </c>
      <c r="I128" s="10">
        <v>431.73733843422434</v>
      </c>
      <c r="J128" s="10">
        <v>518.63163597059088</v>
      </c>
      <c r="K128" s="10">
        <v>192.20204435313025</v>
      </c>
      <c r="L128" s="10">
        <v>94.669844712630166</v>
      </c>
      <c r="M128" s="10">
        <v>855.69912969218501</v>
      </c>
    </row>
    <row r="129" spans="2:13" x14ac:dyDescent="0.25">
      <c r="B129" s="2" t="s">
        <v>123</v>
      </c>
      <c r="C129" s="22">
        <v>1</v>
      </c>
      <c r="D129" s="10">
        <v>559.84</v>
      </c>
      <c r="E129" s="10">
        <v>623.15036089535943</v>
      </c>
      <c r="F129" s="10">
        <v>-63.310360895359395</v>
      </c>
      <c r="G129" s="10">
        <v>-0.33156323228127466</v>
      </c>
      <c r="H129" s="10">
        <v>42.266100349083089</v>
      </c>
      <c r="I129" s="10">
        <v>539.47346704182905</v>
      </c>
      <c r="J129" s="10">
        <v>706.8272547488898</v>
      </c>
      <c r="K129" s="10">
        <v>195.56696738481196</v>
      </c>
      <c r="L129" s="10">
        <v>235.97396572383883</v>
      </c>
      <c r="M129" s="10">
        <v>1010.3267560668801</v>
      </c>
    </row>
    <row r="130" spans="2:13" x14ac:dyDescent="0.25">
      <c r="B130" s="2" t="s">
        <v>124</v>
      </c>
      <c r="C130" s="22">
        <v>1</v>
      </c>
      <c r="D130" s="10">
        <v>413.53</v>
      </c>
      <c r="E130" s="10">
        <v>411.10504382690289</v>
      </c>
      <c r="F130" s="10">
        <v>2.4249561730970868</v>
      </c>
      <c r="G130" s="10">
        <v>1.2699758704920521E-2</v>
      </c>
      <c r="H130" s="10">
        <v>22.774028341445057</v>
      </c>
      <c r="I130" s="10">
        <v>366.01784779023967</v>
      </c>
      <c r="J130" s="10">
        <v>456.1922398635661</v>
      </c>
      <c r="K130" s="10">
        <v>192.29839276569703</v>
      </c>
      <c r="L130" s="10">
        <v>30.399654241350831</v>
      </c>
      <c r="M130" s="10">
        <v>791.81043341245493</v>
      </c>
    </row>
    <row r="131" spans="2:13" x14ac:dyDescent="0.25">
      <c r="B131" s="2" t="s">
        <v>125</v>
      </c>
      <c r="C131" s="22">
        <v>1</v>
      </c>
      <c r="D131" s="10">
        <v>432.43</v>
      </c>
      <c r="E131" s="10">
        <v>244.22930830508835</v>
      </c>
      <c r="F131" s="10">
        <v>188.20069169491165</v>
      </c>
      <c r="G131" s="10">
        <v>0.98562745139098495</v>
      </c>
      <c r="H131" s="10">
        <v>35.472600351421853</v>
      </c>
      <c r="I131" s="10">
        <v>174.00193956750806</v>
      </c>
      <c r="J131" s="10">
        <v>314.45667704266862</v>
      </c>
      <c r="K131" s="10">
        <v>194.21205129719689</v>
      </c>
      <c r="L131" s="10">
        <v>-140.26467309493637</v>
      </c>
      <c r="M131" s="10">
        <v>628.72328970511307</v>
      </c>
    </row>
    <row r="132" spans="2:13" x14ac:dyDescent="0.25">
      <c r="B132" s="2" t="s">
        <v>126</v>
      </c>
      <c r="C132" s="22">
        <v>1</v>
      </c>
      <c r="D132" s="10">
        <v>269.84999999999997</v>
      </c>
      <c r="E132" s="10">
        <v>453.14807797208738</v>
      </c>
      <c r="F132" s="10">
        <v>-183.29807797208741</v>
      </c>
      <c r="G132" s="10">
        <v>-0.95995193115105393</v>
      </c>
      <c r="H132" s="10">
        <v>26.274360182149525</v>
      </c>
      <c r="I132" s="10">
        <v>401.13105180045369</v>
      </c>
      <c r="J132" s="10">
        <v>505.16510414372107</v>
      </c>
      <c r="K132" s="10">
        <v>192.7442800613151</v>
      </c>
      <c r="L132" s="10">
        <v>71.559936876509155</v>
      </c>
      <c r="M132" s="10">
        <v>834.73621906766562</v>
      </c>
    </row>
    <row r="133" spans="2:13" x14ac:dyDescent="0.25">
      <c r="B133" s="2" t="s">
        <v>127</v>
      </c>
      <c r="C133" s="22">
        <v>1</v>
      </c>
      <c r="D133" s="10">
        <v>325.13</v>
      </c>
      <c r="E133" s="10">
        <v>376.11085453193971</v>
      </c>
      <c r="F133" s="10">
        <v>-50.980854531939713</v>
      </c>
      <c r="G133" s="10">
        <v>-0.26699226910125556</v>
      </c>
      <c r="H133" s="10">
        <v>22.408560394300704</v>
      </c>
      <c r="I133" s="10">
        <v>331.74719869339009</v>
      </c>
      <c r="J133" s="10">
        <v>420.47451037048933</v>
      </c>
      <c r="K133" s="10">
        <v>192.25545264652018</v>
      </c>
      <c r="L133" s="10">
        <v>-4.5095237617083628</v>
      </c>
      <c r="M133" s="10">
        <v>756.73123282558777</v>
      </c>
    </row>
    <row r="134" spans="2:13" x14ac:dyDescent="0.25">
      <c r="B134" s="2" t="s">
        <v>128</v>
      </c>
      <c r="C134" s="22">
        <v>1</v>
      </c>
      <c r="D134" s="10">
        <v>368.88</v>
      </c>
      <c r="E134" s="10">
        <v>465.609965198851</v>
      </c>
      <c r="F134" s="10">
        <v>-96.729965198851005</v>
      </c>
      <c r="G134" s="10">
        <v>-0.50658532768113018</v>
      </c>
      <c r="H134" s="10">
        <v>24.303387159661686</v>
      </c>
      <c r="I134" s="10">
        <v>417.49499999401445</v>
      </c>
      <c r="J134" s="10">
        <v>513.72493040368761</v>
      </c>
      <c r="K134" s="10">
        <v>192.48550626165533</v>
      </c>
      <c r="L134" s="10">
        <v>84.534135094525013</v>
      </c>
      <c r="M134" s="10">
        <v>846.68579530317697</v>
      </c>
    </row>
    <row r="135" spans="2:13" x14ac:dyDescent="0.25">
      <c r="B135" s="2" t="s">
        <v>129</v>
      </c>
      <c r="C135" s="22">
        <v>1</v>
      </c>
      <c r="D135" s="10">
        <v>387.28000000000003</v>
      </c>
      <c r="E135" s="10">
        <v>450.29323934031646</v>
      </c>
      <c r="F135" s="10">
        <v>-63.013239340316431</v>
      </c>
      <c r="G135" s="10">
        <v>-0.33000717444528616</v>
      </c>
      <c r="H135" s="10">
        <v>21.717691786932519</v>
      </c>
      <c r="I135" s="10">
        <v>407.29734013528696</v>
      </c>
      <c r="J135" s="10">
        <v>493.28913854534596</v>
      </c>
      <c r="K135" s="10">
        <v>192.17615260464953</v>
      </c>
      <c r="L135" s="10">
        <v>69.82985639592907</v>
      </c>
      <c r="M135" s="10">
        <v>830.75662228470378</v>
      </c>
    </row>
    <row r="136" spans="2:13" x14ac:dyDescent="0.25">
      <c r="B136" s="2" t="s">
        <v>130</v>
      </c>
      <c r="C136" s="22">
        <v>1</v>
      </c>
      <c r="D136" s="10">
        <v>238.51</v>
      </c>
      <c r="E136" s="10">
        <v>402.80511024404217</v>
      </c>
      <c r="F136" s="10">
        <v>-164.29511024404218</v>
      </c>
      <c r="G136" s="10">
        <v>-0.86043132640736386</v>
      </c>
      <c r="H136" s="10">
        <v>31.759717853821087</v>
      </c>
      <c r="I136" s="10">
        <v>339.92837172965233</v>
      </c>
      <c r="J136" s="10">
        <v>465.68184875843201</v>
      </c>
      <c r="K136" s="10">
        <v>193.56832171491197</v>
      </c>
      <c r="L136" s="10">
        <v>19.585561343877846</v>
      </c>
      <c r="M136" s="10">
        <v>786.02465914420645</v>
      </c>
    </row>
    <row r="137" spans="2:13" x14ac:dyDescent="0.25">
      <c r="B137" s="2" t="s">
        <v>131</v>
      </c>
      <c r="C137" s="22">
        <v>1</v>
      </c>
      <c r="D137" s="10">
        <v>296.45999999999998</v>
      </c>
      <c r="E137" s="10">
        <v>453.23511796845804</v>
      </c>
      <c r="F137" s="10">
        <v>-156.77511796845806</v>
      </c>
      <c r="G137" s="10">
        <v>-0.82104831057297389</v>
      </c>
      <c r="H137" s="10">
        <v>25.968596730717909</v>
      </c>
      <c r="I137" s="10">
        <v>401.82343119786725</v>
      </c>
      <c r="J137" s="10">
        <v>504.64680473904883</v>
      </c>
      <c r="K137" s="10">
        <v>192.70283731573855</v>
      </c>
      <c r="L137" s="10">
        <v>71.729023718790998</v>
      </c>
      <c r="M137" s="10">
        <v>834.74121221812516</v>
      </c>
    </row>
    <row r="138" spans="2:13" x14ac:dyDescent="0.25">
      <c r="B138" s="2" t="s">
        <v>132</v>
      </c>
      <c r="C138" s="22">
        <v>1</v>
      </c>
      <c r="D138" s="10">
        <v>377.65000000000003</v>
      </c>
      <c r="E138" s="10">
        <v>476.6243970821036</v>
      </c>
      <c r="F138" s="10">
        <v>-98.974397082103565</v>
      </c>
      <c r="G138" s="10">
        <v>-0.51833966108441543</v>
      </c>
      <c r="H138" s="10">
        <v>23.42590976836199</v>
      </c>
      <c r="I138" s="10">
        <v>430.24662981897995</v>
      </c>
      <c r="J138" s="10">
        <v>523.00216434522724</v>
      </c>
      <c r="K138" s="10">
        <v>192.37668450685177</v>
      </c>
      <c r="L138" s="10">
        <v>95.764008344509932</v>
      </c>
      <c r="M138" s="10">
        <v>857.48478581969721</v>
      </c>
    </row>
    <row r="139" spans="2:13" x14ac:dyDescent="0.25">
      <c r="B139" s="2" t="s">
        <v>133</v>
      </c>
      <c r="C139" s="22">
        <v>1</v>
      </c>
      <c r="D139" s="10">
        <v>460.89</v>
      </c>
      <c r="E139" s="10">
        <v>502.09462017757932</v>
      </c>
      <c r="F139" s="10">
        <v>-41.204620177579329</v>
      </c>
      <c r="G139" s="10">
        <v>-0.21579306858763844</v>
      </c>
      <c r="H139" s="10">
        <v>25.029932080399465</v>
      </c>
      <c r="I139" s="10">
        <v>452.54126766683379</v>
      </c>
      <c r="J139" s="10">
        <v>551.6479726883249</v>
      </c>
      <c r="K139" s="10">
        <v>192.57858913524825</v>
      </c>
      <c r="L139" s="10">
        <v>120.8345079732042</v>
      </c>
      <c r="M139" s="10">
        <v>883.35473238195436</v>
      </c>
    </row>
    <row r="140" spans="2:13" x14ac:dyDescent="0.25">
      <c r="B140" s="2" t="s">
        <v>134</v>
      </c>
      <c r="C140" s="22">
        <v>1</v>
      </c>
      <c r="D140" s="10">
        <v>3.62</v>
      </c>
      <c r="E140" s="10">
        <v>487.14747067370621</v>
      </c>
      <c r="F140" s="10">
        <v>-483.5274706737062</v>
      </c>
      <c r="G140" s="10">
        <v>-2.5322858503103971</v>
      </c>
      <c r="H140" s="10">
        <v>22.180175548674594</v>
      </c>
      <c r="I140" s="10">
        <v>443.23596287643255</v>
      </c>
      <c r="J140" s="10">
        <v>531.05897847097981</v>
      </c>
      <c r="K140" s="10">
        <v>192.22896680974844</v>
      </c>
      <c r="L140" s="10">
        <v>106.57952807991846</v>
      </c>
      <c r="M140" s="10">
        <v>867.71541326749389</v>
      </c>
    </row>
    <row r="141" spans="2:13" x14ac:dyDescent="0.25">
      <c r="B141" s="2" t="s">
        <v>135</v>
      </c>
      <c r="C141" s="22">
        <v>1</v>
      </c>
      <c r="D141" s="10">
        <v>772.8</v>
      </c>
      <c r="E141" s="10">
        <v>497.73055087454543</v>
      </c>
      <c r="F141" s="10">
        <v>275.06944912545453</v>
      </c>
      <c r="G141" s="10">
        <v>1.44056856356588</v>
      </c>
      <c r="H141" s="10">
        <v>27.042946835821869</v>
      </c>
      <c r="I141" s="10">
        <v>444.191904697626</v>
      </c>
      <c r="J141" s="10">
        <v>551.26919705146486</v>
      </c>
      <c r="K141" s="10">
        <v>192.85055474884803</v>
      </c>
      <c r="L141" s="10">
        <v>115.93201100371793</v>
      </c>
      <c r="M141" s="10">
        <v>879.52909074537297</v>
      </c>
    </row>
    <row r="142" spans="2:13" x14ac:dyDescent="0.25">
      <c r="B142" s="2" t="s">
        <v>136</v>
      </c>
      <c r="C142" s="22">
        <v>1</v>
      </c>
      <c r="D142" s="10">
        <v>503.88</v>
      </c>
      <c r="E142" s="10">
        <v>416.2489137562531</v>
      </c>
      <c r="F142" s="10">
        <v>87.631086243746893</v>
      </c>
      <c r="G142" s="10">
        <v>0.4589335109196257</v>
      </c>
      <c r="H142" s="10">
        <v>18.466559714007694</v>
      </c>
      <c r="I142" s="10">
        <v>379.6894880163191</v>
      </c>
      <c r="J142" s="10">
        <v>452.8083394961871</v>
      </c>
      <c r="K142" s="10">
        <v>191.83594376717923</v>
      </c>
      <c r="L142" s="10">
        <v>36.45906393997349</v>
      </c>
      <c r="M142" s="10">
        <v>796.03876357253273</v>
      </c>
    </row>
    <row r="143" spans="2:13" x14ac:dyDescent="0.25">
      <c r="B143" s="2" t="s">
        <v>137</v>
      </c>
      <c r="C143" s="22">
        <v>1</v>
      </c>
      <c r="D143" s="10">
        <v>534.77</v>
      </c>
      <c r="E143" s="10">
        <v>444.82774692126031</v>
      </c>
      <c r="F143" s="10">
        <v>89.942253078739668</v>
      </c>
      <c r="G143" s="10">
        <v>0.47103734250918244</v>
      </c>
      <c r="H143" s="10">
        <v>23.976302595668713</v>
      </c>
      <c r="I143" s="10">
        <v>397.36033188349194</v>
      </c>
      <c r="J143" s="10">
        <v>492.29516195902869</v>
      </c>
      <c r="K143" s="10">
        <v>192.44448181107302</v>
      </c>
      <c r="L143" s="10">
        <v>63.833135537573874</v>
      </c>
      <c r="M143" s="10">
        <v>825.82235830494676</v>
      </c>
    </row>
    <row r="144" spans="2:13" x14ac:dyDescent="0.25">
      <c r="B144" s="2" t="s">
        <v>138</v>
      </c>
      <c r="C144" s="22">
        <v>1</v>
      </c>
      <c r="D144" s="10">
        <v>574.54999999999995</v>
      </c>
      <c r="E144" s="10">
        <v>485.33460404088282</v>
      </c>
      <c r="F144" s="10">
        <v>89.215395959117131</v>
      </c>
      <c r="G144" s="10">
        <v>0.46723071287415263</v>
      </c>
      <c r="H144" s="10">
        <v>32.546591424942015</v>
      </c>
      <c r="I144" s="10">
        <v>420.90004174471454</v>
      </c>
      <c r="J144" s="10">
        <v>549.76916633705105</v>
      </c>
      <c r="K144" s="10">
        <v>193.69898323624585</v>
      </c>
      <c r="L144" s="10">
        <v>101.85637619562786</v>
      </c>
      <c r="M144" s="10">
        <v>868.8128318861377</v>
      </c>
    </row>
    <row r="145" spans="2:13" x14ac:dyDescent="0.25">
      <c r="B145" s="2" t="s">
        <v>139</v>
      </c>
      <c r="C145" s="22">
        <v>1</v>
      </c>
      <c r="D145" s="10">
        <v>551</v>
      </c>
      <c r="E145" s="10">
        <v>402.46651453590874</v>
      </c>
      <c r="F145" s="10">
        <v>148.53348546409126</v>
      </c>
      <c r="G145" s="10">
        <v>0.77788598652717023</v>
      </c>
      <c r="H145" s="10">
        <v>24.805519673579326</v>
      </c>
      <c r="I145" s="10">
        <v>353.35744557604232</v>
      </c>
      <c r="J145" s="10">
        <v>451.57558349577516</v>
      </c>
      <c r="K145" s="10">
        <v>192.54955024525421</v>
      </c>
      <c r="L145" s="10">
        <v>21.2638924736472</v>
      </c>
      <c r="M145" s="10">
        <v>783.66913659817033</v>
      </c>
    </row>
    <row r="146" spans="2:13" x14ac:dyDescent="0.25">
      <c r="B146" s="2" t="s">
        <v>140</v>
      </c>
      <c r="C146" s="22">
        <v>1</v>
      </c>
      <c r="D146" s="10">
        <v>526.32000000000005</v>
      </c>
      <c r="E146" s="10">
        <v>397.73625508024872</v>
      </c>
      <c r="F146" s="10">
        <v>128.58374491975133</v>
      </c>
      <c r="G146" s="10">
        <v>0.67340702977336364</v>
      </c>
      <c r="H146" s="10">
        <v>32.188318481482483</v>
      </c>
      <c r="I146" s="10">
        <v>334.01098857462779</v>
      </c>
      <c r="J146" s="10">
        <v>461.46152158586966</v>
      </c>
      <c r="K146" s="10">
        <v>193.63910591623451</v>
      </c>
      <c r="L146" s="10">
        <v>14.376570183348154</v>
      </c>
      <c r="M146" s="10">
        <v>781.09593997714933</v>
      </c>
    </row>
    <row r="147" spans="2:13" x14ac:dyDescent="0.25">
      <c r="B147" s="2" t="s">
        <v>141</v>
      </c>
      <c r="C147" s="22">
        <v>1</v>
      </c>
      <c r="D147" s="10">
        <v>649.01</v>
      </c>
      <c r="E147" s="10">
        <v>397.44781806273551</v>
      </c>
      <c r="F147" s="10">
        <v>251.56218193726448</v>
      </c>
      <c r="G147" s="10">
        <v>1.3174584536125005</v>
      </c>
      <c r="H147" s="10">
        <v>38.596197243758077</v>
      </c>
      <c r="I147" s="10">
        <v>321.03646538903359</v>
      </c>
      <c r="J147" s="10">
        <v>473.85917073643742</v>
      </c>
      <c r="K147" s="10">
        <v>194.80678102944063</v>
      </c>
      <c r="L147" s="10">
        <v>11.776412290330111</v>
      </c>
      <c r="M147" s="10">
        <v>783.11922383514093</v>
      </c>
    </row>
    <row r="148" spans="2:13" x14ac:dyDescent="0.25">
      <c r="B148" s="2" t="s">
        <v>142</v>
      </c>
      <c r="C148" s="22">
        <v>1</v>
      </c>
      <c r="D148" s="10">
        <v>593.83000000000004</v>
      </c>
      <c r="E148" s="10">
        <v>391.86440316333</v>
      </c>
      <c r="F148" s="10">
        <v>201.96559683667004</v>
      </c>
      <c r="G148" s="10">
        <v>1.0577157537841733</v>
      </c>
      <c r="H148" s="10">
        <v>49.688268956857883</v>
      </c>
      <c r="I148" s="10">
        <v>293.4933688609222</v>
      </c>
      <c r="J148" s="10">
        <v>490.23543746573779</v>
      </c>
      <c r="K148" s="10">
        <v>197.30418030366815</v>
      </c>
      <c r="L148" s="10">
        <v>1.2487368073017429</v>
      </c>
      <c r="M148" s="10">
        <v>782.48006951935827</v>
      </c>
    </row>
    <row r="149" spans="2:13" x14ac:dyDescent="0.25">
      <c r="B149" s="2" t="s">
        <v>143</v>
      </c>
      <c r="C149" s="22">
        <v>1</v>
      </c>
      <c r="D149" s="10">
        <v>14.7</v>
      </c>
      <c r="E149" s="10">
        <v>471.7309013586945</v>
      </c>
      <c r="F149" s="10">
        <v>-457.03090135869451</v>
      </c>
      <c r="G149" s="10">
        <v>-2.3935204406332891</v>
      </c>
      <c r="H149" s="10">
        <v>35.330755898871146</v>
      </c>
      <c r="I149" s="10">
        <v>401.78435112818653</v>
      </c>
      <c r="J149" s="10">
        <v>541.67745158920252</v>
      </c>
      <c r="K149" s="10">
        <v>194.1861936538202</v>
      </c>
      <c r="L149" s="10">
        <v>87.28811198401074</v>
      </c>
      <c r="M149" s="10">
        <v>856.17369073337818</v>
      </c>
    </row>
    <row r="150" spans="2:13" x14ac:dyDescent="0.25">
      <c r="B150" s="2" t="s">
        <v>144</v>
      </c>
      <c r="C150" s="22">
        <v>1</v>
      </c>
      <c r="D150" s="10">
        <v>329</v>
      </c>
      <c r="E150" s="10">
        <v>361.24758228466106</v>
      </c>
      <c r="F150" s="10">
        <v>-32.247582284661064</v>
      </c>
      <c r="G150" s="10">
        <v>-0.16888408886549752</v>
      </c>
      <c r="H150" s="10">
        <v>19.582130737966292</v>
      </c>
      <c r="I150" s="10">
        <v>322.47958945699281</v>
      </c>
      <c r="J150" s="10">
        <v>400.01557511232932</v>
      </c>
      <c r="K150" s="10">
        <v>191.94654291654263</v>
      </c>
      <c r="L150" s="10">
        <v>-18.761227719692119</v>
      </c>
      <c r="M150" s="10">
        <v>741.25639228901423</v>
      </c>
    </row>
    <row r="151" spans="2:13" x14ac:dyDescent="0.25">
      <c r="B151" s="2" t="s">
        <v>145</v>
      </c>
      <c r="C151" s="22">
        <v>1</v>
      </c>
      <c r="D151" s="10">
        <v>255.13</v>
      </c>
      <c r="E151" s="10">
        <v>320.52764604640157</v>
      </c>
      <c r="F151" s="10">
        <v>-65.397646046401576</v>
      </c>
      <c r="G151" s="10">
        <v>-0.34249457118986371</v>
      </c>
      <c r="H151" s="10">
        <v>22.512784278479931</v>
      </c>
      <c r="I151" s="10">
        <v>275.95765153876636</v>
      </c>
      <c r="J151" s="10">
        <v>365.09764055403679</v>
      </c>
      <c r="K151" s="10">
        <v>192.26762844884396</v>
      </c>
      <c r="L151" s="10">
        <v>-60.116837459466552</v>
      </c>
      <c r="M151" s="10">
        <v>701.17212955226967</v>
      </c>
    </row>
    <row r="152" spans="2:13" x14ac:dyDescent="0.25">
      <c r="B152" s="2" t="s">
        <v>146</v>
      </c>
      <c r="C152" s="22">
        <v>1</v>
      </c>
      <c r="D152" s="10">
        <v>313.57</v>
      </c>
      <c r="E152" s="10">
        <v>337.60343246583983</v>
      </c>
      <c r="F152" s="10">
        <v>-24.033432465839837</v>
      </c>
      <c r="G152" s="10">
        <v>-0.12586569462711236</v>
      </c>
      <c r="H152" s="10">
        <v>25.563424651275163</v>
      </c>
      <c r="I152" s="10">
        <v>286.99389069570873</v>
      </c>
      <c r="J152" s="10">
        <v>388.21297423597093</v>
      </c>
      <c r="K152" s="10">
        <v>192.64865474037126</v>
      </c>
      <c r="L152" s="10">
        <v>-43.795393084555833</v>
      </c>
      <c r="M152" s="10">
        <v>719.00225801623549</v>
      </c>
    </row>
    <row r="153" spans="2:13" x14ac:dyDescent="0.25">
      <c r="B153" s="2" t="s">
        <v>147</v>
      </c>
      <c r="C153" s="22">
        <v>1</v>
      </c>
      <c r="D153" s="10">
        <v>446.63</v>
      </c>
      <c r="E153" s="10">
        <v>300.55488092153445</v>
      </c>
      <c r="F153" s="10">
        <v>146.07511907846555</v>
      </c>
      <c r="G153" s="10">
        <v>0.76501125491259436</v>
      </c>
      <c r="H153" s="10">
        <v>29.494966154101537</v>
      </c>
      <c r="I153" s="10">
        <v>242.1618157533218</v>
      </c>
      <c r="J153" s="10">
        <v>358.94794608974706</v>
      </c>
      <c r="K153" s="10">
        <v>193.20964914259574</v>
      </c>
      <c r="L153" s="10">
        <v>-81.954581017353604</v>
      </c>
      <c r="M153" s="10">
        <v>683.06434286042247</v>
      </c>
    </row>
    <row r="154" spans="2:13" x14ac:dyDescent="0.25">
      <c r="B154" s="2" t="s">
        <v>148</v>
      </c>
      <c r="C154" s="22">
        <v>1</v>
      </c>
      <c r="D154" s="10">
        <v>230.04000000000002</v>
      </c>
      <c r="E154" s="10">
        <v>273.21884501115107</v>
      </c>
      <c r="F154" s="10">
        <v>-43.178845011151054</v>
      </c>
      <c r="G154" s="10">
        <v>-0.22613229834105755</v>
      </c>
      <c r="H154" s="10">
        <v>29.408231045252862</v>
      </c>
      <c r="I154" s="10">
        <v>214.99749486837399</v>
      </c>
      <c r="J154" s="10">
        <v>331.44019515392813</v>
      </c>
      <c r="K154" s="10">
        <v>193.19642736496013</v>
      </c>
      <c r="L154" s="10">
        <v>-109.2644409314981</v>
      </c>
      <c r="M154" s="10">
        <v>655.70213095380018</v>
      </c>
    </row>
    <row r="155" spans="2:13" x14ac:dyDescent="0.25">
      <c r="B155" s="2" t="s">
        <v>149</v>
      </c>
      <c r="C155" s="22">
        <v>1</v>
      </c>
      <c r="D155" s="10">
        <v>422.52</v>
      </c>
      <c r="E155" s="10">
        <v>318.6030962524099</v>
      </c>
      <c r="F155" s="10">
        <v>103.91690374759008</v>
      </c>
      <c r="G155" s="10">
        <v>0.5442241049954053</v>
      </c>
      <c r="H155" s="10">
        <v>29.680036949156595</v>
      </c>
      <c r="I155" s="10">
        <v>259.84363463064921</v>
      </c>
      <c r="J155" s="10">
        <v>377.36255787417059</v>
      </c>
      <c r="K155" s="10">
        <v>193.23798820800386</v>
      </c>
      <c r="L155" s="10">
        <v>-63.962470341236418</v>
      </c>
      <c r="M155" s="10">
        <v>701.16866284605624</v>
      </c>
    </row>
    <row r="156" spans="2:13" x14ac:dyDescent="0.25">
      <c r="B156" s="2" t="s">
        <v>150</v>
      </c>
      <c r="C156" s="22">
        <v>1</v>
      </c>
      <c r="D156" s="10">
        <v>19.760000000000002</v>
      </c>
      <c r="E156" s="10">
        <v>298.49994698884149</v>
      </c>
      <c r="F156" s="10">
        <v>-278.7399469888415</v>
      </c>
      <c r="G156" s="10">
        <v>-1.4597913593050731</v>
      </c>
      <c r="H156" s="10">
        <v>28.195729649107346</v>
      </c>
      <c r="I156" s="10">
        <v>242.67906317214047</v>
      </c>
      <c r="J156" s="10">
        <v>354.32083080554253</v>
      </c>
      <c r="K156" s="10">
        <v>193.01558140165497</v>
      </c>
      <c r="L156" s="10">
        <v>-83.625306669060748</v>
      </c>
      <c r="M156" s="10">
        <v>680.62520064674368</v>
      </c>
    </row>
    <row r="157" spans="2:13" x14ac:dyDescent="0.25">
      <c r="B157" s="2" t="s">
        <v>151</v>
      </c>
      <c r="C157" s="22">
        <v>1</v>
      </c>
      <c r="D157" s="10">
        <v>297.57</v>
      </c>
      <c r="E157" s="10">
        <v>357.82261121577312</v>
      </c>
      <c r="F157" s="10">
        <v>-60.252611215773129</v>
      </c>
      <c r="G157" s="10">
        <v>-0.31554946529380884</v>
      </c>
      <c r="H157" s="10">
        <v>35.150406672555661</v>
      </c>
      <c r="I157" s="10">
        <v>288.23310984812042</v>
      </c>
      <c r="J157" s="10">
        <v>427.41211258342582</v>
      </c>
      <c r="K157" s="10">
        <v>194.15346142322414</v>
      </c>
      <c r="L157" s="10">
        <v>-26.555376074910598</v>
      </c>
      <c r="M157" s="10">
        <v>742.2005985064568</v>
      </c>
    </row>
    <row r="158" spans="2:13" x14ac:dyDescent="0.25">
      <c r="B158" s="2" t="s">
        <v>152</v>
      </c>
      <c r="C158" s="22">
        <v>1</v>
      </c>
      <c r="D158" s="10">
        <v>124.22000000000001</v>
      </c>
      <c r="E158" s="10">
        <v>256.49752682899174</v>
      </c>
      <c r="F158" s="10">
        <v>-132.27752682899171</v>
      </c>
      <c r="G158" s="10">
        <v>-0.69275176658814952</v>
      </c>
      <c r="H158" s="10">
        <v>32.057452130635461</v>
      </c>
      <c r="I158" s="10">
        <v>193.03134478250905</v>
      </c>
      <c r="J158" s="10">
        <v>319.96370887547442</v>
      </c>
      <c r="K158" s="10">
        <v>193.61739521665228</v>
      </c>
      <c r="L158" s="10">
        <v>-126.8191760116173</v>
      </c>
      <c r="M158" s="10">
        <v>639.81422966960076</v>
      </c>
    </row>
    <row r="159" spans="2:13" x14ac:dyDescent="0.25">
      <c r="B159" s="2" t="s">
        <v>153</v>
      </c>
      <c r="C159" s="22">
        <v>1</v>
      </c>
      <c r="D159" s="10">
        <v>51.93</v>
      </c>
      <c r="E159" s="10">
        <v>338.79273690187398</v>
      </c>
      <c r="F159" s="10">
        <v>-286.86273690187397</v>
      </c>
      <c r="G159" s="10">
        <v>-1.5023312917998222</v>
      </c>
      <c r="H159" s="10">
        <v>24.928413691032194</v>
      </c>
      <c r="I159" s="10">
        <v>289.44036681962569</v>
      </c>
      <c r="J159" s="10">
        <v>388.14510698412226</v>
      </c>
      <c r="K159" s="10">
        <v>192.56542083802216</v>
      </c>
      <c r="L159" s="10">
        <v>-42.441305184839038</v>
      </c>
      <c r="M159" s="10">
        <v>720.02677898858701</v>
      </c>
    </row>
    <row r="160" spans="2:13" x14ac:dyDescent="0.25">
      <c r="B160" s="2" t="s">
        <v>154</v>
      </c>
      <c r="C160" s="22">
        <v>1</v>
      </c>
      <c r="D160" s="10">
        <v>156.91999999999999</v>
      </c>
      <c r="E160" s="10">
        <v>503.62483133193916</v>
      </c>
      <c r="F160" s="10">
        <v>-346.7048313319392</v>
      </c>
      <c r="G160" s="10">
        <v>-1.8157308361257187</v>
      </c>
      <c r="H160" s="10">
        <v>63.478268573234878</v>
      </c>
      <c r="I160" s="10">
        <v>377.95285550406521</v>
      </c>
      <c r="J160" s="10">
        <v>629.29680715981317</v>
      </c>
      <c r="K160" s="10">
        <v>201.22004391816705</v>
      </c>
      <c r="L160" s="10">
        <v>105.25668009301268</v>
      </c>
      <c r="M160" s="10">
        <v>901.99298257086571</v>
      </c>
    </row>
    <row r="161" spans="2:13" x14ac:dyDescent="0.25">
      <c r="B161" s="2" t="s">
        <v>155</v>
      </c>
      <c r="C161" s="22">
        <v>1</v>
      </c>
      <c r="D161" s="10">
        <v>291.45999999999998</v>
      </c>
      <c r="E161" s="10">
        <v>433.66907177522324</v>
      </c>
      <c r="F161" s="10">
        <v>-142.20907177522326</v>
      </c>
      <c r="G161" s="10">
        <v>-0.74476434553019533</v>
      </c>
      <c r="H161" s="10">
        <v>19.159254012396133</v>
      </c>
      <c r="I161" s="10">
        <v>395.73827496484574</v>
      </c>
      <c r="J161" s="10">
        <v>471.59986858560075</v>
      </c>
      <c r="K161" s="10">
        <v>191.90386267004857</v>
      </c>
      <c r="L161" s="10">
        <v>53.744758576253794</v>
      </c>
      <c r="M161" s="10">
        <v>813.59338497419276</v>
      </c>
    </row>
    <row r="162" spans="2:13" x14ac:dyDescent="0.25">
      <c r="B162" s="2" t="s">
        <v>156</v>
      </c>
      <c r="C162" s="22">
        <v>1</v>
      </c>
      <c r="D162" s="10">
        <v>488.90000000000003</v>
      </c>
      <c r="E162" s="10">
        <v>520.56361459157233</v>
      </c>
      <c r="F162" s="10">
        <v>-31.663614591572298</v>
      </c>
      <c r="G162" s="10">
        <v>-0.16582578666772022</v>
      </c>
      <c r="H162" s="10">
        <v>27.618165249936062</v>
      </c>
      <c r="I162" s="10">
        <v>465.8861718428638</v>
      </c>
      <c r="J162" s="10">
        <v>575.2410573402808</v>
      </c>
      <c r="K162" s="10">
        <v>192.93205681054178</v>
      </c>
      <c r="L162" s="10">
        <v>138.60371989243407</v>
      </c>
      <c r="M162" s="10">
        <v>902.52350929071054</v>
      </c>
    </row>
    <row r="163" spans="2:13" x14ac:dyDescent="0.25">
      <c r="B163" s="2" t="s">
        <v>157</v>
      </c>
      <c r="C163" s="22">
        <v>1</v>
      </c>
      <c r="D163" s="10">
        <v>393</v>
      </c>
      <c r="E163" s="10">
        <v>451.01959874692267</v>
      </c>
      <c r="F163" s="10">
        <v>-58.019598746922668</v>
      </c>
      <c r="G163" s="10">
        <v>-0.30385493660331264</v>
      </c>
      <c r="H163" s="10">
        <v>29.280130582134262</v>
      </c>
      <c r="I163" s="10">
        <v>393.05185725898792</v>
      </c>
      <c r="J163" s="10">
        <v>508.98734023485741</v>
      </c>
      <c r="K163" s="10">
        <v>193.17696948725586</v>
      </c>
      <c r="L163" s="10">
        <v>68.574834805447665</v>
      </c>
      <c r="M163" s="10">
        <v>833.46436268839761</v>
      </c>
    </row>
    <row r="164" spans="2:13" x14ac:dyDescent="0.25">
      <c r="B164" s="2" t="s">
        <v>158</v>
      </c>
      <c r="C164" s="22">
        <v>1</v>
      </c>
      <c r="D164" s="10">
        <v>21.21</v>
      </c>
      <c r="E164" s="10">
        <v>303.34011365983275</v>
      </c>
      <c r="F164" s="10">
        <v>-282.13011365983277</v>
      </c>
      <c r="G164" s="10">
        <v>-1.4775460301600376</v>
      </c>
      <c r="H164" s="10">
        <v>24.628186118316464</v>
      </c>
      <c r="I164" s="10">
        <v>254.58212324655199</v>
      </c>
      <c r="J164" s="10">
        <v>352.09810407311352</v>
      </c>
      <c r="K164" s="10">
        <v>192.52678526597742</v>
      </c>
      <c r="L164" s="10">
        <v>-77.817439121402415</v>
      </c>
      <c r="M164" s="10">
        <v>684.49766644106785</v>
      </c>
    </row>
    <row r="165" spans="2:13" x14ac:dyDescent="0.25">
      <c r="B165" s="2" t="s">
        <v>159</v>
      </c>
      <c r="C165" s="22">
        <v>1</v>
      </c>
      <c r="D165" s="10">
        <v>493.01</v>
      </c>
      <c r="E165" s="10">
        <v>508.01631585442681</v>
      </c>
      <c r="F165" s="10">
        <v>-15.006315854426816</v>
      </c>
      <c r="G165" s="10">
        <v>-7.8589705049244118E-2</v>
      </c>
      <c r="H165" s="10">
        <v>38.562292625863108</v>
      </c>
      <c r="I165" s="10">
        <v>431.67208631461494</v>
      </c>
      <c r="J165" s="10">
        <v>584.36054539423867</v>
      </c>
      <c r="K165" s="10">
        <v>194.80006649366433</v>
      </c>
      <c r="L165" s="10">
        <v>122.35820327663338</v>
      </c>
      <c r="M165" s="10">
        <v>893.67442843222022</v>
      </c>
    </row>
    <row r="166" spans="2:13" x14ac:dyDescent="0.25">
      <c r="B166" s="2" t="s">
        <v>160</v>
      </c>
      <c r="C166" s="22">
        <v>1</v>
      </c>
      <c r="D166" s="10">
        <v>448.31</v>
      </c>
      <c r="E166" s="10">
        <v>492.94364987133628</v>
      </c>
      <c r="F166" s="10">
        <v>-44.633649871336274</v>
      </c>
      <c r="G166" s="10">
        <v>-0.23375126931136642</v>
      </c>
      <c r="H166" s="10">
        <v>39.015623985369238</v>
      </c>
      <c r="I166" s="10">
        <v>415.70193133356685</v>
      </c>
      <c r="J166" s="10">
        <v>570.18536840910565</v>
      </c>
      <c r="K166" s="10">
        <v>194.89031378788701</v>
      </c>
      <c r="L166" s="10">
        <v>107.10686897077662</v>
      </c>
      <c r="M166" s="10">
        <v>878.78043077189591</v>
      </c>
    </row>
    <row r="167" spans="2:13" x14ac:dyDescent="0.25">
      <c r="B167" s="2" t="s">
        <v>161</v>
      </c>
      <c r="C167" s="22">
        <v>1</v>
      </c>
      <c r="D167" s="10">
        <v>371.3</v>
      </c>
      <c r="E167" s="10">
        <v>342.0342156531658</v>
      </c>
      <c r="F167" s="10">
        <v>29.265784346834209</v>
      </c>
      <c r="G167" s="10">
        <v>0.15326808939410641</v>
      </c>
      <c r="H167" s="10">
        <v>43.90805961448401</v>
      </c>
      <c r="I167" s="10">
        <v>255.10663034648479</v>
      </c>
      <c r="J167" s="10">
        <v>428.96180095984681</v>
      </c>
      <c r="K167" s="10">
        <v>195.92838791885779</v>
      </c>
      <c r="L167" s="10">
        <v>-45.85770679468407</v>
      </c>
      <c r="M167" s="10">
        <v>729.92613810101568</v>
      </c>
    </row>
    <row r="168" spans="2:13" x14ac:dyDescent="0.25">
      <c r="B168" s="2" t="s">
        <v>162</v>
      </c>
      <c r="C168" s="22">
        <v>1</v>
      </c>
      <c r="D168" s="10">
        <v>313.23</v>
      </c>
      <c r="E168" s="10">
        <v>398.80420984441707</v>
      </c>
      <c r="F168" s="10">
        <v>-85.574209844417055</v>
      </c>
      <c r="G168" s="10">
        <v>-0.44816142594459185</v>
      </c>
      <c r="H168" s="10">
        <v>22.093250193819809</v>
      </c>
      <c r="I168" s="10">
        <v>355.06479371472784</v>
      </c>
      <c r="J168" s="10">
        <v>442.54362597410631</v>
      </c>
      <c r="K168" s="10">
        <v>192.2189563947845</v>
      </c>
      <c r="L168" s="10">
        <v>18.256085507422583</v>
      </c>
      <c r="M168" s="10">
        <v>779.35233418141161</v>
      </c>
    </row>
    <row r="169" spans="2:13" x14ac:dyDescent="0.25">
      <c r="B169" s="2" t="s">
        <v>163</v>
      </c>
      <c r="C169" s="22">
        <v>1</v>
      </c>
      <c r="D169" s="10">
        <v>35.520000000000003</v>
      </c>
      <c r="E169" s="10">
        <v>412.78466379008125</v>
      </c>
      <c r="F169" s="10">
        <v>-377.26466379008127</v>
      </c>
      <c r="G169" s="10">
        <v>-1.9757759959462893</v>
      </c>
      <c r="H169" s="10">
        <v>17.710905746128464</v>
      </c>
      <c r="I169" s="10">
        <v>377.72125439274794</v>
      </c>
      <c r="J169" s="10">
        <v>447.84807318741457</v>
      </c>
      <c r="K169" s="10">
        <v>191.7646778625344</v>
      </c>
      <c r="L169" s="10">
        <v>33.135903629319643</v>
      </c>
      <c r="M169" s="10">
        <v>792.43342395084289</v>
      </c>
    </row>
    <row r="170" spans="2:13" x14ac:dyDescent="0.25">
      <c r="B170" s="2" t="s">
        <v>164</v>
      </c>
      <c r="C170" s="22">
        <v>1</v>
      </c>
      <c r="D170" s="10">
        <v>347.22</v>
      </c>
      <c r="E170" s="10">
        <v>422.08420555179117</v>
      </c>
      <c r="F170" s="10">
        <v>-74.864205551791144</v>
      </c>
      <c r="G170" s="10">
        <v>-0.39207197090454543</v>
      </c>
      <c r="H170" s="10">
        <v>23.02871504696164</v>
      </c>
      <c r="I170" s="10">
        <v>376.49279000475434</v>
      </c>
      <c r="J170" s="10">
        <v>467.675621098828</v>
      </c>
      <c r="K170" s="10">
        <v>192.32872175025628</v>
      </c>
      <c r="L170" s="10">
        <v>41.318771741655134</v>
      </c>
      <c r="M170" s="10">
        <v>802.84963936192719</v>
      </c>
    </row>
    <row r="171" spans="2:13" x14ac:dyDescent="0.25">
      <c r="B171" s="2" t="s">
        <v>165</v>
      </c>
      <c r="C171" s="22">
        <v>1</v>
      </c>
      <c r="D171" s="10">
        <v>405.04</v>
      </c>
      <c r="E171" s="10">
        <v>545.55030772055113</v>
      </c>
      <c r="F171" s="10">
        <v>-140.51030772055111</v>
      </c>
      <c r="G171" s="10">
        <v>-0.73586773377684755</v>
      </c>
      <c r="H171" s="10">
        <v>32.105695498213365</v>
      </c>
      <c r="I171" s="10">
        <v>481.98861520315648</v>
      </c>
      <c r="J171" s="10">
        <v>609.11200023794584</v>
      </c>
      <c r="K171" s="10">
        <v>193.62538877119741</v>
      </c>
      <c r="L171" s="10">
        <v>162.21777953032006</v>
      </c>
      <c r="M171" s="10">
        <v>928.88283591078221</v>
      </c>
    </row>
    <row r="172" spans="2:13" x14ac:dyDescent="0.25">
      <c r="B172" s="2" t="s">
        <v>166</v>
      </c>
      <c r="C172" s="22">
        <v>1</v>
      </c>
      <c r="D172" s="10">
        <v>236.64000000000001</v>
      </c>
      <c r="E172" s="10">
        <v>354.23162854690827</v>
      </c>
      <c r="F172" s="10">
        <v>-117.59162854690825</v>
      </c>
      <c r="G172" s="10">
        <v>-0.61584012314625391</v>
      </c>
      <c r="H172" s="10">
        <v>28.270220252243419</v>
      </c>
      <c r="I172" s="10">
        <v>298.26327093347129</v>
      </c>
      <c r="J172" s="10">
        <v>410.19998616034525</v>
      </c>
      <c r="K172" s="10">
        <v>193.02647706074856</v>
      </c>
      <c r="L172" s="10">
        <v>-27.915195942036078</v>
      </c>
      <c r="M172" s="10">
        <v>736.37845303585254</v>
      </c>
    </row>
    <row r="173" spans="2:13" x14ac:dyDescent="0.25">
      <c r="B173" s="2" t="s">
        <v>167</v>
      </c>
      <c r="C173" s="22">
        <v>1</v>
      </c>
      <c r="D173" s="10">
        <v>291.72000000000003</v>
      </c>
      <c r="E173" s="10">
        <v>370.90170324633277</v>
      </c>
      <c r="F173" s="10">
        <v>-79.181703246332745</v>
      </c>
      <c r="G173" s="10">
        <v>-0.41468317499063834</v>
      </c>
      <c r="H173" s="10">
        <v>25.844828365886016</v>
      </c>
      <c r="I173" s="10">
        <v>319.73504859938072</v>
      </c>
      <c r="J173" s="10">
        <v>422.06835789328483</v>
      </c>
      <c r="K173" s="10">
        <v>192.68619734333708</v>
      </c>
      <c r="L173" s="10">
        <v>-10.571447788964763</v>
      </c>
      <c r="M173" s="10">
        <v>752.37485428163029</v>
      </c>
    </row>
    <row r="174" spans="2:13" x14ac:dyDescent="0.25">
      <c r="B174" s="2" t="s">
        <v>168</v>
      </c>
      <c r="C174" s="22">
        <v>1</v>
      </c>
      <c r="D174" s="10">
        <v>218.5</v>
      </c>
      <c r="E174" s="10">
        <v>286.26571763435214</v>
      </c>
      <c r="F174" s="10">
        <v>-67.765717634352143</v>
      </c>
      <c r="G174" s="10">
        <v>-0.35489641914761072</v>
      </c>
      <c r="H174" s="10">
        <v>28.333923212179709</v>
      </c>
      <c r="I174" s="10">
        <v>230.17124320926897</v>
      </c>
      <c r="J174" s="10">
        <v>342.36019205943535</v>
      </c>
      <c r="K174" s="10">
        <v>193.03581713756398</v>
      </c>
      <c r="L174" s="10">
        <v>-95.899598000210389</v>
      </c>
      <c r="M174" s="10">
        <v>668.43103326891469</v>
      </c>
    </row>
    <row r="175" spans="2:13" x14ac:dyDescent="0.25">
      <c r="B175" s="2" t="s">
        <v>169</v>
      </c>
      <c r="C175" s="22">
        <v>1</v>
      </c>
      <c r="D175" s="10">
        <v>280.39999999999998</v>
      </c>
      <c r="E175" s="10">
        <v>377.61199623101044</v>
      </c>
      <c r="F175" s="10">
        <v>-97.21199623101046</v>
      </c>
      <c r="G175" s="10">
        <v>-0.50910977652050471</v>
      </c>
      <c r="H175" s="10">
        <v>25.824029129617106</v>
      </c>
      <c r="I175" s="10">
        <v>326.48651915831135</v>
      </c>
      <c r="J175" s="10">
        <v>428.73747330370952</v>
      </c>
      <c r="K175" s="10">
        <v>192.68340866265746</v>
      </c>
      <c r="L175" s="10">
        <v>-3.8556338753323707</v>
      </c>
      <c r="M175" s="10">
        <v>759.07962633735326</v>
      </c>
    </row>
    <row r="176" spans="2:13" x14ac:dyDescent="0.25">
      <c r="B176" s="2" t="s">
        <v>170</v>
      </c>
      <c r="C176" s="22">
        <v>1</v>
      </c>
      <c r="D176" s="10">
        <v>322.86</v>
      </c>
      <c r="E176" s="10">
        <v>342.03345279661983</v>
      </c>
      <c r="F176" s="10">
        <v>-19.173452796619813</v>
      </c>
      <c r="G176" s="10">
        <v>-0.10041345355378775</v>
      </c>
      <c r="H176" s="10">
        <v>21.029521891422121</v>
      </c>
      <c r="I176" s="10">
        <v>300.39996741316889</v>
      </c>
      <c r="J176" s="10">
        <v>383.66693818007076</v>
      </c>
      <c r="K176" s="10">
        <v>192.09959990680653</v>
      </c>
      <c r="L176" s="10">
        <v>-38.278373890655978</v>
      </c>
      <c r="M176" s="10">
        <v>722.34527948389564</v>
      </c>
    </row>
    <row r="177" spans="2:13" x14ac:dyDescent="0.25">
      <c r="B177" s="2" t="s">
        <v>171</v>
      </c>
      <c r="C177" s="22">
        <v>1</v>
      </c>
      <c r="D177" s="10">
        <v>374.77000000000004</v>
      </c>
      <c r="E177" s="10">
        <v>405.83335454074012</v>
      </c>
      <c r="F177" s="10">
        <v>-31.063354540740079</v>
      </c>
      <c r="G177" s="10">
        <v>-0.16268215962392238</v>
      </c>
      <c r="H177" s="10">
        <v>23.792101628104685</v>
      </c>
      <c r="I177" s="10">
        <v>358.73061390357338</v>
      </c>
      <c r="J177" s="10">
        <v>452.93609517790685</v>
      </c>
      <c r="K177" s="10">
        <v>192.4216193499457</v>
      </c>
      <c r="L177" s="10">
        <v>24.884005429115231</v>
      </c>
      <c r="M177" s="10">
        <v>786.78270365236494</v>
      </c>
    </row>
    <row r="178" spans="2:13" x14ac:dyDescent="0.25">
      <c r="B178" s="2" t="s">
        <v>172</v>
      </c>
      <c r="C178" s="22">
        <v>1</v>
      </c>
      <c r="D178" s="10">
        <v>471.23</v>
      </c>
      <c r="E178" s="10">
        <v>503.90086753185415</v>
      </c>
      <c r="F178" s="10">
        <v>-32.670867531854128</v>
      </c>
      <c r="G178" s="10">
        <v>-0.17110087965221055</v>
      </c>
      <c r="H178" s="10">
        <v>27.031635069153435</v>
      </c>
      <c r="I178" s="10">
        <v>450.38461598067482</v>
      </c>
      <c r="J178" s="10">
        <v>557.41711908303353</v>
      </c>
      <c r="K178" s="10">
        <v>192.84896885357006</v>
      </c>
      <c r="L178" s="10">
        <v>122.10546735902911</v>
      </c>
      <c r="M178" s="10">
        <v>885.69626770467926</v>
      </c>
    </row>
    <row r="179" spans="2:13" x14ac:dyDescent="0.25">
      <c r="B179" s="2" t="s">
        <v>173</v>
      </c>
      <c r="C179" s="22">
        <v>1</v>
      </c>
      <c r="D179" s="10">
        <v>476.29</v>
      </c>
      <c r="E179" s="10">
        <v>429.12481444803672</v>
      </c>
      <c r="F179" s="10">
        <v>47.165185551963305</v>
      </c>
      <c r="G179" s="10">
        <v>0.24700919646631334</v>
      </c>
      <c r="H179" s="10">
        <v>19.517543904940474</v>
      </c>
      <c r="I179" s="10">
        <v>390.48468829192797</v>
      </c>
      <c r="J179" s="10">
        <v>467.76494060414547</v>
      </c>
      <c r="K179" s="10">
        <v>191.93996460730793</v>
      </c>
      <c r="L179" s="10">
        <v>49.129027941924939</v>
      </c>
      <c r="M179" s="10">
        <v>809.12060095414847</v>
      </c>
    </row>
    <row r="180" spans="2:13" x14ac:dyDescent="0.25">
      <c r="B180" s="2" t="s">
        <v>174</v>
      </c>
      <c r="C180" s="22">
        <v>1</v>
      </c>
      <c r="D180" s="10">
        <v>3.87</v>
      </c>
      <c r="E180" s="10">
        <v>418.1632411363392</v>
      </c>
      <c r="F180" s="10">
        <v>-414.29324113633919</v>
      </c>
      <c r="G180" s="10">
        <v>-2.1696986749212939</v>
      </c>
      <c r="H180" s="10">
        <v>21.967420473421157</v>
      </c>
      <c r="I180" s="10">
        <v>374.67293812734141</v>
      </c>
      <c r="J180" s="10">
        <v>461.65354414533698</v>
      </c>
      <c r="K180" s="10">
        <v>192.20453443045881</v>
      </c>
      <c r="L180" s="10">
        <v>37.643668881700854</v>
      </c>
      <c r="M180" s="10">
        <v>798.68281339097757</v>
      </c>
    </row>
    <row r="181" spans="2:13" x14ac:dyDescent="0.25">
      <c r="B181" s="2" t="s">
        <v>175</v>
      </c>
      <c r="C181" s="22">
        <v>1</v>
      </c>
      <c r="D181" s="10">
        <v>419.08</v>
      </c>
      <c r="E181" s="10">
        <v>478.81427635057076</v>
      </c>
      <c r="F181" s="10">
        <v>-59.734276350570781</v>
      </c>
      <c r="G181" s="10">
        <v>-0.31283488934004633</v>
      </c>
      <c r="H181" s="10">
        <v>21.808479448072465</v>
      </c>
      <c r="I181" s="10">
        <v>435.63863902393376</v>
      </c>
      <c r="J181" s="10">
        <v>521.98991367720782</v>
      </c>
      <c r="K181" s="10">
        <v>192.18643362425544</v>
      </c>
      <c r="L181" s="10">
        <v>98.330539416125973</v>
      </c>
      <c r="M181" s="10">
        <v>859.29801328501549</v>
      </c>
    </row>
    <row r="182" spans="2:13" x14ac:dyDescent="0.25">
      <c r="B182" s="2" t="s">
        <v>176</v>
      </c>
      <c r="C182" s="22">
        <v>1</v>
      </c>
      <c r="D182" s="10">
        <v>595.59</v>
      </c>
      <c r="E182" s="10">
        <v>378.37927586426719</v>
      </c>
      <c r="F182" s="10">
        <v>217.21072413573285</v>
      </c>
      <c r="G182" s="10">
        <v>1.137556140291704</v>
      </c>
      <c r="H182" s="10">
        <v>28.92628624812987</v>
      </c>
      <c r="I182" s="10">
        <v>321.11206256636223</v>
      </c>
      <c r="J182" s="10">
        <v>435.64648916217214</v>
      </c>
      <c r="K182" s="10">
        <v>193.12365346969307</v>
      </c>
      <c r="L182" s="10">
        <v>-3.9599349576758955</v>
      </c>
      <c r="M182" s="10">
        <v>760.71848668621033</v>
      </c>
    </row>
    <row r="183" spans="2:13" x14ac:dyDescent="0.25">
      <c r="B183" s="2" t="s">
        <v>177</v>
      </c>
      <c r="C183" s="22">
        <v>1</v>
      </c>
      <c r="D183" s="10">
        <v>615.07000000000005</v>
      </c>
      <c r="E183" s="10">
        <v>582.13585194710345</v>
      </c>
      <c r="F183" s="10">
        <v>32.934148052896603</v>
      </c>
      <c r="G183" s="10">
        <v>0.17247970831973028</v>
      </c>
      <c r="H183" s="10">
        <v>31.742519877202117</v>
      </c>
      <c r="I183" s="10">
        <v>519.29316136361228</v>
      </c>
      <c r="J183" s="10">
        <v>644.97854253059461</v>
      </c>
      <c r="K183" s="10">
        <v>193.56550070073934</v>
      </c>
      <c r="L183" s="10">
        <v>198.92188798857163</v>
      </c>
      <c r="M183" s="10">
        <v>965.3498159056353</v>
      </c>
    </row>
    <row r="184" spans="2:13" x14ac:dyDescent="0.25">
      <c r="B184" s="2" t="s">
        <v>178</v>
      </c>
      <c r="C184" s="22">
        <v>1</v>
      </c>
      <c r="D184" s="10">
        <v>404.34</v>
      </c>
      <c r="E184" s="10">
        <v>501.11121210295221</v>
      </c>
      <c r="F184" s="10">
        <v>-96.771212102952234</v>
      </c>
      <c r="G184" s="10">
        <v>-0.50680134219521589</v>
      </c>
      <c r="H184" s="10">
        <v>29.7622296240047</v>
      </c>
      <c r="I184" s="10">
        <v>442.18902840198382</v>
      </c>
      <c r="J184" s="10">
        <v>560.0333958039206</v>
      </c>
      <c r="K184" s="10">
        <v>193.25062950884617</v>
      </c>
      <c r="L184" s="10">
        <v>118.52061871998734</v>
      </c>
      <c r="M184" s="10">
        <v>883.70180548591702</v>
      </c>
    </row>
    <row r="185" spans="2:13" x14ac:dyDescent="0.25">
      <c r="B185" s="2" t="s">
        <v>179</v>
      </c>
      <c r="C185" s="22">
        <v>1</v>
      </c>
      <c r="D185" s="10">
        <v>437.15999999999997</v>
      </c>
      <c r="E185" s="10">
        <v>414.23472084298584</v>
      </c>
      <c r="F185" s="10">
        <v>22.925279157014131</v>
      </c>
      <c r="G185" s="10">
        <v>0.12006217545993017</v>
      </c>
      <c r="H185" s="10">
        <v>22.999503892081336</v>
      </c>
      <c r="I185" s="10">
        <v>368.70113648184196</v>
      </c>
      <c r="J185" s="10">
        <v>459.76830520412972</v>
      </c>
      <c r="K185" s="10">
        <v>192.32522630340307</v>
      </c>
      <c r="L185" s="10">
        <v>33.476207191863544</v>
      </c>
      <c r="M185" s="10">
        <v>794.99323449410815</v>
      </c>
    </row>
    <row r="186" spans="2:13" x14ac:dyDescent="0.25">
      <c r="B186" s="2" t="s">
        <v>180</v>
      </c>
      <c r="C186" s="22">
        <v>1</v>
      </c>
      <c r="D186" s="10">
        <v>427.81</v>
      </c>
      <c r="E186" s="10">
        <v>481.55848700789511</v>
      </c>
      <c r="F186" s="10">
        <v>-53.748487007895108</v>
      </c>
      <c r="G186" s="10">
        <v>-0.2814866608013929</v>
      </c>
      <c r="H186" s="10">
        <v>20.558702795199483</v>
      </c>
      <c r="I186" s="10">
        <v>440.85711220984126</v>
      </c>
      <c r="J186" s="10">
        <v>522.25986180594896</v>
      </c>
      <c r="K186" s="10">
        <v>192.04862861784429</v>
      </c>
      <c r="L186" s="10">
        <v>101.34757143143496</v>
      </c>
      <c r="M186" s="10">
        <v>861.76940258435525</v>
      </c>
    </row>
    <row r="187" spans="2:13" x14ac:dyDescent="0.25">
      <c r="B187" s="2" t="s">
        <v>181</v>
      </c>
      <c r="C187" s="22">
        <v>1</v>
      </c>
      <c r="D187" s="10">
        <v>559.51</v>
      </c>
      <c r="E187" s="10">
        <v>488.49646470815571</v>
      </c>
      <c r="F187" s="10">
        <v>71.013535291844278</v>
      </c>
      <c r="G187" s="10">
        <v>0.37190559276704627</v>
      </c>
      <c r="H187" s="10">
        <v>23.746483202634003</v>
      </c>
      <c r="I187" s="10">
        <v>441.48403777663839</v>
      </c>
      <c r="J187" s="10">
        <v>535.50889163967304</v>
      </c>
      <c r="K187" s="10">
        <v>192.41598415377638</v>
      </c>
      <c r="L187" s="10">
        <v>107.55827195370146</v>
      </c>
      <c r="M187" s="10">
        <v>869.43465746260995</v>
      </c>
    </row>
    <row r="188" spans="2:13" x14ac:dyDescent="0.25">
      <c r="B188" s="2" t="s">
        <v>182</v>
      </c>
      <c r="C188" s="22">
        <v>1</v>
      </c>
      <c r="D188" s="10">
        <v>467.46999999999997</v>
      </c>
      <c r="E188" s="10">
        <v>349.91058634418863</v>
      </c>
      <c r="F188" s="10">
        <v>117.55941365581134</v>
      </c>
      <c r="G188" s="10">
        <v>0.6156714102646873</v>
      </c>
      <c r="H188" s="10">
        <v>26.262261902857524</v>
      </c>
      <c r="I188" s="10">
        <v>297.91751190748596</v>
      </c>
      <c r="J188" s="10">
        <v>401.9036607808913</v>
      </c>
      <c r="K188" s="10">
        <v>192.74263123042505</v>
      </c>
      <c r="L188" s="10">
        <v>-31.674290455742973</v>
      </c>
      <c r="M188" s="10">
        <v>731.49546314412021</v>
      </c>
    </row>
    <row r="189" spans="2:13" x14ac:dyDescent="0.25">
      <c r="B189" s="2" t="s">
        <v>183</v>
      </c>
      <c r="C189" s="22">
        <v>1</v>
      </c>
      <c r="D189" s="10">
        <v>411.65</v>
      </c>
      <c r="E189" s="10">
        <v>415.45616233871607</v>
      </c>
      <c r="F189" s="10">
        <v>-3.8061623387160921</v>
      </c>
      <c r="G189" s="10">
        <v>-1.9933285322726153E-2</v>
      </c>
      <c r="H189" s="10">
        <v>21.008339842204382</v>
      </c>
      <c r="I189" s="10">
        <v>373.864612408722</v>
      </c>
      <c r="J189" s="10">
        <v>457.04771226871014</v>
      </c>
      <c r="K189" s="10">
        <v>192.09728221997023</v>
      </c>
      <c r="L189" s="10">
        <v>35.148924123851621</v>
      </c>
      <c r="M189" s="10">
        <v>795.7634005535806</v>
      </c>
    </row>
    <row r="190" spans="2:13" x14ac:dyDescent="0.25">
      <c r="B190" s="2" t="s">
        <v>184</v>
      </c>
      <c r="C190" s="22">
        <v>1</v>
      </c>
      <c r="D190" s="10">
        <v>357.44</v>
      </c>
      <c r="E190" s="10">
        <v>418.17398182172849</v>
      </c>
      <c r="F190" s="10">
        <v>-60.733981821728491</v>
      </c>
      <c r="G190" s="10">
        <v>-0.31807045540946388</v>
      </c>
      <c r="H190" s="10">
        <v>20.950562139419617</v>
      </c>
      <c r="I190" s="10">
        <v>376.6968180939885</v>
      </c>
      <c r="J190" s="10">
        <v>459.65114554946848</v>
      </c>
      <c r="K190" s="10">
        <v>192.09097206097695</v>
      </c>
      <c r="L190" s="10">
        <v>37.87923623097457</v>
      </c>
      <c r="M190" s="10">
        <v>798.46872741248239</v>
      </c>
    </row>
    <row r="191" spans="2:13" x14ac:dyDescent="0.25">
      <c r="B191" s="2" t="s">
        <v>185</v>
      </c>
      <c r="C191" s="22">
        <v>1</v>
      </c>
      <c r="D191" s="10">
        <v>478.76</v>
      </c>
      <c r="E191" s="10">
        <v>392.67548918283887</v>
      </c>
      <c r="F191" s="10">
        <v>86.084510817161117</v>
      </c>
      <c r="G191" s="10">
        <v>0.45083392753147988</v>
      </c>
      <c r="H191" s="10">
        <v>19.399951570886294</v>
      </c>
      <c r="I191" s="10">
        <v>354.26816806843902</v>
      </c>
      <c r="J191" s="10">
        <v>431.08281029723872</v>
      </c>
      <c r="K191" s="10">
        <v>191.92804280335397</v>
      </c>
      <c r="L191" s="10">
        <v>12.703305032178829</v>
      </c>
      <c r="M191" s="10">
        <v>772.64767333349891</v>
      </c>
    </row>
    <row r="192" spans="2:13" x14ac:dyDescent="0.25">
      <c r="B192" s="2" t="s">
        <v>186</v>
      </c>
      <c r="C192" s="22">
        <v>1</v>
      </c>
      <c r="D192" s="10">
        <v>356.56</v>
      </c>
      <c r="E192" s="10">
        <v>400.86586153038326</v>
      </c>
      <c r="F192" s="10">
        <v>-44.305861530383254</v>
      </c>
      <c r="G192" s="10">
        <v>-0.23203460618871999</v>
      </c>
      <c r="H192" s="10">
        <v>23.465602900678032</v>
      </c>
      <c r="I192" s="10">
        <v>354.40951124227996</v>
      </c>
      <c r="J192" s="10">
        <v>447.32221181848655</v>
      </c>
      <c r="K192" s="10">
        <v>192.38152201515004</v>
      </c>
      <c r="L192" s="10">
        <v>19.995895669159864</v>
      </c>
      <c r="M192" s="10">
        <v>781.73582739160668</v>
      </c>
    </row>
    <row r="193" spans="2:13" x14ac:dyDescent="0.25">
      <c r="B193" s="2" t="s">
        <v>187</v>
      </c>
      <c r="C193" s="22">
        <v>1</v>
      </c>
      <c r="D193" s="10">
        <v>195.13</v>
      </c>
      <c r="E193" s="10">
        <v>240.85247917577163</v>
      </c>
      <c r="F193" s="10">
        <v>-45.722479175771639</v>
      </c>
      <c r="G193" s="10">
        <v>-0.2394535865699563</v>
      </c>
      <c r="H193" s="10">
        <v>49.848687651527634</v>
      </c>
      <c r="I193" s="10">
        <v>142.16385375482824</v>
      </c>
      <c r="J193" s="10">
        <v>339.54110459671506</v>
      </c>
      <c r="K193" s="10">
        <v>197.34464055036534</v>
      </c>
      <c r="L193" s="10">
        <v>-149.84328891048975</v>
      </c>
      <c r="M193" s="10">
        <v>631.5482472620331</v>
      </c>
    </row>
    <row r="194" spans="2:13" x14ac:dyDescent="0.25">
      <c r="B194" s="2" t="s">
        <v>188</v>
      </c>
      <c r="C194" s="22">
        <v>1</v>
      </c>
      <c r="D194" s="10">
        <v>248.48</v>
      </c>
      <c r="E194" s="10">
        <v>320.99617874791966</v>
      </c>
      <c r="F194" s="10">
        <v>-72.516178747919668</v>
      </c>
      <c r="G194" s="10">
        <v>-0.37977509965686057</v>
      </c>
      <c r="H194" s="10">
        <v>29.679997426479471</v>
      </c>
      <c r="I194" s="10">
        <v>262.23679537172291</v>
      </c>
      <c r="J194" s="10">
        <v>379.75556212411641</v>
      </c>
      <c r="K194" s="10">
        <v>193.23798213759417</v>
      </c>
      <c r="L194" s="10">
        <v>-61.569375827749546</v>
      </c>
      <c r="M194" s="10">
        <v>703.5617333235889</v>
      </c>
    </row>
    <row r="195" spans="2:13" x14ac:dyDescent="0.25">
      <c r="B195" s="2" t="s">
        <v>189</v>
      </c>
      <c r="C195" s="22">
        <v>1</v>
      </c>
      <c r="D195" s="10">
        <v>121.96</v>
      </c>
      <c r="E195" s="10">
        <v>257.05080392069902</v>
      </c>
      <c r="F195" s="10">
        <v>-135.09080392069905</v>
      </c>
      <c r="G195" s="10">
        <v>-0.7074852040956543</v>
      </c>
      <c r="H195" s="10">
        <v>31.116864869265253</v>
      </c>
      <c r="I195" s="10">
        <v>195.44676244975125</v>
      </c>
      <c r="J195" s="10">
        <v>318.6548453916468</v>
      </c>
      <c r="K195" s="10">
        <v>193.46388493118155</v>
      </c>
      <c r="L195" s="10">
        <v>-125.9619848195632</v>
      </c>
      <c r="M195" s="10">
        <v>640.06359266096126</v>
      </c>
    </row>
    <row r="196" spans="2:13" x14ac:dyDescent="0.25">
      <c r="B196" s="2" t="s">
        <v>190</v>
      </c>
      <c r="C196" s="22">
        <v>1</v>
      </c>
      <c r="D196" s="10">
        <v>142.47</v>
      </c>
      <c r="E196" s="10">
        <v>246.61259294048548</v>
      </c>
      <c r="F196" s="10">
        <v>-104.14259294048549</v>
      </c>
      <c r="G196" s="10">
        <v>-0.54540606379692014</v>
      </c>
      <c r="H196" s="10">
        <v>30.92033119004272</v>
      </c>
      <c r="I196" s="10">
        <v>185.39764172577432</v>
      </c>
      <c r="J196" s="10">
        <v>307.82754415519668</v>
      </c>
      <c r="K196" s="10">
        <v>193.43237157796332</v>
      </c>
      <c r="L196" s="10">
        <v>-136.33780680504026</v>
      </c>
      <c r="M196" s="10">
        <v>629.56299268601117</v>
      </c>
    </row>
    <row r="197" spans="2:13" x14ac:dyDescent="0.25">
      <c r="B197" s="2" t="s">
        <v>191</v>
      </c>
      <c r="C197" s="22">
        <v>1</v>
      </c>
      <c r="D197" s="10">
        <v>264.61</v>
      </c>
      <c r="E197" s="10">
        <v>287.71992275400311</v>
      </c>
      <c r="F197" s="10">
        <v>-23.109922754003094</v>
      </c>
      <c r="G197" s="10">
        <v>-0.12102917402022725</v>
      </c>
      <c r="H197" s="10">
        <v>26.217740812499926</v>
      </c>
      <c r="I197" s="10">
        <v>235.81498955865763</v>
      </c>
      <c r="J197" s="10">
        <v>339.62485594934861</v>
      </c>
      <c r="K197" s="10">
        <v>192.73657002936616</v>
      </c>
      <c r="L197" s="10">
        <v>-93.852954299714852</v>
      </c>
      <c r="M197" s="10">
        <v>669.29279980772105</v>
      </c>
    </row>
    <row r="198" spans="2:13" x14ac:dyDescent="0.25">
      <c r="B198" s="2" t="s">
        <v>192</v>
      </c>
      <c r="C198" s="22">
        <v>1</v>
      </c>
      <c r="D198" s="10">
        <v>175.44</v>
      </c>
      <c r="E198" s="10">
        <v>260.54855484030327</v>
      </c>
      <c r="F198" s="10">
        <v>-85.10855484030327</v>
      </c>
      <c r="G198" s="10">
        <v>-0.445722740141693</v>
      </c>
      <c r="H198" s="10">
        <v>31.034242259809886</v>
      </c>
      <c r="I198" s="10">
        <v>199.10808661751884</v>
      </c>
      <c r="J198" s="10">
        <v>321.9890230630877</v>
      </c>
      <c r="K198" s="10">
        <v>193.45061304119434</v>
      </c>
      <c r="L198" s="10">
        <v>-122.43795869310233</v>
      </c>
      <c r="M198" s="10">
        <v>643.53506837370878</v>
      </c>
    </row>
    <row r="199" spans="2:13" x14ac:dyDescent="0.25">
      <c r="B199" s="2" t="s">
        <v>193</v>
      </c>
      <c r="C199" s="22">
        <v>1</v>
      </c>
      <c r="D199" s="10">
        <v>368.15999999999997</v>
      </c>
      <c r="E199" s="10">
        <v>354.4696508832572</v>
      </c>
      <c r="F199" s="10">
        <v>13.690349116742766</v>
      </c>
      <c r="G199" s="10">
        <v>7.1697844397204294E-2</v>
      </c>
      <c r="H199" s="10">
        <v>20.144760684678047</v>
      </c>
      <c r="I199" s="10">
        <v>314.58778367538872</v>
      </c>
      <c r="J199" s="10">
        <v>394.35151809112568</v>
      </c>
      <c r="K199" s="10">
        <v>192.00475743172692</v>
      </c>
      <c r="L199" s="10">
        <v>-25.654410108709655</v>
      </c>
      <c r="M199" s="10">
        <v>734.59371187522402</v>
      </c>
    </row>
    <row r="200" spans="2:13" x14ac:dyDescent="0.25">
      <c r="B200" s="2" t="s">
        <v>194</v>
      </c>
      <c r="C200" s="22">
        <v>1</v>
      </c>
      <c r="D200" s="10">
        <v>376.74</v>
      </c>
      <c r="E200" s="10">
        <v>395.48513369793108</v>
      </c>
      <c r="F200" s="10">
        <v>-18.745133697931067</v>
      </c>
      <c r="G200" s="10">
        <v>-9.8170299940372588E-2</v>
      </c>
      <c r="H200" s="10">
        <v>18.935253262358916</v>
      </c>
      <c r="I200" s="10">
        <v>357.9978054552513</v>
      </c>
      <c r="J200" s="10">
        <v>432.97246194061086</v>
      </c>
      <c r="K200" s="10">
        <v>191.88162837927715</v>
      </c>
      <c r="L200" s="10">
        <v>15.604839142115894</v>
      </c>
      <c r="M200" s="10">
        <v>775.36542825374624</v>
      </c>
    </row>
    <row r="201" spans="2:13" x14ac:dyDescent="0.25">
      <c r="B201" s="2" t="s">
        <v>195</v>
      </c>
      <c r="C201" s="22">
        <v>1</v>
      </c>
      <c r="D201" s="10">
        <v>346.48</v>
      </c>
      <c r="E201" s="10">
        <v>454.025708412082</v>
      </c>
      <c r="F201" s="10">
        <v>-107.54570841208198</v>
      </c>
      <c r="G201" s="10">
        <v>-0.56322854892623264</v>
      </c>
      <c r="H201" s="10">
        <v>21.003322611543386</v>
      </c>
      <c r="I201" s="10">
        <v>412.44409141353873</v>
      </c>
      <c r="J201" s="10">
        <v>495.60732541062526</v>
      </c>
      <c r="K201" s="10">
        <v>192.09673358518597</v>
      </c>
      <c r="L201" s="10">
        <v>73.719556364482258</v>
      </c>
      <c r="M201" s="10">
        <v>834.33186045968171</v>
      </c>
    </row>
    <row r="202" spans="2:13" x14ac:dyDescent="0.25">
      <c r="B202" s="2" t="s">
        <v>196</v>
      </c>
      <c r="C202" s="22">
        <v>1</v>
      </c>
      <c r="D202" s="10">
        <v>638.04</v>
      </c>
      <c r="E202" s="10">
        <v>310.83104774681073</v>
      </c>
      <c r="F202" s="10">
        <v>327.20895225318924</v>
      </c>
      <c r="G202" s="10">
        <v>1.7136288011333856</v>
      </c>
      <c r="H202" s="10">
        <v>34.336904535212753</v>
      </c>
      <c r="I202" s="10">
        <v>242.85208843139017</v>
      </c>
      <c r="J202" s="10">
        <v>378.81000706223125</v>
      </c>
      <c r="K202" s="10">
        <v>194.00783104409382</v>
      </c>
      <c r="L202" s="10">
        <v>-73.258625796550859</v>
      </c>
      <c r="M202" s="10">
        <v>694.92072129017231</v>
      </c>
    </row>
    <row r="203" spans="2:13" x14ac:dyDescent="0.25">
      <c r="B203" s="2" t="s">
        <v>197</v>
      </c>
      <c r="C203" s="22">
        <v>1</v>
      </c>
      <c r="D203" s="10">
        <v>367.52000000000004</v>
      </c>
      <c r="E203" s="10">
        <v>300.2884636499362</v>
      </c>
      <c r="F203" s="10">
        <v>67.231536350063834</v>
      </c>
      <c r="G203" s="10">
        <v>0.35209885377698308</v>
      </c>
      <c r="H203" s="10">
        <v>29.610309920151067</v>
      </c>
      <c r="I203" s="10">
        <v>241.66704507346779</v>
      </c>
      <c r="J203" s="10">
        <v>358.90988222640459</v>
      </c>
      <c r="K203" s="10">
        <v>193.22729089582751</v>
      </c>
      <c r="L203" s="10">
        <v>-82.255924792707162</v>
      </c>
      <c r="M203" s="10">
        <v>682.83285209257951</v>
      </c>
    </row>
    <row r="204" spans="2:13" x14ac:dyDescent="0.25">
      <c r="B204" s="2" t="s">
        <v>198</v>
      </c>
      <c r="C204" s="22">
        <v>1</v>
      </c>
      <c r="D204" s="10">
        <v>534.03</v>
      </c>
      <c r="E204" s="10">
        <v>372.36963724924163</v>
      </c>
      <c r="F204" s="10">
        <v>161.66036275075834</v>
      </c>
      <c r="G204" s="10">
        <v>0.84663286778600089</v>
      </c>
      <c r="H204" s="10">
        <v>19.071079693644556</v>
      </c>
      <c r="I204" s="10">
        <v>334.6134047599121</v>
      </c>
      <c r="J204" s="10">
        <v>410.12586973857117</v>
      </c>
      <c r="K204" s="10">
        <v>191.89507959834376</v>
      </c>
      <c r="L204" s="10">
        <v>-7.5372875426431429</v>
      </c>
      <c r="M204" s="10">
        <v>752.27656204112645</v>
      </c>
    </row>
    <row r="205" spans="2:13" x14ac:dyDescent="0.25">
      <c r="B205" s="2" t="s">
        <v>199</v>
      </c>
      <c r="C205" s="22">
        <v>1</v>
      </c>
      <c r="D205" s="10">
        <v>590.19999999999993</v>
      </c>
      <c r="E205" s="10">
        <v>492.65980118778691</v>
      </c>
      <c r="F205" s="10">
        <v>97.540198812213021</v>
      </c>
      <c r="G205" s="10">
        <v>0.51082860906430327</v>
      </c>
      <c r="H205" s="10">
        <v>32.649986344254245</v>
      </c>
      <c r="I205" s="10">
        <v>428.02054137713714</v>
      </c>
      <c r="J205" s="10">
        <v>557.29906099843674</v>
      </c>
      <c r="K205" s="10">
        <v>193.7163831524152</v>
      </c>
      <c r="L205" s="10">
        <v>109.14712561902924</v>
      </c>
      <c r="M205" s="10">
        <v>876.1724767565446</v>
      </c>
    </row>
    <row r="206" spans="2:13" x14ac:dyDescent="0.25">
      <c r="B206" s="2" t="s">
        <v>200</v>
      </c>
      <c r="C206" s="22">
        <v>1</v>
      </c>
      <c r="D206" s="10">
        <v>422.15</v>
      </c>
      <c r="E206" s="10">
        <v>358.58836478246457</v>
      </c>
      <c r="F206" s="10">
        <v>63.561635217535411</v>
      </c>
      <c r="G206" s="10">
        <v>0.33287918318207066</v>
      </c>
      <c r="H206" s="10">
        <v>20.338379464578196</v>
      </c>
      <c r="I206" s="10">
        <v>318.32317813040925</v>
      </c>
      <c r="J206" s="10">
        <v>398.85355143451989</v>
      </c>
      <c r="K206" s="10">
        <v>192.02516807079877</v>
      </c>
      <c r="L206" s="10">
        <v>-21.576104453106328</v>
      </c>
      <c r="M206" s="10">
        <v>738.7528340180354</v>
      </c>
    </row>
    <row r="207" spans="2:13" x14ac:dyDescent="0.25">
      <c r="B207" s="2" t="s">
        <v>201</v>
      </c>
      <c r="C207" s="22">
        <v>1</v>
      </c>
      <c r="D207" s="10">
        <v>441.15</v>
      </c>
      <c r="E207" s="10">
        <v>264.5895974386732</v>
      </c>
      <c r="F207" s="10">
        <v>176.56040256132678</v>
      </c>
      <c r="G207" s="10">
        <v>0.92466599365740731</v>
      </c>
      <c r="H207" s="10">
        <v>31.288201871787198</v>
      </c>
      <c r="I207" s="10">
        <v>202.64634917895617</v>
      </c>
      <c r="J207" s="10">
        <v>326.53284569839025</v>
      </c>
      <c r="K207" s="10">
        <v>193.49151679012454</v>
      </c>
      <c r="L207" s="10">
        <v>-118.47789585461501</v>
      </c>
      <c r="M207" s="10">
        <v>647.65709073196138</v>
      </c>
    </row>
    <row r="208" spans="2:13" x14ac:dyDescent="0.25">
      <c r="B208" s="2" t="s">
        <v>202</v>
      </c>
      <c r="C208" s="22">
        <v>1</v>
      </c>
      <c r="D208" s="10">
        <v>465.5</v>
      </c>
      <c r="E208" s="10">
        <v>270.83382385485544</v>
      </c>
      <c r="F208" s="10">
        <v>194.66617614514456</v>
      </c>
      <c r="G208" s="10">
        <v>1.0194878952783089</v>
      </c>
      <c r="H208" s="10">
        <v>31.953485605591222</v>
      </c>
      <c r="I208" s="10">
        <v>207.57347096716893</v>
      </c>
      <c r="J208" s="10">
        <v>334.09417674254195</v>
      </c>
      <c r="K208" s="10">
        <v>193.60020851156145</v>
      </c>
      <c r="L208" s="10">
        <v>-112.4488533698179</v>
      </c>
      <c r="M208" s="10">
        <v>654.11650107952869</v>
      </c>
    </row>
    <row r="209" spans="2:13" x14ac:dyDescent="0.25">
      <c r="B209" s="2" t="s">
        <v>203</v>
      </c>
      <c r="C209" s="22">
        <v>1</v>
      </c>
      <c r="D209" s="10">
        <v>398.78</v>
      </c>
      <c r="E209" s="10">
        <v>259.8424305653179</v>
      </c>
      <c r="F209" s="10">
        <v>138.93756943468208</v>
      </c>
      <c r="G209" s="10">
        <v>0.72763113265468482</v>
      </c>
      <c r="H209" s="10">
        <v>29.706853995701859</v>
      </c>
      <c r="I209" s="10">
        <v>201.02987752658944</v>
      </c>
      <c r="J209" s="10">
        <v>318.65498360404632</v>
      </c>
      <c r="K209" s="10">
        <v>193.24210894030134</v>
      </c>
      <c r="L209" s="10">
        <v>-122.73129410480595</v>
      </c>
      <c r="M209" s="10">
        <v>642.41615523544169</v>
      </c>
    </row>
    <row r="210" spans="2:13" x14ac:dyDescent="0.25">
      <c r="B210" s="2" t="s">
        <v>210</v>
      </c>
      <c r="C210" s="22">
        <v>1</v>
      </c>
      <c r="D210" s="10">
        <v>260.20999999999998</v>
      </c>
      <c r="E210" s="10">
        <v>214.83196915887194</v>
      </c>
      <c r="F210" s="10">
        <v>45.378030841128037</v>
      </c>
      <c r="G210" s="10">
        <v>0.23764967325192771</v>
      </c>
      <c r="H210" s="10">
        <v>35.40276410777961</v>
      </c>
      <c r="I210" s="10">
        <v>144.74285968576407</v>
      </c>
      <c r="J210" s="10">
        <v>284.92107863197981</v>
      </c>
      <c r="K210" s="10">
        <v>194.1993079283354</v>
      </c>
      <c r="L210" s="10">
        <v>-169.63678338126857</v>
      </c>
      <c r="M210" s="10">
        <v>599.30072169901246</v>
      </c>
    </row>
    <row r="211" spans="2:13" x14ac:dyDescent="0.25">
      <c r="B211" s="2" t="s">
        <v>211</v>
      </c>
      <c r="C211" s="22">
        <v>1</v>
      </c>
      <c r="D211" s="10">
        <v>333.83</v>
      </c>
      <c r="E211" s="10">
        <v>352.27314676188331</v>
      </c>
      <c r="F211" s="10">
        <v>-18.443146761883327</v>
      </c>
      <c r="G211" s="10">
        <v>-9.6588761575930146E-2</v>
      </c>
      <c r="H211" s="10">
        <v>39.011280629892241</v>
      </c>
      <c r="I211" s="10">
        <v>275.04002704189492</v>
      </c>
      <c r="J211" s="10">
        <v>429.50626648187171</v>
      </c>
      <c r="K211" s="10">
        <v>194.8894443261552</v>
      </c>
      <c r="L211" s="10">
        <v>-33.561912809846824</v>
      </c>
      <c r="M211" s="10">
        <v>738.10820633361345</v>
      </c>
    </row>
    <row r="212" spans="2:13" x14ac:dyDescent="0.25">
      <c r="B212" s="2" t="s">
        <v>212</v>
      </c>
      <c r="C212" s="22">
        <v>1</v>
      </c>
      <c r="D212" s="10">
        <v>159.89999999999998</v>
      </c>
      <c r="E212" s="10">
        <v>255.04084622577571</v>
      </c>
      <c r="F212" s="10">
        <v>-95.140846225775732</v>
      </c>
      <c r="G212" s="10">
        <v>-0.49826293912196218</v>
      </c>
      <c r="H212" s="10">
        <v>30.521663652678544</v>
      </c>
      <c r="I212" s="10">
        <v>194.61516255482539</v>
      </c>
      <c r="J212" s="10">
        <v>315.466529896726</v>
      </c>
      <c r="K212" s="10">
        <v>193.36904469304434</v>
      </c>
      <c r="L212" s="10">
        <v>-127.78418124779509</v>
      </c>
      <c r="M212" s="10">
        <v>637.86587369934648</v>
      </c>
    </row>
    <row r="213" spans="2:13" x14ac:dyDescent="0.25">
      <c r="B213" s="2" t="s">
        <v>213</v>
      </c>
      <c r="C213" s="22">
        <v>1</v>
      </c>
      <c r="D213" s="10">
        <v>173.83</v>
      </c>
      <c r="E213" s="10">
        <v>316.78662914939872</v>
      </c>
      <c r="F213" s="10">
        <v>-142.95662914939871</v>
      </c>
      <c r="G213" s="10">
        <v>-0.74867938464530936</v>
      </c>
      <c r="H213" s="10">
        <v>24.367364472216014</v>
      </c>
      <c r="I213" s="10">
        <v>268.54500397954462</v>
      </c>
      <c r="J213" s="10">
        <v>365.02825431925282</v>
      </c>
      <c r="K213" s="10">
        <v>192.49359455497515</v>
      </c>
      <c r="L213" s="10">
        <v>-64.30521386494236</v>
      </c>
      <c r="M213" s="10">
        <v>697.87847216373984</v>
      </c>
    </row>
    <row r="214" spans="2:13" x14ac:dyDescent="0.25">
      <c r="B214" s="2" t="s">
        <v>214</v>
      </c>
      <c r="C214" s="22">
        <v>1</v>
      </c>
      <c r="D214" s="10">
        <v>211.73</v>
      </c>
      <c r="E214" s="10">
        <v>287.03371642670254</v>
      </c>
      <c r="F214" s="10">
        <v>-75.30371642670255</v>
      </c>
      <c r="G214" s="10">
        <v>-0.39437373706489404</v>
      </c>
      <c r="H214" s="10">
        <v>26.492270370040472</v>
      </c>
      <c r="I214" s="10">
        <v>234.58527956160165</v>
      </c>
      <c r="J214" s="10">
        <v>339.48215329180346</v>
      </c>
      <c r="K214" s="10">
        <v>192.77410584083296</v>
      </c>
      <c r="L214" s="10">
        <v>-94.613472666353616</v>
      </c>
      <c r="M214" s="10">
        <v>668.68090551975865</v>
      </c>
    </row>
    <row r="215" spans="2:13" x14ac:dyDescent="0.25">
      <c r="B215" s="2" t="s">
        <v>215</v>
      </c>
      <c r="C215" s="22">
        <v>1</v>
      </c>
      <c r="D215" s="10">
        <v>252.42</v>
      </c>
      <c r="E215" s="10">
        <v>285.87019590465604</v>
      </c>
      <c r="F215" s="10">
        <v>-33.450195904656056</v>
      </c>
      <c r="G215" s="10">
        <v>-0.17518230693583947</v>
      </c>
      <c r="H215" s="10">
        <v>27.943627300401392</v>
      </c>
      <c r="I215" s="10">
        <v>230.54841518236557</v>
      </c>
      <c r="J215" s="10">
        <v>341.19197662694654</v>
      </c>
      <c r="K215" s="10">
        <v>192.97891542880294</v>
      </c>
      <c r="L215" s="10">
        <v>-96.182467788876735</v>
      </c>
      <c r="M215" s="10">
        <v>667.92285959818878</v>
      </c>
    </row>
    <row r="216" spans="2:13" x14ac:dyDescent="0.25">
      <c r="B216" s="2" t="s">
        <v>216</v>
      </c>
      <c r="C216" s="22">
        <v>1</v>
      </c>
      <c r="D216" s="10">
        <v>386.84999999999997</v>
      </c>
      <c r="E216" s="10">
        <v>322.87510784815709</v>
      </c>
      <c r="F216" s="10">
        <v>63.97489215184288</v>
      </c>
      <c r="G216" s="10">
        <v>0.33504345460563917</v>
      </c>
      <c r="H216" s="10">
        <v>23.30290733963734</v>
      </c>
      <c r="I216" s="10">
        <v>276.74085633612265</v>
      </c>
      <c r="J216" s="10">
        <v>369.00935936019152</v>
      </c>
      <c r="K216" s="10">
        <v>192.36174511542848</v>
      </c>
      <c r="L216" s="10">
        <v>-57.955704423662851</v>
      </c>
      <c r="M216" s="10">
        <v>703.70592011997701</v>
      </c>
    </row>
    <row r="217" spans="2:13" x14ac:dyDescent="0.25">
      <c r="B217" s="2" t="s">
        <v>217</v>
      </c>
      <c r="C217" s="22">
        <v>1</v>
      </c>
      <c r="D217" s="10">
        <v>355.87</v>
      </c>
      <c r="E217" s="10">
        <v>355.94173324889186</v>
      </c>
      <c r="F217" s="10">
        <v>-7.1733248891860057E-2</v>
      </c>
      <c r="G217" s="10">
        <v>-3.75674811014474E-4</v>
      </c>
      <c r="H217" s="10">
        <v>28.352153267910118</v>
      </c>
      <c r="I217" s="10">
        <v>299.81116762008514</v>
      </c>
      <c r="J217" s="10">
        <v>412.07229887769859</v>
      </c>
      <c r="K217" s="10">
        <v>193.03849379929488</v>
      </c>
      <c r="L217" s="10">
        <v>-26.22888154356999</v>
      </c>
      <c r="M217" s="10">
        <v>738.1123480413537</v>
      </c>
    </row>
    <row r="218" spans="2:13" x14ac:dyDescent="0.25">
      <c r="B218" s="2" t="s">
        <v>218</v>
      </c>
      <c r="C218" s="22">
        <v>1</v>
      </c>
      <c r="D218" s="10">
        <v>503.04</v>
      </c>
      <c r="E218" s="10">
        <v>372.51147395369736</v>
      </c>
      <c r="F218" s="10">
        <v>130.52852604630266</v>
      </c>
      <c r="G218" s="10">
        <v>0.68359205963703396</v>
      </c>
      <c r="H218" s="10">
        <v>27.942413439866208</v>
      </c>
      <c r="I218" s="10">
        <v>317.1920963885072</v>
      </c>
      <c r="J218" s="10">
        <v>427.83085151888753</v>
      </c>
      <c r="K218" s="10">
        <v>192.97873966377165</v>
      </c>
      <c r="L218" s="10">
        <v>-9.5408417665957579</v>
      </c>
      <c r="M218" s="10">
        <v>754.56378967399041</v>
      </c>
    </row>
    <row r="219" spans="2:13" x14ac:dyDescent="0.25">
      <c r="B219" s="2" t="s">
        <v>219</v>
      </c>
      <c r="C219" s="22">
        <v>1</v>
      </c>
      <c r="D219" s="10">
        <v>680.98</v>
      </c>
      <c r="E219" s="10">
        <v>252.44645755070115</v>
      </c>
      <c r="F219" s="10">
        <v>428.53354244929886</v>
      </c>
      <c r="G219" s="10">
        <v>2.2442766786668114</v>
      </c>
      <c r="H219" s="10">
        <v>32.976785446200523</v>
      </c>
      <c r="I219" s="10">
        <v>187.16021272039885</v>
      </c>
      <c r="J219" s="10">
        <v>317.73270238100349</v>
      </c>
      <c r="K219" s="10">
        <v>193.77173135351319</v>
      </c>
      <c r="L219" s="10">
        <v>-131.17579438091016</v>
      </c>
      <c r="M219" s="10">
        <v>636.06870948231244</v>
      </c>
    </row>
    <row r="220" spans="2:13" x14ac:dyDescent="0.25">
      <c r="B220" s="2" t="s">
        <v>220</v>
      </c>
      <c r="C220" s="22">
        <v>1</v>
      </c>
      <c r="D220" s="10">
        <v>583.70000000000005</v>
      </c>
      <c r="E220" s="10">
        <v>381.58138558064394</v>
      </c>
      <c r="F220" s="10">
        <v>202.11861441935611</v>
      </c>
      <c r="G220" s="10">
        <v>1.0585171234745958</v>
      </c>
      <c r="H220" s="10">
        <v>29.984700791305389</v>
      </c>
      <c r="I220" s="10">
        <v>322.21876152445139</v>
      </c>
      <c r="J220" s="10">
        <v>440.94400963683648</v>
      </c>
      <c r="K220" s="10">
        <v>193.28501694367688</v>
      </c>
      <c r="L220" s="10">
        <v>-1.077286799684271</v>
      </c>
      <c r="M220" s="10">
        <v>764.24005796097208</v>
      </c>
    </row>
    <row r="221" spans="2:13" ht="15.75" thickBot="1" x14ac:dyDescent="0.3">
      <c r="B221" s="16" t="s">
        <v>221</v>
      </c>
      <c r="C221" s="23">
        <v>1</v>
      </c>
      <c r="D221" s="17">
        <v>174</v>
      </c>
      <c r="E221" s="17">
        <v>319.57175178409773</v>
      </c>
      <c r="F221" s="17">
        <v>-145.57175178409773</v>
      </c>
      <c r="G221" s="17">
        <v>-0.76237506575200609</v>
      </c>
      <c r="H221" s="17">
        <v>31.62006422651536</v>
      </c>
      <c r="I221" s="17">
        <v>256.97149446035019</v>
      </c>
      <c r="J221" s="17">
        <v>382.17200910784527</v>
      </c>
      <c r="K221" s="17">
        <v>193.54545707678673</v>
      </c>
      <c r="L221" s="17">
        <v>-63.602530534063447</v>
      </c>
      <c r="M221" s="17">
        <v>702.74603410225882</v>
      </c>
    </row>
  </sheetData>
  <pageMargins left="0.7" right="0.7" top="0.75" bottom="0.75" header="0.3" footer="0.3"/>
  <ignoredErrors>
    <ignoredError sqref="A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75" zoomScaleNormal="75" workbookViewId="0">
      <pane ySplit="1" topLeftCell="A2" activePane="bottomLeft" state="frozen"/>
      <selection pane="bottomLeft" activeCell="G62" sqref="G62"/>
    </sheetView>
  </sheetViews>
  <sheetFormatPr defaultRowHeight="15" x14ac:dyDescent="0.25"/>
  <cols>
    <col min="1" max="1" width="6" customWidth="1"/>
    <col min="2" max="2" width="10.28515625" customWidth="1"/>
    <col min="6" max="6" width="10.85546875" customWidth="1"/>
    <col min="7" max="7" width="14.85546875" customWidth="1"/>
    <col min="8" max="8" width="19.140625" customWidth="1"/>
    <col min="9" max="9" width="23.42578125" customWidth="1"/>
    <col min="10" max="10" width="13.5703125" customWidth="1"/>
    <col min="11" max="11" width="10.5703125" customWidth="1"/>
    <col min="12" max="12" width="18" customWidth="1"/>
    <col min="25" max="25" width="14.140625" customWidth="1"/>
    <col min="26" max="26" width="13.71093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23</v>
      </c>
      <c r="E1" t="s">
        <v>25</v>
      </c>
      <c r="F1" t="s">
        <v>26</v>
      </c>
      <c r="G1" t="s">
        <v>3</v>
      </c>
      <c r="H1" t="s">
        <v>4</v>
      </c>
      <c r="I1" t="s">
        <v>5</v>
      </c>
      <c r="J1" t="s">
        <v>6</v>
      </c>
      <c r="K1" t="s">
        <v>20</v>
      </c>
      <c r="L1" t="s">
        <v>22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16</v>
      </c>
      <c r="V1" t="s">
        <v>17</v>
      </c>
      <c r="W1" t="s">
        <v>18</v>
      </c>
      <c r="X1" t="s">
        <v>19</v>
      </c>
      <c r="Y1" t="s">
        <v>15</v>
      </c>
      <c r="Z1" t="s">
        <v>21</v>
      </c>
    </row>
    <row r="2" spans="1:26" x14ac:dyDescent="0.25">
      <c r="A2">
        <v>1</v>
      </c>
      <c r="B2">
        <v>52.46</v>
      </c>
      <c r="C2">
        <v>92.87</v>
      </c>
      <c r="D2">
        <v>0.95</v>
      </c>
      <c r="E2">
        <v>0</v>
      </c>
      <c r="F2">
        <v>0</v>
      </c>
      <c r="G2">
        <f>17.58+0.83</f>
        <v>18.409999999999997</v>
      </c>
      <c r="H2">
        <v>0</v>
      </c>
      <c r="I2">
        <v>0</v>
      </c>
      <c r="J2">
        <f>H2+I2</f>
        <v>0</v>
      </c>
      <c r="K2">
        <v>64.2</v>
      </c>
      <c r="L2">
        <f>SUM(M2:U2)-Z2-(5*0.45)</f>
        <v>42.01</v>
      </c>
      <c r="M2">
        <v>8.24</v>
      </c>
      <c r="N2">
        <v>8.1300000000000008</v>
      </c>
      <c r="O2">
        <v>10.37</v>
      </c>
      <c r="P2">
        <v>8.69</v>
      </c>
      <c r="Q2">
        <v>8.83</v>
      </c>
      <c r="Y2">
        <v>5</v>
      </c>
      <c r="Z2">
        <v>0</v>
      </c>
    </row>
    <row r="3" spans="1:26" x14ac:dyDescent="0.25">
      <c r="A3">
        <v>2</v>
      </c>
      <c r="B3">
        <v>148.07</v>
      </c>
      <c r="C3">
        <v>910</v>
      </c>
      <c r="D3">
        <v>0.39</v>
      </c>
      <c r="E3">
        <v>0</v>
      </c>
      <c r="F3">
        <v>0</v>
      </c>
      <c r="G3">
        <f>151.27+13.69</f>
        <v>164.96</v>
      </c>
      <c r="H3">
        <v>5</v>
      </c>
      <c r="I3">
        <v>0</v>
      </c>
      <c r="J3">
        <f t="shared" ref="J3:J12" si="0">H3+I3</f>
        <v>5</v>
      </c>
      <c r="K3">
        <v>178.3</v>
      </c>
      <c r="L3">
        <f>SUM(M3:U3)-Z3-(6*0.45)</f>
        <v>65.47</v>
      </c>
      <c r="M3">
        <v>10.76</v>
      </c>
      <c r="N3">
        <v>11.16</v>
      </c>
      <c r="O3">
        <v>12.04</v>
      </c>
      <c r="P3">
        <v>10.37</v>
      </c>
      <c r="Q3">
        <v>11.61</v>
      </c>
      <c r="R3">
        <v>12.23</v>
      </c>
      <c r="Y3">
        <v>5</v>
      </c>
      <c r="Z3">
        <v>0</v>
      </c>
    </row>
    <row r="4" spans="1:26" x14ac:dyDescent="0.25">
      <c r="A4">
        <v>3</v>
      </c>
      <c r="B4">
        <v>171.52</v>
      </c>
      <c r="C4">
        <v>3310</v>
      </c>
      <c r="D4">
        <f>0.19+E4</f>
        <v>8.4499999999999993</v>
      </c>
      <c r="E4">
        <v>8.26</v>
      </c>
      <c r="F4">
        <v>0.27</v>
      </c>
      <c r="G4">
        <f>539.32+8.21+F4</f>
        <v>547.80000000000007</v>
      </c>
      <c r="H4">
        <v>23</v>
      </c>
      <c r="I4">
        <v>0</v>
      </c>
      <c r="J4">
        <f t="shared" si="0"/>
        <v>23</v>
      </c>
      <c r="K4">
        <v>39.700000000000003</v>
      </c>
      <c r="L4">
        <f>SUM(M4:U4)-Z4-(7*0.45)</f>
        <v>62.110000000000007</v>
      </c>
      <c r="M4">
        <v>9.01</v>
      </c>
      <c r="N4">
        <v>8.7899999999999991</v>
      </c>
      <c r="O4">
        <v>9</v>
      </c>
      <c r="P4">
        <v>10.07</v>
      </c>
      <c r="Q4">
        <v>10.050000000000001</v>
      </c>
      <c r="R4">
        <v>8.4499999999999993</v>
      </c>
      <c r="S4">
        <v>11.86</v>
      </c>
      <c r="Y4">
        <v>5</v>
      </c>
      <c r="Z4">
        <v>1.97</v>
      </c>
    </row>
    <row r="5" spans="1:26" x14ac:dyDescent="0.25">
      <c r="A5">
        <v>4</v>
      </c>
      <c r="B5">
        <v>116.7</v>
      </c>
      <c r="C5">
        <v>1845</v>
      </c>
      <c r="D5">
        <f>0.23+E5</f>
        <v>6.53</v>
      </c>
      <c r="E5">
        <v>6.3</v>
      </c>
      <c r="F5">
        <v>0.01</v>
      </c>
      <c r="G5">
        <f>705+9.54+F5</f>
        <v>714.55</v>
      </c>
      <c r="H5">
        <v>0</v>
      </c>
      <c r="I5">
        <v>0</v>
      </c>
      <c r="J5">
        <f t="shared" si="0"/>
        <v>0</v>
      </c>
      <c r="K5">
        <v>3.7</v>
      </c>
      <c r="L5">
        <f>SUM(M5:U5)-Z5-(6*0.45)</f>
        <v>60.06</v>
      </c>
      <c r="M5">
        <v>10.84</v>
      </c>
      <c r="N5">
        <v>9.4600000000000009</v>
      </c>
      <c r="O5">
        <v>10.7</v>
      </c>
      <c r="P5">
        <v>10.85</v>
      </c>
      <c r="Q5">
        <v>9.7100000000000009</v>
      </c>
      <c r="R5">
        <v>13.9</v>
      </c>
      <c r="Y5">
        <v>5</v>
      </c>
      <c r="Z5">
        <v>2.7</v>
      </c>
    </row>
    <row r="6" spans="1:26" x14ac:dyDescent="0.25">
      <c r="A6">
        <v>5</v>
      </c>
      <c r="B6">
        <v>165.13</v>
      </c>
      <c r="C6">
        <v>1650</v>
      </c>
      <c r="D6">
        <f>0.94+E6</f>
        <v>7.57</v>
      </c>
      <c r="E6">
        <v>6.63</v>
      </c>
      <c r="F6">
        <v>0</v>
      </c>
      <c r="G6">
        <f>840+8.52</f>
        <v>848.52</v>
      </c>
      <c r="H6">
        <v>50</v>
      </c>
      <c r="I6">
        <v>248</v>
      </c>
      <c r="J6">
        <f t="shared" si="0"/>
        <v>298</v>
      </c>
      <c r="K6">
        <v>0</v>
      </c>
      <c r="L6">
        <f>SUM(M6:U6)-Z6-(7*0.45)</f>
        <v>74.94</v>
      </c>
      <c r="M6">
        <v>11.06</v>
      </c>
      <c r="N6">
        <v>11.14</v>
      </c>
      <c r="O6">
        <v>11.95</v>
      </c>
      <c r="P6">
        <v>9.89</v>
      </c>
      <c r="Q6">
        <v>12.64</v>
      </c>
      <c r="R6">
        <v>11.4</v>
      </c>
      <c r="S6">
        <v>14.6</v>
      </c>
      <c r="Y6">
        <v>5</v>
      </c>
      <c r="Z6">
        <v>4.59</v>
      </c>
    </row>
    <row r="7" spans="1:26" x14ac:dyDescent="0.25">
      <c r="A7">
        <v>6</v>
      </c>
      <c r="B7">
        <v>124.62</v>
      </c>
      <c r="C7">
        <v>1350</v>
      </c>
      <c r="D7">
        <f>2.69+E7</f>
        <v>11.059999999999999</v>
      </c>
      <c r="E7">
        <v>8.3699999999999992</v>
      </c>
      <c r="F7">
        <v>0</v>
      </c>
      <c r="G7">
        <f>570+10.11</f>
        <v>580.11</v>
      </c>
      <c r="H7">
        <v>18</v>
      </c>
      <c r="I7">
        <v>123</v>
      </c>
      <c r="J7">
        <f>H7+I7</f>
        <v>141</v>
      </c>
      <c r="K7">
        <v>0</v>
      </c>
      <c r="L7">
        <f>SUM(M7:U7)-Z7-(7*0.45)</f>
        <v>61.024999999999999</v>
      </c>
      <c r="M7">
        <v>9.7850000000000001</v>
      </c>
      <c r="N7">
        <v>10.6</v>
      </c>
      <c r="O7">
        <v>9.25</v>
      </c>
      <c r="P7">
        <v>8.84</v>
      </c>
      <c r="Q7">
        <v>8.99</v>
      </c>
      <c r="R7">
        <v>10.67</v>
      </c>
      <c r="S7">
        <v>10.51</v>
      </c>
      <c r="Y7">
        <v>5</v>
      </c>
      <c r="Z7">
        <v>4.47</v>
      </c>
    </row>
    <row r="8" spans="1:26" x14ac:dyDescent="0.25">
      <c r="A8">
        <v>7</v>
      </c>
      <c r="B8">
        <v>188.26</v>
      </c>
      <c r="C8">
        <v>1295</v>
      </c>
      <c r="D8">
        <f>3.33+E8</f>
        <v>9.73</v>
      </c>
      <c r="E8">
        <v>6.4</v>
      </c>
      <c r="F8">
        <v>0</v>
      </c>
      <c r="G8">
        <f>840+11.01</f>
        <v>851.01</v>
      </c>
      <c r="H8">
        <v>2</v>
      </c>
      <c r="I8">
        <v>72</v>
      </c>
      <c r="J8">
        <f t="shared" si="0"/>
        <v>74</v>
      </c>
      <c r="K8">
        <v>0</v>
      </c>
      <c r="L8">
        <f>SUM(M8:U8)-Z8-(7*0.45)</f>
        <v>53.900000000000006</v>
      </c>
      <c r="M8">
        <v>9.64</v>
      </c>
      <c r="N8">
        <v>9.77</v>
      </c>
      <c r="O8">
        <v>10.9</v>
      </c>
      <c r="P8">
        <v>10.3</v>
      </c>
      <c r="Q8">
        <v>10.51</v>
      </c>
      <c r="R8">
        <v>7.38</v>
      </c>
      <c r="S8">
        <v>1.31</v>
      </c>
      <c r="Y8">
        <v>5</v>
      </c>
      <c r="Z8">
        <v>2.76</v>
      </c>
    </row>
    <row r="9" spans="1:26" x14ac:dyDescent="0.25">
      <c r="A9">
        <v>8</v>
      </c>
      <c r="B9">
        <v>167.84</v>
      </c>
      <c r="C9">
        <v>895</v>
      </c>
      <c r="D9">
        <f>E9</f>
        <v>4.8099999999999996</v>
      </c>
      <c r="E9">
        <v>4.8099999999999996</v>
      </c>
      <c r="F9">
        <v>0.44</v>
      </c>
      <c r="G9">
        <f>349.3+21.53+F9</f>
        <v>371.27000000000004</v>
      </c>
      <c r="H9">
        <v>4</v>
      </c>
      <c r="I9">
        <v>15</v>
      </c>
      <c r="J9">
        <f t="shared" si="0"/>
        <v>19</v>
      </c>
      <c r="K9">
        <v>0</v>
      </c>
      <c r="L9">
        <f t="shared" ref="L9:L14" si="1">SUM(M9:U9)-Z9-(6*0.45)</f>
        <v>42.069999999999993</v>
      </c>
      <c r="M9">
        <v>9.58</v>
      </c>
      <c r="N9">
        <v>10.210000000000001</v>
      </c>
      <c r="O9">
        <v>10.119999999999999</v>
      </c>
      <c r="P9">
        <v>9</v>
      </c>
      <c r="Q9">
        <v>3.83</v>
      </c>
      <c r="R9">
        <v>6.39</v>
      </c>
      <c r="Y9">
        <v>5</v>
      </c>
      <c r="Z9">
        <v>4.3600000000000003</v>
      </c>
    </row>
    <row r="10" spans="1:26" x14ac:dyDescent="0.25">
      <c r="A10">
        <v>9</v>
      </c>
      <c r="B10">
        <v>108.58</v>
      </c>
      <c r="C10">
        <v>895</v>
      </c>
      <c r="D10">
        <f>E10</f>
        <v>3.19</v>
      </c>
      <c r="E10">
        <v>3.19</v>
      </c>
      <c r="F10">
        <v>0</v>
      </c>
      <c r="G10">
        <f>327.9+12.58</f>
        <v>340.47999999999996</v>
      </c>
      <c r="H10">
        <v>31</v>
      </c>
      <c r="I10">
        <v>81</v>
      </c>
      <c r="J10">
        <f t="shared" si="0"/>
        <v>112</v>
      </c>
      <c r="K10">
        <v>0</v>
      </c>
      <c r="L10">
        <f t="shared" si="1"/>
        <v>54.089999999999996</v>
      </c>
      <c r="M10">
        <v>11.45</v>
      </c>
      <c r="N10">
        <v>9.69</v>
      </c>
      <c r="O10">
        <v>10.7</v>
      </c>
      <c r="P10">
        <v>9.19</v>
      </c>
      <c r="Q10">
        <v>10.61</v>
      </c>
      <c r="R10">
        <v>10.27</v>
      </c>
      <c r="Y10">
        <v>5</v>
      </c>
      <c r="Z10">
        <v>5.12</v>
      </c>
    </row>
    <row r="11" spans="1:26" x14ac:dyDescent="0.25">
      <c r="A11">
        <v>10</v>
      </c>
      <c r="B11">
        <v>191.8</v>
      </c>
      <c r="C11">
        <v>925</v>
      </c>
      <c r="D11">
        <f>1.44+E11</f>
        <v>3.19</v>
      </c>
      <c r="E11">
        <v>1.75</v>
      </c>
      <c r="F11">
        <v>0</v>
      </c>
      <c r="G11">
        <f>291.62+12.44</f>
        <v>304.06</v>
      </c>
      <c r="H11">
        <v>18</v>
      </c>
      <c r="I11">
        <v>144</v>
      </c>
      <c r="J11">
        <f t="shared" si="0"/>
        <v>162</v>
      </c>
      <c r="K11">
        <v>0</v>
      </c>
      <c r="L11">
        <f t="shared" si="1"/>
        <v>55.51</v>
      </c>
      <c r="M11">
        <v>10.84</v>
      </c>
      <c r="N11">
        <v>10.14</v>
      </c>
      <c r="O11">
        <v>11.26</v>
      </c>
      <c r="P11">
        <v>12.39</v>
      </c>
      <c r="Q11">
        <v>10.81</v>
      </c>
      <c r="R11">
        <v>8.9499999999999993</v>
      </c>
      <c r="Y11">
        <v>5</v>
      </c>
      <c r="Z11">
        <v>6.18</v>
      </c>
    </row>
    <row r="12" spans="1:26" x14ac:dyDescent="0.25">
      <c r="A12">
        <v>11</v>
      </c>
      <c r="B12">
        <v>111.74</v>
      </c>
      <c r="C12">
        <v>1320</v>
      </c>
      <c r="D12">
        <f>3.75+E12</f>
        <v>5.49</v>
      </c>
      <c r="E12">
        <v>1.74</v>
      </c>
      <c r="F12">
        <v>0.83</v>
      </c>
      <c r="G12">
        <f>341.01+16.73+F12</f>
        <v>358.57</v>
      </c>
      <c r="H12">
        <v>19</v>
      </c>
      <c r="I12">
        <v>13</v>
      </c>
      <c r="J12">
        <f t="shared" si="0"/>
        <v>32</v>
      </c>
      <c r="K12">
        <v>0</v>
      </c>
      <c r="L12">
        <f t="shared" si="1"/>
        <v>50.489999999999995</v>
      </c>
      <c r="M12">
        <v>8.42</v>
      </c>
      <c r="N12">
        <v>11.6</v>
      </c>
      <c r="O12">
        <v>11.08</v>
      </c>
      <c r="P12">
        <v>11.15</v>
      </c>
      <c r="Q12">
        <v>12.56</v>
      </c>
      <c r="R12">
        <v>3.86</v>
      </c>
      <c r="Y12">
        <v>5</v>
      </c>
      <c r="Z12">
        <v>5.48</v>
      </c>
    </row>
    <row r="13" spans="1:26" x14ac:dyDescent="0.25">
      <c r="A13">
        <v>12</v>
      </c>
      <c r="B13">
        <v>259.02</v>
      </c>
      <c r="C13">
        <v>1890</v>
      </c>
      <c r="D13">
        <f>0.45+E13</f>
        <v>4.75</v>
      </c>
      <c r="E13">
        <v>4.3</v>
      </c>
      <c r="F13">
        <v>1.62</v>
      </c>
      <c r="G13">
        <f>303.86+14.33+F13</f>
        <v>319.81</v>
      </c>
      <c r="H13">
        <v>80</v>
      </c>
      <c r="I13">
        <v>2</v>
      </c>
      <c r="J13">
        <f>H13+I13</f>
        <v>82</v>
      </c>
      <c r="K13">
        <v>0</v>
      </c>
      <c r="L13">
        <f t="shared" si="1"/>
        <v>47.15</v>
      </c>
      <c r="M13">
        <v>9.07</v>
      </c>
      <c r="N13">
        <v>8.52</v>
      </c>
      <c r="O13">
        <v>9.4600000000000009</v>
      </c>
      <c r="P13">
        <v>9.94</v>
      </c>
      <c r="Q13">
        <v>9.9600000000000009</v>
      </c>
      <c r="R13">
        <v>7.32</v>
      </c>
      <c r="Y13">
        <v>5</v>
      </c>
      <c r="Z13">
        <v>4.42</v>
      </c>
    </row>
    <row r="14" spans="1:26" x14ac:dyDescent="0.25">
      <c r="A14">
        <v>13</v>
      </c>
      <c r="B14">
        <v>235.61</v>
      </c>
      <c r="C14">
        <v>1730</v>
      </c>
      <c r="D14">
        <f>2.72+E14</f>
        <v>17.239999999999998</v>
      </c>
      <c r="E14">
        <v>14.52</v>
      </c>
      <c r="F14">
        <v>1.17</v>
      </c>
      <c r="G14">
        <f>335+8.08+F14</f>
        <v>344.25</v>
      </c>
      <c r="H14">
        <v>52</v>
      </c>
      <c r="I14">
        <v>33</v>
      </c>
      <c r="J14">
        <f>H14+I14</f>
        <v>85</v>
      </c>
      <c r="K14">
        <v>0</v>
      </c>
      <c r="L14">
        <f t="shared" si="1"/>
        <v>53.29999999999999</v>
      </c>
      <c r="M14">
        <v>9.2899999999999991</v>
      </c>
      <c r="N14">
        <v>9.51</v>
      </c>
      <c r="O14">
        <v>10.01</v>
      </c>
      <c r="P14">
        <v>11.48</v>
      </c>
      <c r="Q14">
        <v>10.3</v>
      </c>
      <c r="R14">
        <v>11.53</v>
      </c>
      <c r="Y14">
        <v>5</v>
      </c>
      <c r="Z14">
        <v>6.12</v>
      </c>
    </row>
    <row r="15" spans="1:26" x14ac:dyDescent="0.25">
      <c r="A15">
        <v>14</v>
      </c>
      <c r="B15">
        <v>251.78</v>
      </c>
      <c r="C15">
        <v>1665</v>
      </c>
      <c r="D15">
        <f>3.45+E15</f>
        <v>20.48</v>
      </c>
      <c r="E15">
        <v>17.03</v>
      </c>
      <c r="F15">
        <v>2.85</v>
      </c>
      <c r="G15">
        <f>402.91+8.57+F15</f>
        <v>414.33000000000004</v>
      </c>
      <c r="H15">
        <v>0</v>
      </c>
      <c r="I15">
        <v>32</v>
      </c>
      <c r="J15">
        <f>H15+I15</f>
        <v>32</v>
      </c>
      <c r="K15">
        <v>0</v>
      </c>
      <c r="L15">
        <f>SUM(M15:U15)-Z15-(7*0.45)</f>
        <v>56.389999999999993</v>
      </c>
      <c r="M15">
        <v>9.09</v>
      </c>
      <c r="N15">
        <v>8.69</v>
      </c>
      <c r="O15">
        <v>9.27</v>
      </c>
      <c r="P15">
        <v>7.99</v>
      </c>
      <c r="Q15">
        <v>9.83</v>
      </c>
      <c r="R15">
        <v>9.86</v>
      </c>
      <c r="S15">
        <v>8.98</v>
      </c>
      <c r="Y15">
        <v>5</v>
      </c>
      <c r="Z15">
        <v>4.17</v>
      </c>
    </row>
    <row r="16" spans="1:26" x14ac:dyDescent="0.25">
      <c r="A16">
        <v>15</v>
      </c>
      <c r="B16">
        <v>392.83</v>
      </c>
      <c r="C16">
        <v>1450</v>
      </c>
      <c r="D16">
        <v>0</v>
      </c>
      <c r="E16">
        <v>0</v>
      </c>
      <c r="F16">
        <v>0</v>
      </c>
      <c r="G16">
        <f>370.25+5.98</f>
        <v>376.23</v>
      </c>
      <c r="H16">
        <v>7</v>
      </c>
      <c r="I16">
        <v>20</v>
      </c>
      <c r="J16">
        <f>H16+I16</f>
        <v>27</v>
      </c>
      <c r="K16">
        <v>0</v>
      </c>
      <c r="L16">
        <f>SUM(M16:U16)-Z16-(7*0.45)</f>
        <v>62.46</v>
      </c>
      <c r="M16">
        <v>9.35</v>
      </c>
      <c r="N16">
        <v>10.08</v>
      </c>
      <c r="O16">
        <v>9.9499999999999993</v>
      </c>
      <c r="P16">
        <v>10.33</v>
      </c>
      <c r="Q16">
        <v>10.15</v>
      </c>
      <c r="R16">
        <v>10.82</v>
      </c>
      <c r="S16">
        <v>9.56</v>
      </c>
      <c r="Y16">
        <v>5</v>
      </c>
      <c r="Z16">
        <v>4.63</v>
      </c>
    </row>
    <row r="17" spans="1:26" x14ac:dyDescent="0.25">
      <c r="A17">
        <v>16</v>
      </c>
      <c r="B17">
        <v>452.52</v>
      </c>
      <c r="C17">
        <v>1100</v>
      </c>
      <c r="D17">
        <f>E17</f>
        <v>214.3</v>
      </c>
      <c r="E17">
        <v>214.3</v>
      </c>
      <c r="F17">
        <v>0</v>
      </c>
      <c r="G17">
        <f>381.75+11.21</f>
        <v>392.96</v>
      </c>
      <c r="H17">
        <v>1</v>
      </c>
      <c r="I17">
        <v>3.5</v>
      </c>
      <c r="J17">
        <v>4.5</v>
      </c>
      <c r="K17">
        <v>0</v>
      </c>
      <c r="L17">
        <f>SUM(M17:U17)-Z17-(7*0.45)</f>
        <v>63.35</v>
      </c>
      <c r="M17">
        <v>11.8</v>
      </c>
      <c r="N17">
        <v>11.2</v>
      </c>
      <c r="O17">
        <v>9.14</v>
      </c>
      <c r="P17">
        <v>11.31</v>
      </c>
      <c r="Q17">
        <v>11.13</v>
      </c>
      <c r="R17">
        <v>9.83</v>
      </c>
      <c r="S17">
        <v>10.24</v>
      </c>
      <c r="Y17">
        <v>5</v>
      </c>
      <c r="Z17">
        <v>8.15</v>
      </c>
    </row>
    <row r="18" spans="1:26" x14ac:dyDescent="0.25">
      <c r="A18">
        <v>17</v>
      </c>
      <c r="B18">
        <v>244.48</v>
      </c>
      <c r="C18">
        <v>750</v>
      </c>
      <c r="D18">
        <f>2.14+E18</f>
        <v>7.92</v>
      </c>
      <c r="E18">
        <v>5.78</v>
      </c>
      <c r="F18">
        <v>0.25</v>
      </c>
      <c r="G18">
        <f>397.44+38.29+F18</f>
        <v>435.98</v>
      </c>
      <c r="H18">
        <v>51</v>
      </c>
      <c r="I18">
        <v>28</v>
      </c>
      <c r="J18">
        <f>H18+I18</f>
        <v>79</v>
      </c>
      <c r="K18">
        <v>0</v>
      </c>
      <c r="L18">
        <f>SUM(M18:U18)-Z18-(5*0.45)</f>
        <v>39.729999999999997</v>
      </c>
      <c r="M18">
        <v>7.27</v>
      </c>
      <c r="N18">
        <v>9.48</v>
      </c>
      <c r="O18">
        <v>9.49</v>
      </c>
      <c r="P18">
        <v>9.09</v>
      </c>
      <c r="Q18">
        <v>9.08</v>
      </c>
      <c r="Y18">
        <v>5</v>
      </c>
      <c r="Z18">
        <v>2.4300000000000002</v>
      </c>
    </row>
    <row r="19" spans="1:26" x14ac:dyDescent="0.25">
      <c r="A19">
        <v>18</v>
      </c>
      <c r="B19">
        <v>405.93</v>
      </c>
      <c r="C19">
        <v>1110</v>
      </c>
      <c r="D19">
        <f>1.73+E19</f>
        <v>7.4700000000000006</v>
      </c>
      <c r="E19">
        <v>5.74</v>
      </c>
      <c r="F19">
        <v>0</v>
      </c>
      <c r="G19">
        <f>565+62.78</f>
        <v>627.78</v>
      </c>
      <c r="H19">
        <v>0</v>
      </c>
      <c r="I19">
        <v>50</v>
      </c>
      <c r="J19">
        <f>H19+I19</f>
        <v>50</v>
      </c>
      <c r="K19">
        <v>0</v>
      </c>
      <c r="L19">
        <f>SUM(M19:U19)-Z19-(8*0.45)</f>
        <v>68.715000000000003</v>
      </c>
      <c r="M19">
        <v>9.2899999999999991</v>
      </c>
      <c r="N19">
        <v>9.52</v>
      </c>
      <c r="O19">
        <v>8.64</v>
      </c>
      <c r="P19">
        <v>9.74</v>
      </c>
      <c r="Q19">
        <v>9.3800000000000008</v>
      </c>
      <c r="R19">
        <v>9.36</v>
      </c>
      <c r="S19">
        <v>9.51</v>
      </c>
      <c r="T19">
        <v>10.27</v>
      </c>
      <c r="Y19">
        <v>5</v>
      </c>
      <c r="Z19">
        <v>3.395</v>
      </c>
    </row>
    <row r="20" spans="1:26" x14ac:dyDescent="0.25">
      <c r="A20">
        <v>19</v>
      </c>
      <c r="B20">
        <v>550</v>
      </c>
      <c r="C20">
        <v>1635</v>
      </c>
      <c r="D20">
        <f>2.31+E20</f>
        <v>11.24</v>
      </c>
      <c r="E20">
        <v>8.93</v>
      </c>
      <c r="F20">
        <v>0</v>
      </c>
      <c r="G20">
        <f>718</f>
        <v>718</v>
      </c>
      <c r="H20">
        <v>0</v>
      </c>
      <c r="I20">
        <v>49</v>
      </c>
      <c r="J20">
        <f>H20+I20</f>
        <v>49</v>
      </c>
      <c r="K20">
        <v>0</v>
      </c>
      <c r="L20">
        <f>SUM(M20:U20)-Z20-(8*0.45)</f>
        <v>67.555000000000007</v>
      </c>
      <c r="M20">
        <v>10.45</v>
      </c>
      <c r="N20">
        <v>9.0299999999999994</v>
      </c>
      <c r="O20">
        <v>10.15</v>
      </c>
      <c r="P20">
        <v>9.89</v>
      </c>
      <c r="Q20">
        <v>10.79</v>
      </c>
      <c r="R20">
        <v>9.85</v>
      </c>
      <c r="S20">
        <v>10.5</v>
      </c>
      <c r="T20">
        <v>2.67</v>
      </c>
      <c r="Y20">
        <v>5</v>
      </c>
      <c r="Z20">
        <v>2.1749999999999998</v>
      </c>
    </row>
    <row r="21" spans="1:26" x14ac:dyDescent="0.25">
      <c r="A21">
        <v>20</v>
      </c>
      <c r="B21">
        <v>420</v>
      </c>
      <c r="C21">
        <v>1505</v>
      </c>
      <c r="D21">
        <f>6+E21</f>
        <v>14.47</v>
      </c>
      <c r="E21">
        <v>8.4700000000000006</v>
      </c>
      <c r="F21">
        <v>0</v>
      </c>
      <c r="G21">
        <f>860+57.7</f>
        <v>917.7</v>
      </c>
      <c r="H21">
        <v>6.5</v>
      </c>
      <c r="I21">
        <v>14</v>
      </c>
      <c r="J21">
        <f>H21+I21</f>
        <v>20.5</v>
      </c>
      <c r="K21">
        <v>0</v>
      </c>
      <c r="L21">
        <f>SUM(M21:U21)-Z21-(7*0.45)</f>
        <v>59.52000000000001</v>
      </c>
      <c r="M21">
        <v>9.83</v>
      </c>
      <c r="N21">
        <v>9.0299999999999994</v>
      </c>
      <c r="O21">
        <v>9.4600000000000009</v>
      </c>
      <c r="P21">
        <v>8.5</v>
      </c>
      <c r="Q21">
        <v>9.0500000000000007</v>
      </c>
      <c r="R21">
        <v>9.7799999999999994</v>
      </c>
      <c r="S21">
        <v>9.42</v>
      </c>
      <c r="Y21">
        <v>5</v>
      </c>
      <c r="Z21">
        <v>2.4</v>
      </c>
    </row>
    <row r="22" spans="1:26" x14ac:dyDescent="0.25">
      <c r="A22">
        <v>21</v>
      </c>
      <c r="B22">
        <v>455</v>
      </c>
      <c r="C22">
        <v>1835</v>
      </c>
      <c r="D22">
        <f>1.5+E22</f>
        <v>5.1899999999999995</v>
      </c>
      <c r="E22">
        <v>3.69</v>
      </c>
      <c r="F22">
        <v>0</v>
      </c>
      <c r="G22">
        <f>1060+211.56</f>
        <v>1271.56</v>
      </c>
      <c r="H22">
        <v>3</v>
      </c>
      <c r="I22">
        <v>15</v>
      </c>
      <c r="J22">
        <f t="shared" ref="J22:J28" si="2">H22+I22</f>
        <v>18</v>
      </c>
      <c r="K22">
        <v>0</v>
      </c>
      <c r="L22">
        <f>SUM(M22:U22)-Z22-(7*0.45)</f>
        <v>65.569999999999993</v>
      </c>
      <c r="M22">
        <v>9.24</v>
      </c>
      <c r="N22">
        <v>10.28</v>
      </c>
      <c r="O22">
        <v>10.75</v>
      </c>
      <c r="P22">
        <v>9.68</v>
      </c>
      <c r="Q22">
        <v>10.19</v>
      </c>
      <c r="R22">
        <v>9.94</v>
      </c>
      <c r="S22">
        <v>11.08</v>
      </c>
      <c r="Y22">
        <v>5</v>
      </c>
      <c r="Z22">
        <v>2.44</v>
      </c>
    </row>
    <row r="23" spans="1:26" x14ac:dyDescent="0.25">
      <c r="A23">
        <v>22</v>
      </c>
      <c r="B23">
        <v>485</v>
      </c>
      <c r="C23">
        <v>1505</v>
      </c>
      <c r="D23">
        <f>2.62+E23</f>
        <v>3.34</v>
      </c>
      <c r="E23">
        <v>0.72</v>
      </c>
      <c r="F23">
        <v>0</v>
      </c>
      <c r="G23">
        <f>1075+36.46</f>
        <v>1111.46</v>
      </c>
      <c r="H23">
        <v>16</v>
      </c>
      <c r="I23">
        <v>14</v>
      </c>
      <c r="J23">
        <f t="shared" si="2"/>
        <v>30</v>
      </c>
      <c r="K23">
        <v>0</v>
      </c>
      <c r="L23">
        <f>SUM(M23:U23)-Z23-(7*0.45)</f>
        <v>66.61999999999999</v>
      </c>
      <c r="M23">
        <v>10.33</v>
      </c>
      <c r="N23">
        <v>9.5399999999999991</v>
      </c>
      <c r="O23">
        <v>10.18</v>
      </c>
      <c r="P23">
        <v>9.68</v>
      </c>
      <c r="Q23">
        <v>9.4</v>
      </c>
      <c r="R23">
        <v>10.94</v>
      </c>
      <c r="S23">
        <v>12</v>
      </c>
      <c r="Y23">
        <v>5</v>
      </c>
      <c r="Z23">
        <v>2.2999999999999998</v>
      </c>
    </row>
    <row r="24" spans="1:26" x14ac:dyDescent="0.25">
      <c r="A24">
        <v>23</v>
      </c>
      <c r="B24">
        <v>485</v>
      </c>
      <c r="C24">
        <v>815</v>
      </c>
      <c r="D24">
        <f>8+E24</f>
        <v>9.15</v>
      </c>
      <c r="E24">
        <v>1.1499999999999999</v>
      </c>
      <c r="F24">
        <v>0</v>
      </c>
      <c r="G24">
        <f>1045+39.56</f>
        <v>1084.56</v>
      </c>
      <c r="H24">
        <v>31</v>
      </c>
      <c r="I24">
        <v>0</v>
      </c>
      <c r="J24">
        <f>H24+I24</f>
        <v>31</v>
      </c>
      <c r="K24">
        <v>0</v>
      </c>
      <c r="L24">
        <f>SUM(M24:U24)-Z24-(8*0.45)</f>
        <v>67.73</v>
      </c>
      <c r="M24">
        <v>10.47</v>
      </c>
      <c r="N24">
        <v>10.85</v>
      </c>
      <c r="O24">
        <v>8.6199999999999992</v>
      </c>
      <c r="P24">
        <v>9.39</v>
      </c>
      <c r="Q24">
        <v>10.34</v>
      </c>
      <c r="R24">
        <v>10.25</v>
      </c>
      <c r="S24">
        <v>10.84</v>
      </c>
      <c r="T24">
        <v>5.36</v>
      </c>
      <c r="Y24">
        <v>5</v>
      </c>
      <c r="Z24">
        <v>4.79</v>
      </c>
    </row>
    <row r="25" spans="1:26" x14ac:dyDescent="0.25">
      <c r="A25">
        <v>24</v>
      </c>
      <c r="B25">
        <v>446.6</v>
      </c>
      <c r="C25">
        <v>2015</v>
      </c>
      <c r="D25">
        <f>4.17+E25</f>
        <v>8.06</v>
      </c>
      <c r="E25">
        <v>3.89</v>
      </c>
      <c r="F25">
        <v>0</v>
      </c>
      <c r="G25">
        <f>650+44.3</f>
        <v>694.3</v>
      </c>
      <c r="H25">
        <v>0</v>
      </c>
      <c r="I25">
        <v>0</v>
      </c>
      <c r="J25">
        <f t="shared" si="2"/>
        <v>0</v>
      </c>
      <c r="K25">
        <v>0</v>
      </c>
      <c r="L25">
        <f>SUM(M25:U25)-Z25-(6*0.45)</f>
        <v>55.529999999999994</v>
      </c>
      <c r="M25">
        <v>9.33</v>
      </c>
      <c r="N25">
        <v>10.53</v>
      </c>
      <c r="O25">
        <v>9.99</v>
      </c>
      <c r="P25">
        <v>9.69</v>
      </c>
      <c r="Q25">
        <v>11.09</v>
      </c>
      <c r="R25">
        <v>12.96</v>
      </c>
      <c r="Y25">
        <v>5</v>
      </c>
      <c r="Z25">
        <v>5.36</v>
      </c>
    </row>
    <row r="26" spans="1:26" x14ac:dyDescent="0.25">
      <c r="A26">
        <v>25</v>
      </c>
      <c r="B26">
        <v>570</v>
      </c>
      <c r="C26">
        <v>1750</v>
      </c>
      <c r="D26">
        <f>3.27+E26</f>
        <v>3.27</v>
      </c>
      <c r="E26">
        <v>0</v>
      </c>
      <c r="F26">
        <v>0</v>
      </c>
      <c r="G26">
        <f>770</f>
        <v>770</v>
      </c>
      <c r="H26">
        <v>0</v>
      </c>
      <c r="I26">
        <v>0</v>
      </c>
      <c r="J26">
        <f t="shared" si="2"/>
        <v>0</v>
      </c>
      <c r="K26">
        <v>0</v>
      </c>
      <c r="L26">
        <f>SUM(M26:U26)-Z26-(7*0.45)</f>
        <v>62.534999999999989</v>
      </c>
      <c r="M26">
        <v>11.12</v>
      </c>
      <c r="N26">
        <v>11.63</v>
      </c>
      <c r="O26">
        <v>9.5299999999999994</v>
      </c>
      <c r="P26">
        <v>10.3</v>
      </c>
      <c r="Q26">
        <v>12.04</v>
      </c>
      <c r="R26">
        <v>9</v>
      </c>
      <c r="S26">
        <v>6.06</v>
      </c>
      <c r="Y26">
        <v>5</v>
      </c>
      <c r="Z26">
        <v>3.9950000000000001</v>
      </c>
    </row>
    <row r="27" spans="1:26" x14ac:dyDescent="0.25">
      <c r="A27">
        <v>26</v>
      </c>
      <c r="B27">
        <v>720</v>
      </c>
      <c r="C27">
        <v>905</v>
      </c>
      <c r="D27">
        <f>4.46+E27</f>
        <v>6.04</v>
      </c>
      <c r="E27">
        <v>1.58</v>
      </c>
      <c r="F27">
        <v>0.36</v>
      </c>
      <c r="G27">
        <f>440+10.65+F27</f>
        <v>451.01</v>
      </c>
      <c r="H27">
        <v>29</v>
      </c>
      <c r="I27">
        <v>20</v>
      </c>
      <c r="J27">
        <f>H27+I27</f>
        <v>49</v>
      </c>
      <c r="K27">
        <v>0</v>
      </c>
      <c r="L27">
        <f>SUM(M27:U27)-Z27-(7*0.45)</f>
        <v>56.309999999999995</v>
      </c>
      <c r="M27">
        <v>9.48</v>
      </c>
      <c r="N27">
        <v>11.55</v>
      </c>
      <c r="O27">
        <v>8.82</v>
      </c>
      <c r="P27">
        <v>10.06</v>
      </c>
      <c r="Q27">
        <v>9.68</v>
      </c>
      <c r="R27">
        <v>10.050000000000001</v>
      </c>
      <c r="S27">
        <v>5.77</v>
      </c>
      <c r="Y27">
        <v>5</v>
      </c>
      <c r="Z27">
        <v>5.95</v>
      </c>
    </row>
    <row r="28" spans="1:26" x14ac:dyDescent="0.25">
      <c r="A28">
        <v>27</v>
      </c>
      <c r="B28">
        <v>1050</v>
      </c>
      <c r="C28">
        <v>1570</v>
      </c>
      <c r="D28">
        <f>E28</f>
        <v>5.16</v>
      </c>
      <c r="E28">
        <v>5.16</v>
      </c>
      <c r="F28">
        <v>1.52</v>
      </c>
      <c r="G28">
        <f>431.24+3.33+F28</f>
        <v>436.09</v>
      </c>
      <c r="H28">
        <v>42.5</v>
      </c>
      <c r="I28">
        <v>13</v>
      </c>
      <c r="J28">
        <f t="shared" si="2"/>
        <v>55.5</v>
      </c>
      <c r="K28">
        <v>0</v>
      </c>
      <c r="L28">
        <f>SUM(M28:U28)-Z28-(7*0.45)</f>
        <v>62.79999999999999</v>
      </c>
      <c r="M28">
        <v>10.15</v>
      </c>
      <c r="N28">
        <v>10.71</v>
      </c>
      <c r="O28">
        <v>10.79</v>
      </c>
      <c r="P28">
        <v>9.98</v>
      </c>
      <c r="Q28">
        <v>9.9</v>
      </c>
      <c r="R28">
        <v>11.8</v>
      </c>
      <c r="S28">
        <v>5.21</v>
      </c>
      <c r="Y28">
        <v>5</v>
      </c>
      <c r="Z28">
        <v>2.59</v>
      </c>
    </row>
    <row r="29" spans="1:26" x14ac:dyDescent="0.25">
      <c r="A29">
        <v>28</v>
      </c>
      <c r="B29">
        <v>500</v>
      </c>
      <c r="C29">
        <v>1685</v>
      </c>
      <c r="D29">
        <f>8.67+E29</f>
        <v>11.42</v>
      </c>
      <c r="E29">
        <v>2.75</v>
      </c>
      <c r="F29">
        <v>1.48</v>
      </c>
      <c r="G29">
        <f>409.01+12.02+F29</f>
        <v>422.51</v>
      </c>
      <c r="H29">
        <v>14</v>
      </c>
      <c r="I29">
        <v>0</v>
      </c>
      <c r="J29">
        <f>H29+I29</f>
        <v>14</v>
      </c>
      <c r="K29">
        <v>0</v>
      </c>
      <c r="L29">
        <f>SUM(M29:U29)-Z29-(7*0.45)</f>
        <v>52.465000000000003</v>
      </c>
      <c r="M29">
        <v>8.7200000000000006</v>
      </c>
      <c r="N29">
        <v>8.92</v>
      </c>
      <c r="O29">
        <v>9.84</v>
      </c>
      <c r="P29">
        <v>10.199999999999999</v>
      </c>
      <c r="Q29">
        <v>8.85</v>
      </c>
      <c r="R29">
        <v>9.5299999999999994</v>
      </c>
      <c r="S29">
        <v>2.0449999999999999</v>
      </c>
      <c r="Y29">
        <v>5</v>
      </c>
      <c r="Z29">
        <v>2.4900000000000002</v>
      </c>
    </row>
    <row r="30" spans="1:26" x14ac:dyDescent="0.25">
      <c r="A30">
        <v>29</v>
      </c>
      <c r="B30">
        <v>492.46</v>
      </c>
      <c r="C30">
        <v>1555</v>
      </c>
      <c r="D30">
        <f>2.45+E30</f>
        <v>3.72</v>
      </c>
      <c r="E30">
        <v>1.27</v>
      </c>
      <c r="F30">
        <v>0</v>
      </c>
      <c r="G30">
        <f>450.55+12.61</f>
        <v>463.16</v>
      </c>
      <c r="H30">
        <v>0</v>
      </c>
      <c r="I30">
        <v>0</v>
      </c>
      <c r="J30">
        <f>H30+I30</f>
        <v>0</v>
      </c>
      <c r="K30">
        <v>0</v>
      </c>
      <c r="L30">
        <f>SUM(M30:U30)-Z30-(7*0.45)</f>
        <v>58.61</v>
      </c>
      <c r="M30">
        <v>8.93</v>
      </c>
      <c r="N30">
        <v>9.98</v>
      </c>
      <c r="O30">
        <v>10.26</v>
      </c>
      <c r="P30">
        <v>9.9600000000000009</v>
      </c>
      <c r="Q30">
        <v>9.56</v>
      </c>
      <c r="R30">
        <v>11.69</v>
      </c>
      <c r="S30">
        <v>5</v>
      </c>
      <c r="Y30">
        <v>5</v>
      </c>
      <c r="Z30">
        <v>3.62</v>
      </c>
    </row>
    <row r="31" spans="1:26" x14ac:dyDescent="0.25">
      <c r="A31">
        <v>30</v>
      </c>
      <c r="B31">
        <v>880</v>
      </c>
      <c r="C31">
        <v>2025</v>
      </c>
      <c r="D31">
        <f>6.11+E31</f>
        <v>6.61</v>
      </c>
      <c r="E31">
        <v>0.5</v>
      </c>
      <c r="F31">
        <v>0</v>
      </c>
      <c r="G31">
        <f>575+5.23</f>
        <v>580.23</v>
      </c>
      <c r="H31">
        <v>0</v>
      </c>
      <c r="I31">
        <v>0</v>
      </c>
      <c r="J31">
        <f t="shared" ref="J31:J32" si="3">H31+I31</f>
        <v>0</v>
      </c>
      <c r="K31">
        <v>0</v>
      </c>
      <c r="L31">
        <f>SUM(M31:U31)-Z31-(9*0.45)</f>
        <v>86.149999999999991</v>
      </c>
      <c r="M31">
        <v>8.6999999999999993</v>
      </c>
      <c r="N31">
        <v>11.33</v>
      </c>
      <c r="O31">
        <v>10.59</v>
      </c>
      <c r="P31">
        <v>9.86</v>
      </c>
      <c r="Q31">
        <v>9.7200000000000006</v>
      </c>
      <c r="R31">
        <v>11.04</v>
      </c>
      <c r="S31">
        <v>10.96</v>
      </c>
      <c r="T31">
        <v>10.94</v>
      </c>
      <c r="U31">
        <v>11.71</v>
      </c>
      <c r="Y31">
        <v>5</v>
      </c>
      <c r="Z31">
        <v>4.6500000000000004</v>
      </c>
    </row>
    <row r="32" spans="1:26" x14ac:dyDescent="0.25">
      <c r="A32">
        <v>31</v>
      </c>
      <c r="B32">
        <v>425</v>
      </c>
      <c r="C32">
        <v>925</v>
      </c>
      <c r="D32">
        <f>6.47+E32</f>
        <v>6.52</v>
      </c>
      <c r="E32">
        <v>0.05</v>
      </c>
      <c r="F32">
        <v>0</v>
      </c>
      <c r="G32">
        <f>485+44.06</f>
        <v>529.05999999999995</v>
      </c>
      <c r="H32">
        <v>0</v>
      </c>
      <c r="I32">
        <v>0</v>
      </c>
      <c r="J32">
        <f t="shared" si="3"/>
        <v>0</v>
      </c>
      <c r="K32">
        <v>0</v>
      </c>
      <c r="L32">
        <f>SUM(M32:U32)-Z32-(6*0.45)</f>
        <v>55.49</v>
      </c>
      <c r="M32">
        <v>9.99</v>
      </c>
      <c r="N32">
        <v>9.25</v>
      </c>
      <c r="O32">
        <v>9.94</v>
      </c>
      <c r="P32">
        <v>11.31</v>
      </c>
      <c r="Q32">
        <v>9.8800000000000008</v>
      </c>
      <c r="R32">
        <v>10.42</v>
      </c>
      <c r="Y32">
        <v>5</v>
      </c>
      <c r="Z32">
        <v>2.6</v>
      </c>
    </row>
    <row r="33" spans="1:26" x14ac:dyDescent="0.25">
      <c r="A33">
        <v>32</v>
      </c>
      <c r="B33">
        <v>845</v>
      </c>
      <c r="C33">
        <v>1015</v>
      </c>
      <c r="D33">
        <f t="shared" ref="D33:D53" si="4">E33</f>
        <v>13.53</v>
      </c>
      <c r="E33">
        <v>13.53</v>
      </c>
      <c r="F33">
        <v>0.22</v>
      </c>
      <c r="G33">
        <f>560+27.06+F33</f>
        <v>587.28</v>
      </c>
      <c r="H33">
        <v>0</v>
      </c>
      <c r="I33">
        <v>0</v>
      </c>
      <c r="J33">
        <f>H33+I33</f>
        <v>0</v>
      </c>
      <c r="K33">
        <v>0</v>
      </c>
      <c r="L33">
        <f>SUM(M33:U33)-Z33-(7*0.45)</f>
        <v>66.214999999999989</v>
      </c>
      <c r="M33">
        <v>9.99</v>
      </c>
      <c r="N33">
        <v>10.029999999999999</v>
      </c>
      <c r="O33">
        <v>10.06</v>
      </c>
      <c r="P33">
        <v>10.36</v>
      </c>
      <c r="Q33">
        <v>9.99</v>
      </c>
      <c r="R33">
        <v>10.1</v>
      </c>
      <c r="S33">
        <v>10.74</v>
      </c>
      <c r="Y33">
        <v>5</v>
      </c>
      <c r="Z33">
        <v>1.905</v>
      </c>
    </row>
    <row r="34" spans="1:26" x14ac:dyDescent="0.25">
      <c r="A34">
        <v>33</v>
      </c>
      <c r="B34">
        <v>635</v>
      </c>
      <c r="C34">
        <v>1740</v>
      </c>
      <c r="D34">
        <f t="shared" si="4"/>
        <v>33.57</v>
      </c>
      <c r="E34">
        <v>33.57</v>
      </c>
      <c r="F34">
        <v>1.48</v>
      </c>
      <c r="G34">
        <f>545+13.36+F34</f>
        <v>559.84</v>
      </c>
      <c r="H34">
        <v>0</v>
      </c>
      <c r="I34">
        <v>0</v>
      </c>
      <c r="J34">
        <f t="shared" ref="J34:J84" si="5">H34+I34</f>
        <v>0</v>
      </c>
      <c r="K34">
        <v>0</v>
      </c>
      <c r="L34">
        <f>SUM(M34:U34)-Z34-(8*0.45)</f>
        <v>72.170000000000016</v>
      </c>
      <c r="M34">
        <v>10.44</v>
      </c>
      <c r="N34">
        <v>10.07</v>
      </c>
      <c r="O34">
        <v>9.2100000000000009</v>
      </c>
      <c r="P34">
        <v>10.17</v>
      </c>
      <c r="Q34">
        <v>10.78</v>
      </c>
      <c r="R34">
        <v>10.07</v>
      </c>
      <c r="S34">
        <v>10.44</v>
      </c>
      <c r="T34">
        <v>7.84</v>
      </c>
      <c r="Y34">
        <v>5</v>
      </c>
      <c r="Z34">
        <v>3.25</v>
      </c>
    </row>
    <row r="35" spans="1:26" x14ac:dyDescent="0.25">
      <c r="A35">
        <v>34</v>
      </c>
      <c r="B35">
        <v>505</v>
      </c>
      <c r="C35">
        <v>1105</v>
      </c>
      <c r="D35">
        <f t="shared" si="4"/>
        <v>21.49</v>
      </c>
      <c r="E35">
        <v>21.49</v>
      </c>
      <c r="F35">
        <v>6.57</v>
      </c>
      <c r="G35">
        <f>400.08+6.88+F35</f>
        <v>413.53</v>
      </c>
      <c r="H35">
        <v>8</v>
      </c>
      <c r="I35">
        <v>0</v>
      </c>
      <c r="J35">
        <f t="shared" si="5"/>
        <v>8</v>
      </c>
      <c r="K35">
        <v>0</v>
      </c>
      <c r="L35">
        <f>SUM(M35:U35)-Z35-(6*0.45)</f>
        <v>54.37</v>
      </c>
      <c r="M35">
        <v>9.7799999999999994</v>
      </c>
      <c r="N35">
        <v>9.8800000000000008</v>
      </c>
      <c r="O35">
        <v>8.65</v>
      </c>
      <c r="P35">
        <v>10.3</v>
      </c>
      <c r="Q35">
        <v>10.88</v>
      </c>
      <c r="R35">
        <v>10.6</v>
      </c>
      <c r="Y35">
        <v>5</v>
      </c>
      <c r="Z35">
        <v>3.02</v>
      </c>
    </row>
    <row r="36" spans="1:26" x14ac:dyDescent="0.25">
      <c r="A36">
        <v>35</v>
      </c>
      <c r="B36">
        <v>387.84</v>
      </c>
      <c r="C36">
        <v>435</v>
      </c>
      <c r="D36">
        <f t="shared" si="4"/>
        <v>15.04</v>
      </c>
      <c r="E36">
        <v>15.04</v>
      </c>
      <c r="F36">
        <v>0</v>
      </c>
      <c r="G36">
        <f>422.72+9.71</f>
        <v>432.43</v>
      </c>
      <c r="H36">
        <v>8</v>
      </c>
      <c r="I36">
        <v>0</v>
      </c>
      <c r="J36">
        <f t="shared" si="5"/>
        <v>8</v>
      </c>
      <c r="K36">
        <v>0</v>
      </c>
      <c r="L36">
        <f>SUM(M36:U36)-Z36-(5*0.45)</f>
        <v>44.999999999999993</v>
      </c>
      <c r="M36">
        <v>9.94</v>
      </c>
      <c r="N36">
        <v>9.32</v>
      </c>
      <c r="O36">
        <v>9.9</v>
      </c>
      <c r="P36">
        <v>10.15</v>
      </c>
      <c r="Q36">
        <v>10.7</v>
      </c>
      <c r="Y36">
        <v>5</v>
      </c>
      <c r="Z36">
        <v>2.76</v>
      </c>
    </row>
    <row r="37" spans="1:26" x14ac:dyDescent="0.25">
      <c r="A37">
        <v>36</v>
      </c>
      <c r="B37">
        <v>355.2</v>
      </c>
      <c r="C37">
        <v>740</v>
      </c>
      <c r="D37">
        <f t="shared" si="4"/>
        <v>1.89</v>
      </c>
      <c r="E37">
        <v>1.89</v>
      </c>
      <c r="F37">
        <v>2.2799999999999998</v>
      </c>
      <c r="G37">
        <f>260.11+7.46+F37</f>
        <v>269.84999999999997</v>
      </c>
      <c r="H37">
        <v>5</v>
      </c>
      <c r="I37">
        <v>0</v>
      </c>
      <c r="J37">
        <f t="shared" si="5"/>
        <v>5</v>
      </c>
      <c r="K37">
        <v>0</v>
      </c>
      <c r="L37">
        <f>SUM(M37:U37)-Z37-(8*0.45)</f>
        <v>69.03</v>
      </c>
      <c r="M37">
        <v>10.36</v>
      </c>
      <c r="N37">
        <v>10.68</v>
      </c>
      <c r="O37">
        <v>10.24</v>
      </c>
      <c r="P37">
        <v>9.6199999999999992</v>
      </c>
      <c r="Q37">
        <v>10</v>
      </c>
      <c r="R37">
        <v>9.33</v>
      </c>
      <c r="S37">
        <v>10.99</v>
      </c>
      <c r="T37">
        <v>3.85</v>
      </c>
      <c r="Y37">
        <v>5</v>
      </c>
      <c r="Z37">
        <v>2.44</v>
      </c>
    </row>
    <row r="38" spans="1:26" x14ac:dyDescent="0.25">
      <c r="A38">
        <v>37</v>
      </c>
      <c r="B38">
        <v>505</v>
      </c>
      <c r="C38">
        <v>500</v>
      </c>
      <c r="D38">
        <f t="shared" si="4"/>
        <v>2.8</v>
      </c>
      <c r="E38">
        <v>2.8</v>
      </c>
      <c r="F38">
        <v>0</v>
      </c>
      <c r="G38">
        <f>319.79+5.34</f>
        <v>325.13</v>
      </c>
      <c r="H38">
        <v>0</v>
      </c>
      <c r="I38">
        <v>0</v>
      </c>
      <c r="J38">
        <f t="shared" si="5"/>
        <v>0</v>
      </c>
      <c r="K38">
        <v>0</v>
      </c>
      <c r="L38">
        <f>SUM(M38:U38)-Z38-(7*0.45)</f>
        <v>63.190000000000005</v>
      </c>
      <c r="M38">
        <v>8.84</v>
      </c>
      <c r="N38">
        <v>10.130000000000001</v>
      </c>
      <c r="O38">
        <v>10</v>
      </c>
      <c r="P38">
        <v>11.16</v>
      </c>
      <c r="Q38">
        <v>9.83</v>
      </c>
      <c r="R38">
        <v>10.49</v>
      </c>
      <c r="S38">
        <v>8.9600000000000009</v>
      </c>
      <c r="Y38">
        <v>5</v>
      </c>
      <c r="Z38">
        <v>3.07</v>
      </c>
    </row>
    <row r="39" spans="1:26" x14ac:dyDescent="0.25">
      <c r="A39">
        <v>38</v>
      </c>
      <c r="B39">
        <v>950</v>
      </c>
      <c r="C39">
        <v>880</v>
      </c>
      <c r="D39">
        <f t="shared" si="4"/>
        <v>13.55</v>
      </c>
      <c r="E39">
        <v>13.55</v>
      </c>
      <c r="F39">
        <v>0.94</v>
      </c>
      <c r="G39">
        <f>361.34+6.6+F39</f>
        <v>368.88</v>
      </c>
      <c r="H39">
        <v>0</v>
      </c>
      <c r="I39">
        <v>0</v>
      </c>
      <c r="J39">
        <f t="shared" si="5"/>
        <v>0</v>
      </c>
      <c r="K39">
        <v>0</v>
      </c>
      <c r="L39">
        <f>SUM(M39:U39)-Z39-(7*0.45)</f>
        <v>68.210000000000008</v>
      </c>
      <c r="M39">
        <v>10.18</v>
      </c>
      <c r="N39">
        <v>10.57</v>
      </c>
      <c r="O39">
        <v>10.36</v>
      </c>
      <c r="P39">
        <v>9.32</v>
      </c>
      <c r="Q39">
        <v>11.88</v>
      </c>
      <c r="R39">
        <v>12.7</v>
      </c>
      <c r="S39">
        <v>11.26</v>
      </c>
      <c r="Y39">
        <v>5</v>
      </c>
      <c r="Z39">
        <v>4.91</v>
      </c>
    </row>
    <row r="40" spans="1:26" x14ac:dyDescent="0.25">
      <c r="A40">
        <v>39</v>
      </c>
      <c r="B40">
        <v>655</v>
      </c>
      <c r="C40">
        <v>1250</v>
      </c>
      <c r="D40">
        <f t="shared" si="4"/>
        <v>10.220000000000001</v>
      </c>
      <c r="E40">
        <v>10.220000000000001</v>
      </c>
      <c r="F40">
        <v>0.86</v>
      </c>
      <c r="G40">
        <f>360.73+25.69+F40</f>
        <v>387.28000000000003</v>
      </c>
      <c r="H40">
        <v>0</v>
      </c>
      <c r="I40">
        <v>0</v>
      </c>
      <c r="J40">
        <f t="shared" si="5"/>
        <v>0</v>
      </c>
      <c r="K40">
        <v>0</v>
      </c>
      <c r="L40">
        <f>SUM(M40:U40)-Z40-(7*0.45)</f>
        <v>55.960000000000008</v>
      </c>
      <c r="M40">
        <v>10.63</v>
      </c>
      <c r="N40">
        <v>10.88</v>
      </c>
      <c r="O40">
        <v>10.67</v>
      </c>
      <c r="P40">
        <v>10.8</v>
      </c>
      <c r="Q40">
        <v>10.65</v>
      </c>
      <c r="R40">
        <v>10</v>
      </c>
      <c r="S40">
        <v>1.8</v>
      </c>
      <c r="Y40">
        <v>5</v>
      </c>
      <c r="Z40">
        <v>6.32</v>
      </c>
    </row>
    <row r="41" spans="1:26" x14ac:dyDescent="0.25">
      <c r="A41">
        <v>40</v>
      </c>
      <c r="B41">
        <v>645</v>
      </c>
      <c r="C41">
        <v>1275</v>
      </c>
      <c r="D41">
        <f t="shared" si="4"/>
        <v>6.73</v>
      </c>
      <c r="E41">
        <v>6.73</v>
      </c>
      <c r="F41">
        <v>0.62</v>
      </c>
      <c r="G41">
        <f>231.69+6.2+F41</f>
        <v>238.51</v>
      </c>
      <c r="H41">
        <v>0</v>
      </c>
      <c r="I41">
        <v>0</v>
      </c>
      <c r="J41">
        <f t="shared" si="5"/>
        <v>0</v>
      </c>
      <c r="K41">
        <v>0</v>
      </c>
      <c r="L41">
        <f>SUM(M41:U41)-Z41-(6*0.45)</f>
        <v>47.580000000000005</v>
      </c>
      <c r="M41">
        <v>7.6</v>
      </c>
      <c r="N41">
        <v>8.51</v>
      </c>
      <c r="O41">
        <v>9.6999999999999993</v>
      </c>
      <c r="P41">
        <v>9.5</v>
      </c>
      <c r="Q41">
        <v>10.84</v>
      </c>
      <c r="R41">
        <v>9.59</v>
      </c>
      <c r="Y41">
        <v>5</v>
      </c>
      <c r="Z41">
        <v>5.46</v>
      </c>
    </row>
    <row r="42" spans="1:26" x14ac:dyDescent="0.25">
      <c r="A42">
        <v>41</v>
      </c>
      <c r="B42">
        <v>1100</v>
      </c>
      <c r="C42">
        <v>1345</v>
      </c>
      <c r="D42">
        <f t="shared" si="4"/>
        <v>4.8</v>
      </c>
      <c r="E42">
        <v>4.8</v>
      </c>
      <c r="F42">
        <v>2.2799999999999998</v>
      </c>
      <c r="G42">
        <f>283.89+10.29+F42</f>
        <v>296.45999999999998</v>
      </c>
      <c r="H42">
        <v>0</v>
      </c>
      <c r="I42">
        <v>0</v>
      </c>
      <c r="J42">
        <f t="shared" si="5"/>
        <v>0</v>
      </c>
      <c r="K42">
        <v>0</v>
      </c>
      <c r="L42">
        <f>SUM(M42:U42)-Z42-(6*0.45)</f>
        <v>53.564999999999991</v>
      </c>
      <c r="M42">
        <v>9.6199999999999992</v>
      </c>
      <c r="N42">
        <v>9.69</v>
      </c>
      <c r="O42">
        <v>9.74</v>
      </c>
      <c r="P42">
        <v>10.26</v>
      </c>
      <c r="Q42">
        <v>10.29</v>
      </c>
      <c r="R42">
        <v>8.6</v>
      </c>
      <c r="Y42">
        <v>5</v>
      </c>
      <c r="Z42">
        <v>1.9350000000000001</v>
      </c>
    </row>
    <row r="43" spans="1:26" x14ac:dyDescent="0.25">
      <c r="A43">
        <v>42</v>
      </c>
      <c r="B43">
        <v>1030</v>
      </c>
      <c r="C43">
        <v>950</v>
      </c>
      <c r="D43">
        <f t="shared" si="4"/>
        <v>5.32</v>
      </c>
      <c r="E43">
        <v>5.32</v>
      </c>
      <c r="F43">
        <v>2.35</v>
      </c>
      <c r="G43">
        <f>333.82+41.48+F43</f>
        <v>377.65000000000003</v>
      </c>
      <c r="H43">
        <v>0</v>
      </c>
      <c r="I43">
        <v>0</v>
      </c>
      <c r="J43">
        <f t="shared" si="5"/>
        <v>0</v>
      </c>
      <c r="K43">
        <v>0</v>
      </c>
      <c r="L43">
        <f>SUM(M43:U43)-Z43-(7*0.45)</f>
        <v>67.53</v>
      </c>
      <c r="M43">
        <v>10.19</v>
      </c>
      <c r="N43">
        <v>10.3</v>
      </c>
      <c r="O43">
        <v>11.7</v>
      </c>
      <c r="P43">
        <v>11.45</v>
      </c>
      <c r="Q43">
        <v>9.99</v>
      </c>
      <c r="R43">
        <v>9.3699999999999992</v>
      </c>
      <c r="S43">
        <v>9.81</v>
      </c>
      <c r="Y43">
        <v>5</v>
      </c>
      <c r="Z43">
        <v>2.13</v>
      </c>
    </row>
    <row r="44" spans="1:26" x14ac:dyDescent="0.25">
      <c r="A44">
        <v>43</v>
      </c>
      <c r="B44">
        <v>288.20999999999998</v>
      </c>
      <c r="C44">
        <v>1100</v>
      </c>
      <c r="D44">
        <f t="shared" si="4"/>
        <v>0.23</v>
      </c>
      <c r="E44">
        <v>0.23</v>
      </c>
      <c r="F44">
        <v>0.84</v>
      </c>
      <c r="G44">
        <f>444.43+15.62+F44</f>
        <v>460.89</v>
      </c>
      <c r="H44">
        <v>0</v>
      </c>
      <c r="I44">
        <v>0</v>
      </c>
      <c r="J44">
        <f t="shared" si="5"/>
        <v>0</v>
      </c>
      <c r="K44">
        <v>0</v>
      </c>
      <c r="L44">
        <f>SUM(M44:U44)-Z44-(7*0.45)</f>
        <v>67.279999999999987</v>
      </c>
      <c r="M44">
        <v>11.42</v>
      </c>
      <c r="N44">
        <v>10.51</v>
      </c>
      <c r="O44">
        <v>10</v>
      </c>
      <c r="P44">
        <v>10.130000000000001</v>
      </c>
      <c r="Q44">
        <v>10.44</v>
      </c>
      <c r="R44">
        <v>10.25</v>
      </c>
      <c r="S44">
        <v>9.82</v>
      </c>
      <c r="Y44">
        <v>5</v>
      </c>
      <c r="Z44">
        <v>2.14</v>
      </c>
    </row>
    <row r="45" spans="1:26" x14ac:dyDescent="0.25">
      <c r="A45">
        <v>44</v>
      </c>
      <c r="B45">
        <v>405</v>
      </c>
      <c r="C45">
        <v>1130</v>
      </c>
      <c r="D45">
        <f t="shared" si="4"/>
        <v>0.94</v>
      </c>
      <c r="E45">
        <v>0.94</v>
      </c>
      <c r="F45">
        <v>1.81</v>
      </c>
      <c r="G45">
        <f>1.81+F45</f>
        <v>3.62</v>
      </c>
      <c r="H45">
        <v>0</v>
      </c>
      <c r="I45">
        <v>0</v>
      </c>
      <c r="J45">
        <f t="shared" si="5"/>
        <v>0</v>
      </c>
      <c r="K45">
        <v>0</v>
      </c>
      <c r="L45">
        <f>SUM(M45:U45)-Z45-(7*0.45)</f>
        <v>64.2</v>
      </c>
      <c r="M45">
        <v>10.38</v>
      </c>
      <c r="N45">
        <v>9.75</v>
      </c>
      <c r="O45">
        <v>10.34</v>
      </c>
      <c r="P45">
        <v>9.6999999999999993</v>
      </c>
      <c r="Q45">
        <v>9.7200000000000006</v>
      </c>
      <c r="R45">
        <v>10.1</v>
      </c>
      <c r="S45">
        <v>9.18</v>
      </c>
      <c r="Y45">
        <v>5</v>
      </c>
      <c r="Z45">
        <v>1.82</v>
      </c>
    </row>
    <row r="46" spans="1:26" x14ac:dyDescent="0.25">
      <c r="A46">
        <v>45</v>
      </c>
      <c r="B46" s="29">
        <v>763</v>
      </c>
      <c r="C46">
        <v>990</v>
      </c>
      <c r="D46">
        <f t="shared" si="4"/>
        <v>0.28999999999999998</v>
      </c>
      <c r="E46">
        <v>0.28999999999999998</v>
      </c>
      <c r="F46">
        <v>2.0299999999999998</v>
      </c>
      <c r="G46">
        <f>695+75.77+F46</f>
        <v>772.8</v>
      </c>
      <c r="H46">
        <v>0</v>
      </c>
      <c r="I46">
        <v>0</v>
      </c>
      <c r="J46">
        <f t="shared" si="5"/>
        <v>0</v>
      </c>
      <c r="K46">
        <v>0</v>
      </c>
      <c r="L46">
        <f>SUM(M46:U46)-Z46-(8*0.45)</f>
        <v>69.45</v>
      </c>
      <c r="M46">
        <v>10.24</v>
      </c>
      <c r="N46">
        <v>10.57</v>
      </c>
      <c r="O46">
        <v>10.3</v>
      </c>
      <c r="P46">
        <v>9.36</v>
      </c>
      <c r="Q46">
        <v>10.029999999999999</v>
      </c>
      <c r="R46">
        <v>10.78</v>
      </c>
      <c r="S46">
        <v>10.1</v>
      </c>
      <c r="T46">
        <v>4.7</v>
      </c>
      <c r="Y46">
        <v>5</v>
      </c>
      <c r="Z46">
        <v>3.03</v>
      </c>
    </row>
    <row r="47" spans="1:26" x14ac:dyDescent="0.25">
      <c r="A47">
        <v>46</v>
      </c>
      <c r="B47">
        <v>455</v>
      </c>
      <c r="C47">
        <v>870</v>
      </c>
      <c r="D47">
        <f t="shared" si="4"/>
        <v>1.0900000000000001</v>
      </c>
      <c r="E47">
        <v>1.0900000000000001</v>
      </c>
      <c r="F47">
        <v>0.73</v>
      </c>
      <c r="G47">
        <f>487.09+16.06+F47</f>
        <v>503.88</v>
      </c>
      <c r="H47">
        <v>0</v>
      </c>
      <c r="I47">
        <v>0</v>
      </c>
      <c r="J47">
        <f t="shared" si="5"/>
        <v>0</v>
      </c>
      <c r="K47">
        <v>0</v>
      </c>
      <c r="L47">
        <f>SUM(M47:U47)-Z47-(7*0.45)</f>
        <v>59.790000000000006</v>
      </c>
      <c r="M47">
        <v>10.6</v>
      </c>
      <c r="N47">
        <v>10.16</v>
      </c>
      <c r="O47">
        <v>9.4499999999999993</v>
      </c>
      <c r="P47">
        <v>10.73</v>
      </c>
      <c r="Q47">
        <v>10.54</v>
      </c>
      <c r="R47">
        <v>10.96</v>
      </c>
      <c r="S47">
        <v>4.01</v>
      </c>
      <c r="Y47">
        <v>5</v>
      </c>
      <c r="Z47">
        <v>3.51</v>
      </c>
    </row>
    <row r="48" spans="1:26" x14ac:dyDescent="0.25">
      <c r="A48">
        <v>47</v>
      </c>
      <c r="B48">
        <v>800</v>
      </c>
      <c r="C48">
        <v>760</v>
      </c>
      <c r="D48">
        <f t="shared" si="4"/>
        <v>0.5</v>
      </c>
      <c r="E48">
        <v>0.5</v>
      </c>
      <c r="F48">
        <v>0.12</v>
      </c>
      <c r="G48">
        <f>525+9.65+F48</f>
        <v>534.77</v>
      </c>
      <c r="H48">
        <v>0</v>
      </c>
      <c r="I48">
        <v>0</v>
      </c>
      <c r="J48">
        <f t="shared" si="5"/>
        <v>0</v>
      </c>
      <c r="K48">
        <v>0</v>
      </c>
      <c r="L48">
        <f>SUM(M48:U48)-Z48-(8*0.45)</f>
        <v>67.100000000000009</v>
      </c>
      <c r="M48">
        <v>10.44</v>
      </c>
      <c r="N48">
        <v>9.9700000000000006</v>
      </c>
      <c r="O48">
        <v>9.56</v>
      </c>
      <c r="P48">
        <v>9.9499999999999993</v>
      </c>
      <c r="Q48">
        <v>9.93</v>
      </c>
      <c r="R48">
        <v>9.9499999999999993</v>
      </c>
      <c r="S48">
        <v>9.66</v>
      </c>
      <c r="T48">
        <v>3.81</v>
      </c>
      <c r="Y48">
        <v>5</v>
      </c>
      <c r="Z48">
        <v>2.57</v>
      </c>
    </row>
    <row r="49" spans="1:26" x14ac:dyDescent="0.25">
      <c r="A49">
        <v>48</v>
      </c>
      <c r="B49">
        <v>580</v>
      </c>
      <c r="C49">
        <v>770</v>
      </c>
      <c r="D49">
        <f t="shared" si="4"/>
        <v>2.2999999999999998</v>
      </c>
      <c r="E49">
        <v>2.2999999999999998</v>
      </c>
      <c r="F49">
        <v>0.93</v>
      </c>
      <c r="G49">
        <f>555+18.62+F49</f>
        <v>574.54999999999995</v>
      </c>
      <c r="H49">
        <v>0</v>
      </c>
      <c r="I49">
        <v>0</v>
      </c>
      <c r="J49">
        <f t="shared" si="5"/>
        <v>0</v>
      </c>
      <c r="K49">
        <v>0</v>
      </c>
      <c r="L49">
        <f>SUM(M49:U49)-(7*0.45)</f>
        <v>73.349999999999994</v>
      </c>
      <c r="M49">
        <v>10.54</v>
      </c>
      <c r="N49">
        <v>10.32</v>
      </c>
      <c r="O49">
        <v>9.94</v>
      </c>
      <c r="P49">
        <v>11.98</v>
      </c>
      <c r="Q49">
        <v>10.51</v>
      </c>
      <c r="R49">
        <v>10.24</v>
      </c>
      <c r="S49">
        <v>12.97</v>
      </c>
      <c r="Y49">
        <v>5</v>
      </c>
      <c r="Z49">
        <v>0</v>
      </c>
    </row>
    <row r="50" spans="1:26" x14ac:dyDescent="0.25">
      <c r="A50">
        <v>49</v>
      </c>
      <c r="B50">
        <v>645</v>
      </c>
      <c r="C50">
        <v>540</v>
      </c>
      <c r="D50">
        <f t="shared" si="4"/>
        <v>0.28999999999999998</v>
      </c>
      <c r="E50">
        <v>0.28999999999999998</v>
      </c>
      <c r="F50">
        <v>0.49</v>
      </c>
      <c r="G50">
        <f>500+50.51+F50</f>
        <v>551</v>
      </c>
      <c r="H50">
        <v>0</v>
      </c>
      <c r="I50">
        <v>0</v>
      </c>
      <c r="J50">
        <f t="shared" si="5"/>
        <v>0</v>
      </c>
      <c r="K50">
        <v>0</v>
      </c>
      <c r="L50">
        <f>SUM(M50:U50)-(7*0.45)</f>
        <v>66.12</v>
      </c>
      <c r="M50">
        <v>9.69</v>
      </c>
      <c r="N50">
        <v>11.81</v>
      </c>
      <c r="O50">
        <v>12</v>
      </c>
      <c r="P50">
        <v>10.84</v>
      </c>
      <c r="Q50">
        <v>10.15</v>
      </c>
      <c r="R50">
        <v>11.24</v>
      </c>
      <c r="S50">
        <v>3.54</v>
      </c>
      <c r="Y50">
        <v>5</v>
      </c>
      <c r="Z50">
        <v>0</v>
      </c>
    </row>
    <row r="51" spans="1:26" x14ac:dyDescent="0.25">
      <c r="A51">
        <v>50</v>
      </c>
      <c r="B51">
        <v>1075</v>
      </c>
      <c r="C51">
        <v>355</v>
      </c>
      <c r="D51">
        <f t="shared" si="4"/>
        <v>0.66</v>
      </c>
      <c r="E51">
        <v>0.66</v>
      </c>
      <c r="F51">
        <v>0.21</v>
      </c>
      <c r="G51">
        <f>500+26.11+F51</f>
        <v>526.32000000000005</v>
      </c>
      <c r="H51">
        <v>0</v>
      </c>
      <c r="I51">
        <v>0</v>
      </c>
      <c r="J51">
        <f t="shared" si="5"/>
        <v>0</v>
      </c>
      <c r="K51">
        <v>0</v>
      </c>
      <c r="L51">
        <f>SUM(M51:U51)-(7*0.45)</f>
        <v>70.2</v>
      </c>
      <c r="M51">
        <v>10.61</v>
      </c>
      <c r="N51">
        <v>10.18</v>
      </c>
      <c r="O51">
        <v>10.69</v>
      </c>
      <c r="P51">
        <v>10.18</v>
      </c>
      <c r="Q51">
        <v>9.98</v>
      </c>
      <c r="R51">
        <v>11.34</v>
      </c>
      <c r="S51">
        <v>10.37</v>
      </c>
      <c r="Y51">
        <v>5</v>
      </c>
      <c r="Z51">
        <v>0</v>
      </c>
    </row>
    <row r="52" spans="1:26" x14ac:dyDescent="0.25">
      <c r="A52">
        <v>51</v>
      </c>
      <c r="B52" s="29">
        <v>1054</v>
      </c>
      <c r="C52">
        <v>230</v>
      </c>
      <c r="D52">
        <f t="shared" si="4"/>
        <v>3.32</v>
      </c>
      <c r="E52">
        <v>3.32</v>
      </c>
      <c r="F52">
        <v>1.6</v>
      </c>
      <c r="G52">
        <f>605+42.41+F52</f>
        <v>649.01</v>
      </c>
      <c r="H52">
        <v>0</v>
      </c>
      <c r="I52">
        <v>0</v>
      </c>
      <c r="J52">
        <f t="shared" si="5"/>
        <v>0</v>
      </c>
      <c r="K52">
        <v>0</v>
      </c>
      <c r="L52">
        <f>SUM(M52:U52)-(8*0.45)</f>
        <v>73.590000000000018</v>
      </c>
      <c r="M52">
        <v>11.11</v>
      </c>
      <c r="N52">
        <v>11.35</v>
      </c>
      <c r="O52">
        <v>10.52</v>
      </c>
      <c r="P52">
        <v>10.44</v>
      </c>
      <c r="Q52">
        <v>10.59</v>
      </c>
      <c r="R52">
        <v>10.19</v>
      </c>
      <c r="S52">
        <v>10.79</v>
      </c>
      <c r="T52">
        <v>2.2000000000000002</v>
      </c>
      <c r="Y52">
        <v>5</v>
      </c>
      <c r="Z52">
        <v>0</v>
      </c>
    </row>
    <row r="53" spans="1:26" x14ac:dyDescent="0.25">
      <c r="A53">
        <v>52</v>
      </c>
      <c r="B53">
        <v>1050</v>
      </c>
      <c r="C53">
        <v>0</v>
      </c>
      <c r="D53">
        <f t="shared" si="4"/>
        <v>0.08</v>
      </c>
      <c r="E53">
        <v>0.08</v>
      </c>
      <c r="F53">
        <v>0</v>
      </c>
      <c r="G53">
        <f>555+38.83</f>
        <v>593.83000000000004</v>
      </c>
      <c r="H53">
        <v>0</v>
      </c>
      <c r="I53">
        <v>0</v>
      </c>
      <c r="J53">
        <f t="shared" si="5"/>
        <v>0</v>
      </c>
      <c r="K53">
        <v>0</v>
      </c>
      <c r="L53">
        <f>SUM(M53:U53)-(8*0.45)</f>
        <v>78.440000000000012</v>
      </c>
      <c r="M53">
        <v>10.16</v>
      </c>
      <c r="N53">
        <v>10.87</v>
      </c>
      <c r="O53">
        <v>10.72</v>
      </c>
      <c r="P53">
        <v>10.050000000000001</v>
      </c>
      <c r="Q53">
        <v>10.54</v>
      </c>
      <c r="R53">
        <v>10.79</v>
      </c>
      <c r="S53">
        <v>11.68</v>
      </c>
      <c r="T53">
        <v>7.23</v>
      </c>
      <c r="Y53">
        <v>5</v>
      </c>
      <c r="Z53">
        <v>0</v>
      </c>
    </row>
    <row r="54" spans="1:26" x14ac:dyDescent="0.25">
      <c r="A54">
        <v>53</v>
      </c>
      <c r="B54">
        <v>1680</v>
      </c>
      <c r="C54">
        <v>640</v>
      </c>
      <c r="D54">
        <f>0.18+E54</f>
        <v>4.8499999999999996</v>
      </c>
      <c r="E54">
        <v>4.67</v>
      </c>
      <c r="F54">
        <v>3.34</v>
      </c>
      <c r="G54">
        <f>11.36+F54</f>
        <v>14.7</v>
      </c>
      <c r="H54">
        <v>0</v>
      </c>
      <c r="I54">
        <v>0</v>
      </c>
      <c r="J54">
        <f t="shared" si="5"/>
        <v>0</v>
      </c>
      <c r="K54">
        <v>0</v>
      </c>
      <c r="L54">
        <f>SUM(M54:U54)-(8*0.45)</f>
        <v>74.765000000000015</v>
      </c>
      <c r="M54">
        <v>10.96</v>
      </c>
      <c r="N54">
        <v>10.5</v>
      </c>
      <c r="O54">
        <v>10.6</v>
      </c>
      <c r="P54">
        <v>10.69</v>
      </c>
      <c r="Q54">
        <v>10.63</v>
      </c>
      <c r="R54">
        <v>11.07</v>
      </c>
      <c r="S54">
        <v>11.81</v>
      </c>
      <c r="T54">
        <v>2.105</v>
      </c>
      <c r="Y54">
        <v>5</v>
      </c>
      <c r="Z54">
        <v>0</v>
      </c>
    </row>
    <row r="55" spans="1:26" x14ac:dyDescent="0.25">
      <c r="A55">
        <v>54</v>
      </c>
      <c r="B55">
        <v>1395</v>
      </c>
      <c r="C55">
        <v>680</v>
      </c>
      <c r="D55">
        <f t="shared" ref="D55:D76" si="6">E55</f>
        <v>3.4</v>
      </c>
      <c r="E55">
        <v>3.4</v>
      </c>
      <c r="F55">
        <v>0.68</v>
      </c>
      <c r="G55">
        <f>311.99+16.33+F55</f>
        <v>329</v>
      </c>
      <c r="H55">
        <v>0</v>
      </c>
      <c r="I55">
        <v>0</v>
      </c>
      <c r="J55">
        <f t="shared" si="5"/>
        <v>0</v>
      </c>
      <c r="K55">
        <v>0</v>
      </c>
      <c r="L55">
        <f>SUM(M55:U55)-(6*0.45)</f>
        <v>56.225000000000001</v>
      </c>
      <c r="M55">
        <v>9.7200000000000006</v>
      </c>
      <c r="N55">
        <v>10.199999999999999</v>
      </c>
      <c r="O55">
        <v>10.17</v>
      </c>
      <c r="P55">
        <v>10.14</v>
      </c>
      <c r="Q55">
        <v>9.58</v>
      </c>
      <c r="R55">
        <v>9.1150000000000002</v>
      </c>
      <c r="Y55">
        <v>5</v>
      </c>
      <c r="Z55">
        <v>0</v>
      </c>
    </row>
    <row r="56" spans="1:26" x14ac:dyDescent="0.25">
      <c r="A56">
        <v>55</v>
      </c>
      <c r="B56">
        <v>1160</v>
      </c>
      <c r="C56">
        <v>430</v>
      </c>
      <c r="D56">
        <f t="shared" si="6"/>
        <v>6.33</v>
      </c>
      <c r="E56">
        <v>6.33</v>
      </c>
      <c r="F56">
        <v>4.18</v>
      </c>
      <c r="G56">
        <f>231.72+19.23+F56</f>
        <v>255.13</v>
      </c>
      <c r="H56">
        <v>0</v>
      </c>
      <c r="I56">
        <v>0</v>
      </c>
      <c r="J56">
        <f t="shared" si="5"/>
        <v>0</v>
      </c>
      <c r="K56">
        <v>0</v>
      </c>
      <c r="L56">
        <f>SUM(M56:U56)-(6*0.45)</f>
        <v>56.51</v>
      </c>
      <c r="M56">
        <v>9.8000000000000007</v>
      </c>
      <c r="N56">
        <v>10.83</v>
      </c>
      <c r="O56">
        <v>8.3699999999999992</v>
      </c>
      <c r="P56">
        <v>10.86</v>
      </c>
      <c r="Q56">
        <v>9.24</v>
      </c>
      <c r="R56">
        <v>10.11</v>
      </c>
      <c r="Y56">
        <v>5</v>
      </c>
      <c r="Z56">
        <v>0</v>
      </c>
    </row>
    <row r="57" spans="1:26" x14ac:dyDescent="0.25">
      <c r="A57">
        <v>56</v>
      </c>
      <c r="B57">
        <v>1310</v>
      </c>
      <c r="C57">
        <v>300</v>
      </c>
      <c r="D57">
        <f t="shared" si="6"/>
        <v>3.44</v>
      </c>
      <c r="E57">
        <v>3.44</v>
      </c>
      <c r="F57">
        <v>2.35</v>
      </c>
      <c r="G57">
        <f>301.71+9.51+F57</f>
        <v>313.57</v>
      </c>
      <c r="H57">
        <v>0</v>
      </c>
      <c r="I57">
        <v>0</v>
      </c>
      <c r="J57">
        <f t="shared" si="5"/>
        <v>0</v>
      </c>
      <c r="K57">
        <v>0</v>
      </c>
      <c r="L57">
        <f>SUM(M57:R57)-(6*0.45)</f>
        <v>62.36</v>
      </c>
      <c r="M57">
        <v>12.38</v>
      </c>
      <c r="N57">
        <v>11.41</v>
      </c>
      <c r="O57">
        <v>11.72</v>
      </c>
      <c r="P57">
        <v>11.77</v>
      </c>
      <c r="Q57">
        <v>11.26</v>
      </c>
      <c r="R57">
        <v>6.52</v>
      </c>
      <c r="Y57">
        <v>5</v>
      </c>
      <c r="Z57">
        <v>0</v>
      </c>
    </row>
    <row r="58" spans="1:26" x14ac:dyDescent="0.25">
      <c r="A58">
        <v>57</v>
      </c>
      <c r="B58">
        <v>945</v>
      </c>
      <c r="C58">
        <v>115</v>
      </c>
      <c r="D58">
        <f t="shared" si="6"/>
        <v>0.91</v>
      </c>
      <c r="E58">
        <v>0.91</v>
      </c>
      <c r="F58">
        <v>1.4</v>
      </c>
      <c r="G58">
        <f>435+10.23+F58</f>
        <v>446.63</v>
      </c>
      <c r="H58">
        <v>33</v>
      </c>
      <c r="I58">
        <v>0</v>
      </c>
      <c r="J58">
        <f>H58+I58</f>
        <v>33</v>
      </c>
      <c r="K58">
        <v>0</v>
      </c>
      <c r="L58">
        <f>SUM(M58:R58)-(6*0.45)</f>
        <v>61.14</v>
      </c>
      <c r="M58">
        <v>10.95</v>
      </c>
      <c r="N58">
        <v>10.220000000000001</v>
      </c>
      <c r="O58">
        <v>12.15</v>
      </c>
      <c r="P58">
        <v>11.75</v>
      </c>
      <c r="Q58">
        <v>9.42</v>
      </c>
      <c r="R58">
        <v>9.35</v>
      </c>
      <c r="Y58">
        <v>5</v>
      </c>
      <c r="Z58">
        <v>0</v>
      </c>
    </row>
    <row r="59" spans="1:26" x14ac:dyDescent="0.25">
      <c r="A59">
        <v>58</v>
      </c>
      <c r="B59">
        <v>920</v>
      </c>
      <c r="C59">
        <v>125</v>
      </c>
      <c r="D59">
        <f t="shared" si="6"/>
        <v>0</v>
      </c>
      <c r="E59">
        <v>0</v>
      </c>
      <c r="F59">
        <v>0.37</v>
      </c>
      <c r="G59">
        <f>217.28+12.39+F59</f>
        <v>230.04000000000002</v>
      </c>
      <c r="H59">
        <v>19</v>
      </c>
      <c r="I59">
        <v>18</v>
      </c>
      <c r="J59">
        <f t="shared" si="5"/>
        <v>37</v>
      </c>
      <c r="K59">
        <v>0</v>
      </c>
      <c r="L59">
        <f>SUM(M59:R59)-(6*0.45)</f>
        <v>56.51</v>
      </c>
      <c r="M59">
        <v>9.8000000000000007</v>
      </c>
      <c r="N59">
        <v>10.83</v>
      </c>
      <c r="O59">
        <v>8.3699999999999992</v>
      </c>
      <c r="P59">
        <v>10.86</v>
      </c>
      <c r="Q59">
        <v>9.24</v>
      </c>
      <c r="R59">
        <v>10.11</v>
      </c>
      <c r="Y59">
        <v>5</v>
      </c>
      <c r="Z59">
        <v>0</v>
      </c>
    </row>
    <row r="60" spans="1:26" x14ac:dyDescent="0.25">
      <c r="A60">
        <v>59</v>
      </c>
      <c r="B60">
        <v>1060</v>
      </c>
      <c r="C60">
        <v>141.79</v>
      </c>
      <c r="D60">
        <f t="shared" si="6"/>
        <v>3.56</v>
      </c>
      <c r="E60">
        <v>3.56</v>
      </c>
      <c r="F60">
        <v>0.76</v>
      </c>
      <c r="G60">
        <f>401.25+20.51+F60</f>
        <v>422.52</v>
      </c>
      <c r="H60">
        <v>14.5</v>
      </c>
      <c r="I60">
        <v>14.5</v>
      </c>
      <c r="J60">
        <f t="shared" si="5"/>
        <v>29</v>
      </c>
      <c r="K60">
        <v>0</v>
      </c>
      <c r="L60">
        <f>SUM(M60:S60)-(7*0.45)</f>
        <v>63.48</v>
      </c>
      <c r="M60">
        <v>9.44</v>
      </c>
      <c r="N60">
        <v>9.77</v>
      </c>
      <c r="O60">
        <v>9.1300000000000008</v>
      </c>
      <c r="P60">
        <v>10.14</v>
      </c>
      <c r="Q60">
        <v>9.94</v>
      </c>
      <c r="R60">
        <v>9.61</v>
      </c>
      <c r="S60">
        <v>8.6</v>
      </c>
      <c r="Y60">
        <v>5</v>
      </c>
      <c r="Z60">
        <v>0</v>
      </c>
    </row>
    <row r="61" spans="1:26" x14ac:dyDescent="0.25">
      <c r="A61">
        <v>60</v>
      </c>
      <c r="B61">
        <v>165</v>
      </c>
      <c r="C61">
        <v>150</v>
      </c>
      <c r="D61">
        <f t="shared" si="6"/>
        <v>5.05</v>
      </c>
      <c r="E61">
        <v>5.05</v>
      </c>
      <c r="F61">
        <v>2.21</v>
      </c>
      <c r="G61">
        <f>17.55+F61</f>
        <v>19.760000000000002</v>
      </c>
      <c r="H61">
        <v>0</v>
      </c>
      <c r="I61">
        <v>0</v>
      </c>
      <c r="J61">
        <f t="shared" si="5"/>
        <v>0</v>
      </c>
      <c r="K61">
        <v>0</v>
      </c>
      <c r="L61">
        <f>SUM(M61:S61)-(6*0.45)</f>
        <v>60.209999999999994</v>
      </c>
      <c r="M61">
        <v>10.14</v>
      </c>
      <c r="N61">
        <v>11.65</v>
      </c>
      <c r="O61">
        <v>10.42</v>
      </c>
      <c r="P61">
        <v>10.039999999999999</v>
      </c>
      <c r="Q61">
        <v>11.94</v>
      </c>
      <c r="R61">
        <v>8.7200000000000006</v>
      </c>
      <c r="Y61">
        <v>5</v>
      </c>
      <c r="Z61">
        <v>0</v>
      </c>
    </row>
    <row r="62" spans="1:26" x14ac:dyDescent="0.25">
      <c r="A62">
        <v>61</v>
      </c>
      <c r="B62" s="29">
        <v>863</v>
      </c>
      <c r="C62">
        <v>233.64</v>
      </c>
      <c r="D62">
        <f t="shared" si="6"/>
        <v>1.23</v>
      </c>
      <c r="E62">
        <v>1.23</v>
      </c>
      <c r="F62">
        <v>0</v>
      </c>
      <c r="G62" s="29">
        <v>335</v>
      </c>
      <c r="H62">
        <v>29</v>
      </c>
      <c r="I62">
        <v>99.5</v>
      </c>
      <c r="J62">
        <f t="shared" si="5"/>
        <v>128.5</v>
      </c>
      <c r="K62">
        <v>0</v>
      </c>
      <c r="L62">
        <f>SUM(M62:S62)-(7*0.45)</f>
        <v>63.57</v>
      </c>
      <c r="M62">
        <v>9.9</v>
      </c>
      <c r="N62">
        <v>10.41</v>
      </c>
      <c r="O62">
        <v>12.02</v>
      </c>
      <c r="P62">
        <v>10.02</v>
      </c>
      <c r="Q62">
        <v>10.99</v>
      </c>
      <c r="R62">
        <v>11.37</v>
      </c>
      <c r="S62">
        <v>2.0099999999999998</v>
      </c>
      <c r="Y62">
        <v>5</v>
      </c>
      <c r="Z62">
        <v>0</v>
      </c>
    </row>
    <row r="63" spans="1:26" x14ac:dyDescent="0.25">
      <c r="A63">
        <v>62</v>
      </c>
      <c r="B63">
        <v>1905</v>
      </c>
      <c r="C63">
        <v>141.65</v>
      </c>
      <c r="D63">
        <f t="shared" si="6"/>
        <v>3.57</v>
      </c>
      <c r="E63">
        <v>3.57</v>
      </c>
      <c r="F63">
        <v>3.94</v>
      </c>
      <c r="G63">
        <f>253.79+39.84+F63</f>
        <v>297.57</v>
      </c>
      <c r="H63">
        <v>0</v>
      </c>
      <c r="I63">
        <v>0</v>
      </c>
      <c r="J63">
        <f t="shared" si="5"/>
        <v>0</v>
      </c>
      <c r="K63">
        <v>0</v>
      </c>
      <c r="L63">
        <f>SUM(M63:T63)-(8*0.45)</f>
        <v>69.660000000000011</v>
      </c>
      <c r="M63">
        <v>8.41</v>
      </c>
      <c r="N63">
        <v>8.8699999999999992</v>
      </c>
      <c r="O63">
        <v>10.46</v>
      </c>
      <c r="P63">
        <v>10.210000000000001</v>
      </c>
      <c r="Q63">
        <v>9.7899999999999991</v>
      </c>
      <c r="R63">
        <v>11.56</v>
      </c>
      <c r="S63">
        <v>10.77</v>
      </c>
      <c r="T63">
        <v>3.19</v>
      </c>
      <c r="Y63">
        <v>5</v>
      </c>
      <c r="Z63">
        <v>0</v>
      </c>
    </row>
    <row r="64" spans="1:26" x14ac:dyDescent="0.25">
      <c r="A64">
        <v>63</v>
      </c>
      <c r="B64">
        <v>2730</v>
      </c>
      <c r="C64">
        <v>6.15</v>
      </c>
      <c r="D64">
        <f t="shared" si="6"/>
        <v>0.49</v>
      </c>
      <c r="E64">
        <v>0.49</v>
      </c>
      <c r="F64">
        <v>0</v>
      </c>
      <c r="G64">
        <f>117.18+7.04</f>
        <v>124.22000000000001</v>
      </c>
      <c r="H64">
        <v>4</v>
      </c>
      <c r="I64">
        <v>9.5</v>
      </c>
      <c r="J64">
        <f t="shared" si="5"/>
        <v>13.5</v>
      </c>
      <c r="K64">
        <v>0</v>
      </c>
      <c r="L64">
        <f>SUM(M64:T64)-(7*0.45)</f>
        <v>56.994999999999997</v>
      </c>
      <c r="M64">
        <v>9.68</v>
      </c>
      <c r="N64">
        <v>5.48</v>
      </c>
      <c r="O64">
        <v>9.43</v>
      </c>
      <c r="P64">
        <v>9.6300000000000008</v>
      </c>
      <c r="Q64">
        <v>11.63</v>
      </c>
      <c r="R64">
        <v>11.48</v>
      </c>
      <c r="S64">
        <v>2.8149999999999999</v>
      </c>
      <c r="Y64">
        <v>5</v>
      </c>
      <c r="Z64">
        <v>0</v>
      </c>
    </row>
    <row r="65" spans="1:26" x14ac:dyDescent="0.25">
      <c r="A65">
        <v>64</v>
      </c>
      <c r="B65">
        <v>1420</v>
      </c>
      <c r="C65">
        <v>333.62</v>
      </c>
      <c r="D65">
        <f t="shared" si="6"/>
        <v>0</v>
      </c>
      <c r="E65">
        <v>0</v>
      </c>
      <c r="F65">
        <v>0.35</v>
      </c>
      <c r="G65">
        <f>48.24+3.34+F65</f>
        <v>51.93</v>
      </c>
      <c r="H65">
        <v>0</v>
      </c>
      <c r="I65">
        <v>57</v>
      </c>
      <c r="J65">
        <f t="shared" si="5"/>
        <v>57</v>
      </c>
      <c r="K65">
        <v>0</v>
      </c>
      <c r="L65">
        <f>SUM(M65:T65)-(7*0.45)</f>
        <v>61.425000000000004</v>
      </c>
      <c r="M65">
        <v>8.8650000000000002</v>
      </c>
      <c r="N65">
        <v>9.57</v>
      </c>
      <c r="O65">
        <v>9.52</v>
      </c>
      <c r="P65">
        <v>9.0500000000000007</v>
      </c>
      <c r="Q65">
        <v>8.16</v>
      </c>
      <c r="R65">
        <v>10.66</v>
      </c>
      <c r="S65">
        <v>8.75</v>
      </c>
      <c r="Y65">
        <v>5</v>
      </c>
      <c r="Z65">
        <v>0</v>
      </c>
    </row>
    <row r="66" spans="1:26" x14ac:dyDescent="0.25">
      <c r="A66">
        <v>65</v>
      </c>
      <c r="B66">
        <v>800</v>
      </c>
      <c r="C66">
        <v>11.11</v>
      </c>
      <c r="D66">
        <f t="shared" si="6"/>
        <v>0</v>
      </c>
      <c r="E66">
        <v>0</v>
      </c>
      <c r="F66">
        <v>0</v>
      </c>
      <c r="G66">
        <f>19.8+6.07</f>
        <v>25.87</v>
      </c>
      <c r="H66">
        <v>0</v>
      </c>
      <c r="I66">
        <v>0</v>
      </c>
      <c r="J66">
        <f t="shared" si="5"/>
        <v>0</v>
      </c>
      <c r="K66">
        <v>0</v>
      </c>
      <c r="L66">
        <f>SUM(M66:T66)-(8*0.45)</f>
        <v>67.62</v>
      </c>
      <c r="M66">
        <v>9.98</v>
      </c>
      <c r="N66">
        <v>10.27</v>
      </c>
      <c r="O66">
        <v>10.08</v>
      </c>
      <c r="P66">
        <v>10.19</v>
      </c>
      <c r="Q66">
        <v>10.52</v>
      </c>
      <c r="R66">
        <v>9.48</v>
      </c>
      <c r="S66">
        <v>8.52</v>
      </c>
      <c r="T66">
        <v>2.1800000000000002</v>
      </c>
      <c r="Y66">
        <v>5</v>
      </c>
      <c r="Z66">
        <v>0</v>
      </c>
    </row>
    <row r="67" spans="1:26" x14ac:dyDescent="0.25">
      <c r="A67">
        <v>66</v>
      </c>
      <c r="B67">
        <v>244.48</v>
      </c>
      <c r="C67">
        <v>2.52</v>
      </c>
      <c r="D67">
        <f t="shared" si="6"/>
        <v>0</v>
      </c>
      <c r="E67">
        <v>0</v>
      </c>
      <c r="F67">
        <v>0</v>
      </c>
      <c r="G67">
        <f>2.21+1.25</f>
        <v>3.46</v>
      </c>
      <c r="H67">
        <v>0</v>
      </c>
      <c r="I67">
        <v>0</v>
      </c>
      <c r="J67">
        <f t="shared" si="5"/>
        <v>0</v>
      </c>
      <c r="K67">
        <v>0</v>
      </c>
      <c r="L67">
        <f>SUM(M67:T67)-(8*0.45)</f>
        <v>73.920000000000016</v>
      </c>
      <c r="M67">
        <v>10.46</v>
      </c>
      <c r="N67">
        <v>10.39</v>
      </c>
      <c r="O67">
        <v>9.09</v>
      </c>
      <c r="P67">
        <v>9.2899999999999991</v>
      </c>
      <c r="Q67">
        <v>9.1999999999999993</v>
      </c>
      <c r="R67">
        <v>10.65</v>
      </c>
      <c r="S67">
        <v>9.94</v>
      </c>
      <c r="T67">
        <v>8.5</v>
      </c>
      <c r="Y67">
        <v>5</v>
      </c>
      <c r="Z67">
        <v>0</v>
      </c>
    </row>
    <row r="68" spans="1:26" x14ac:dyDescent="0.25">
      <c r="A68">
        <v>67</v>
      </c>
      <c r="B68">
        <v>440</v>
      </c>
      <c r="C68">
        <v>3.96</v>
      </c>
      <c r="D68">
        <f t="shared" si="6"/>
        <v>0.44</v>
      </c>
      <c r="E68">
        <v>0.44</v>
      </c>
      <c r="F68">
        <v>6.49</v>
      </c>
      <c r="G68">
        <f>2.75+F68</f>
        <v>9.24</v>
      </c>
      <c r="H68">
        <v>0</v>
      </c>
      <c r="I68">
        <v>0</v>
      </c>
      <c r="J68">
        <f t="shared" si="5"/>
        <v>0</v>
      </c>
      <c r="K68">
        <v>0</v>
      </c>
      <c r="L68">
        <f>SUM(M68:U68)-(9*0.45)</f>
        <v>67.055000000000007</v>
      </c>
      <c r="M68">
        <v>7.72</v>
      </c>
      <c r="N68">
        <v>7.54</v>
      </c>
      <c r="O68">
        <v>7.34</v>
      </c>
      <c r="P68">
        <v>8.31</v>
      </c>
      <c r="Q68">
        <v>8.51</v>
      </c>
      <c r="R68">
        <v>8.0299999999999994</v>
      </c>
      <c r="S68">
        <v>8.1150000000000002</v>
      </c>
      <c r="T68">
        <v>7.95</v>
      </c>
      <c r="U68">
        <v>7.59</v>
      </c>
      <c r="Y68">
        <v>5</v>
      </c>
      <c r="Z68">
        <v>0</v>
      </c>
    </row>
    <row r="69" spans="1:26" x14ac:dyDescent="0.25">
      <c r="A69">
        <v>68</v>
      </c>
      <c r="B69">
        <v>62</v>
      </c>
      <c r="C69">
        <v>0</v>
      </c>
      <c r="D69">
        <f t="shared" si="6"/>
        <v>0</v>
      </c>
      <c r="E69">
        <v>0</v>
      </c>
      <c r="F69">
        <v>0</v>
      </c>
      <c r="G69">
        <v>3.48</v>
      </c>
      <c r="H69">
        <v>10</v>
      </c>
      <c r="I69">
        <v>0</v>
      </c>
      <c r="J69">
        <f t="shared" si="5"/>
        <v>10</v>
      </c>
      <c r="K69">
        <v>0</v>
      </c>
      <c r="L69">
        <f>SUM(M69:U69)-(8*0.45)</f>
        <v>64.675000000000011</v>
      </c>
      <c r="M69">
        <v>8.625</v>
      </c>
      <c r="N69">
        <v>8.86</v>
      </c>
      <c r="O69">
        <v>9</v>
      </c>
      <c r="P69">
        <v>8.5500000000000007</v>
      </c>
      <c r="Q69">
        <v>8.57</v>
      </c>
      <c r="R69">
        <v>8.66</v>
      </c>
      <c r="S69">
        <v>5.48</v>
      </c>
      <c r="T69">
        <v>10.53</v>
      </c>
      <c r="Y69">
        <v>5</v>
      </c>
      <c r="Z69">
        <v>0</v>
      </c>
    </row>
    <row r="70" spans="1:26" x14ac:dyDescent="0.25">
      <c r="A70">
        <v>69</v>
      </c>
      <c r="B70">
        <v>113.62</v>
      </c>
      <c r="C70">
        <v>10.42</v>
      </c>
      <c r="D70">
        <f t="shared" si="6"/>
        <v>0.26</v>
      </c>
      <c r="E70">
        <v>0.26</v>
      </c>
      <c r="F70">
        <v>0</v>
      </c>
      <c r="G70">
        <v>1.18</v>
      </c>
      <c r="H70">
        <v>0</v>
      </c>
      <c r="I70">
        <v>0</v>
      </c>
      <c r="J70">
        <f t="shared" si="5"/>
        <v>0</v>
      </c>
      <c r="K70">
        <v>0</v>
      </c>
      <c r="L70">
        <f>SUM(M70:U70)-(9*0.45)</f>
        <v>85.539999999999992</v>
      </c>
      <c r="M70">
        <v>10.74</v>
      </c>
      <c r="N70">
        <v>9.81</v>
      </c>
      <c r="O70">
        <v>9.51</v>
      </c>
      <c r="P70">
        <v>8.52</v>
      </c>
      <c r="Q70">
        <v>9.5</v>
      </c>
      <c r="R70">
        <v>10.48</v>
      </c>
      <c r="S70">
        <v>10.07</v>
      </c>
      <c r="T70">
        <v>9.99</v>
      </c>
      <c r="U70">
        <v>10.97</v>
      </c>
      <c r="Y70">
        <v>5</v>
      </c>
      <c r="Z70">
        <v>0</v>
      </c>
    </row>
    <row r="71" spans="1:26" x14ac:dyDescent="0.25">
      <c r="A71">
        <v>70</v>
      </c>
      <c r="B71">
        <v>219.88</v>
      </c>
      <c r="C71">
        <v>1.51</v>
      </c>
      <c r="D71">
        <f t="shared" si="6"/>
        <v>0</v>
      </c>
      <c r="E71">
        <v>0</v>
      </c>
      <c r="F71">
        <v>0</v>
      </c>
      <c r="G71">
        <v>0.32</v>
      </c>
      <c r="H71">
        <v>0</v>
      </c>
      <c r="I71">
        <v>0</v>
      </c>
      <c r="J71">
        <f t="shared" si="5"/>
        <v>0</v>
      </c>
      <c r="K71">
        <v>0</v>
      </c>
      <c r="L71">
        <f>SUM(M71:U71)-(8*0.45)</f>
        <v>75.460000000000008</v>
      </c>
      <c r="M71">
        <v>9.5350000000000001</v>
      </c>
      <c r="N71">
        <v>9.82</v>
      </c>
      <c r="O71">
        <v>9.23</v>
      </c>
      <c r="P71">
        <v>10.84</v>
      </c>
      <c r="Q71">
        <v>9.85</v>
      </c>
      <c r="R71">
        <v>9.42</v>
      </c>
      <c r="S71">
        <v>9.7550000000000008</v>
      </c>
      <c r="T71">
        <v>10.61</v>
      </c>
      <c r="Y71">
        <v>5</v>
      </c>
      <c r="Z71">
        <v>0</v>
      </c>
    </row>
    <row r="72" spans="1:26" x14ac:dyDescent="0.25">
      <c r="A72">
        <v>71</v>
      </c>
      <c r="B72">
        <v>396.53</v>
      </c>
      <c r="C72">
        <v>3.91</v>
      </c>
      <c r="D72">
        <f t="shared" si="6"/>
        <v>21.72</v>
      </c>
      <c r="E72">
        <v>21.72</v>
      </c>
      <c r="F72">
        <v>0</v>
      </c>
      <c r="G72">
        <v>2.87</v>
      </c>
      <c r="H72">
        <v>0</v>
      </c>
      <c r="I72">
        <v>0</v>
      </c>
      <c r="J72">
        <f t="shared" si="5"/>
        <v>0</v>
      </c>
      <c r="K72">
        <v>0</v>
      </c>
      <c r="L72">
        <f>SUM(M72:V72)-(10*0.45)</f>
        <v>95.229999999999976</v>
      </c>
      <c r="M72">
        <v>9.14</v>
      </c>
      <c r="N72">
        <v>11</v>
      </c>
      <c r="O72">
        <v>9.75</v>
      </c>
      <c r="P72">
        <v>9.27</v>
      </c>
      <c r="Q72">
        <v>9.89</v>
      </c>
      <c r="R72">
        <v>10.01</v>
      </c>
      <c r="S72">
        <v>10.4</v>
      </c>
      <c r="T72">
        <v>11.18</v>
      </c>
      <c r="U72">
        <v>11.32</v>
      </c>
      <c r="V72">
        <v>7.77</v>
      </c>
      <c r="Y72">
        <v>5</v>
      </c>
      <c r="Z72">
        <v>0</v>
      </c>
    </row>
    <row r="73" spans="1:26" x14ac:dyDescent="0.25">
      <c r="A73">
        <v>72</v>
      </c>
      <c r="B73">
        <f>123.8+11.59</f>
        <v>135.38999999999999</v>
      </c>
      <c r="C73">
        <f>4.81+1.17</f>
        <v>5.9799999999999995</v>
      </c>
      <c r="D73">
        <f t="shared" si="6"/>
        <v>0</v>
      </c>
      <c r="E73">
        <v>0</v>
      </c>
      <c r="F73">
        <v>0</v>
      </c>
      <c r="G73">
        <v>1.34</v>
      </c>
      <c r="H73">
        <v>0</v>
      </c>
      <c r="I73">
        <v>0</v>
      </c>
      <c r="J73">
        <f t="shared" si="5"/>
        <v>0</v>
      </c>
      <c r="K73">
        <v>0</v>
      </c>
      <c r="L73">
        <f>SUM(M73:V73)-(8*0.45)</f>
        <v>79.73</v>
      </c>
      <c r="M73">
        <v>10.14</v>
      </c>
      <c r="N73">
        <v>10.76</v>
      </c>
      <c r="O73">
        <v>10.050000000000001</v>
      </c>
      <c r="P73">
        <v>11.31</v>
      </c>
      <c r="Q73">
        <v>11.48</v>
      </c>
      <c r="R73">
        <v>10.53</v>
      </c>
      <c r="S73">
        <v>10.34</v>
      </c>
      <c r="T73">
        <v>8.7200000000000006</v>
      </c>
      <c r="Y73">
        <v>5</v>
      </c>
      <c r="Z73">
        <v>0</v>
      </c>
    </row>
    <row r="74" spans="1:26" x14ac:dyDescent="0.25">
      <c r="A74">
        <v>73</v>
      </c>
      <c r="B74">
        <v>43.56</v>
      </c>
      <c r="C74">
        <v>1.71</v>
      </c>
      <c r="D74">
        <f t="shared" si="6"/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5"/>
        <v>0</v>
      </c>
      <c r="K74">
        <v>0</v>
      </c>
      <c r="L74">
        <f>SUM(M74:V74)-(9*0.45)</f>
        <v>69.260000000000005</v>
      </c>
      <c r="M74">
        <v>8.58</v>
      </c>
      <c r="N74">
        <v>8.85</v>
      </c>
      <c r="O74">
        <v>9</v>
      </c>
      <c r="P74">
        <v>9.24</v>
      </c>
      <c r="Q74">
        <v>8.2200000000000006</v>
      </c>
      <c r="R74">
        <v>8.6999999999999993</v>
      </c>
      <c r="S74">
        <v>8.1</v>
      </c>
      <c r="T74">
        <v>7.01</v>
      </c>
      <c r="U74">
        <v>5.61</v>
      </c>
      <c r="Y74">
        <v>5</v>
      </c>
      <c r="Z74">
        <v>0</v>
      </c>
    </row>
    <row r="75" spans="1:26" x14ac:dyDescent="0.25">
      <c r="A75">
        <v>74</v>
      </c>
      <c r="B75">
        <v>109.68</v>
      </c>
      <c r="C75">
        <v>0.48</v>
      </c>
      <c r="D75">
        <f t="shared" si="6"/>
        <v>0</v>
      </c>
      <c r="E75">
        <v>0</v>
      </c>
      <c r="F75">
        <v>0</v>
      </c>
      <c r="G75">
        <v>1.54</v>
      </c>
      <c r="H75">
        <v>0</v>
      </c>
      <c r="I75">
        <v>0</v>
      </c>
      <c r="J75">
        <f t="shared" si="5"/>
        <v>0</v>
      </c>
      <c r="K75">
        <v>0</v>
      </c>
      <c r="L75">
        <f>SUM(M75:W75)-(11*0.45)</f>
        <v>89.17</v>
      </c>
      <c r="M75">
        <v>9.11</v>
      </c>
      <c r="N75">
        <v>9.61</v>
      </c>
      <c r="O75">
        <v>8.7100000000000009</v>
      </c>
      <c r="P75">
        <v>9.6300000000000008</v>
      </c>
      <c r="Q75">
        <v>8.39</v>
      </c>
      <c r="R75">
        <v>8.61</v>
      </c>
      <c r="S75">
        <v>9.85</v>
      </c>
      <c r="T75">
        <v>7.33</v>
      </c>
      <c r="U75">
        <v>7.68</v>
      </c>
      <c r="V75">
        <v>8.32</v>
      </c>
      <c r="W75">
        <v>6.88</v>
      </c>
      <c r="Y75">
        <v>5</v>
      </c>
      <c r="Z75">
        <v>0</v>
      </c>
    </row>
    <row r="76" spans="1:26" x14ac:dyDescent="0.25">
      <c r="A76">
        <v>75</v>
      </c>
      <c r="B76">
        <v>55.43</v>
      </c>
      <c r="C76">
        <v>1.88</v>
      </c>
      <c r="D76">
        <f t="shared" si="6"/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5"/>
        <v>0</v>
      </c>
      <c r="K76">
        <v>0</v>
      </c>
      <c r="L76">
        <f>SUM(M76:W76)-(9*0.45)</f>
        <v>73.95</v>
      </c>
      <c r="M76">
        <v>7.8</v>
      </c>
      <c r="N76">
        <v>9.16</v>
      </c>
      <c r="O76">
        <v>8.3800000000000008</v>
      </c>
      <c r="P76">
        <v>8.08</v>
      </c>
      <c r="Q76">
        <v>9.5299999999999994</v>
      </c>
      <c r="R76">
        <v>8.32</v>
      </c>
      <c r="S76">
        <v>9.33</v>
      </c>
      <c r="T76">
        <v>8.6199999999999992</v>
      </c>
      <c r="U76">
        <v>8.7799999999999994</v>
      </c>
      <c r="Y76">
        <v>5</v>
      </c>
      <c r="Z76">
        <v>0</v>
      </c>
    </row>
    <row r="77" spans="1:26" x14ac:dyDescent="0.25">
      <c r="A77">
        <v>76</v>
      </c>
      <c r="B77">
        <v>40.67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5"/>
        <v>0</v>
      </c>
      <c r="K77">
        <v>0</v>
      </c>
      <c r="L77">
        <f>SUM(M77:X77)-(12*0.45)</f>
        <v>92.149999999999977</v>
      </c>
      <c r="M77">
        <v>7.83</v>
      </c>
      <c r="N77">
        <v>7.23</v>
      </c>
      <c r="O77">
        <v>7.98</v>
      </c>
      <c r="P77">
        <v>7.71</v>
      </c>
      <c r="Q77">
        <v>8.93</v>
      </c>
      <c r="R77">
        <v>8.1300000000000008</v>
      </c>
      <c r="S77">
        <v>8.8800000000000008</v>
      </c>
      <c r="T77">
        <v>7.89</v>
      </c>
      <c r="U77">
        <v>8.3000000000000007</v>
      </c>
      <c r="V77">
        <v>8.35</v>
      </c>
      <c r="W77">
        <v>7.96</v>
      </c>
      <c r="X77">
        <v>8.36</v>
      </c>
      <c r="Y77">
        <v>5</v>
      </c>
      <c r="Z77">
        <v>0</v>
      </c>
    </row>
    <row r="78" spans="1:26" x14ac:dyDescent="0.25">
      <c r="A78">
        <v>77</v>
      </c>
      <c r="B78">
        <v>106.33</v>
      </c>
      <c r="C78">
        <v>8.5399999999999991</v>
      </c>
      <c r="D78">
        <f t="shared" ref="D78:D84" si="7">E78</f>
        <v>0</v>
      </c>
      <c r="E78">
        <v>0</v>
      </c>
      <c r="F78">
        <v>1.89</v>
      </c>
      <c r="G78">
        <f>F78</f>
        <v>1.89</v>
      </c>
      <c r="H78">
        <v>0</v>
      </c>
      <c r="I78">
        <v>0</v>
      </c>
      <c r="J78">
        <f t="shared" si="5"/>
        <v>0</v>
      </c>
      <c r="K78">
        <v>0</v>
      </c>
      <c r="L78">
        <f>SUM(M78:X78)-(12*0.45)</f>
        <v>117.01999999999998</v>
      </c>
      <c r="M78">
        <v>11.45</v>
      </c>
      <c r="N78">
        <v>11.02</v>
      </c>
      <c r="O78">
        <v>9.86</v>
      </c>
      <c r="P78">
        <v>9.7899999999999991</v>
      </c>
      <c r="Q78">
        <v>10.48</v>
      </c>
      <c r="R78">
        <v>11.59</v>
      </c>
      <c r="S78">
        <v>9.67</v>
      </c>
      <c r="T78">
        <v>10.45</v>
      </c>
      <c r="U78">
        <v>9.66</v>
      </c>
      <c r="V78">
        <v>10.78</v>
      </c>
      <c r="W78">
        <v>9.35</v>
      </c>
      <c r="X78">
        <v>8.32</v>
      </c>
      <c r="Y78">
        <v>5</v>
      </c>
      <c r="Z78">
        <v>0</v>
      </c>
    </row>
    <row r="79" spans="1:26" x14ac:dyDescent="0.25">
      <c r="A79">
        <v>78</v>
      </c>
      <c r="B79">
        <v>26.7</v>
      </c>
      <c r="C79">
        <v>0.96</v>
      </c>
      <c r="D79">
        <f t="shared" si="7"/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5"/>
        <v>0</v>
      </c>
      <c r="K79">
        <v>0</v>
      </c>
      <c r="L79">
        <f>SUM(M79:U79)-(9*0.45)</f>
        <v>77.38000000000001</v>
      </c>
      <c r="M79">
        <v>8.27</v>
      </c>
      <c r="N79">
        <v>7.98</v>
      </c>
      <c r="O79">
        <v>10.45</v>
      </c>
      <c r="P79">
        <v>8.83</v>
      </c>
      <c r="Q79">
        <v>8.94</v>
      </c>
      <c r="R79">
        <v>8.1999999999999993</v>
      </c>
      <c r="S79">
        <v>9.94</v>
      </c>
      <c r="T79">
        <v>8.84</v>
      </c>
      <c r="U79">
        <v>9.98</v>
      </c>
      <c r="Y79">
        <v>5</v>
      </c>
      <c r="Z79">
        <v>0</v>
      </c>
    </row>
    <row r="80" spans="1:26" x14ac:dyDescent="0.25">
      <c r="A80">
        <v>79</v>
      </c>
      <c r="B80">
        <v>2.0099999999999998</v>
      </c>
      <c r="C80">
        <v>0</v>
      </c>
      <c r="D80">
        <f t="shared" si="7"/>
        <v>0</v>
      </c>
      <c r="E80">
        <v>0</v>
      </c>
      <c r="F80">
        <v>0</v>
      </c>
      <c r="G80">
        <v>1.23</v>
      </c>
      <c r="H80">
        <v>0</v>
      </c>
      <c r="I80">
        <v>0</v>
      </c>
      <c r="J80">
        <f t="shared" si="5"/>
        <v>0</v>
      </c>
      <c r="K80">
        <v>0</v>
      </c>
      <c r="L80">
        <f>SUM(M80:V80)-(10*0.45)</f>
        <v>73.34</v>
      </c>
      <c r="M80">
        <v>7.62</v>
      </c>
      <c r="N80">
        <v>8.81</v>
      </c>
      <c r="O80">
        <v>7.73</v>
      </c>
      <c r="P80">
        <v>8.18</v>
      </c>
      <c r="Q80">
        <v>7.11</v>
      </c>
      <c r="R80">
        <v>8.2799999999999994</v>
      </c>
      <c r="S80">
        <v>8.11</v>
      </c>
      <c r="T80">
        <v>8.5299999999999994</v>
      </c>
      <c r="U80">
        <v>8.36</v>
      </c>
      <c r="V80">
        <v>5.1100000000000003</v>
      </c>
      <c r="Y80">
        <v>5</v>
      </c>
      <c r="Z80">
        <v>0</v>
      </c>
    </row>
    <row r="81" spans="1:26" x14ac:dyDescent="0.25">
      <c r="A81">
        <v>80</v>
      </c>
      <c r="B81">
        <v>4.4400000000000004</v>
      </c>
      <c r="C81">
        <v>0</v>
      </c>
      <c r="D81">
        <f t="shared" si="7"/>
        <v>0</v>
      </c>
      <c r="E81">
        <v>0</v>
      </c>
      <c r="F81">
        <v>0</v>
      </c>
      <c r="G81">
        <v>2.21</v>
      </c>
      <c r="H81">
        <v>1</v>
      </c>
      <c r="I81">
        <v>0</v>
      </c>
      <c r="J81">
        <f t="shared" si="5"/>
        <v>1</v>
      </c>
      <c r="K81">
        <v>0</v>
      </c>
      <c r="L81">
        <f>SUM(M81:V81)-(9*0.45)</f>
        <v>78.54000000000002</v>
      </c>
      <c r="M81">
        <v>10.23</v>
      </c>
      <c r="N81">
        <v>9.25</v>
      </c>
      <c r="O81">
        <v>9.8800000000000008</v>
      </c>
      <c r="P81">
        <v>8.43</v>
      </c>
      <c r="Q81">
        <v>8.6300000000000008</v>
      </c>
      <c r="R81">
        <v>9.36</v>
      </c>
      <c r="S81">
        <v>8.93</v>
      </c>
      <c r="T81">
        <v>9.93</v>
      </c>
      <c r="U81">
        <v>7.95</v>
      </c>
      <c r="Y81">
        <v>5</v>
      </c>
      <c r="Z81">
        <v>0</v>
      </c>
    </row>
    <row r="82" spans="1:26" x14ac:dyDescent="0.25">
      <c r="A82">
        <v>81</v>
      </c>
      <c r="B82">
        <v>7.61</v>
      </c>
      <c r="C82">
        <v>0.65</v>
      </c>
      <c r="D82">
        <f t="shared" si="7"/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5"/>
        <v>0</v>
      </c>
      <c r="K82">
        <v>0</v>
      </c>
      <c r="L82">
        <f>SUM(M82:V82)-(9*0.45)</f>
        <v>77.750000000000014</v>
      </c>
      <c r="M82">
        <v>9.2799999999999994</v>
      </c>
      <c r="N82">
        <v>9.82</v>
      </c>
      <c r="O82">
        <v>9.15</v>
      </c>
      <c r="P82">
        <v>8.5299999999999994</v>
      </c>
      <c r="Q82">
        <v>9.93</v>
      </c>
      <c r="R82">
        <v>8.81</v>
      </c>
      <c r="S82">
        <v>8.7100000000000009</v>
      </c>
      <c r="T82">
        <v>9.2799999999999994</v>
      </c>
      <c r="U82">
        <v>8.2899999999999991</v>
      </c>
      <c r="Y82">
        <v>5</v>
      </c>
      <c r="Z82">
        <v>0</v>
      </c>
    </row>
    <row r="83" spans="1:26" x14ac:dyDescent="0.25">
      <c r="A83">
        <v>82</v>
      </c>
      <c r="B83">
        <v>2.41</v>
      </c>
      <c r="C83">
        <v>0.55000000000000004</v>
      </c>
      <c r="D83">
        <f t="shared" si="7"/>
        <v>0</v>
      </c>
      <c r="E83">
        <v>0</v>
      </c>
      <c r="F83">
        <v>0</v>
      </c>
      <c r="G83">
        <v>0.67</v>
      </c>
      <c r="H83">
        <v>0</v>
      </c>
      <c r="I83">
        <v>0</v>
      </c>
      <c r="J83">
        <f t="shared" si="5"/>
        <v>0</v>
      </c>
      <c r="K83">
        <v>0</v>
      </c>
      <c r="L83">
        <f>SUM(M83:T83)-(8*0.45)</f>
        <v>86.450000000000017</v>
      </c>
      <c r="M83">
        <v>11.63</v>
      </c>
      <c r="N83">
        <v>11.39</v>
      </c>
      <c r="O83">
        <v>12.27</v>
      </c>
      <c r="P83">
        <v>11.46</v>
      </c>
      <c r="Q83">
        <v>11.04</v>
      </c>
      <c r="R83">
        <v>10.73</v>
      </c>
      <c r="S83">
        <v>10.3</v>
      </c>
      <c r="T83">
        <v>11.23</v>
      </c>
      <c r="Y83">
        <v>5</v>
      </c>
      <c r="Z83">
        <v>0</v>
      </c>
    </row>
    <row r="84" spans="1:26" x14ac:dyDescent="0.25">
      <c r="A84">
        <v>83</v>
      </c>
      <c r="B84">
        <v>6.95</v>
      </c>
      <c r="C84">
        <v>9.7200000000000006</v>
      </c>
      <c r="D84">
        <f t="shared" si="7"/>
        <v>0</v>
      </c>
      <c r="E84">
        <v>0</v>
      </c>
      <c r="F84">
        <v>0</v>
      </c>
      <c r="G84">
        <v>1.04</v>
      </c>
      <c r="H84">
        <v>0</v>
      </c>
      <c r="I84">
        <v>0</v>
      </c>
      <c r="J84">
        <f t="shared" si="5"/>
        <v>0</v>
      </c>
      <c r="K84">
        <v>0</v>
      </c>
      <c r="L84">
        <f>SUM(M84:W84)-(11*0.45)</f>
        <v>111.74000000000001</v>
      </c>
      <c r="M84">
        <v>10.210000000000001</v>
      </c>
      <c r="N84">
        <v>10.09</v>
      </c>
      <c r="O84">
        <v>10.18</v>
      </c>
      <c r="P84">
        <v>10.99</v>
      </c>
      <c r="Q84">
        <v>11.13</v>
      </c>
      <c r="R84">
        <v>10.8</v>
      </c>
      <c r="S84">
        <v>11.31</v>
      </c>
      <c r="T84">
        <v>11.24</v>
      </c>
      <c r="U84">
        <v>11.61</v>
      </c>
      <c r="V84">
        <v>11.23</v>
      </c>
      <c r="W84">
        <v>7.9</v>
      </c>
      <c r="Y84">
        <v>5</v>
      </c>
      <c r="Z84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zoomScaleNormal="100" workbookViewId="0"/>
  </sheetViews>
  <sheetFormatPr defaultRowHeight="15" x14ac:dyDescent="0.25"/>
  <cols>
    <col min="4" max="4" width="10.85546875" customWidth="1"/>
    <col min="5" max="5" width="7.28515625" customWidth="1"/>
    <col min="6" max="6" width="11.5703125" customWidth="1"/>
  </cols>
  <sheetData>
    <row r="1" spans="1:7" x14ac:dyDescent="0.25">
      <c r="A1" s="34" t="s">
        <v>0</v>
      </c>
      <c r="B1" s="34" t="s">
        <v>231</v>
      </c>
      <c r="C1" s="34" t="s">
        <v>232</v>
      </c>
      <c r="D1" s="34" t="s">
        <v>233</v>
      </c>
      <c r="E1" s="34" t="s">
        <v>28</v>
      </c>
      <c r="F1" s="34" t="s">
        <v>234</v>
      </c>
      <c r="G1" s="34" t="s">
        <v>236</v>
      </c>
    </row>
    <row r="2" spans="1:7" x14ac:dyDescent="0.25">
      <c r="A2" s="34">
        <f>Talimbue_B!A2</f>
        <v>1</v>
      </c>
      <c r="B2" s="35">
        <f>Talimbue_B!B2/Talimbue_B!L2</f>
        <v>1.248750297548203</v>
      </c>
      <c r="C2" s="35">
        <f>Talimbue_B!C2/Talimbue_B!L2</f>
        <v>2.2106641275886694</v>
      </c>
      <c r="D2" s="35">
        <f>Talimbue_B!G2/Talimbue_B!L2</f>
        <v>0.43822899309688162</v>
      </c>
      <c r="E2" s="35">
        <f>Talimbue_B!D2/Talimbue_B!L2</f>
        <v>2.2613663413472984E-2</v>
      </c>
      <c r="F2" s="36">
        <f>Talimbue_B!J2/Talimbue_B!L2</f>
        <v>0</v>
      </c>
      <c r="G2" s="35">
        <f>Talimbue_B!K2/Talimbue_B!L2</f>
        <v>1.5282075696262796</v>
      </c>
    </row>
    <row r="3" spans="1:7" x14ac:dyDescent="0.25">
      <c r="A3" s="34">
        <f>Talimbue_B!A3</f>
        <v>2</v>
      </c>
      <c r="B3" s="35">
        <f>Talimbue_B!B3/Talimbue_B!L3</f>
        <v>2.2616465556743548</v>
      </c>
      <c r="C3" s="35">
        <f>Talimbue_B!C3/Talimbue_B!L3</f>
        <v>13.899495952344585</v>
      </c>
      <c r="D3" s="35">
        <f>Talimbue_B!G3/Talimbue_B!L3</f>
        <v>2.519627310218421</v>
      </c>
      <c r="E3" s="35">
        <f>Talimbue_B!D3/Talimbue_B!L3</f>
        <v>5.9569268367191085E-3</v>
      </c>
      <c r="F3" s="35">
        <f>Talimbue_B!J3/Talimbue_B!L3</f>
        <v>7.6370856881014207E-2</v>
      </c>
      <c r="G3" s="35">
        <f>Talimbue_B!K3/Talimbue_B!L3</f>
        <v>2.7233847563769666</v>
      </c>
    </row>
    <row r="4" spans="1:7" x14ac:dyDescent="0.25">
      <c r="A4" s="34">
        <f>Talimbue_B!A4</f>
        <v>3</v>
      </c>
      <c r="B4" s="35">
        <f>Talimbue_B!B4/Talimbue_B!L4</f>
        <v>2.7615520850104653</v>
      </c>
      <c r="C4" s="35">
        <f>Talimbue_B!C4/Talimbue_B!L4</f>
        <v>53.292545483819026</v>
      </c>
      <c r="D4" s="35">
        <f>Talimbue_B!G4/Talimbue_B!L4</f>
        <v>8.8198357752374825</v>
      </c>
      <c r="E4" s="35">
        <f>Talimbue_B!D4/Talimbue_B!L4</f>
        <v>0.13604894541941714</v>
      </c>
      <c r="F4" s="35">
        <f>Talimbue_B!J4/Talimbue_B!L4</f>
        <v>0.3703107390114313</v>
      </c>
      <c r="G4" s="35">
        <f>Talimbue_B!K4/Talimbue_B!L4</f>
        <v>0.63918853646755758</v>
      </c>
    </row>
    <row r="5" spans="1:7" x14ac:dyDescent="0.25">
      <c r="A5" s="34">
        <f>Talimbue_B!A5</f>
        <v>4</v>
      </c>
      <c r="B5" s="35">
        <f>Talimbue_B!B5/Talimbue_B!L5</f>
        <v>1.9430569430569431</v>
      </c>
      <c r="C5" s="35">
        <f>Talimbue_B!C5/Talimbue_B!L5</f>
        <v>30.719280719280718</v>
      </c>
      <c r="D5" s="35">
        <f>Talimbue_B!G5/Talimbue_B!L5</f>
        <v>11.897269397269396</v>
      </c>
      <c r="E5" s="35">
        <f>Talimbue_B!D5/Talimbue_B!L5</f>
        <v>0.10872460872460872</v>
      </c>
      <c r="F5" s="36">
        <f>Talimbue_B!J5/Talimbue_B!L5</f>
        <v>0</v>
      </c>
      <c r="G5" s="35">
        <f>Talimbue_B!K5/Talimbue_B!L5</f>
        <v>6.1605061605061608E-2</v>
      </c>
    </row>
    <row r="6" spans="1:7" x14ac:dyDescent="0.25">
      <c r="A6" s="34">
        <f>Talimbue_B!A6</f>
        <v>5</v>
      </c>
      <c r="B6" s="35">
        <f>Talimbue_B!B6/Talimbue_B!L6</f>
        <v>2.2034961302375233</v>
      </c>
      <c r="C6" s="35">
        <f>Talimbue_B!C6/Talimbue_B!L6</f>
        <v>22.017614091273018</v>
      </c>
      <c r="D6" s="35">
        <f>Talimbue_B!G6/Talimbue_B!L6</f>
        <v>11.322658126501201</v>
      </c>
      <c r="E6" s="35">
        <f>Talimbue_B!D6/Talimbue_B!L6</f>
        <v>0.10101414464905258</v>
      </c>
      <c r="F6" s="35">
        <f>Talimbue_B!J6/Talimbue_B!L6</f>
        <v>3.9765145449693091</v>
      </c>
      <c r="G6" s="36">
        <f>Talimbue_B!K6/Talimbue_B!L6</f>
        <v>0</v>
      </c>
    </row>
    <row r="7" spans="1:7" x14ac:dyDescent="0.25">
      <c r="A7" s="34">
        <f>Talimbue_B!A7</f>
        <v>6</v>
      </c>
      <c r="B7" s="35">
        <f>Talimbue_B!B7/Talimbue_B!L7</f>
        <v>2.0421138877509217</v>
      </c>
      <c r="C7" s="35">
        <f>Talimbue_B!C7/Talimbue_B!L7</f>
        <v>22.122081114297419</v>
      </c>
      <c r="D7" s="35">
        <f>Talimbue_B!G7/Talimbue_B!L7</f>
        <v>9.5061040557148715</v>
      </c>
      <c r="E7" s="35">
        <f>Talimbue_B!D7/Talimbue_B!L7</f>
        <v>0.1812371978697255</v>
      </c>
      <c r="F7" s="35">
        <f>Talimbue_B!J7/Talimbue_B!L7</f>
        <v>2.3105284719377304</v>
      </c>
      <c r="G7" s="36">
        <f>Talimbue_B!K7/Talimbue_B!L7</f>
        <v>0</v>
      </c>
    </row>
    <row r="8" spans="1:7" x14ac:dyDescent="0.25">
      <c r="A8" s="34">
        <f>Talimbue_B!A8</f>
        <v>7</v>
      </c>
      <c r="B8" s="35">
        <f>Talimbue_B!B8/Talimbue_B!L8</f>
        <v>3.4927643784786637</v>
      </c>
      <c r="C8" s="35">
        <f>Talimbue_B!C8/Talimbue_B!L8</f>
        <v>24.025974025974023</v>
      </c>
      <c r="D8" s="35">
        <f>Talimbue_B!G8/Talimbue_B!L8</f>
        <v>15.788682745825602</v>
      </c>
      <c r="E8" s="35">
        <f>Talimbue_B!D8/Talimbue_B!L8</f>
        <v>0.1805194805194805</v>
      </c>
      <c r="F8" s="35">
        <f>Talimbue_B!J8/Talimbue_B!L8</f>
        <v>1.37291280148423</v>
      </c>
      <c r="G8" s="36">
        <f>Talimbue_B!K8/Talimbue_B!L8</f>
        <v>0</v>
      </c>
    </row>
    <row r="9" spans="1:7" x14ac:dyDescent="0.25">
      <c r="A9" s="34">
        <f>Talimbue_B!A9</f>
        <v>8</v>
      </c>
      <c r="B9" s="35">
        <f>Talimbue_B!B9/Talimbue_B!L9</f>
        <v>3.9895412407891615</v>
      </c>
      <c r="C9" s="35">
        <f>Talimbue_B!C9/Talimbue_B!L9</f>
        <v>21.274067031138582</v>
      </c>
      <c r="D9" s="35">
        <f>Talimbue_B!G9/Talimbue_B!L9</f>
        <v>8.8250534822914215</v>
      </c>
      <c r="E9" s="35">
        <f>Talimbue_B!D9/Talimbue_B!L9</f>
        <v>0.11433325410030902</v>
      </c>
      <c r="F9" s="35">
        <f>Talimbue_B!J9/Talimbue_B!L9</f>
        <v>0.45162823864986934</v>
      </c>
      <c r="G9" s="36">
        <f>Talimbue_B!K9/Talimbue_B!L9</f>
        <v>0</v>
      </c>
    </row>
    <row r="10" spans="1:7" x14ac:dyDescent="0.25">
      <c r="A10" s="34">
        <f>Talimbue_B!A10</f>
        <v>9</v>
      </c>
      <c r="B10" s="35">
        <f>Talimbue_B!B10/Talimbue_B!L10</f>
        <v>2.0073950822702904</v>
      </c>
      <c r="C10" s="35">
        <f>Talimbue_B!C10/Talimbue_B!L10</f>
        <v>16.546496579774452</v>
      </c>
      <c r="D10" s="35">
        <f>Talimbue_B!G10/Talimbue_B!L10</f>
        <v>6.2946940284710662</v>
      </c>
      <c r="E10" s="35">
        <f>Talimbue_B!D10/Talimbue_B!L10</f>
        <v>5.8975781105564805E-2</v>
      </c>
      <c r="F10" s="35">
        <f>Talimbue_B!J10/Talimbue_B!L10</f>
        <v>2.070623035681272</v>
      </c>
      <c r="G10" s="36">
        <f>Talimbue_B!K10/Talimbue_B!L10</f>
        <v>0</v>
      </c>
    </row>
    <row r="11" spans="1:7" x14ac:dyDescent="0.25">
      <c r="A11" s="34">
        <f>Talimbue_B!A11</f>
        <v>10</v>
      </c>
      <c r="B11" s="35">
        <f>Talimbue_B!B11/Talimbue_B!L11</f>
        <v>3.4552332912988653</v>
      </c>
      <c r="C11" s="35">
        <f>Talimbue_B!C11/Talimbue_B!L11</f>
        <v>16.663664204647812</v>
      </c>
      <c r="D11" s="35">
        <f>Talimbue_B!G11/Talimbue_B!L11</f>
        <v>5.4775716087191499</v>
      </c>
      <c r="E11" s="35">
        <f>Talimbue_B!D11/Talimbue_B!L11</f>
        <v>5.7467123040893534E-2</v>
      </c>
      <c r="F11" s="35">
        <f>Talimbue_B!J11/Talimbue_B!L11</f>
        <v>2.9183930823275088</v>
      </c>
      <c r="G11" s="36">
        <f>Talimbue_B!K11/Talimbue_B!L11</f>
        <v>0</v>
      </c>
    </row>
    <row r="12" spans="1:7" x14ac:dyDescent="0.25">
      <c r="A12" s="34">
        <f>Talimbue_B!A12</f>
        <v>11</v>
      </c>
      <c r="B12" s="35">
        <f>Talimbue_B!B12/Talimbue_B!L12</f>
        <v>2.2131115072291543</v>
      </c>
      <c r="C12" s="35">
        <f>Talimbue_B!C12/Talimbue_B!L12</f>
        <v>26.143790849673206</v>
      </c>
      <c r="D12" s="35">
        <f>Talimbue_B!G12/Talimbue_B!L12</f>
        <v>7.1018023370964549</v>
      </c>
      <c r="E12" s="35">
        <f>Talimbue_B!D12/Talimbue_B!L12</f>
        <v>0.10873440285204992</v>
      </c>
      <c r="F12" s="35">
        <f>Talimbue_B!J12/Talimbue_B!L12</f>
        <v>0.63378886908298682</v>
      </c>
      <c r="G12" s="36">
        <f>Talimbue_B!K12/Talimbue_B!L12</f>
        <v>0</v>
      </c>
    </row>
    <row r="13" spans="1:7" x14ac:dyDescent="0.25">
      <c r="A13" s="34">
        <f>Talimbue_B!A13</f>
        <v>12</v>
      </c>
      <c r="B13" s="35">
        <f>Talimbue_B!B13/Talimbue_B!L13</f>
        <v>5.4935312831389185</v>
      </c>
      <c r="C13" s="35">
        <f>Talimbue_B!C13/Talimbue_B!L13</f>
        <v>40.08483563096501</v>
      </c>
      <c r="D13" s="35">
        <f>Talimbue_B!G13/Talimbue_B!L13</f>
        <v>6.7828207847295863</v>
      </c>
      <c r="E13" s="35">
        <f>Talimbue_B!D13/Talimbue_B!L13</f>
        <v>0.1007423117709438</v>
      </c>
      <c r="F13" s="35">
        <f>Talimbue_B!J13/Talimbue_B!L13</f>
        <v>1.7391304347826086</v>
      </c>
      <c r="G13" s="36">
        <f>Talimbue_B!K13/Talimbue_B!L13</f>
        <v>0</v>
      </c>
    </row>
    <row r="14" spans="1:7" x14ac:dyDescent="0.25">
      <c r="A14" s="34">
        <f>Talimbue_B!A14</f>
        <v>13</v>
      </c>
      <c r="B14" s="35">
        <f>Talimbue_B!B14/Talimbue_B!L14</f>
        <v>4.4204502814258921</v>
      </c>
      <c r="C14" s="35">
        <f>Talimbue_B!C14/Talimbue_B!L14</f>
        <v>32.457786116322708</v>
      </c>
      <c r="D14" s="35">
        <f>Talimbue_B!G14/Talimbue_B!L14</f>
        <v>6.4587242026266427</v>
      </c>
      <c r="E14" s="35">
        <f>Talimbue_B!D14/Talimbue_B!L14</f>
        <v>0.3234521575984991</v>
      </c>
      <c r="F14" s="35">
        <f>Talimbue_B!J14/Talimbue_B!L14</f>
        <v>1.5947467166979366</v>
      </c>
      <c r="G14" s="36">
        <f>Talimbue_B!K14/Talimbue_B!L14</f>
        <v>0</v>
      </c>
    </row>
    <row r="15" spans="1:7" x14ac:dyDescent="0.25">
      <c r="A15" s="34">
        <f>Talimbue_B!A15</f>
        <v>14</v>
      </c>
      <c r="B15" s="35">
        <f>Talimbue_B!B15/Talimbue_B!L15</f>
        <v>4.464976059585033</v>
      </c>
      <c r="C15" s="35">
        <f>Talimbue_B!C15/Talimbue_B!L15</f>
        <v>29.52651179287108</v>
      </c>
      <c r="D15" s="35">
        <f>Talimbue_B!G15/Talimbue_B!L15</f>
        <v>7.347579358042208</v>
      </c>
      <c r="E15" s="35">
        <f>Talimbue_B!D15/Talimbue_B!L15</f>
        <v>0.36318496187267252</v>
      </c>
      <c r="F15" s="35">
        <f>Talimbue_B!J15/Talimbue_B!L15</f>
        <v>0.56747650292605079</v>
      </c>
      <c r="G15" s="36">
        <f>Talimbue_B!K15/Talimbue_B!L15</f>
        <v>0</v>
      </c>
    </row>
    <row r="16" spans="1:7" x14ac:dyDescent="0.25">
      <c r="A16" s="34">
        <f>Talimbue_B!A16</f>
        <v>15</v>
      </c>
      <c r="B16" s="35">
        <f>Talimbue_B!B16/Talimbue_B!L16</f>
        <v>6.2893051552993917</v>
      </c>
      <c r="C16" s="35">
        <f>Talimbue_B!C16/Talimbue_B!L16</f>
        <v>23.214857508805636</v>
      </c>
      <c r="D16" s="35">
        <f>Talimbue_B!G16/Talimbue_B!L16</f>
        <v>6.0235350624399615</v>
      </c>
      <c r="E16" s="36">
        <f>Talimbue_B!D16/Talimbue_B!L16</f>
        <v>0</v>
      </c>
      <c r="F16" s="35">
        <f>Talimbue_B!J16/Talimbue_B!L16</f>
        <v>0.43227665706051871</v>
      </c>
      <c r="G16" s="36">
        <f>Talimbue_B!K16/Talimbue_B!L16</f>
        <v>0</v>
      </c>
    </row>
    <row r="17" spans="1:7" x14ac:dyDescent="0.25">
      <c r="A17" s="34">
        <f>Talimbue_B!A17</f>
        <v>16</v>
      </c>
      <c r="B17" s="35">
        <f>Talimbue_B!B17/Talimbue_B!L17</f>
        <v>7.1431728492501971</v>
      </c>
      <c r="C17" s="35">
        <f>Talimbue_B!C17/Talimbue_B!L17</f>
        <v>17.363851617995262</v>
      </c>
      <c r="D17" s="35">
        <f>Talimbue_B!G17/Talimbue_B!L17</f>
        <v>6.2029992107340171</v>
      </c>
      <c r="E17" s="35">
        <f>Talimbue_B!D17/Talimbue_B!L17</f>
        <v>3.3827940015785321</v>
      </c>
      <c r="F17" s="35">
        <f>Talimbue_B!J17/Talimbue_B!L17</f>
        <v>7.1033938437253349E-2</v>
      </c>
      <c r="G17" s="36">
        <f>Talimbue_B!K17/Talimbue_B!L17</f>
        <v>0</v>
      </c>
    </row>
    <row r="18" spans="1:7" x14ac:dyDescent="0.25">
      <c r="A18" s="34">
        <f>Talimbue_B!A18</f>
        <v>17</v>
      </c>
      <c r="B18" s="35">
        <f>Talimbue_B!B18/Talimbue_B!L18</f>
        <v>6.1535363705008814</v>
      </c>
      <c r="C18" s="35">
        <f>Talimbue_B!C18/Talimbue_B!L18</f>
        <v>18.877422602567332</v>
      </c>
      <c r="D18" s="35">
        <f>Talimbue_B!G18/Talimbue_B!L18</f>
        <v>10.973571608356407</v>
      </c>
      <c r="E18" s="35">
        <f>Talimbue_B!D18/Talimbue_B!L18</f>
        <v>0.19934558268311101</v>
      </c>
      <c r="F18" s="35">
        <f>Talimbue_B!J18/Talimbue_B!L18</f>
        <v>1.9884218474704256</v>
      </c>
      <c r="G18" s="36">
        <f>Talimbue_B!K18/Talimbue_B!L18</f>
        <v>0</v>
      </c>
    </row>
    <row r="19" spans="1:7" x14ac:dyDescent="0.25">
      <c r="A19" s="34">
        <f>Talimbue_B!A19</f>
        <v>18</v>
      </c>
      <c r="B19" s="35">
        <f>Talimbue_B!B19/Talimbue_B!L19</f>
        <v>5.9074437895655967</v>
      </c>
      <c r="C19" s="35">
        <f>Talimbue_B!C19/Talimbue_B!L19</f>
        <v>16.15367823619297</v>
      </c>
      <c r="D19" s="35">
        <f>Talimbue_B!G19/Talimbue_B!L19</f>
        <v>9.1359965073128127</v>
      </c>
      <c r="E19" s="35">
        <f>Talimbue_B!D19/Talimbue_B!L19</f>
        <v>0.10870988867059594</v>
      </c>
      <c r="F19" s="35">
        <f>Talimbue_B!J19/Talimbue_B!L19</f>
        <v>0.72764316379247618</v>
      </c>
      <c r="G19" s="36">
        <f>Talimbue_B!K19/Talimbue_B!L19</f>
        <v>0</v>
      </c>
    </row>
    <row r="20" spans="1:7" x14ac:dyDescent="0.25">
      <c r="A20" s="34">
        <f>Talimbue_B!A20</f>
        <v>19</v>
      </c>
      <c r="B20" s="35">
        <f>Talimbue_B!B20/Talimbue_B!L20</f>
        <v>8.1415143216638288</v>
      </c>
      <c r="C20" s="35">
        <f>Talimbue_B!C20/Talimbue_B!L20</f>
        <v>24.202501665309747</v>
      </c>
      <c r="D20" s="35">
        <f>Talimbue_B!G20/Talimbue_B!L20</f>
        <v>10.628376878099326</v>
      </c>
      <c r="E20" s="35">
        <f>Talimbue_B!D20/Talimbue_B!L20</f>
        <v>0.16638294722818442</v>
      </c>
      <c r="F20" s="35">
        <f>Talimbue_B!J20/Talimbue_B!L20</f>
        <v>0.72533491229368652</v>
      </c>
      <c r="G20" s="36">
        <f>Talimbue_B!K20/Talimbue_B!L20</f>
        <v>0</v>
      </c>
    </row>
    <row r="21" spans="1:7" x14ac:dyDescent="0.25">
      <c r="A21" s="34">
        <f>Talimbue_B!A21</f>
        <v>20</v>
      </c>
      <c r="B21" s="35">
        <f>Talimbue_B!B21/Talimbue_B!L21</f>
        <v>7.0564516129032242</v>
      </c>
      <c r="C21" s="35">
        <f>Talimbue_B!C21/Talimbue_B!L21</f>
        <v>25.285618279569889</v>
      </c>
      <c r="D21" s="35">
        <f>Talimbue_B!G21/Talimbue_B!L21</f>
        <v>15.418346774193546</v>
      </c>
      <c r="E21" s="35">
        <f>Talimbue_B!D21/Talimbue_B!L21</f>
        <v>0.24311155913978491</v>
      </c>
      <c r="F21" s="35">
        <f>Talimbue_B!J21/Talimbue_B!L21</f>
        <v>0.34442204301075263</v>
      </c>
      <c r="G21" s="36">
        <f>Talimbue_B!K21/Talimbue_B!L21</f>
        <v>0</v>
      </c>
    </row>
    <row r="22" spans="1:7" x14ac:dyDescent="0.25">
      <c r="A22" s="34">
        <f>Talimbue_B!A22</f>
        <v>21</v>
      </c>
      <c r="B22" s="35">
        <f>Talimbue_B!B22/Talimbue_B!L22</f>
        <v>6.9391490010675625</v>
      </c>
      <c r="C22" s="35">
        <f>Talimbue_B!C22/Talimbue_B!L22</f>
        <v>27.985359158151596</v>
      </c>
      <c r="D22" s="35">
        <f>Talimbue_B!G22/Talimbue_B!L22</f>
        <v>19.39240506329114</v>
      </c>
      <c r="E22" s="35">
        <f>Talimbue_B!D22/Talimbue_B!L22</f>
        <v>7.915205124294647E-2</v>
      </c>
      <c r="F22" s="35">
        <f>Talimbue_B!J22/Talimbue_B!L22</f>
        <v>0.27451578465761783</v>
      </c>
      <c r="G22" s="36">
        <f>Talimbue_B!K22/Talimbue_B!L22</f>
        <v>0</v>
      </c>
    </row>
    <row r="23" spans="1:7" x14ac:dyDescent="0.25">
      <c r="A23" s="34">
        <f>Talimbue_B!A23</f>
        <v>22</v>
      </c>
      <c r="B23" s="35">
        <f>Talimbue_B!B23/Talimbue_B!L23</f>
        <v>7.280096067247074</v>
      </c>
      <c r="C23" s="35">
        <f>Talimbue_B!C23/Talimbue_B!L23</f>
        <v>22.590813569498653</v>
      </c>
      <c r="D23" s="35">
        <f>Talimbue_B!G23/Talimbue_B!L23</f>
        <v>16.68357850495347</v>
      </c>
      <c r="E23" s="35">
        <f>Talimbue_B!D23/Talimbue_B!L23</f>
        <v>5.0135094566196345E-2</v>
      </c>
      <c r="F23" s="35">
        <f>Talimbue_B!J23/Talimbue_B!L23</f>
        <v>0.45031522065445817</v>
      </c>
      <c r="G23" s="36">
        <f>Talimbue_B!K23/Talimbue_B!L23</f>
        <v>0</v>
      </c>
    </row>
    <row r="24" spans="1:7" x14ac:dyDescent="0.25">
      <c r="A24" s="34">
        <f>Talimbue_B!A24</f>
        <v>23</v>
      </c>
      <c r="B24" s="35">
        <f>Talimbue_B!B24/Talimbue_B!L24</f>
        <v>7.16078547172597</v>
      </c>
      <c r="C24" s="35">
        <f>Talimbue_B!C24/Talimbue_B!L24</f>
        <v>12.033072493725085</v>
      </c>
      <c r="D24" s="35">
        <f>Talimbue_B!G24/Talimbue_B!L24</f>
        <v>16.012992765391996</v>
      </c>
      <c r="E24" s="35">
        <f>Talimbue_B!D24/Talimbue_B!L24</f>
        <v>0.1350952310645209</v>
      </c>
      <c r="F24" s="35">
        <f>Talimbue_B!J24/Talimbue_B!L24</f>
        <v>0.4576996899453713</v>
      </c>
      <c r="G24" s="36">
        <f>Talimbue_B!K24/Talimbue_B!L24</f>
        <v>0</v>
      </c>
    </row>
    <row r="25" spans="1:7" x14ac:dyDescent="0.25">
      <c r="A25" s="34">
        <f>Talimbue_B!A25</f>
        <v>24</v>
      </c>
      <c r="B25" s="35">
        <f>Talimbue_B!B25/Talimbue_B!L25</f>
        <v>8.0424995497929057</v>
      </c>
      <c r="C25" s="35">
        <f>Talimbue_B!C25/Talimbue_B!L25</f>
        <v>36.286691878264008</v>
      </c>
      <c r="D25" s="35">
        <f>Talimbue_B!G25/Talimbue_B!L25</f>
        <v>12.503151449666847</v>
      </c>
      <c r="E25" s="35">
        <f>Talimbue_B!D25/Talimbue_B!L25</f>
        <v>0.14514676751305602</v>
      </c>
      <c r="F25" s="36">
        <f>Talimbue_B!J25/Talimbue_B!L25</f>
        <v>0</v>
      </c>
      <c r="G25" s="36">
        <f>Talimbue_B!K25/Talimbue_B!L25</f>
        <v>0</v>
      </c>
    </row>
    <row r="26" spans="1:7" x14ac:dyDescent="0.25">
      <c r="A26" s="34">
        <f>Talimbue_B!A26</f>
        <v>25</v>
      </c>
      <c r="B26" s="35">
        <f>Talimbue_B!B26/Talimbue_B!L26</f>
        <v>9.1148956584312799</v>
      </c>
      <c r="C26" s="35">
        <f>Talimbue_B!C26/Talimbue_B!L26</f>
        <v>27.984328775885508</v>
      </c>
      <c r="D26" s="35">
        <f>Talimbue_B!G26/Talimbue_B!L26</f>
        <v>12.313104661389623</v>
      </c>
      <c r="E26" s="35">
        <f>Talimbue_B!D26/Talimbue_B!L26</f>
        <v>5.2290717198368926E-2</v>
      </c>
      <c r="F26" s="36">
        <f>Talimbue_B!J26/Talimbue_B!L26</f>
        <v>0</v>
      </c>
      <c r="G26" s="36">
        <f>Talimbue_B!K26/Talimbue_B!L26</f>
        <v>0</v>
      </c>
    </row>
    <row r="27" spans="1:7" x14ac:dyDescent="0.25">
      <c r="A27" s="34">
        <f>Talimbue_B!A27</f>
        <v>26</v>
      </c>
      <c r="B27" s="35">
        <f>Talimbue_B!B27/Talimbue_B!L27</f>
        <v>12.786361214704316</v>
      </c>
      <c r="C27" s="35">
        <f>Talimbue_B!C27/Talimbue_B!L27</f>
        <v>16.071745693482509</v>
      </c>
      <c r="D27" s="35">
        <f>Talimbue_B!G27/Talimbue_B!L27</f>
        <v>8.0094121825608244</v>
      </c>
      <c r="E27" s="35">
        <f>Talimbue_B!D27/Talimbue_B!L27</f>
        <v>0.10726336352335288</v>
      </c>
      <c r="F27" s="35">
        <f>Talimbue_B!J27/Talimbue_B!L27</f>
        <v>0.8701829160007104</v>
      </c>
      <c r="G27" s="36">
        <f>Talimbue_B!K27/Talimbue_B!L27</f>
        <v>0</v>
      </c>
    </row>
    <row r="28" spans="1:7" x14ac:dyDescent="0.25">
      <c r="A28" s="34">
        <f>Talimbue_B!A28</f>
        <v>27</v>
      </c>
      <c r="B28" s="35">
        <f>Talimbue_B!B28/Talimbue_B!L28</f>
        <v>16.719745222929937</v>
      </c>
      <c r="C28" s="35">
        <f>Talimbue_B!C28/Talimbue_B!L28</f>
        <v>25.000000000000004</v>
      </c>
      <c r="D28" s="35">
        <f>Talimbue_B!G28/Talimbue_B!L28</f>
        <v>6.9441082802547776</v>
      </c>
      <c r="E28" s="35">
        <f>Talimbue_B!D28/Talimbue_B!L28</f>
        <v>8.2165605095541411E-2</v>
      </c>
      <c r="F28" s="35">
        <f>Talimbue_B!J28/Talimbue_B!L28</f>
        <v>0.88375796178343968</v>
      </c>
      <c r="G28" s="36">
        <f>Talimbue_B!K28/Talimbue_B!L28</f>
        <v>0</v>
      </c>
    </row>
    <row r="29" spans="1:7" x14ac:dyDescent="0.25">
      <c r="A29" s="34">
        <f>Talimbue_B!A29</f>
        <v>28</v>
      </c>
      <c r="B29" s="35">
        <f>Talimbue_B!B29/Talimbue_B!L29</f>
        <v>9.5301629657867135</v>
      </c>
      <c r="C29" s="35">
        <f>Talimbue_B!C29/Talimbue_B!L29</f>
        <v>32.116649194701225</v>
      </c>
      <c r="D29" s="35">
        <f>Talimbue_B!G29/Talimbue_B!L29</f>
        <v>8.0531783093490894</v>
      </c>
      <c r="E29" s="35">
        <f>Talimbue_B!D29/Talimbue_B!L29</f>
        <v>0.21766892213856856</v>
      </c>
      <c r="F29" s="35">
        <f>Talimbue_B!J29/Talimbue_B!L29</f>
        <v>0.26684456304202803</v>
      </c>
      <c r="G29" s="36">
        <f>Talimbue_B!K29/Talimbue_B!L29</f>
        <v>0</v>
      </c>
    </row>
    <row r="30" spans="1:7" x14ac:dyDescent="0.25">
      <c r="A30" s="34">
        <f>Talimbue_B!A30</f>
        <v>29</v>
      </c>
      <c r="B30" s="35">
        <f>Talimbue_B!B30/Talimbue_B!L30</f>
        <v>8.4023204231359827</v>
      </c>
      <c r="C30" s="35">
        <f>Talimbue_B!C30/Talimbue_B!L30</f>
        <v>26.531308650400955</v>
      </c>
      <c r="D30" s="35">
        <f>Talimbue_B!G30/Talimbue_B!L30</f>
        <v>7.9024057328101014</v>
      </c>
      <c r="E30" s="35">
        <f>Talimbue_B!D30/Talimbue_B!L30</f>
        <v>6.3470397543081383E-2</v>
      </c>
      <c r="F30" s="36">
        <f>Talimbue_B!J30/Talimbue_B!L30</f>
        <v>0</v>
      </c>
      <c r="G30" s="36">
        <f>Talimbue_B!K30/Talimbue_B!L30</f>
        <v>0</v>
      </c>
    </row>
    <row r="31" spans="1:7" x14ac:dyDescent="0.25">
      <c r="A31" s="34">
        <f>Talimbue_B!A31</f>
        <v>30</v>
      </c>
      <c r="B31" s="35">
        <f>Talimbue_B!B31/Talimbue_B!L31</f>
        <v>10.214741729541499</v>
      </c>
      <c r="C31" s="35">
        <f>Talimbue_B!C31/Talimbue_B!L31</f>
        <v>23.505513639001745</v>
      </c>
      <c r="D31" s="35">
        <f>Talimbue_B!G31/Talimbue_B!L31</f>
        <v>6.7351131746953001</v>
      </c>
      <c r="E31" s="35">
        <f>Talimbue_B!D31/Talimbue_B!L31</f>
        <v>7.6726639582124209E-2</v>
      </c>
      <c r="F31" s="36">
        <f>Talimbue_B!J31/Talimbue_B!L31</f>
        <v>0</v>
      </c>
      <c r="G31" s="36">
        <f>Talimbue_B!K31/Talimbue_B!L31</f>
        <v>0</v>
      </c>
    </row>
    <row r="32" spans="1:7" x14ac:dyDescent="0.25">
      <c r="A32" s="34">
        <f>Talimbue_B!A32</f>
        <v>31</v>
      </c>
      <c r="B32" s="35">
        <f>Talimbue_B!B32/Talimbue_B!L32</f>
        <v>7.6590376644440434</v>
      </c>
      <c r="C32" s="35">
        <f>Talimbue_B!C32/Talimbue_B!L32</f>
        <v>16.6696702108488</v>
      </c>
      <c r="D32" s="35">
        <f>Talimbue_B!G32/Talimbue_B!L32</f>
        <v>9.5343305100018014</v>
      </c>
      <c r="E32" s="35">
        <f>Talimbue_B!D32/Talimbue_B!L32</f>
        <v>0.11749864840511803</v>
      </c>
      <c r="F32" s="36">
        <f>Talimbue_B!J32/Talimbue_B!L32</f>
        <v>0</v>
      </c>
      <c r="G32" s="36">
        <f>Talimbue_B!K32/Talimbue_B!L32</f>
        <v>0</v>
      </c>
    </row>
    <row r="33" spans="1:7" x14ac:dyDescent="0.25">
      <c r="A33" s="34">
        <f>Talimbue_B!A33</f>
        <v>32</v>
      </c>
      <c r="B33" s="35">
        <f>Talimbue_B!B33/Talimbue_B!L33</f>
        <v>12.761458883938687</v>
      </c>
      <c r="C33" s="35">
        <f>Talimbue_B!C33/Talimbue_B!L33</f>
        <v>15.328852978932268</v>
      </c>
      <c r="D33" s="35">
        <f>Talimbue_B!G33/Talimbue_B!L33</f>
        <v>8.8692894359284153</v>
      </c>
      <c r="E33" s="35">
        <f>Talimbue_B!D33/Talimbue_B!L33</f>
        <v>0.20433436532507743</v>
      </c>
      <c r="F33" s="36">
        <f>Talimbue_B!J33/Talimbue_B!L33</f>
        <v>0</v>
      </c>
      <c r="G33" s="36">
        <f>Talimbue_B!K33/Talimbue_B!L33</f>
        <v>0</v>
      </c>
    </row>
    <row r="34" spans="1:7" x14ac:dyDescent="0.25">
      <c r="A34" s="34">
        <f>Talimbue_B!A34</f>
        <v>33</v>
      </c>
      <c r="B34" s="35">
        <f>Talimbue_B!B34/Talimbue_B!L34</f>
        <v>8.7986698073991949</v>
      </c>
      <c r="C34" s="35">
        <f>Talimbue_B!C34/Talimbue_B!L34</f>
        <v>24.109740889566297</v>
      </c>
      <c r="D34" s="35">
        <f>Talimbue_B!G34/Talimbue_B!L34</f>
        <v>7.7572398503533311</v>
      </c>
      <c r="E34" s="35">
        <f>Talimbue_B!D34/Talimbue_B!L34</f>
        <v>0.46515172509352909</v>
      </c>
      <c r="F34" s="36">
        <f>Talimbue_B!J34/Talimbue_B!L34</f>
        <v>0</v>
      </c>
      <c r="G34" s="36">
        <f>Talimbue_B!K34/Talimbue_B!L34</f>
        <v>0</v>
      </c>
    </row>
    <row r="35" spans="1:7" x14ac:dyDescent="0.25">
      <c r="A35" s="34">
        <f>Talimbue_B!A35</f>
        <v>34</v>
      </c>
      <c r="B35" s="35">
        <f>Talimbue_B!B35/Talimbue_B!L35</f>
        <v>9.2882104101526579</v>
      </c>
      <c r="C35" s="35">
        <f>Talimbue_B!C35/Talimbue_B!L35</f>
        <v>20.323707927165717</v>
      </c>
      <c r="D35" s="35">
        <f>Talimbue_B!G35/Talimbue_B!L35</f>
        <v>7.605848813684017</v>
      </c>
      <c r="E35" s="35">
        <f>Talimbue_B!D35/Talimbue_B!L35</f>
        <v>0.39525473606768435</v>
      </c>
      <c r="F35" s="35">
        <f>Talimbue_B!J35/Talimbue_B!L35</f>
        <v>0.14713996689350745</v>
      </c>
      <c r="G35" s="36">
        <f>Talimbue_B!K35/Talimbue_B!L35</f>
        <v>0</v>
      </c>
    </row>
    <row r="36" spans="1:7" x14ac:dyDescent="0.25">
      <c r="A36" s="34">
        <f>Talimbue_B!A36</f>
        <v>35</v>
      </c>
      <c r="B36" s="35">
        <f>Talimbue_B!B36/Talimbue_B!L36</f>
        <v>8.6186666666666678</v>
      </c>
      <c r="C36" s="35">
        <f>Talimbue_B!C36/Talimbue_B!L36</f>
        <v>9.6666666666666679</v>
      </c>
      <c r="D36" s="35">
        <f>Talimbue_B!G36/Talimbue_B!L36</f>
        <v>9.6095555555555574</v>
      </c>
      <c r="E36" s="35">
        <f>Talimbue_B!D36/Talimbue_B!L36</f>
        <v>0.33422222222222225</v>
      </c>
      <c r="F36" s="35">
        <f>Talimbue_B!J36/Talimbue_B!L36</f>
        <v>0.17777777777777781</v>
      </c>
      <c r="G36" s="36">
        <f>Talimbue_B!K36/Talimbue_B!L36</f>
        <v>0</v>
      </c>
    </row>
    <row r="37" spans="1:7" x14ac:dyDescent="0.25">
      <c r="A37" s="34">
        <f>Talimbue_B!A37</f>
        <v>36</v>
      </c>
      <c r="B37" s="35">
        <f>Talimbue_B!B37/Talimbue_B!L37</f>
        <v>5.1455888744024332</v>
      </c>
      <c r="C37" s="35">
        <f>Talimbue_B!C37/Talimbue_B!L37</f>
        <v>10.719976821671736</v>
      </c>
      <c r="D37" s="35">
        <f>Talimbue_B!G37/Talimbue_B!L37</f>
        <v>3.9091699261190782</v>
      </c>
      <c r="E37" s="35">
        <f>Talimbue_B!D37/Talimbue_B!L37</f>
        <v>2.7379400260756193E-2</v>
      </c>
      <c r="F37" s="35">
        <f>Talimbue_B!J37/Talimbue_B!L37</f>
        <v>7.2432275822106332E-2</v>
      </c>
      <c r="G37" s="36">
        <f>Talimbue_B!K37/Talimbue_B!L37</f>
        <v>0</v>
      </c>
    </row>
    <row r="38" spans="1:7" x14ac:dyDescent="0.25">
      <c r="A38" s="34">
        <f>Talimbue_B!A38</f>
        <v>37</v>
      </c>
      <c r="B38" s="35">
        <f>Talimbue_B!B38/Talimbue_B!L38</f>
        <v>7.9917708498180087</v>
      </c>
      <c r="C38" s="35">
        <f>Talimbue_B!C38/Talimbue_B!L38</f>
        <v>7.9126444057604042</v>
      </c>
      <c r="D38" s="35">
        <f>Talimbue_B!G38/Talimbue_B!L38</f>
        <v>5.1452761512897602</v>
      </c>
      <c r="E38" s="35">
        <f>Talimbue_B!D38/Talimbue_B!L38</f>
        <v>4.4310808672258263E-2</v>
      </c>
      <c r="F38" s="36">
        <f>Talimbue_B!J38/Talimbue_B!L38</f>
        <v>0</v>
      </c>
      <c r="G38" s="36">
        <f>Talimbue_B!K38/Talimbue_B!L38</f>
        <v>0</v>
      </c>
    </row>
    <row r="39" spans="1:7" x14ac:dyDescent="0.25">
      <c r="A39" s="34">
        <f>Talimbue_B!A39</f>
        <v>38</v>
      </c>
      <c r="B39" s="35">
        <f>Talimbue_B!B39/Talimbue_B!L39</f>
        <v>13.927576601671307</v>
      </c>
      <c r="C39" s="35">
        <f>Talimbue_B!C39/Talimbue_B!L39</f>
        <v>12.90133411523237</v>
      </c>
      <c r="D39" s="35">
        <f>Talimbue_B!G39/Talimbue_B!L39</f>
        <v>5.4080046913942228</v>
      </c>
      <c r="E39" s="35">
        <f>Talimbue_B!D39/Talimbue_B!L39</f>
        <v>0.19865122416068023</v>
      </c>
      <c r="F39" s="36">
        <f>Talimbue_B!J39/Talimbue_B!L39</f>
        <v>0</v>
      </c>
      <c r="G39" s="36">
        <f>Talimbue_B!K39/Talimbue_B!L39</f>
        <v>0</v>
      </c>
    </row>
    <row r="40" spans="1:7" x14ac:dyDescent="0.25">
      <c r="A40" s="34">
        <f>Talimbue_B!A40</f>
        <v>39</v>
      </c>
      <c r="B40" s="35">
        <f>Talimbue_B!B40/Talimbue_B!L40</f>
        <v>11.704789135096496</v>
      </c>
      <c r="C40" s="35">
        <f>Talimbue_B!C40/Talimbue_B!L40</f>
        <v>22.337383845603998</v>
      </c>
      <c r="D40" s="35">
        <f>Talimbue_B!G40/Talimbue_B!L40</f>
        <v>6.9206576125804142</v>
      </c>
      <c r="E40" s="35">
        <f>Talimbue_B!D40/Talimbue_B!L40</f>
        <v>0.18263045032165831</v>
      </c>
      <c r="F40" s="36">
        <f>Talimbue_B!J40/Talimbue_B!L40</f>
        <v>0</v>
      </c>
      <c r="G40" s="36">
        <f>Talimbue_B!K40/Talimbue_B!L40</f>
        <v>0</v>
      </c>
    </row>
    <row r="41" spans="1:7" x14ac:dyDescent="0.25">
      <c r="A41" s="34">
        <f>Talimbue_B!A41</f>
        <v>40</v>
      </c>
      <c r="B41" s="35">
        <f>Talimbue_B!B41/Talimbue_B!L41</f>
        <v>13.556116015132407</v>
      </c>
      <c r="C41" s="35">
        <f>Talimbue_B!C41/Talimbue_B!L41</f>
        <v>26.79697351828499</v>
      </c>
      <c r="D41" s="35">
        <f>Talimbue_B!G41/Talimbue_B!L41</f>
        <v>5.0128205128205119</v>
      </c>
      <c r="E41" s="35">
        <f>Talimbue_B!D41/Talimbue_B!L41</f>
        <v>0.14144598570828079</v>
      </c>
      <c r="F41" s="36">
        <f>Talimbue_B!J41/Talimbue_B!L41</f>
        <v>0</v>
      </c>
      <c r="G41" s="36">
        <f>Talimbue_B!K41/Talimbue_B!L41</f>
        <v>0</v>
      </c>
    </row>
    <row r="42" spans="1:7" x14ac:dyDescent="0.25">
      <c r="A42" s="34">
        <f>Talimbue_B!A42</f>
        <v>41</v>
      </c>
      <c r="B42" s="35">
        <f>Talimbue_B!B42/Talimbue_B!L42</f>
        <v>20.535797629048822</v>
      </c>
      <c r="C42" s="35">
        <f>Talimbue_B!C42/Talimbue_B!L42</f>
        <v>25.109679828246062</v>
      </c>
      <c r="D42" s="35">
        <f>Talimbue_B!G42/Talimbue_B!L42</f>
        <v>5.534584150098012</v>
      </c>
      <c r="E42" s="35">
        <f>Talimbue_B!D42/Talimbue_B!L42</f>
        <v>8.9610753290394862E-2</v>
      </c>
      <c r="F42" s="36">
        <f>Talimbue_B!J42/Talimbue_B!L42</f>
        <v>0</v>
      </c>
      <c r="G42" s="36">
        <f>Talimbue_B!K42/Talimbue_B!L42</f>
        <v>0</v>
      </c>
    </row>
    <row r="43" spans="1:7" x14ac:dyDescent="0.25">
      <c r="A43" s="34">
        <f>Talimbue_B!A43</f>
        <v>42</v>
      </c>
      <c r="B43" s="35">
        <f>Talimbue_B!B43/Talimbue_B!L43</f>
        <v>15.252480379090775</v>
      </c>
      <c r="C43" s="35">
        <f>Talimbue_B!C43/Talimbue_B!L43</f>
        <v>14.067821708870131</v>
      </c>
      <c r="D43" s="35">
        <f>Talimbue_B!G43/Talimbue_B!L43</f>
        <v>5.592329335110322</v>
      </c>
      <c r="E43" s="35">
        <f>Talimbue_B!D43/Talimbue_B!L43</f>
        <v>7.8779801569672736E-2</v>
      </c>
      <c r="F43" s="36">
        <f>Talimbue_B!J43/Talimbue_B!L43</f>
        <v>0</v>
      </c>
      <c r="G43" s="36">
        <f>Talimbue_B!K43/Talimbue_B!L43</f>
        <v>0</v>
      </c>
    </row>
    <row r="44" spans="1:7" x14ac:dyDescent="0.25">
      <c r="A44" s="34">
        <f>Talimbue_B!A44</f>
        <v>43</v>
      </c>
      <c r="B44" s="35">
        <f>Talimbue_B!B44/Talimbue_B!L44</f>
        <v>4.283739595719382</v>
      </c>
      <c r="C44" s="35">
        <f>Talimbue_B!C44/Talimbue_B!L44</f>
        <v>16.34958382877527</v>
      </c>
      <c r="D44" s="35">
        <f>Talimbue_B!G44/Talimbue_B!L44</f>
        <v>6.8503269916765763</v>
      </c>
      <c r="E44" s="35">
        <f>Talimbue_B!D44/Talimbue_B!L44</f>
        <v>3.4185493460166475E-3</v>
      </c>
      <c r="F44" s="36">
        <f>Talimbue_B!J44/Talimbue_B!L44</f>
        <v>0</v>
      </c>
      <c r="G44" s="36">
        <f>Talimbue_B!K44/Talimbue_B!L44</f>
        <v>0</v>
      </c>
    </row>
    <row r="45" spans="1:7" x14ac:dyDescent="0.25">
      <c r="A45" s="34">
        <f>Talimbue_B!A45</f>
        <v>44</v>
      </c>
      <c r="B45" s="35">
        <f>Talimbue_B!B45/Talimbue_B!L45</f>
        <v>6.3084112149532707</v>
      </c>
      <c r="C45" s="35">
        <f>Talimbue_B!C45/Talimbue_B!L45</f>
        <v>17.601246105919003</v>
      </c>
      <c r="D45" s="35">
        <f>Talimbue_B!G45/Talimbue_B!L45</f>
        <v>5.6386292834890966E-2</v>
      </c>
      <c r="E45" s="35">
        <f>Talimbue_B!D45/Talimbue_B!L45</f>
        <v>1.4641744548286604E-2</v>
      </c>
      <c r="F45" s="36">
        <f>Talimbue_B!J45/Talimbue_B!L45</f>
        <v>0</v>
      </c>
      <c r="G45" s="36">
        <f>Talimbue_B!K45/Talimbue_B!L45</f>
        <v>0</v>
      </c>
    </row>
    <row r="46" spans="1:7" x14ac:dyDescent="0.25">
      <c r="A46" s="34">
        <f>Talimbue_B!A46</f>
        <v>45</v>
      </c>
      <c r="B46" s="35">
        <f>Talimbue_B!B46/Talimbue_B!L46</f>
        <v>10.986321094312455</v>
      </c>
      <c r="C46" s="35">
        <f>Talimbue_B!C46/Talimbue_B!L46</f>
        <v>14.254859611231101</v>
      </c>
      <c r="D46" s="35">
        <f>Talimbue_B!G46/Talimbue_B!L46</f>
        <v>11.127429805615551</v>
      </c>
      <c r="E46" s="36">
        <f>Talimbue_B!D46/Talimbue_B!L46</f>
        <v>4.1756659467242618E-3</v>
      </c>
      <c r="F46" s="36">
        <f>Talimbue_B!J46/Talimbue_B!L46</f>
        <v>0</v>
      </c>
      <c r="G46" s="36">
        <f>Talimbue_B!K46/Talimbue_B!L46</f>
        <v>0</v>
      </c>
    </row>
    <row r="47" spans="1:7" x14ac:dyDescent="0.25">
      <c r="A47" s="34">
        <f>Talimbue_B!A47</f>
        <v>46</v>
      </c>
      <c r="B47" s="35">
        <f>Talimbue_B!B47/Talimbue_B!L47</f>
        <v>7.6099682221107203</v>
      </c>
      <c r="C47" s="35">
        <f>Talimbue_B!C47/Talimbue_B!L47</f>
        <v>14.550928248871047</v>
      </c>
      <c r="D47" s="35">
        <f>Talimbue_B!G47/Talimbue_B!L47</f>
        <v>8.427496236828901</v>
      </c>
      <c r="E47" s="35">
        <f>Talimbue_B!D47/Talimbue_B!L47</f>
        <v>1.8230473323298208E-2</v>
      </c>
      <c r="F47" s="36">
        <f>Talimbue_B!J47/Talimbue_B!L47</f>
        <v>0</v>
      </c>
      <c r="G47" s="36">
        <f>Talimbue_B!K47/Talimbue_B!L47</f>
        <v>0</v>
      </c>
    </row>
    <row r="48" spans="1:7" x14ac:dyDescent="0.25">
      <c r="A48" s="34">
        <f>Talimbue_B!A48</f>
        <v>47</v>
      </c>
      <c r="B48" s="35">
        <f>Talimbue_B!B48/Talimbue_B!L48</f>
        <v>11.922503725782413</v>
      </c>
      <c r="C48" s="35">
        <f>Talimbue_B!C48/Talimbue_B!L48</f>
        <v>11.326378539493293</v>
      </c>
      <c r="D48" s="35">
        <f>Talimbue_B!G48/Talimbue_B!L48</f>
        <v>7.9697466467958256</v>
      </c>
      <c r="E48" s="35">
        <f>Talimbue_B!D48/Talimbue_B!L48</f>
        <v>7.4515648286140081E-3</v>
      </c>
      <c r="F48" s="36">
        <f>Talimbue_B!J48/Talimbue_B!L48</f>
        <v>0</v>
      </c>
      <c r="G48" s="36">
        <f>Talimbue_B!K48/Talimbue_B!L48</f>
        <v>0</v>
      </c>
    </row>
    <row r="49" spans="1:7" x14ac:dyDescent="0.25">
      <c r="A49" s="34">
        <f>Talimbue_B!A49</f>
        <v>48</v>
      </c>
      <c r="B49" s="35">
        <f>Talimbue_B!B49/Talimbue_B!L49</f>
        <v>7.9072937968643497</v>
      </c>
      <c r="C49" s="35">
        <f>Talimbue_B!C49/Talimbue_B!L49</f>
        <v>10.497614178595775</v>
      </c>
      <c r="D49" s="35">
        <f>Talimbue_B!G49/Talimbue_B!L49</f>
        <v>7.8329925017041582</v>
      </c>
      <c r="E49" s="35">
        <f>Talimbue_B!D49/Talimbue_B!L49</f>
        <v>3.1356509884117249E-2</v>
      </c>
      <c r="F49" s="36">
        <f>Talimbue_B!J49/Talimbue_B!L49</f>
        <v>0</v>
      </c>
      <c r="G49" s="36">
        <f>Talimbue_B!K49/Talimbue_B!L49</f>
        <v>0</v>
      </c>
    </row>
    <row r="50" spans="1:7" x14ac:dyDescent="0.25">
      <c r="A50" s="34">
        <f>Talimbue_B!A50</f>
        <v>49</v>
      </c>
      <c r="B50" s="35">
        <f>Talimbue_B!B50/Talimbue_B!L50</f>
        <v>9.7549909255898353</v>
      </c>
      <c r="C50" s="35">
        <f>Talimbue_B!C50/Talimbue_B!L50</f>
        <v>8.1669691470054442</v>
      </c>
      <c r="D50" s="35">
        <f>Talimbue_B!G50/Talimbue_B!L50</f>
        <v>8.3333333333333321</v>
      </c>
      <c r="E50" s="36">
        <f>Talimbue_B!D50/Talimbue_B!L50</f>
        <v>4.3859649122807015E-3</v>
      </c>
      <c r="F50" s="36">
        <f>Talimbue_B!J50/Talimbue_B!L50</f>
        <v>0</v>
      </c>
      <c r="G50" s="36">
        <f>Talimbue_B!K50/Talimbue_B!L50</f>
        <v>0</v>
      </c>
    </row>
    <row r="51" spans="1:7" x14ac:dyDescent="0.25">
      <c r="A51" s="34">
        <f>Talimbue_B!A51</f>
        <v>50</v>
      </c>
      <c r="B51" s="35">
        <f>Talimbue_B!B51/Talimbue_B!L51</f>
        <v>15.313390313390313</v>
      </c>
      <c r="C51" s="35">
        <f>Talimbue_B!C51/Talimbue_B!L51</f>
        <v>5.0569800569800565</v>
      </c>
      <c r="D51" s="35">
        <f>Talimbue_B!G51/Talimbue_B!L51</f>
        <v>7.4974358974358974</v>
      </c>
      <c r="E51" s="35">
        <f>Talimbue_B!D51/Talimbue_B!L51</f>
        <v>9.4017094017094013E-3</v>
      </c>
      <c r="F51" s="36">
        <f>Talimbue_B!J51/Talimbue_B!L51</f>
        <v>0</v>
      </c>
      <c r="G51" s="36">
        <f>Talimbue_B!K51/Talimbue_B!L51</f>
        <v>0</v>
      </c>
    </row>
    <row r="52" spans="1:7" x14ac:dyDescent="0.25">
      <c r="A52" s="34">
        <f>Talimbue_B!A52</f>
        <v>51</v>
      </c>
      <c r="B52" s="35">
        <f>Talimbue_B!B52/Talimbue_B!L52</f>
        <v>14.322598179100417</v>
      </c>
      <c r="C52" s="35">
        <f>Talimbue_B!C52/Talimbue_B!L52</f>
        <v>3.1254246500883265</v>
      </c>
      <c r="D52" s="35">
        <f>Talimbue_B!G52/Talimbue_B!L52</f>
        <v>8.8192689224079341</v>
      </c>
      <c r="E52" s="35">
        <f>Talimbue_B!D52/Talimbue_B!L52</f>
        <v>4.5114825383883665E-2</v>
      </c>
      <c r="F52" s="36">
        <f>Talimbue_B!J52/Talimbue_B!L52</f>
        <v>0</v>
      </c>
      <c r="G52" s="36">
        <f>Talimbue_B!K52/Talimbue_B!L52</f>
        <v>0</v>
      </c>
    </row>
    <row r="53" spans="1:7" x14ac:dyDescent="0.25">
      <c r="A53" s="34">
        <f>Talimbue_B!A53</f>
        <v>52</v>
      </c>
      <c r="B53" s="35">
        <f>Talimbue_B!B53/Talimbue_B!L53</f>
        <v>13.38602753697093</v>
      </c>
      <c r="C53" s="35">
        <f>Talimbue_B!C53/Talimbue_B!L53</f>
        <v>0</v>
      </c>
      <c r="D53" s="35">
        <f>Talimbue_B!G53/Talimbue_B!L53</f>
        <v>7.5704997450280462</v>
      </c>
      <c r="E53" s="35">
        <f>Talimbue_B!D53/Talimbue_B!L53</f>
        <v>1.0198878123406424E-3</v>
      </c>
      <c r="F53" s="36">
        <f>Talimbue_B!J53/Talimbue_B!L53</f>
        <v>0</v>
      </c>
      <c r="G53" s="36">
        <f>Talimbue_B!K53/Talimbue_B!L53</f>
        <v>0</v>
      </c>
    </row>
    <row r="54" spans="1:7" x14ac:dyDescent="0.25">
      <c r="A54" s="34">
        <f>Talimbue_B!A54</f>
        <v>53</v>
      </c>
      <c r="B54" s="35">
        <f>Talimbue_B!B54/Talimbue_B!L54</f>
        <v>22.470407276131876</v>
      </c>
      <c r="C54" s="35">
        <f>Talimbue_B!C54/Talimbue_B!L54</f>
        <v>8.5601551528121433</v>
      </c>
      <c r="D54" s="35">
        <f>Talimbue_B!G54/Talimbue_B!L54</f>
        <v>0.19661606366615389</v>
      </c>
      <c r="E54" s="35">
        <f>Talimbue_B!D54/Talimbue_B!L54</f>
        <v>6.486992576740451E-2</v>
      </c>
      <c r="F54" s="36">
        <f>Talimbue_B!J54/Talimbue_B!L54</f>
        <v>0</v>
      </c>
      <c r="G54" s="36">
        <f>Talimbue_B!K54/Talimbue_B!L54</f>
        <v>0</v>
      </c>
    </row>
    <row r="55" spans="1:7" x14ac:dyDescent="0.25">
      <c r="A55" s="34">
        <f>Talimbue_B!A55</f>
        <v>54</v>
      </c>
      <c r="B55" s="35">
        <f>Talimbue_B!B55/Talimbue_B!L55</f>
        <v>24.81102712316585</v>
      </c>
      <c r="C55" s="35">
        <f>Talimbue_B!C55/Talimbue_B!L55</f>
        <v>12.094264117385505</v>
      </c>
      <c r="D55" s="35">
        <f>Talimbue_B!G55/Talimbue_B!L55</f>
        <v>5.8514895509115163</v>
      </c>
      <c r="E55" s="35">
        <f>Talimbue_B!D55/Talimbue_B!L55</f>
        <v>6.0471320586927522E-2</v>
      </c>
      <c r="F55" s="36">
        <f>Talimbue_B!J55/Talimbue_B!L55</f>
        <v>0</v>
      </c>
      <c r="G55" s="36">
        <f>Talimbue_B!K55/Talimbue_B!L55</f>
        <v>0</v>
      </c>
    </row>
    <row r="56" spans="1:7" x14ac:dyDescent="0.25">
      <c r="A56" s="34">
        <f>Talimbue_B!A56</f>
        <v>55</v>
      </c>
      <c r="B56" s="35">
        <f>Talimbue_B!B56/Talimbue_B!L56</f>
        <v>20.527340293753319</v>
      </c>
      <c r="C56" s="35">
        <f>Talimbue_B!C56/Talimbue_B!L56</f>
        <v>7.6092726950982126</v>
      </c>
      <c r="D56" s="35">
        <f>Talimbue_B!G56/Talimbue_B!L56</f>
        <v>4.5147761458149001</v>
      </c>
      <c r="E56" s="35">
        <f>Talimbue_B!D56/Talimbue_B!L56</f>
        <v>0.11201557246505044</v>
      </c>
      <c r="F56" s="36">
        <f>Talimbue_B!J56/Talimbue_B!L56</f>
        <v>0</v>
      </c>
      <c r="G56" s="36">
        <f>Talimbue_B!K56/Talimbue_B!L56</f>
        <v>0</v>
      </c>
    </row>
    <row r="57" spans="1:7" x14ac:dyDescent="0.25">
      <c r="A57" s="34">
        <f>Talimbue_B!A57</f>
        <v>56</v>
      </c>
      <c r="B57" s="35">
        <f>Talimbue_B!B57/Talimbue_B!L57</f>
        <v>21.007055805003208</v>
      </c>
      <c r="C57" s="35">
        <f>Talimbue_B!C57/Talimbue_B!L57</f>
        <v>4.8107761385503531</v>
      </c>
      <c r="D57" s="35">
        <f>Talimbue_B!G57/Talimbue_B!L57</f>
        <v>5.0283835792174472</v>
      </c>
      <c r="E57" s="35">
        <f>Talimbue_B!D57/Talimbue_B!L57</f>
        <v>5.5163566388710714E-2</v>
      </c>
      <c r="F57" s="36">
        <f>Talimbue_B!J57/Talimbue_B!L57</f>
        <v>0</v>
      </c>
      <c r="G57" s="36">
        <f>Talimbue_B!K57/Talimbue_B!L57</f>
        <v>0</v>
      </c>
    </row>
    <row r="58" spans="1:7" x14ac:dyDescent="0.25">
      <c r="A58" s="34">
        <f>Talimbue_B!A58</f>
        <v>57</v>
      </c>
      <c r="B58" s="35">
        <f>Talimbue_B!B58/Talimbue_B!L58</f>
        <v>15.456329735034346</v>
      </c>
      <c r="C58" s="35">
        <f>Talimbue_B!C58/Talimbue_B!L58</f>
        <v>1.8809290153745502</v>
      </c>
      <c r="D58" s="35">
        <f>Talimbue_B!G58/Talimbue_B!L58</f>
        <v>7.3050376185803074</v>
      </c>
      <c r="E58" s="35">
        <f>Talimbue_B!D58/Talimbue_B!L58</f>
        <v>1.4883873078181224E-2</v>
      </c>
      <c r="F58" s="35">
        <f>Talimbue_B!J58/Talimbue_B!L58</f>
        <v>0.53974484789008836</v>
      </c>
      <c r="G58" s="36">
        <f>Talimbue_B!K58/Talimbue_B!L58</f>
        <v>0</v>
      </c>
    </row>
    <row r="59" spans="1:7" x14ac:dyDescent="0.25">
      <c r="A59" s="34">
        <f>Talimbue_B!A59</f>
        <v>58</v>
      </c>
      <c r="B59" s="35">
        <f>Talimbue_B!B59/Talimbue_B!L59</f>
        <v>16.280304370907803</v>
      </c>
      <c r="C59" s="35">
        <f>Talimbue_B!C59/Talimbue_B!L59</f>
        <v>2.2119978764820387</v>
      </c>
      <c r="D59" s="35">
        <f>Talimbue_B!G59/Talimbue_B!L59</f>
        <v>4.0707839320474255</v>
      </c>
      <c r="E59" s="36">
        <f>Talimbue_B!D59/Talimbue_B!L59</f>
        <v>0</v>
      </c>
      <c r="F59" s="35">
        <f>Talimbue_B!J59/Talimbue_B!L59</f>
        <v>0.65475137143868345</v>
      </c>
      <c r="G59" s="36">
        <f>Talimbue_B!K59/Talimbue_B!L59</f>
        <v>0</v>
      </c>
    </row>
    <row r="60" spans="1:7" x14ac:dyDescent="0.25">
      <c r="A60" s="34">
        <f>Talimbue_B!A60</f>
        <v>59</v>
      </c>
      <c r="B60" s="35">
        <f>Talimbue_B!B60/Talimbue_B!L60</f>
        <v>16.698172652804033</v>
      </c>
      <c r="C60" s="35">
        <f>Talimbue_B!C60/Talimbue_B!L60</f>
        <v>2.2336168872085698</v>
      </c>
      <c r="D60" s="35">
        <f>Talimbue_B!G60/Talimbue_B!L60</f>
        <v>6.655954631379962</v>
      </c>
      <c r="E60" s="35">
        <f>Talimbue_B!D60/Talimbue_B!L60</f>
        <v>5.6080655324511661E-2</v>
      </c>
      <c r="F60" s="35">
        <f>Talimbue_B!J60/Talimbue_B!L60</f>
        <v>0.45683679899180846</v>
      </c>
      <c r="G60" s="36">
        <f>Talimbue_B!K60/Talimbue_B!L60</f>
        <v>0</v>
      </c>
    </row>
    <row r="61" spans="1:7" x14ac:dyDescent="0.25">
      <c r="A61" s="34">
        <f>Talimbue_B!A61</f>
        <v>60</v>
      </c>
      <c r="B61" s="35">
        <f>Talimbue_B!B61/Talimbue_B!L61</f>
        <v>2.7404085700049827</v>
      </c>
      <c r="C61" s="35">
        <f>Talimbue_B!C61/Talimbue_B!L61</f>
        <v>2.4912805181863482</v>
      </c>
      <c r="D61" s="35">
        <f>Talimbue_B!G61/Talimbue_B!L61</f>
        <v>0.32818468692908159</v>
      </c>
      <c r="E61" s="35">
        <f>Talimbue_B!D61/Talimbue_B!L61</f>
        <v>8.3873110778940385E-2</v>
      </c>
      <c r="F61" s="36">
        <f>Talimbue_B!J61/Talimbue_B!L61</f>
        <v>0</v>
      </c>
      <c r="G61" s="36">
        <f>Talimbue_B!K61/Talimbue_B!L61</f>
        <v>0</v>
      </c>
    </row>
    <row r="62" spans="1:7" x14ac:dyDescent="0.25">
      <c r="A62" s="34">
        <f>Talimbue_B!A62</f>
        <v>61</v>
      </c>
      <c r="B62" s="35">
        <f>Talimbue_B!B62/Talimbue_B!L62</f>
        <v>13.575585968224004</v>
      </c>
      <c r="C62" s="35">
        <f>Talimbue_B!C62/Talimbue_B!L62</f>
        <v>3.6753185464841902</v>
      </c>
      <c r="D62" s="35">
        <f>Talimbue_B!G62/Talimbue_B!L62</f>
        <v>5.2697813434009753</v>
      </c>
      <c r="E62" s="35">
        <f>Talimbue_B!D62/Talimbue_B!L62</f>
        <v>1.9348749410099102E-2</v>
      </c>
      <c r="F62" s="35">
        <f>Talimbue_B!J62/Talimbue_B!L62</f>
        <v>2.0213937391851502</v>
      </c>
      <c r="G62" s="36">
        <f>Talimbue_B!K62/Talimbue_B!L62</f>
        <v>0</v>
      </c>
    </row>
    <row r="63" spans="1:7" x14ac:dyDescent="0.25">
      <c r="A63" s="34">
        <f>Talimbue_B!A63</f>
        <v>62</v>
      </c>
      <c r="B63" s="35">
        <f>Talimbue_B!B63/Talimbue_B!L63</f>
        <v>27.347114556416876</v>
      </c>
      <c r="C63" s="35">
        <f>Talimbue_B!C63/Talimbue_B!L63</f>
        <v>2.0334481768590291</v>
      </c>
      <c r="D63" s="35">
        <f>Talimbue_B!G63/Talimbue_B!L63</f>
        <v>4.2717484926787241</v>
      </c>
      <c r="E63" s="35">
        <f>Talimbue_B!D63/Talimbue_B!L63</f>
        <v>5.1248923341946591E-2</v>
      </c>
      <c r="F63" s="36">
        <f>Talimbue_B!J63/Talimbue_B!L63</f>
        <v>0</v>
      </c>
      <c r="G63" s="36">
        <f>Talimbue_B!K63/Talimbue_B!L63</f>
        <v>0</v>
      </c>
    </row>
    <row r="64" spans="1:7" x14ac:dyDescent="0.25">
      <c r="A64" s="34">
        <f>Talimbue_B!A64</f>
        <v>63</v>
      </c>
      <c r="B64" s="35">
        <f>Talimbue_B!B64/Talimbue_B!L64</f>
        <v>47.898938503377494</v>
      </c>
      <c r="C64" s="35">
        <f>Talimbue_B!C64/Talimbue_B!L64</f>
        <v>0.10790420212299326</v>
      </c>
      <c r="D64" s="35">
        <f>Talimbue_B!G64/Talimbue_B!L64</f>
        <v>2.1794894288972722</v>
      </c>
      <c r="E64" s="35">
        <f>Talimbue_B!D64/Talimbue_B!L64</f>
        <v>8.5972453724010873E-3</v>
      </c>
      <c r="F64" s="35">
        <f>Talimbue_B!J64/Talimbue_B!L64</f>
        <v>0.23686288270900957</v>
      </c>
      <c r="G64" s="36">
        <f>Talimbue_B!K64/Talimbue_B!L64</f>
        <v>0</v>
      </c>
    </row>
    <row r="65" spans="1:7" x14ac:dyDescent="0.25">
      <c r="A65" s="34">
        <f>Talimbue_B!A65</f>
        <v>64</v>
      </c>
      <c r="B65" s="35">
        <f>Talimbue_B!B65/Talimbue_B!L65</f>
        <v>23.117623117623115</v>
      </c>
      <c r="C65" s="35">
        <f>Talimbue_B!C65/Talimbue_B!L65</f>
        <v>5.4313390313390313</v>
      </c>
      <c r="D65" s="35">
        <f>Talimbue_B!G65/Talimbue_B!L65</f>
        <v>0.8454212454212453</v>
      </c>
      <c r="E65" s="36">
        <f>Talimbue_B!D65/Talimbue_B!L65</f>
        <v>0</v>
      </c>
      <c r="F65" s="35">
        <f>Talimbue_B!J65/Talimbue_B!L65</f>
        <v>0.92796092796092788</v>
      </c>
      <c r="G65" s="36">
        <f>Talimbue_B!K65/Talimbue_B!L65</f>
        <v>0</v>
      </c>
    </row>
    <row r="66" spans="1:7" x14ac:dyDescent="0.25">
      <c r="A66" s="34">
        <f>Talimbue_B!A66</f>
        <v>65</v>
      </c>
      <c r="B66" s="35">
        <f>Talimbue_B!B66/Talimbue_B!L66</f>
        <v>11.830819284235433</v>
      </c>
      <c r="C66" s="35">
        <f>Talimbue_B!C66/Talimbue_B!L66</f>
        <v>0.16430050280981956</v>
      </c>
      <c r="D66" s="35">
        <f>Talimbue_B!G66/Talimbue_B!L66</f>
        <v>0.38257911860396332</v>
      </c>
      <c r="E66" s="36">
        <f>Talimbue_B!D66/Talimbue_B!L66</f>
        <v>0</v>
      </c>
      <c r="F66" s="36">
        <f>Talimbue_B!J66/Talimbue_B!L66</f>
        <v>0</v>
      </c>
      <c r="G66" s="36">
        <f>Talimbue_B!K66/Talimbue_B!L66</f>
        <v>0</v>
      </c>
    </row>
    <row r="67" spans="1:7" x14ac:dyDescent="0.25">
      <c r="A67" s="34">
        <f>Talimbue_B!A67</f>
        <v>66</v>
      </c>
      <c r="B67" s="35">
        <f>Talimbue_B!B67/Talimbue_B!L67</f>
        <v>3.3073593073593064</v>
      </c>
      <c r="C67" s="35">
        <f>Talimbue_B!C67/Talimbue_B!L67</f>
        <v>3.4090909090909081E-2</v>
      </c>
      <c r="D67" s="35">
        <f>Talimbue_B!G67/Talimbue_B!L67</f>
        <v>4.6807359307359298E-2</v>
      </c>
      <c r="E67" s="36">
        <f>Talimbue_B!D67/Talimbue_B!L67</f>
        <v>0</v>
      </c>
      <c r="F67" s="36">
        <f>Talimbue_B!J67/Talimbue_B!L67</f>
        <v>0</v>
      </c>
      <c r="G67" s="36">
        <f>Talimbue_B!K67/Talimbue_B!L67</f>
        <v>0</v>
      </c>
    </row>
    <row r="68" spans="1:7" x14ac:dyDescent="0.25">
      <c r="A68" s="34">
        <f>Talimbue_B!A68</f>
        <v>67</v>
      </c>
      <c r="B68" s="35">
        <f>Talimbue_B!B68/Talimbue_B!L68</f>
        <v>6.5617776452166128</v>
      </c>
      <c r="C68" s="35">
        <f>Talimbue_B!C68/Talimbue_B!L68</f>
        <v>5.9055998806949513E-2</v>
      </c>
      <c r="D68" s="35">
        <f>Talimbue_B!G68/Talimbue_B!L68</f>
        <v>0.13779733054954887</v>
      </c>
      <c r="E68" s="35">
        <f>Talimbue_B!D68/Talimbue_B!L68</f>
        <v>6.5617776452166123E-3</v>
      </c>
      <c r="F68" s="36">
        <f>Talimbue_B!J68/Talimbue_B!L68</f>
        <v>0</v>
      </c>
      <c r="G68" s="36">
        <f>Talimbue_B!K68/Talimbue_B!L68</f>
        <v>0</v>
      </c>
    </row>
    <row r="69" spans="1:7" x14ac:dyDescent="0.25">
      <c r="A69" s="34">
        <f>Talimbue_B!A69</f>
        <v>68</v>
      </c>
      <c r="B69" s="35">
        <f>Talimbue_B!B69/Talimbue_B!L69</f>
        <v>0.9586393505991494</v>
      </c>
      <c r="C69" s="35">
        <f>Talimbue_B!C69/Talimbue_B!L69</f>
        <v>0</v>
      </c>
      <c r="D69" s="35">
        <f>Talimbue_B!G69/Talimbue_B!L69</f>
        <v>5.3807499033629677E-2</v>
      </c>
      <c r="E69" s="35">
        <f>Talimbue_B!D69/Talimbue_B!L69</f>
        <v>0</v>
      </c>
      <c r="F69" s="35">
        <f>Talimbue_B!J69/Talimbue_B!L69</f>
        <v>0.15461925009663702</v>
      </c>
      <c r="G69" s="36">
        <f>Talimbue_B!K69/Talimbue_B!L69</f>
        <v>0</v>
      </c>
    </row>
    <row r="70" spans="1:7" x14ac:dyDescent="0.25">
      <c r="A70" s="34">
        <f>Talimbue_B!A70</f>
        <v>69</v>
      </c>
      <c r="B70" s="35">
        <f>Talimbue_B!B70/Talimbue_B!L70</f>
        <v>1.3282674772036476</v>
      </c>
      <c r="C70" s="35">
        <f>Talimbue_B!C70/Talimbue_B!L70</f>
        <v>0.12181435585690906</v>
      </c>
      <c r="D70" s="35">
        <f>Talimbue_B!G70/Talimbue_B!L70</f>
        <v>1.3794715922375498E-2</v>
      </c>
      <c r="E70" s="36">
        <f>Talimbue_B!D70/Talimbue_B!L70</f>
        <v>3.0395136778115506E-3</v>
      </c>
      <c r="F70" s="36">
        <f>Talimbue_B!J70/Talimbue_B!L70</f>
        <v>0</v>
      </c>
      <c r="G70" s="36">
        <f>Talimbue_B!K70/Talimbue_B!L70</f>
        <v>0</v>
      </c>
    </row>
    <row r="71" spans="1:7" x14ac:dyDescent="0.25">
      <c r="A71" s="1">
        <f>Talimbue_B!A71</f>
        <v>70</v>
      </c>
      <c r="B71" s="37">
        <f>Talimbue_B!B71/Talimbue_B!L71</f>
        <v>2.9138616485555255</v>
      </c>
      <c r="C71" s="37">
        <f>Talimbue_B!C71/Talimbue_B!L71</f>
        <v>2.0010601643254702E-2</v>
      </c>
      <c r="D71" s="38">
        <f>Talimbue_B!G71/Talimbue_B!L71</f>
        <v>4.2406573018817914E-3</v>
      </c>
      <c r="E71" s="38">
        <f>Talimbue_B!D71/Talimbue_B!L71</f>
        <v>0</v>
      </c>
      <c r="F71" s="38">
        <f>Talimbue_B!J71/Talimbue_B!L71</f>
        <v>0</v>
      </c>
      <c r="G71" s="38">
        <f>Talimbue_B!K71/Talimbue_B!L71</f>
        <v>0</v>
      </c>
    </row>
    <row r="72" spans="1:7" x14ac:dyDescent="0.25">
      <c r="A72" s="1">
        <f>Talimbue_B!A72</f>
        <v>71</v>
      </c>
      <c r="B72" s="37">
        <f>Talimbue_B!B72/Talimbue_B!L72</f>
        <v>4.1639189331093149</v>
      </c>
      <c r="C72" s="37">
        <f>Talimbue_B!C72/Talimbue_B!L72</f>
        <v>4.1058489971647599E-2</v>
      </c>
      <c r="D72" s="37">
        <f>Talimbue_B!G72/Talimbue_B!L72</f>
        <v>3.0137561692743894E-2</v>
      </c>
      <c r="E72" s="37">
        <f>Talimbue_B!D72/Talimbue_B!L72</f>
        <v>0.22807938674787362</v>
      </c>
      <c r="F72" s="38">
        <f>Talimbue_B!J72/Talimbue_B!L72</f>
        <v>0</v>
      </c>
      <c r="G72" s="38">
        <f>Talimbue_B!K72/Talimbue_B!L72</f>
        <v>0</v>
      </c>
    </row>
    <row r="73" spans="1:7" x14ac:dyDescent="0.25">
      <c r="A73" s="1">
        <f>Talimbue_B!A73</f>
        <v>72</v>
      </c>
      <c r="B73" s="37">
        <f>Talimbue_B!B73/Talimbue_B!L73</f>
        <v>1.6981061081148874</v>
      </c>
      <c r="C73" s="37">
        <f>Talimbue_B!C73/Talimbue_B!L73</f>
        <v>7.5003135582591238E-2</v>
      </c>
      <c r="D73" s="37">
        <f>Talimbue_B!G73/Talimbue_B!L73</f>
        <v>1.680672268907563E-2</v>
      </c>
      <c r="E73" s="38">
        <f>Talimbue_B!D73/Talimbue_B!L73</f>
        <v>0</v>
      </c>
      <c r="F73" s="38">
        <f>Talimbue_B!J73/Talimbue_B!L73</f>
        <v>0</v>
      </c>
      <c r="G73" s="38">
        <f>Talimbue_B!K73/Talimbue_B!L73</f>
        <v>0</v>
      </c>
    </row>
    <row r="74" spans="1:7" x14ac:dyDescent="0.25">
      <c r="A74" s="1">
        <f>Talimbue_B!A74</f>
        <v>73</v>
      </c>
      <c r="B74" s="37">
        <f>Talimbue_B!B74/Talimbue_B!L74</f>
        <v>0.62893444989893155</v>
      </c>
      <c r="C74" s="37">
        <f>Talimbue_B!C74/Talimbue_B!L74</f>
        <v>2.468957551256136E-2</v>
      </c>
      <c r="D74" s="38">
        <f>Talimbue_B!G74/Talimbue_B!L74</f>
        <v>0</v>
      </c>
      <c r="E74" s="38">
        <f>Talimbue_B!D74/Talimbue_B!L74</f>
        <v>0</v>
      </c>
      <c r="F74" s="38">
        <f>Talimbue_B!J74/Talimbue_B!L74</f>
        <v>0</v>
      </c>
      <c r="G74" s="38">
        <f>Talimbue_B!K74/Talimbue_B!L74</f>
        <v>0</v>
      </c>
    </row>
    <row r="75" spans="1:7" x14ac:dyDescent="0.25">
      <c r="A75" s="1">
        <f>Talimbue_B!A75</f>
        <v>74</v>
      </c>
      <c r="B75" s="37">
        <f>Talimbue_B!B75/Talimbue_B!L75</f>
        <v>1.2300100930806326</v>
      </c>
      <c r="C75" s="37">
        <f>Talimbue_B!C75/Talimbue_B!L75</f>
        <v>5.3829763373331833E-3</v>
      </c>
      <c r="D75" s="37">
        <f>Talimbue_B!G75/Talimbue_B!L75</f>
        <v>1.727038241561063E-2</v>
      </c>
      <c r="E75" s="38">
        <f>Talimbue_B!D75/Talimbue_B!L75</f>
        <v>0</v>
      </c>
      <c r="F75" s="38">
        <f>Talimbue_B!J75/Talimbue_B!L75</f>
        <v>0</v>
      </c>
      <c r="G75" s="38">
        <f>Talimbue_B!K75/Talimbue_B!L75</f>
        <v>0</v>
      </c>
    </row>
    <row r="76" spans="1:7" x14ac:dyDescent="0.25">
      <c r="A76" s="1">
        <f>Talimbue_B!A76</f>
        <v>75</v>
      </c>
      <c r="B76" s="37">
        <f>Talimbue_B!B76/Talimbue_B!L76</f>
        <v>0.74956051386071665</v>
      </c>
      <c r="C76" s="37">
        <f>Talimbue_B!C76/Talimbue_B!L76</f>
        <v>2.5422582826233938E-2</v>
      </c>
      <c r="D76" s="38">
        <f>Talimbue_B!G76/Talimbue_B!L76</f>
        <v>0</v>
      </c>
      <c r="E76" s="38">
        <f>Talimbue_B!D76/Talimbue_B!L76</f>
        <v>0</v>
      </c>
      <c r="F76" s="38">
        <f>Talimbue_B!J76/Talimbue_B!L76</f>
        <v>0</v>
      </c>
      <c r="G76" s="38">
        <f>Talimbue_B!K76/Talimbue_B!L76</f>
        <v>0</v>
      </c>
    </row>
    <row r="77" spans="1:7" x14ac:dyDescent="0.25">
      <c r="A77" s="1">
        <f>Talimbue_B!A77</f>
        <v>76</v>
      </c>
      <c r="B77" s="37">
        <f>Talimbue_B!B77/Talimbue_B!L77</f>
        <v>0.4413456321215411</v>
      </c>
      <c r="C77" s="38">
        <f>Talimbue_B!C77/Talimbue_B!L77</f>
        <v>0</v>
      </c>
      <c r="D77" s="38">
        <f>Talimbue_B!G77/Talimbue_B!L77</f>
        <v>0</v>
      </c>
      <c r="E77" s="38">
        <f>Talimbue_B!D77/Talimbue_B!L77</f>
        <v>0</v>
      </c>
      <c r="F77" s="38">
        <f>Talimbue_B!J77/Talimbue_B!L77</f>
        <v>0</v>
      </c>
      <c r="G77" s="38">
        <f>Talimbue_B!K77/Talimbue_B!L77</f>
        <v>0</v>
      </c>
    </row>
    <row r="78" spans="1:7" x14ac:dyDescent="0.25">
      <c r="A78" s="1">
        <f>Talimbue_B!A78</f>
        <v>77</v>
      </c>
      <c r="B78" s="37">
        <f>Talimbue_B!B78/Talimbue_B!L78</f>
        <v>0.90864809434284755</v>
      </c>
      <c r="C78" s="37">
        <f>Talimbue_B!C78/Talimbue_B!L78</f>
        <v>7.2978977952486757E-2</v>
      </c>
      <c r="D78" s="37">
        <f>Talimbue_B!G78/Talimbue_B!L78</f>
        <v>1.6151085284566741E-2</v>
      </c>
      <c r="E78" s="38">
        <f>Talimbue_B!D78/Talimbue_B!L78</f>
        <v>0</v>
      </c>
      <c r="F78" s="38">
        <f>Talimbue_B!J78/Talimbue_B!L78</f>
        <v>0</v>
      </c>
      <c r="G78" s="38">
        <f>Talimbue_B!K78/Talimbue_B!L78</f>
        <v>0</v>
      </c>
    </row>
    <row r="79" spans="1:7" x14ac:dyDescent="0.25">
      <c r="A79" s="1">
        <f>Talimbue_B!A79</f>
        <v>78</v>
      </c>
      <c r="B79" s="37">
        <f>Talimbue_B!B79/Talimbue_B!L79</f>
        <v>0.34505040062031528</v>
      </c>
      <c r="C79" s="37">
        <f>Talimbue_B!C79/Talimbue_B!L79</f>
        <v>1.2406306539157403E-2</v>
      </c>
      <c r="D79" s="38">
        <f>Talimbue_B!G79/Talimbue_B!L79</f>
        <v>0</v>
      </c>
      <c r="E79" s="38">
        <f>Talimbue_B!D79/Talimbue_B!L79</f>
        <v>0</v>
      </c>
      <c r="F79" s="38">
        <f>Talimbue_B!J79/Talimbue_B!L79</f>
        <v>0</v>
      </c>
      <c r="G79" s="38">
        <f>Talimbue_B!K79/Talimbue_B!L79</f>
        <v>0</v>
      </c>
    </row>
    <row r="80" spans="1:7" x14ac:dyDescent="0.25">
      <c r="A80" s="1">
        <f>Talimbue_B!A80</f>
        <v>79</v>
      </c>
      <c r="B80" s="37">
        <f>Talimbue_B!B80/Talimbue_B!L80</f>
        <v>2.7406599400054535E-2</v>
      </c>
      <c r="C80" s="38">
        <f>Talimbue_B!C80/Talimbue_B!L80</f>
        <v>0</v>
      </c>
      <c r="D80" s="37">
        <f>Talimbue_B!G80/Talimbue_B!L80</f>
        <v>1.6771202617943824E-2</v>
      </c>
      <c r="E80" s="38">
        <f>Talimbue_B!D80/Talimbue_B!L80</f>
        <v>0</v>
      </c>
      <c r="F80" s="38">
        <f>Talimbue_B!J80/Talimbue_B!L80</f>
        <v>0</v>
      </c>
      <c r="G80" s="38">
        <f>Talimbue_B!K80/Talimbue_B!L80</f>
        <v>0</v>
      </c>
    </row>
    <row r="81" spans="1:7" x14ac:dyDescent="0.25">
      <c r="A81" s="1">
        <f>Talimbue_B!A81</f>
        <v>80</v>
      </c>
      <c r="B81" s="37">
        <f>Talimbue_B!B81/Talimbue_B!L81</f>
        <v>5.6531703590527109E-2</v>
      </c>
      <c r="C81" s="38">
        <f>Talimbue_B!C81/Talimbue_B!L81</f>
        <v>0</v>
      </c>
      <c r="D81" s="37">
        <f>Talimbue_B!G81/Talimbue_B!L81</f>
        <v>2.8138528138528129E-2</v>
      </c>
      <c r="E81" s="38">
        <f>Talimbue_B!D81/Talimbue_B!L81</f>
        <v>0</v>
      </c>
      <c r="F81" s="37">
        <f>Talimbue_B!J81/Talimbue_B!L81</f>
        <v>1.2732365673542141E-2</v>
      </c>
      <c r="G81" s="38">
        <f>Talimbue_B!K81/Talimbue_B!L81</f>
        <v>0</v>
      </c>
    </row>
    <row r="82" spans="1:7" x14ac:dyDescent="0.25">
      <c r="A82" s="1">
        <f>Talimbue_B!A82</f>
        <v>81</v>
      </c>
      <c r="B82" s="37">
        <f>Talimbue_B!B82/Talimbue_B!L82</f>
        <v>9.7877813504823136E-2</v>
      </c>
      <c r="C82" s="37">
        <f>Talimbue_B!C82/Talimbue_B!L82</f>
        <v>8.3601286173633424E-3</v>
      </c>
      <c r="D82" s="37">
        <f>Talimbue_B!G82/Talimbue_B!L82</f>
        <v>0</v>
      </c>
      <c r="E82" s="38">
        <f>Talimbue_B!D82/Talimbue_B!L82</f>
        <v>0</v>
      </c>
      <c r="F82" s="38">
        <f>Talimbue_B!J82/Talimbue_B!L82</f>
        <v>0</v>
      </c>
      <c r="G82" s="38">
        <f>Talimbue_B!K82/Talimbue_B!L82</f>
        <v>0</v>
      </c>
    </row>
    <row r="83" spans="1:7" x14ac:dyDescent="0.25">
      <c r="A83" s="1">
        <f>Talimbue_B!A83</f>
        <v>82</v>
      </c>
      <c r="B83" s="37">
        <f>Talimbue_B!B83/Talimbue_B!L83</f>
        <v>2.787738577212261E-2</v>
      </c>
      <c r="C83" s="37">
        <f>Talimbue_B!C83/Talimbue_B!L83</f>
        <v>6.3620589936379405E-3</v>
      </c>
      <c r="D83" s="37">
        <f>Talimbue_B!G83/Talimbue_B!L83</f>
        <v>7.7501445922498547E-3</v>
      </c>
      <c r="E83" s="38">
        <f>Talimbue_B!D83/Talimbue_B!L83</f>
        <v>0</v>
      </c>
      <c r="F83" s="38">
        <f>Talimbue_B!J83/Talimbue_B!L83</f>
        <v>0</v>
      </c>
      <c r="G83" s="38">
        <f>Talimbue_B!K83/Talimbue_B!L83</f>
        <v>0</v>
      </c>
    </row>
    <row r="84" spans="1:7" x14ac:dyDescent="0.25">
      <c r="A84" s="1">
        <f>Talimbue_B!A84</f>
        <v>83</v>
      </c>
      <c r="B84" s="37">
        <f>Talimbue_B!B84/Talimbue_B!L84</f>
        <v>6.2197959548952922E-2</v>
      </c>
      <c r="C84" s="37">
        <f>Talimbue_B!C84/Talimbue_B!L84</f>
        <v>8.698764990155719E-2</v>
      </c>
      <c r="D84" s="37">
        <f>Talimbue_B!G84/Talimbue_B!L84</f>
        <v>9.3073205655987111E-3</v>
      </c>
      <c r="E84" s="38">
        <f>Talimbue_B!D84/Talimbue_B!L84</f>
        <v>0</v>
      </c>
      <c r="F84" s="38">
        <f>Talimbue_B!J84/Talimbue_B!L84</f>
        <v>0</v>
      </c>
      <c r="G84" s="38">
        <f>Talimbue_B!K84/Talimbue_B!L84</f>
        <v>0</v>
      </c>
    </row>
    <row r="85" spans="1:7" x14ac:dyDescent="0.25">
      <c r="A85" s="1"/>
      <c r="B85" s="1"/>
      <c r="C85" s="1"/>
      <c r="D85" s="1"/>
      <c r="E85" s="1"/>
      <c r="F85" s="1"/>
      <c r="G85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zoomScale="75" zoomScaleNormal="75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6.42578125" customWidth="1"/>
    <col min="4" max="4" width="8.85546875" customWidth="1"/>
    <col min="5" max="5" width="12.42578125" customWidth="1"/>
    <col min="6" max="6" width="13.28515625" customWidth="1"/>
    <col min="7" max="7" width="14.140625" customWidth="1"/>
    <col min="8" max="8" width="13.5703125" customWidth="1"/>
    <col min="9" max="9" width="10.85546875" customWidth="1"/>
    <col min="10" max="10" width="17.28515625" customWidth="1"/>
    <col min="12" max="12" width="16.85546875" customWidth="1"/>
    <col min="19" max="21" width="8.7109375" customWidth="1"/>
    <col min="22" max="22" width="10.42578125" customWidth="1"/>
    <col min="23" max="23" width="10.5703125" customWidth="1"/>
    <col min="26" max="26" width="10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23</v>
      </c>
      <c r="E1" t="s">
        <v>25</v>
      </c>
      <c r="F1" t="s">
        <v>26</v>
      </c>
      <c r="G1" t="s">
        <v>3</v>
      </c>
      <c r="H1" t="s">
        <v>4</v>
      </c>
      <c r="I1" t="s">
        <v>5</v>
      </c>
      <c r="J1" t="s">
        <v>6</v>
      </c>
      <c r="K1" t="s">
        <v>20</v>
      </c>
      <c r="L1" t="s">
        <v>22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16</v>
      </c>
      <c r="V1" t="s">
        <v>17</v>
      </c>
      <c r="W1" t="s">
        <v>18</v>
      </c>
      <c r="X1" t="s">
        <v>19</v>
      </c>
      <c r="Y1" t="s">
        <v>15</v>
      </c>
      <c r="Z1" t="s">
        <v>27</v>
      </c>
    </row>
    <row r="2" spans="1:26" x14ac:dyDescent="0.25">
      <c r="A2">
        <v>1</v>
      </c>
      <c r="B2">
        <v>0</v>
      </c>
      <c r="C2">
        <v>270</v>
      </c>
      <c r="D2">
        <v>0</v>
      </c>
      <c r="E2">
        <v>0</v>
      </c>
      <c r="F2">
        <v>0</v>
      </c>
      <c r="G2">
        <f>150+6.92</f>
        <v>156.91999999999999</v>
      </c>
      <c r="H2">
        <v>2</v>
      </c>
      <c r="I2">
        <v>0.5</v>
      </c>
      <c r="J2">
        <f>H2+I2</f>
        <v>2.5</v>
      </c>
      <c r="K2">
        <v>173.2</v>
      </c>
      <c r="L2">
        <f>SUM(M2:T2)-(8*0.45)</f>
        <v>89.03</v>
      </c>
      <c r="M2">
        <v>10.15</v>
      </c>
      <c r="N2">
        <v>11.04</v>
      </c>
      <c r="O2">
        <v>11.28</v>
      </c>
      <c r="P2">
        <v>12.81</v>
      </c>
      <c r="Q2">
        <v>12.57</v>
      </c>
      <c r="R2">
        <v>12.04</v>
      </c>
      <c r="S2">
        <v>11.03</v>
      </c>
      <c r="T2">
        <v>11.71</v>
      </c>
      <c r="Y2">
        <v>5</v>
      </c>
      <c r="Z2">
        <v>0</v>
      </c>
    </row>
    <row r="3" spans="1:26" x14ac:dyDescent="0.25">
      <c r="A3">
        <v>2</v>
      </c>
      <c r="B3">
        <v>232.94</v>
      </c>
      <c r="C3">
        <v>1010</v>
      </c>
      <c r="D3">
        <f t="shared" ref="D3:D8" si="0">E3</f>
        <v>1.06</v>
      </c>
      <c r="E3">
        <v>1.06</v>
      </c>
      <c r="F3">
        <v>1.02</v>
      </c>
      <c r="G3">
        <f>276.74+13.7+F3</f>
        <v>291.45999999999998</v>
      </c>
      <c r="H3">
        <v>32</v>
      </c>
      <c r="I3">
        <v>0</v>
      </c>
      <c r="J3">
        <f t="shared" ref="J3:J66" si="1">H3+I3</f>
        <v>32</v>
      </c>
      <c r="K3">
        <v>288</v>
      </c>
      <c r="L3">
        <f>SUM(M3:T3)-Z3-(6*0.45)</f>
        <v>58.900000000000006</v>
      </c>
      <c r="M3">
        <v>11.42</v>
      </c>
      <c r="N3">
        <v>10.72</v>
      </c>
      <c r="O3">
        <v>11.78</v>
      </c>
      <c r="P3">
        <v>10.67</v>
      </c>
      <c r="Q3">
        <v>11.56</v>
      </c>
      <c r="R3">
        <v>6.57</v>
      </c>
      <c r="Y3">
        <v>5</v>
      </c>
      <c r="Z3">
        <v>1.1200000000000001</v>
      </c>
    </row>
    <row r="4" spans="1:26" x14ac:dyDescent="0.25">
      <c r="A4">
        <v>3</v>
      </c>
      <c r="B4">
        <v>147.99</v>
      </c>
      <c r="C4">
        <v>1535</v>
      </c>
      <c r="D4">
        <f t="shared" si="0"/>
        <v>2.75</v>
      </c>
      <c r="E4">
        <v>2.75</v>
      </c>
      <c r="F4">
        <v>0</v>
      </c>
      <c r="G4">
        <f>425.3+63.6</f>
        <v>488.90000000000003</v>
      </c>
      <c r="H4">
        <v>29</v>
      </c>
      <c r="I4">
        <v>11</v>
      </c>
      <c r="J4">
        <f t="shared" si="1"/>
        <v>40</v>
      </c>
      <c r="K4">
        <v>82.5</v>
      </c>
      <c r="L4">
        <f>SUM(M4:T4)-Z4-(6*0.45)</f>
        <v>59.089999999999996</v>
      </c>
      <c r="M4">
        <v>11.3</v>
      </c>
      <c r="N4">
        <v>10.89</v>
      </c>
      <c r="O4">
        <v>9.9</v>
      </c>
      <c r="P4">
        <v>8.16</v>
      </c>
      <c r="Q4">
        <v>11.81</v>
      </c>
      <c r="R4">
        <v>10.47</v>
      </c>
      <c r="Y4">
        <v>5</v>
      </c>
      <c r="Z4">
        <v>0.74</v>
      </c>
    </row>
    <row r="5" spans="1:26" x14ac:dyDescent="0.25">
      <c r="A5">
        <v>4</v>
      </c>
      <c r="B5">
        <v>143</v>
      </c>
      <c r="C5">
        <v>1400</v>
      </c>
      <c r="D5">
        <f t="shared" si="0"/>
        <v>2.88</v>
      </c>
      <c r="E5">
        <v>2.88</v>
      </c>
      <c r="F5">
        <v>0.33</v>
      </c>
      <c r="G5">
        <f>380+12.67+F5</f>
        <v>393</v>
      </c>
      <c r="H5">
        <v>42.5</v>
      </c>
      <c r="I5">
        <v>4</v>
      </c>
      <c r="J5">
        <f t="shared" si="1"/>
        <v>46.5</v>
      </c>
      <c r="K5">
        <v>56.3</v>
      </c>
      <c r="L5">
        <f>SUM(M5:T5)-Z5-(6*0.45)</f>
        <v>51.65</v>
      </c>
      <c r="M5">
        <v>11.29</v>
      </c>
      <c r="N5">
        <v>10.35</v>
      </c>
      <c r="O5">
        <v>9.9499999999999993</v>
      </c>
      <c r="P5">
        <v>9.3699999999999992</v>
      </c>
      <c r="Q5">
        <v>8.8000000000000007</v>
      </c>
      <c r="R5">
        <v>6.08</v>
      </c>
      <c r="Y5">
        <v>5</v>
      </c>
      <c r="Z5">
        <v>1.49</v>
      </c>
    </row>
    <row r="6" spans="1:26" x14ac:dyDescent="0.25">
      <c r="A6">
        <v>5</v>
      </c>
      <c r="B6">
        <v>132.80000000000001</v>
      </c>
      <c r="C6">
        <v>320</v>
      </c>
      <c r="D6">
        <f t="shared" si="0"/>
        <v>9.2100000000000009</v>
      </c>
      <c r="E6">
        <v>9.2100000000000009</v>
      </c>
      <c r="F6">
        <v>5.26</v>
      </c>
      <c r="G6">
        <f>0.48+15.47+F6</f>
        <v>21.21</v>
      </c>
      <c r="H6">
        <v>20</v>
      </c>
      <c r="I6">
        <v>2.5</v>
      </c>
      <c r="J6">
        <f t="shared" si="1"/>
        <v>22.5</v>
      </c>
      <c r="K6">
        <v>23.9</v>
      </c>
      <c r="L6">
        <f>SUM(M6:T6)-Z6-(6*0.45)</f>
        <v>56.865999999999993</v>
      </c>
      <c r="M6">
        <v>9.61</v>
      </c>
      <c r="N6">
        <v>10.050000000000001</v>
      </c>
      <c r="O6">
        <v>11.52</v>
      </c>
      <c r="P6">
        <v>9.75</v>
      </c>
      <c r="Q6">
        <v>10.26</v>
      </c>
      <c r="R6">
        <v>10.55</v>
      </c>
      <c r="Y6">
        <v>5</v>
      </c>
      <c r="Z6">
        <v>2.1739999999999999</v>
      </c>
    </row>
    <row r="7" spans="1:26" x14ac:dyDescent="0.25">
      <c r="A7">
        <v>6</v>
      </c>
      <c r="B7">
        <v>900</v>
      </c>
      <c r="C7">
        <v>1435</v>
      </c>
      <c r="D7">
        <f t="shared" si="0"/>
        <v>47.92</v>
      </c>
      <c r="E7">
        <v>47.92</v>
      </c>
      <c r="F7">
        <v>0</v>
      </c>
      <c r="G7">
        <f>480+13.01</f>
        <v>493.01</v>
      </c>
      <c r="H7">
        <v>67</v>
      </c>
      <c r="I7">
        <v>2</v>
      </c>
      <c r="J7">
        <f t="shared" si="1"/>
        <v>69</v>
      </c>
      <c r="K7">
        <v>25</v>
      </c>
      <c r="L7">
        <f t="shared" ref="L7:L13" si="2">SUM(M7:T7)-Z7-(7*0.45)</f>
        <v>62.995000000000012</v>
      </c>
      <c r="M7">
        <v>9.08</v>
      </c>
      <c r="N7">
        <v>9.7200000000000006</v>
      </c>
      <c r="O7">
        <v>9.2899999999999991</v>
      </c>
      <c r="P7">
        <v>9.67</v>
      </c>
      <c r="Q7">
        <v>10.88</v>
      </c>
      <c r="R7">
        <v>9.84</v>
      </c>
      <c r="S7">
        <v>9.75</v>
      </c>
      <c r="Y7">
        <v>5</v>
      </c>
      <c r="Z7">
        <v>2.085</v>
      </c>
    </row>
    <row r="8" spans="1:26" x14ac:dyDescent="0.25">
      <c r="A8">
        <v>7</v>
      </c>
      <c r="B8">
        <v>251.97</v>
      </c>
      <c r="C8">
        <v>1240</v>
      </c>
      <c r="D8">
        <f t="shared" si="0"/>
        <v>48.76</v>
      </c>
      <c r="E8">
        <v>48.76</v>
      </c>
      <c r="F8">
        <v>0.1</v>
      </c>
      <c r="G8">
        <f>440+8.21+F8</f>
        <v>448.31</v>
      </c>
      <c r="H8">
        <v>83</v>
      </c>
      <c r="I8">
        <v>14</v>
      </c>
      <c r="J8">
        <f t="shared" si="1"/>
        <v>97</v>
      </c>
      <c r="K8">
        <v>15.9</v>
      </c>
      <c r="L8">
        <f t="shared" si="2"/>
        <v>65.739999999999995</v>
      </c>
      <c r="M8">
        <v>10.25</v>
      </c>
      <c r="N8">
        <v>11</v>
      </c>
      <c r="O8">
        <v>10.75</v>
      </c>
      <c r="P8">
        <v>10.119999999999999</v>
      </c>
      <c r="Q8">
        <v>10</v>
      </c>
      <c r="R8">
        <v>10.07</v>
      </c>
      <c r="S8">
        <v>10.199999999999999</v>
      </c>
      <c r="Y8">
        <v>5</v>
      </c>
      <c r="Z8">
        <v>3.5</v>
      </c>
    </row>
    <row r="9" spans="1:26" x14ac:dyDescent="0.25">
      <c r="A9">
        <v>8</v>
      </c>
      <c r="B9">
        <v>246.63</v>
      </c>
      <c r="C9">
        <v>865</v>
      </c>
      <c r="D9">
        <f>0.73+E9</f>
        <v>55.18</v>
      </c>
      <c r="E9">
        <v>54.45</v>
      </c>
      <c r="F9">
        <v>0.74</v>
      </c>
      <c r="G9">
        <f>350+20.56+F9</f>
        <v>371.3</v>
      </c>
      <c r="H9">
        <v>103.5</v>
      </c>
      <c r="I9">
        <v>11</v>
      </c>
      <c r="J9">
        <f t="shared" si="1"/>
        <v>114.5</v>
      </c>
      <c r="K9">
        <v>0</v>
      </c>
      <c r="L9">
        <f t="shared" si="2"/>
        <v>52.169999999999995</v>
      </c>
      <c r="M9">
        <v>8</v>
      </c>
      <c r="N9">
        <v>8.61</v>
      </c>
      <c r="O9">
        <v>9.89</v>
      </c>
      <c r="P9">
        <v>9.77</v>
      </c>
      <c r="Q9">
        <v>9.8000000000000007</v>
      </c>
      <c r="R9">
        <v>11.95</v>
      </c>
      <c r="S9">
        <v>0.9</v>
      </c>
      <c r="Y9">
        <v>5</v>
      </c>
      <c r="Z9">
        <v>3.6</v>
      </c>
    </row>
    <row r="10" spans="1:26" x14ac:dyDescent="0.25">
      <c r="A10">
        <v>9</v>
      </c>
      <c r="B10">
        <v>358.08</v>
      </c>
      <c r="C10">
        <v>1030</v>
      </c>
      <c r="D10">
        <f>E10</f>
        <v>4.82</v>
      </c>
      <c r="E10">
        <v>4.82</v>
      </c>
      <c r="F10">
        <v>0.6</v>
      </c>
      <c r="G10">
        <f>299.23+13.4+F10</f>
        <v>313.23</v>
      </c>
      <c r="H10">
        <v>151.5</v>
      </c>
      <c r="I10">
        <v>21.5</v>
      </c>
      <c r="J10">
        <f t="shared" si="1"/>
        <v>173</v>
      </c>
      <c r="K10">
        <v>0</v>
      </c>
      <c r="L10">
        <f t="shared" si="2"/>
        <v>53.164999999999999</v>
      </c>
      <c r="M10">
        <v>9.1199999999999992</v>
      </c>
      <c r="N10">
        <v>7.8</v>
      </c>
      <c r="O10">
        <v>8.8149999999999995</v>
      </c>
      <c r="P10">
        <v>9.2100000000000009</v>
      </c>
      <c r="Q10">
        <v>10.029999999999999</v>
      </c>
      <c r="R10">
        <v>11.15</v>
      </c>
      <c r="S10">
        <v>4.3499999999999996</v>
      </c>
      <c r="Y10">
        <v>5</v>
      </c>
      <c r="Z10">
        <v>4.16</v>
      </c>
    </row>
    <row r="11" spans="1:26" x14ac:dyDescent="0.25">
      <c r="A11">
        <v>10</v>
      </c>
      <c r="B11">
        <v>231.56</v>
      </c>
      <c r="C11">
        <v>805</v>
      </c>
      <c r="D11">
        <f>E11</f>
        <v>8.85</v>
      </c>
      <c r="E11">
        <v>8.85</v>
      </c>
      <c r="F11">
        <v>0.49</v>
      </c>
      <c r="G11">
        <f>32+3.03+F11</f>
        <v>35.520000000000003</v>
      </c>
      <c r="H11">
        <v>0</v>
      </c>
      <c r="I11">
        <v>8</v>
      </c>
      <c r="J11">
        <f t="shared" si="1"/>
        <v>8</v>
      </c>
      <c r="K11">
        <v>0</v>
      </c>
      <c r="L11">
        <f t="shared" si="2"/>
        <v>61.495000000000012</v>
      </c>
      <c r="M11">
        <v>10.28</v>
      </c>
      <c r="N11">
        <v>10.28</v>
      </c>
      <c r="O11">
        <v>10.26</v>
      </c>
      <c r="P11">
        <v>10.46</v>
      </c>
      <c r="Q11">
        <v>10.029999999999999</v>
      </c>
      <c r="R11">
        <v>10.199999999999999</v>
      </c>
      <c r="S11">
        <v>3.1349999999999998</v>
      </c>
      <c r="Y11">
        <v>5</v>
      </c>
      <c r="Z11">
        <v>0</v>
      </c>
    </row>
    <row r="12" spans="1:26" x14ac:dyDescent="0.25">
      <c r="A12">
        <v>11</v>
      </c>
      <c r="B12" s="29">
        <v>593</v>
      </c>
      <c r="C12">
        <v>1420</v>
      </c>
      <c r="D12">
        <f>E12</f>
        <v>1.44</v>
      </c>
      <c r="E12">
        <v>1.44</v>
      </c>
      <c r="F12">
        <v>0</v>
      </c>
      <c r="G12" s="29">
        <v>553</v>
      </c>
      <c r="H12">
        <v>1</v>
      </c>
      <c r="I12">
        <v>19.5</v>
      </c>
      <c r="J12">
        <f t="shared" si="1"/>
        <v>20.5</v>
      </c>
      <c r="K12">
        <v>0</v>
      </c>
      <c r="L12">
        <f t="shared" si="2"/>
        <v>67.015000000000001</v>
      </c>
      <c r="M12">
        <v>9.75</v>
      </c>
      <c r="N12">
        <v>10.14</v>
      </c>
      <c r="O12">
        <v>10.7</v>
      </c>
      <c r="P12">
        <v>10.5</v>
      </c>
      <c r="Q12">
        <v>11.56</v>
      </c>
      <c r="R12">
        <v>10.17</v>
      </c>
      <c r="S12">
        <v>10.46</v>
      </c>
      <c r="Y12">
        <v>5</v>
      </c>
      <c r="Z12">
        <v>3.1150000000000002</v>
      </c>
    </row>
    <row r="13" spans="1:26" x14ac:dyDescent="0.25">
      <c r="A13">
        <v>12</v>
      </c>
      <c r="B13">
        <v>340.97</v>
      </c>
      <c r="C13">
        <v>1170</v>
      </c>
      <c r="D13">
        <f>3.27+E13</f>
        <v>7.02</v>
      </c>
      <c r="E13">
        <v>3.75</v>
      </c>
      <c r="F13">
        <v>0</v>
      </c>
      <c r="G13">
        <f>343.1+4.12</f>
        <v>347.22</v>
      </c>
      <c r="H13">
        <v>0</v>
      </c>
      <c r="I13">
        <v>0</v>
      </c>
      <c r="J13">
        <f t="shared" si="1"/>
        <v>0</v>
      </c>
      <c r="K13">
        <v>0</v>
      </c>
      <c r="L13">
        <f t="shared" si="2"/>
        <v>53.36</v>
      </c>
      <c r="M13">
        <v>10.02</v>
      </c>
      <c r="N13">
        <v>9.0399999999999991</v>
      </c>
      <c r="O13">
        <v>9.26</v>
      </c>
      <c r="P13">
        <v>10.5</v>
      </c>
      <c r="Q13">
        <v>9.4700000000000006</v>
      </c>
      <c r="R13">
        <v>9.0299999999999994</v>
      </c>
      <c r="S13">
        <v>1.71</v>
      </c>
      <c r="Y13">
        <v>5</v>
      </c>
      <c r="Z13">
        <v>2.52</v>
      </c>
    </row>
    <row r="14" spans="1:26" x14ac:dyDescent="0.25">
      <c r="A14">
        <v>13</v>
      </c>
      <c r="B14">
        <v>399.4</v>
      </c>
      <c r="C14">
        <v>1165</v>
      </c>
      <c r="D14">
        <f>E14</f>
        <v>3.57</v>
      </c>
      <c r="E14">
        <v>3.57</v>
      </c>
      <c r="F14">
        <v>0</v>
      </c>
      <c r="G14">
        <f>385.13+19.91</f>
        <v>405.04</v>
      </c>
      <c r="H14">
        <v>0</v>
      </c>
      <c r="I14">
        <v>4</v>
      </c>
      <c r="J14">
        <f t="shared" si="1"/>
        <v>4</v>
      </c>
      <c r="K14">
        <v>0</v>
      </c>
      <c r="L14">
        <f>SUM(M14:T14)-Z14-(8*0.45)</f>
        <v>72.680000000000007</v>
      </c>
      <c r="M14">
        <v>10.83</v>
      </c>
      <c r="N14">
        <v>8.5</v>
      </c>
      <c r="O14">
        <v>10.48</v>
      </c>
      <c r="P14">
        <v>11.78</v>
      </c>
      <c r="Q14">
        <v>9.99</v>
      </c>
      <c r="R14">
        <v>10.44</v>
      </c>
      <c r="S14">
        <v>10.29</v>
      </c>
      <c r="T14">
        <v>9.42</v>
      </c>
      <c r="Y14">
        <v>5</v>
      </c>
      <c r="Z14">
        <v>5.45</v>
      </c>
    </row>
    <row r="15" spans="1:26" x14ac:dyDescent="0.25">
      <c r="A15">
        <v>14</v>
      </c>
      <c r="B15">
        <v>151.13</v>
      </c>
      <c r="C15">
        <v>920</v>
      </c>
      <c r="D15">
        <f>E15</f>
        <v>27.64</v>
      </c>
      <c r="E15">
        <v>27.64</v>
      </c>
      <c r="F15">
        <v>0</v>
      </c>
      <c r="G15">
        <f>224.56+12.08</f>
        <v>236.64000000000001</v>
      </c>
      <c r="H15">
        <v>21.5</v>
      </c>
      <c r="I15">
        <v>11.5</v>
      </c>
      <c r="J15">
        <f t="shared" si="1"/>
        <v>33</v>
      </c>
      <c r="K15">
        <v>0</v>
      </c>
      <c r="L15">
        <f>SUM(M15:T15)-Z15-(6*0.45)</f>
        <v>50.660000000000004</v>
      </c>
      <c r="M15">
        <v>9.3000000000000007</v>
      </c>
      <c r="N15">
        <v>9.64</v>
      </c>
      <c r="O15">
        <v>10.37</v>
      </c>
      <c r="P15">
        <v>9.27</v>
      </c>
      <c r="Q15">
        <v>9.56</v>
      </c>
      <c r="R15">
        <v>7.09</v>
      </c>
      <c r="Y15">
        <v>5</v>
      </c>
      <c r="Z15">
        <v>1.87</v>
      </c>
    </row>
    <row r="16" spans="1:26" x14ac:dyDescent="0.25">
      <c r="A16">
        <v>15</v>
      </c>
      <c r="B16">
        <v>313.57</v>
      </c>
      <c r="C16">
        <v>845</v>
      </c>
      <c r="D16">
        <f>E16</f>
        <v>30.8</v>
      </c>
      <c r="E16">
        <v>30.8</v>
      </c>
      <c r="F16">
        <v>0</v>
      </c>
      <c r="G16">
        <f>284.55+7.17</f>
        <v>291.72000000000003</v>
      </c>
      <c r="H16">
        <v>0</v>
      </c>
      <c r="I16">
        <v>0</v>
      </c>
      <c r="J16">
        <f t="shared" si="1"/>
        <v>0</v>
      </c>
      <c r="K16">
        <v>0</v>
      </c>
      <c r="L16">
        <f>SUM(M16:T16)-Z16-(7*0.45)</f>
        <v>55.460000000000008</v>
      </c>
      <c r="M16">
        <v>9.7899999999999991</v>
      </c>
      <c r="N16">
        <v>11.42</v>
      </c>
      <c r="O16">
        <v>8.24</v>
      </c>
      <c r="P16">
        <v>8.15</v>
      </c>
      <c r="Q16">
        <v>10.130000000000001</v>
      </c>
      <c r="R16">
        <v>9.09</v>
      </c>
      <c r="S16">
        <v>6.25</v>
      </c>
      <c r="Y16">
        <v>5</v>
      </c>
      <c r="Z16">
        <v>4.46</v>
      </c>
    </row>
    <row r="17" spans="1:26" x14ac:dyDescent="0.25">
      <c r="A17">
        <v>16</v>
      </c>
      <c r="B17" s="29">
        <v>501</v>
      </c>
      <c r="C17">
        <v>510</v>
      </c>
      <c r="D17">
        <f>2.27+E17</f>
        <v>16.77</v>
      </c>
      <c r="E17">
        <v>14.5</v>
      </c>
      <c r="F17">
        <v>0</v>
      </c>
      <c r="G17">
        <f>211.73+6.77</f>
        <v>218.5</v>
      </c>
      <c r="H17">
        <v>22.5</v>
      </c>
      <c r="I17">
        <v>17.5</v>
      </c>
      <c r="J17">
        <f t="shared" si="1"/>
        <v>40</v>
      </c>
      <c r="K17">
        <v>0</v>
      </c>
      <c r="L17">
        <f>SUM(M17:T17)-Z17-(6*0.45)</f>
        <v>49.8</v>
      </c>
      <c r="M17">
        <v>10.63</v>
      </c>
      <c r="N17">
        <v>10.68</v>
      </c>
      <c r="O17">
        <v>8.76</v>
      </c>
      <c r="P17">
        <v>9.69</v>
      </c>
      <c r="Q17">
        <v>8.41</v>
      </c>
      <c r="R17">
        <v>6.05</v>
      </c>
      <c r="Y17">
        <v>5</v>
      </c>
      <c r="Z17">
        <v>1.72</v>
      </c>
    </row>
    <row r="18" spans="1:26" x14ac:dyDescent="0.25">
      <c r="A18">
        <v>17</v>
      </c>
      <c r="B18">
        <v>388.41</v>
      </c>
      <c r="C18">
        <v>680</v>
      </c>
      <c r="D18">
        <f>2.22+E18</f>
        <v>30.169999999999998</v>
      </c>
      <c r="E18">
        <v>27.95</v>
      </c>
      <c r="F18">
        <v>0</v>
      </c>
      <c r="G18">
        <f>271.58+8.82</f>
        <v>280.39999999999998</v>
      </c>
      <c r="H18">
        <v>93.5</v>
      </c>
      <c r="I18">
        <v>4</v>
      </c>
      <c r="J18">
        <f t="shared" si="1"/>
        <v>97.5</v>
      </c>
      <c r="K18">
        <v>0</v>
      </c>
      <c r="L18">
        <f>SUM(M18:T18)-Z18-(7*0.45)</f>
        <v>60.749999999999993</v>
      </c>
      <c r="M18">
        <v>9.1199999999999992</v>
      </c>
      <c r="N18">
        <v>10.17</v>
      </c>
      <c r="O18">
        <v>10.14</v>
      </c>
      <c r="P18">
        <v>9.7200000000000006</v>
      </c>
      <c r="Q18">
        <v>9.65</v>
      </c>
      <c r="R18">
        <v>9.44</v>
      </c>
      <c r="S18">
        <v>5.66</v>
      </c>
      <c r="Y18">
        <v>5</v>
      </c>
      <c r="Z18">
        <v>0</v>
      </c>
    </row>
    <row r="19" spans="1:26" x14ac:dyDescent="0.25">
      <c r="A19">
        <v>18</v>
      </c>
      <c r="B19">
        <v>690</v>
      </c>
      <c r="C19">
        <v>660</v>
      </c>
      <c r="D19">
        <f>E19</f>
        <v>7.41</v>
      </c>
      <c r="E19">
        <v>7.41</v>
      </c>
      <c r="F19">
        <v>0</v>
      </c>
      <c r="G19">
        <f>310.42+12.44</f>
        <v>322.86</v>
      </c>
      <c r="H19">
        <v>401</v>
      </c>
      <c r="I19">
        <v>2</v>
      </c>
      <c r="J19">
        <f t="shared" si="1"/>
        <v>403</v>
      </c>
      <c r="K19">
        <v>0</v>
      </c>
      <c r="L19">
        <f>SUM(M19:T19)-Z19-(6*0.45)</f>
        <v>54.01</v>
      </c>
      <c r="M19">
        <v>9.67</v>
      </c>
      <c r="N19">
        <v>10.75</v>
      </c>
      <c r="O19">
        <v>9.6</v>
      </c>
      <c r="P19">
        <v>9.24</v>
      </c>
      <c r="Q19">
        <v>11.55</v>
      </c>
      <c r="R19">
        <v>10.4</v>
      </c>
      <c r="Y19">
        <v>5</v>
      </c>
      <c r="Z19">
        <v>4.5</v>
      </c>
    </row>
    <row r="20" spans="1:26" x14ac:dyDescent="0.25">
      <c r="A20">
        <v>19</v>
      </c>
      <c r="B20">
        <v>630.98</v>
      </c>
      <c r="C20">
        <v>970</v>
      </c>
      <c r="D20">
        <f>E20</f>
        <v>29.17</v>
      </c>
      <c r="E20">
        <v>29.17</v>
      </c>
      <c r="F20">
        <v>0</v>
      </c>
      <c r="G20">
        <f>369.11+5.66</f>
        <v>374.77000000000004</v>
      </c>
      <c r="H20">
        <v>0</v>
      </c>
      <c r="I20">
        <v>70</v>
      </c>
      <c r="J20">
        <f t="shared" si="1"/>
        <v>70</v>
      </c>
      <c r="K20">
        <v>0</v>
      </c>
      <c r="L20">
        <f>SUM(M20:T20)-Z20-(7*0.45)</f>
        <v>57.6</v>
      </c>
      <c r="M20">
        <v>8.9</v>
      </c>
      <c r="N20">
        <v>9.81</v>
      </c>
      <c r="O20">
        <v>8.69</v>
      </c>
      <c r="P20">
        <v>9.6</v>
      </c>
      <c r="Q20">
        <v>9.67</v>
      </c>
      <c r="R20">
        <v>9.25</v>
      </c>
      <c r="S20">
        <v>4.83</v>
      </c>
      <c r="Y20">
        <v>5</v>
      </c>
      <c r="Z20">
        <v>0</v>
      </c>
    </row>
    <row r="21" spans="1:26" x14ac:dyDescent="0.25">
      <c r="A21">
        <v>20</v>
      </c>
      <c r="B21">
        <v>560</v>
      </c>
      <c r="C21">
        <v>1030</v>
      </c>
      <c r="D21">
        <f>1.87+E21</f>
        <v>10.95</v>
      </c>
      <c r="E21">
        <v>9.08</v>
      </c>
      <c r="F21">
        <v>0</v>
      </c>
      <c r="G21">
        <f>451.54+19.69</f>
        <v>471.23</v>
      </c>
      <c r="H21">
        <v>25.5</v>
      </c>
      <c r="I21">
        <v>48.5</v>
      </c>
      <c r="J21">
        <f t="shared" si="1"/>
        <v>74</v>
      </c>
      <c r="K21">
        <v>0</v>
      </c>
      <c r="L21">
        <f>SUM(M21:T21)-Z21-(8*0.45)</f>
        <v>70.160000000000011</v>
      </c>
      <c r="M21">
        <v>9.15</v>
      </c>
      <c r="N21">
        <v>9.94</v>
      </c>
      <c r="O21">
        <v>10.16</v>
      </c>
      <c r="P21">
        <v>8.07</v>
      </c>
      <c r="Q21">
        <v>9.99</v>
      </c>
      <c r="R21">
        <v>8.59</v>
      </c>
      <c r="S21">
        <v>10.62</v>
      </c>
      <c r="T21">
        <v>10.92</v>
      </c>
      <c r="Y21">
        <v>5</v>
      </c>
      <c r="Z21">
        <v>3.68</v>
      </c>
    </row>
    <row r="22" spans="1:26" x14ac:dyDescent="0.25">
      <c r="A22">
        <v>21</v>
      </c>
      <c r="B22">
        <v>396.95</v>
      </c>
      <c r="C22">
        <v>1110</v>
      </c>
      <c r="D22">
        <f>E22</f>
        <v>10.94</v>
      </c>
      <c r="E22">
        <v>10.94</v>
      </c>
      <c r="F22">
        <v>0.61</v>
      </c>
      <c r="G22">
        <f>421.86+53.82+F22</f>
        <v>476.29</v>
      </c>
      <c r="H22">
        <v>68.5</v>
      </c>
      <c r="I22">
        <v>96</v>
      </c>
      <c r="J22">
        <f t="shared" si="1"/>
        <v>164.5</v>
      </c>
      <c r="K22">
        <v>0</v>
      </c>
      <c r="L22">
        <f>SUM(M22:T22)-Z22-(6*0.45)</f>
        <v>56.309999999999995</v>
      </c>
      <c r="M22">
        <v>9.74</v>
      </c>
      <c r="N22">
        <v>9.1199999999999992</v>
      </c>
      <c r="O22">
        <v>9.1199999999999992</v>
      </c>
      <c r="P22">
        <v>10.5</v>
      </c>
      <c r="Q22">
        <v>9.4700000000000006</v>
      </c>
      <c r="R22">
        <v>11.06</v>
      </c>
      <c r="Y22">
        <v>5</v>
      </c>
      <c r="Z22">
        <v>0</v>
      </c>
    </row>
    <row r="23" spans="1:26" x14ac:dyDescent="0.25">
      <c r="A23">
        <v>22</v>
      </c>
      <c r="B23">
        <v>268.89</v>
      </c>
      <c r="C23">
        <v>1120</v>
      </c>
      <c r="D23">
        <f>E23</f>
        <v>5.93</v>
      </c>
      <c r="E23">
        <v>5.93</v>
      </c>
      <c r="F23">
        <v>0.55000000000000004</v>
      </c>
      <c r="G23">
        <f>3.32+F23</f>
        <v>3.87</v>
      </c>
      <c r="H23">
        <v>0</v>
      </c>
      <c r="I23">
        <v>0</v>
      </c>
      <c r="J23">
        <f t="shared" si="1"/>
        <v>0</v>
      </c>
      <c r="K23">
        <v>0</v>
      </c>
      <c r="L23">
        <f>SUM(M23:T23)-Z23-(6*0.45)</f>
        <v>53.96</v>
      </c>
      <c r="M23">
        <v>10.210000000000001</v>
      </c>
      <c r="N23">
        <v>10.01</v>
      </c>
      <c r="O23">
        <v>10.1</v>
      </c>
      <c r="P23">
        <v>10.68</v>
      </c>
      <c r="Q23">
        <v>10.88</v>
      </c>
      <c r="R23">
        <v>7.18</v>
      </c>
      <c r="Y23">
        <v>5</v>
      </c>
      <c r="Z23">
        <v>2.4</v>
      </c>
    </row>
    <row r="24" spans="1:26" x14ac:dyDescent="0.25">
      <c r="A24">
        <v>23</v>
      </c>
      <c r="B24">
        <v>420.31</v>
      </c>
      <c r="C24">
        <v>1090</v>
      </c>
      <c r="D24">
        <f>7.95+E24</f>
        <v>17.22</v>
      </c>
      <c r="E24">
        <v>9.27</v>
      </c>
      <c r="F24">
        <v>0</v>
      </c>
      <c r="G24">
        <f>400+19.08</f>
        <v>419.08</v>
      </c>
      <c r="H24">
        <v>0</v>
      </c>
      <c r="I24">
        <v>0</v>
      </c>
      <c r="J24">
        <f t="shared" si="1"/>
        <v>0</v>
      </c>
      <c r="K24">
        <v>0</v>
      </c>
      <c r="L24">
        <f>SUM(M24:T24)-Z24-(7*0.45)</f>
        <v>65.11</v>
      </c>
      <c r="M24">
        <v>9.5299999999999994</v>
      </c>
      <c r="N24">
        <v>9.36</v>
      </c>
      <c r="O24">
        <v>9.35</v>
      </c>
      <c r="P24">
        <v>9.74</v>
      </c>
      <c r="Q24">
        <v>11.05</v>
      </c>
      <c r="R24">
        <v>11.24</v>
      </c>
      <c r="S24">
        <v>7.99</v>
      </c>
      <c r="Y24">
        <v>5</v>
      </c>
      <c r="Z24">
        <v>0</v>
      </c>
    </row>
    <row r="25" spans="1:26" x14ac:dyDescent="0.25">
      <c r="A25">
        <v>24</v>
      </c>
      <c r="B25">
        <v>286.51</v>
      </c>
      <c r="C25">
        <f>1060</f>
        <v>1060</v>
      </c>
      <c r="D25">
        <f>E25</f>
        <v>0</v>
      </c>
      <c r="E25">
        <v>0</v>
      </c>
      <c r="F25">
        <v>0</v>
      </c>
      <c r="G25">
        <f>529.88+65.71</f>
        <v>595.59</v>
      </c>
      <c r="H25">
        <v>0</v>
      </c>
      <c r="I25">
        <v>0</v>
      </c>
      <c r="J25">
        <f t="shared" si="1"/>
        <v>0</v>
      </c>
      <c r="K25">
        <v>0</v>
      </c>
      <c r="L25">
        <f>SUM(M25:T25)-Z25-(6*0.45)</f>
        <v>48.82</v>
      </c>
      <c r="M25">
        <v>9.07</v>
      </c>
      <c r="N25">
        <v>9.0399999999999991</v>
      </c>
      <c r="O25">
        <v>9.18</v>
      </c>
      <c r="P25">
        <v>8.41</v>
      </c>
      <c r="Q25">
        <v>9.23</v>
      </c>
      <c r="R25">
        <v>10.02</v>
      </c>
      <c r="Y25">
        <v>5</v>
      </c>
      <c r="Z25">
        <v>3.43</v>
      </c>
    </row>
    <row r="26" spans="1:26" x14ac:dyDescent="0.25">
      <c r="A26">
        <v>25</v>
      </c>
      <c r="B26">
        <v>790</v>
      </c>
      <c r="C26" s="1">
        <v>1690</v>
      </c>
      <c r="D26">
        <f>E26</f>
        <v>9.27</v>
      </c>
      <c r="E26">
        <v>9.27</v>
      </c>
      <c r="F26">
        <v>0</v>
      </c>
      <c r="G26">
        <f>560+55.07</f>
        <v>615.07000000000005</v>
      </c>
      <c r="H26">
        <v>37</v>
      </c>
      <c r="I26">
        <v>0</v>
      </c>
      <c r="J26">
        <f t="shared" si="1"/>
        <v>37</v>
      </c>
      <c r="K26">
        <v>0</v>
      </c>
      <c r="L26">
        <f>SUM(M26:T26)-Z26-(7*0.45)</f>
        <v>65.239999999999981</v>
      </c>
      <c r="M26">
        <v>10</v>
      </c>
      <c r="N26">
        <v>10.09</v>
      </c>
      <c r="O26">
        <v>11.43</v>
      </c>
      <c r="P26">
        <v>9.64</v>
      </c>
      <c r="Q26">
        <v>9.77</v>
      </c>
      <c r="R26">
        <v>9.8000000000000007</v>
      </c>
      <c r="S26">
        <v>9.77</v>
      </c>
      <c r="Y26">
        <v>5</v>
      </c>
      <c r="Z26">
        <v>2.11</v>
      </c>
    </row>
    <row r="27" spans="1:26" x14ac:dyDescent="0.25">
      <c r="A27">
        <v>26</v>
      </c>
      <c r="B27">
        <v>381.45</v>
      </c>
      <c r="C27">
        <v>1575</v>
      </c>
      <c r="D27">
        <f>E27</f>
        <v>4.13</v>
      </c>
      <c r="E27">
        <v>4.13</v>
      </c>
      <c r="F27">
        <v>0</v>
      </c>
      <c r="G27">
        <f>389.01+15.33</f>
        <v>404.34</v>
      </c>
      <c r="H27">
        <v>0</v>
      </c>
      <c r="I27">
        <v>5</v>
      </c>
      <c r="J27">
        <f t="shared" si="1"/>
        <v>5</v>
      </c>
      <c r="K27">
        <v>0</v>
      </c>
      <c r="L27">
        <f>SUM(M27:T27)-Z27-(6*0.45)</f>
        <v>55.089999999999996</v>
      </c>
      <c r="M27">
        <v>10.37</v>
      </c>
      <c r="N27">
        <v>9.26</v>
      </c>
      <c r="O27">
        <v>10.25</v>
      </c>
      <c r="P27">
        <v>11.02</v>
      </c>
      <c r="Q27">
        <v>10.17</v>
      </c>
      <c r="R27">
        <v>10.17</v>
      </c>
      <c r="Y27">
        <v>5</v>
      </c>
      <c r="Z27">
        <v>3.45</v>
      </c>
    </row>
    <row r="28" spans="1:26" x14ac:dyDescent="0.25">
      <c r="A28">
        <v>27</v>
      </c>
      <c r="B28" s="29">
        <v>602</v>
      </c>
      <c r="C28" s="1">
        <v>1185</v>
      </c>
      <c r="D28" s="1">
        <v>0</v>
      </c>
      <c r="E28" s="1">
        <v>0</v>
      </c>
      <c r="F28" s="1">
        <v>0</v>
      </c>
      <c r="G28" s="29">
        <v>495</v>
      </c>
      <c r="H28">
        <v>0</v>
      </c>
      <c r="I28">
        <v>0</v>
      </c>
      <c r="J28">
        <f t="shared" si="1"/>
        <v>0</v>
      </c>
      <c r="K28">
        <v>0</v>
      </c>
      <c r="L28">
        <f>SUM(M28:T28)-Z28-(7*0.45)</f>
        <v>63.95000000000001</v>
      </c>
      <c r="M28">
        <v>9.14</v>
      </c>
      <c r="N28">
        <v>9.42</v>
      </c>
      <c r="O28">
        <v>10.49</v>
      </c>
      <c r="P28">
        <v>10.33</v>
      </c>
      <c r="Q28">
        <v>9.6</v>
      </c>
      <c r="R28">
        <v>11.03</v>
      </c>
      <c r="S28">
        <v>11.82</v>
      </c>
      <c r="Y28">
        <v>5</v>
      </c>
      <c r="Z28">
        <v>4.7300000000000004</v>
      </c>
    </row>
    <row r="29" spans="1:26" x14ac:dyDescent="0.25">
      <c r="A29">
        <v>28</v>
      </c>
      <c r="B29" s="29">
        <v>586</v>
      </c>
      <c r="C29">
        <v>1480</v>
      </c>
      <c r="D29">
        <f>E29</f>
        <v>0.77</v>
      </c>
      <c r="E29">
        <v>0.77</v>
      </c>
      <c r="F29">
        <v>0</v>
      </c>
      <c r="G29" s="29">
        <v>566</v>
      </c>
      <c r="H29">
        <v>0</v>
      </c>
      <c r="I29">
        <v>0</v>
      </c>
      <c r="J29">
        <f t="shared" si="1"/>
        <v>0</v>
      </c>
      <c r="K29">
        <v>0</v>
      </c>
      <c r="L29">
        <f>SUM(M29:T29)-Z29-(8*0.45)</f>
        <v>67.48</v>
      </c>
      <c r="M29">
        <v>9.7899999999999991</v>
      </c>
      <c r="N29">
        <v>10.02</v>
      </c>
      <c r="O29">
        <v>10.19</v>
      </c>
      <c r="P29">
        <v>10.3</v>
      </c>
      <c r="Q29">
        <v>9.67</v>
      </c>
      <c r="R29">
        <v>10.69</v>
      </c>
      <c r="S29">
        <v>10.48</v>
      </c>
      <c r="T29">
        <v>3.5</v>
      </c>
      <c r="Y29">
        <v>5</v>
      </c>
      <c r="Z29">
        <v>3.56</v>
      </c>
    </row>
    <row r="30" spans="1:26" x14ac:dyDescent="0.25">
      <c r="A30">
        <v>29</v>
      </c>
      <c r="B30" s="29">
        <v>399</v>
      </c>
      <c r="C30">
        <v>1650</v>
      </c>
      <c r="D30">
        <f>E30</f>
        <v>0.97</v>
      </c>
      <c r="E30">
        <v>0.97</v>
      </c>
      <c r="F30">
        <v>0</v>
      </c>
      <c r="G30" s="29">
        <v>548</v>
      </c>
      <c r="H30">
        <v>21.5</v>
      </c>
      <c r="I30">
        <v>10.5</v>
      </c>
      <c r="J30">
        <f t="shared" si="1"/>
        <v>32</v>
      </c>
      <c r="K30">
        <v>0</v>
      </c>
      <c r="L30">
        <f>SUM(M30:T30)-Z30-(7*0.45)</f>
        <v>60.29999999999999</v>
      </c>
      <c r="M30">
        <v>11.09</v>
      </c>
      <c r="N30">
        <v>9.99</v>
      </c>
      <c r="O30">
        <v>9.7799999999999994</v>
      </c>
      <c r="P30">
        <v>10.119999999999999</v>
      </c>
      <c r="Q30">
        <v>9</v>
      </c>
      <c r="R30">
        <v>10.69</v>
      </c>
      <c r="S30">
        <v>6.56</v>
      </c>
      <c r="Y30">
        <v>5</v>
      </c>
      <c r="Z30">
        <v>3.78</v>
      </c>
    </row>
    <row r="31" spans="1:26" x14ac:dyDescent="0.25">
      <c r="A31">
        <v>30</v>
      </c>
      <c r="B31" s="29">
        <v>390</v>
      </c>
      <c r="C31">
        <v>1145</v>
      </c>
      <c r="D31">
        <f>E31</f>
        <v>8.98</v>
      </c>
      <c r="E31">
        <v>8.98</v>
      </c>
      <c r="F31">
        <v>0</v>
      </c>
      <c r="G31">
        <f>430.28+6.88</f>
        <v>437.15999999999997</v>
      </c>
      <c r="H31">
        <v>0</v>
      </c>
      <c r="I31">
        <v>0</v>
      </c>
      <c r="J31">
        <f t="shared" si="1"/>
        <v>0</v>
      </c>
      <c r="K31">
        <v>0</v>
      </c>
      <c r="L31">
        <f>SUM(M31:T31)-Z31-(7*0.45)</f>
        <v>52.914999999999999</v>
      </c>
      <c r="M31">
        <v>9.02</v>
      </c>
      <c r="N31">
        <v>9.56</v>
      </c>
      <c r="O31">
        <v>8.83</v>
      </c>
      <c r="P31">
        <v>9.4749999999999996</v>
      </c>
      <c r="Q31">
        <v>9.56</v>
      </c>
      <c r="R31">
        <v>8.57</v>
      </c>
      <c r="S31">
        <v>5.05</v>
      </c>
      <c r="Y31">
        <v>5</v>
      </c>
      <c r="Z31">
        <v>4</v>
      </c>
    </row>
    <row r="32" spans="1:26" x14ac:dyDescent="0.25">
      <c r="A32">
        <v>31</v>
      </c>
      <c r="B32">
        <v>885</v>
      </c>
      <c r="C32">
        <v>1155</v>
      </c>
      <c r="D32">
        <f>E32</f>
        <v>13.56</v>
      </c>
      <c r="E32">
        <v>13.56</v>
      </c>
      <c r="F32">
        <v>0.06</v>
      </c>
      <c r="G32">
        <f>417.85+9.9+F32</f>
        <v>427.81</v>
      </c>
      <c r="H32">
        <v>0</v>
      </c>
      <c r="I32">
        <v>0</v>
      </c>
      <c r="J32">
        <f t="shared" si="1"/>
        <v>0</v>
      </c>
      <c r="K32">
        <v>0</v>
      </c>
      <c r="L32">
        <f>SUM(M32:T32)-Z32-(7*0.45)</f>
        <v>63.589999999999982</v>
      </c>
      <c r="M32">
        <v>10.29</v>
      </c>
      <c r="N32">
        <v>10.130000000000001</v>
      </c>
      <c r="O32">
        <v>10.33</v>
      </c>
      <c r="P32">
        <v>10.8</v>
      </c>
      <c r="Q32">
        <v>10.3</v>
      </c>
      <c r="R32">
        <v>10.8</v>
      </c>
      <c r="S32">
        <v>6.63</v>
      </c>
      <c r="Y32">
        <v>5</v>
      </c>
      <c r="Z32">
        <v>2.54</v>
      </c>
    </row>
    <row r="33" spans="1:26" x14ac:dyDescent="0.25">
      <c r="A33">
        <v>32</v>
      </c>
      <c r="B33">
        <v>660</v>
      </c>
      <c r="C33">
        <v>1020</v>
      </c>
      <c r="D33">
        <f>0.05+E33</f>
        <v>5.54</v>
      </c>
      <c r="E33">
        <v>5.49</v>
      </c>
      <c r="F33">
        <v>0.43</v>
      </c>
      <c r="G33">
        <f>545+14.08+F33</f>
        <v>559.51</v>
      </c>
      <c r="H33">
        <v>0</v>
      </c>
      <c r="I33">
        <v>0</v>
      </c>
      <c r="J33">
        <f t="shared" si="1"/>
        <v>0</v>
      </c>
      <c r="K33">
        <v>0</v>
      </c>
      <c r="L33">
        <f>SUM(M33:T33)-Z33-(7*0.45)</f>
        <v>67.599999999999994</v>
      </c>
      <c r="M33">
        <v>9.9600000000000009</v>
      </c>
      <c r="N33">
        <v>9.51</v>
      </c>
      <c r="O33">
        <v>9.9600000000000009</v>
      </c>
      <c r="P33">
        <v>9.6</v>
      </c>
      <c r="Q33">
        <v>10.01</v>
      </c>
      <c r="R33">
        <v>11.05</v>
      </c>
      <c r="S33">
        <v>10.66</v>
      </c>
      <c r="Y33">
        <v>5</v>
      </c>
      <c r="Z33">
        <v>0</v>
      </c>
    </row>
    <row r="34" spans="1:26" x14ac:dyDescent="0.25">
      <c r="A34">
        <v>33</v>
      </c>
      <c r="B34">
        <v>455</v>
      </c>
      <c r="C34">
        <v>905</v>
      </c>
      <c r="D34">
        <f t="shared" ref="D34:D59" si="3">E34</f>
        <v>11.17</v>
      </c>
      <c r="E34">
        <v>11.17</v>
      </c>
      <c r="F34">
        <v>0.78</v>
      </c>
      <c r="G34">
        <f>399.76+66.93+F34</f>
        <v>467.46999999999997</v>
      </c>
      <c r="H34">
        <v>15</v>
      </c>
      <c r="I34">
        <v>1</v>
      </c>
      <c r="J34">
        <f t="shared" si="1"/>
        <v>16</v>
      </c>
      <c r="K34">
        <v>0</v>
      </c>
      <c r="L34">
        <f>SUM(M34:T34)-Z34-(6*0.45)</f>
        <v>49.17</v>
      </c>
      <c r="M34">
        <v>10.32</v>
      </c>
      <c r="N34">
        <v>10.35</v>
      </c>
      <c r="O34">
        <v>9.5500000000000007</v>
      </c>
      <c r="P34">
        <v>9.08</v>
      </c>
      <c r="Q34">
        <v>10.029999999999999</v>
      </c>
      <c r="R34">
        <v>5.12</v>
      </c>
      <c r="Y34">
        <v>5</v>
      </c>
      <c r="Z34">
        <v>2.58</v>
      </c>
    </row>
    <row r="35" spans="1:26" x14ac:dyDescent="0.25">
      <c r="A35">
        <v>34</v>
      </c>
      <c r="B35">
        <v>790</v>
      </c>
      <c r="C35">
        <v>1105</v>
      </c>
      <c r="D35">
        <f t="shared" si="3"/>
        <v>12.9</v>
      </c>
      <c r="E35">
        <v>12.9</v>
      </c>
      <c r="F35">
        <v>2.5499999999999998</v>
      </c>
      <c r="G35">
        <f>369.4+39.7+F35</f>
        <v>411.65</v>
      </c>
      <c r="H35">
        <v>0</v>
      </c>
      <c r="I35">
        <v>0</v>
      </c>
      <c r="J35">
        <f t="shared" si="1"/>
        <v>0</v>
      </c>
      <c r="K35">
        <v>0</v>
      </c>
      <c r="L35">
        <f>SUM(M35:T35)-Z35-(6*0.45)</f>
        <v>54.430000000000007</v>
      </c>
      <c r="M35">
        <v>10.38</v>
      </c>
      <c r="N35">
        <v>10.38</v>
      </c>
      <c r="O35">
        <v>10.76</v>
      </c>
      <c r="P35">
        <v>10.85</v>
      </c>
      <c r="Q35">
        <v>10.06</v>
      </c>
      <c r="R35">
        <v>6.67</v>
      </c>
      <c r="Y35">
        <v>5</v>
      </c>
      <c r="Z35">
        <v>1.97</v>
      </c>
    </row>
    <row r="36" spans="1:26" x14ac:dyDescent="0.25">
      <c r="A36">
        <v>35</v>
      </c>
      <c r="B36">
        <v>424.89</v>
      </c>
      <c r="C36">
        <v>705</v>
      </c>
      <c r="D36">
        <f t="shared" si="3"/>
        <v>8.89</v>
      </c>
      <c r="E36">
        <v>8.89</v>
      </c>
      <c r="F36">
        <v>0</v>
      </c>
      <c r="G36">
        <v>357.44</v>
      </c>
      <c r="H36">
        <v>0</v>
      </c>
      <c r="I36">
        <v>0</v>
      </c>
      <c r="J36">
        <f t="shared" si="1"/>
        <v>0</v>
      </c>
      <c r="K36">
        <v>0</v>
      </c>
      <c r="L36">
        <f>SUM(M36:T36)-Z36-(7*0.45)</f>
        <v>64.94</v>
      </c>
      <c r="M36">
        <v>10.42</v>
      </c>
      <c r="N36">
        <v>9.8699999999999992</v>
      </c>
      <c r="O36">
        <v>10.77</v>
      </c>
      <c r="P36">
        <v>9.73</v>
      </c>
      <c r="Q36">
        <v>9.99</v>
      </c>
      <c r="R36">
        <v>9.73</v>
      </c>
      <c r="S36">
        <v>7.58</v>
      </c>
      <c r="Y36">
        <v>5</v>
      </c>
      <c r="Z36">
        <v>0</v>
      </c>
    </row>
    <row r="37" spans="1:26" x14ac:dyDescent="0.25">
      <c r="A37">
        <v>36</v>
      </c>
      <c r="B37">
        <v>600</v>
      </c>
      <c r="C37">
        <v>945</v>
      </c>
      <c r="D37">
        <f t="shared" si="3"/>
        <v>11.63</v>
      </c>
      <c r="E37">
        <v>11.63</v>
      </c>
      <c r="F37">
        <v>0</v>
      </c>
      <c r="G37">
        <f>470.06+8.7</f>
        <v>478.76</v>
      </c>
      <c r="H37">
        <v>0</v>
      </c>
      <c r="I37">
        <v>0</v>
      </c>
      <c r="J37">
        <f t="shared" si="1"/>
        <v>0</v>
      </c>
      <c r="K37">
        <v>0</v>
      </c>
      <c r="L37">
        <f>SUM(M37:T37)-Z37-(6*0.45)</f>
        <v>54.9</v>
      </c>
      <c r="M37">
        <v>9.52</v>
      </c>
      <c r="N37">
        <v>10.1</v>
      </c>
      <c r="O37">
        <v>9.92</v>
      </c>
      <c r="P37">
        <v>9.4</v>
      </c>
      <c r="Q37">
        <v>8.85</v>
      </c>
      <c r="R37">
        <v>9.81</v>
      </c>
      <c r="Y37">
        <v>5</v>
      </c>
      <c r="Z37">
        <v>0</v>
      </c>
    </row>
    <row r="38" spans="1:26" x14ac:dyDescent="0.25">
      <c r="A38">
        <v>37</v>
      </c>
      <c r="B38" s="29">
        <v>382</v>
      </c>
      <c r="C38">
        <v>1105</v>
      </c>
      <c r="D38">
        <f t="shared" si="3"/>
        <v>12.59</v>
      </c>
      <c r="E38">
        <v>12.59</v>
      </c>
      <c r="F38">
        <v>0</v>
      </c>
      <c r="G38">
        <v>356.56</v>
      </c>
      <c r="H38">
        <v>0</v>
      </c>
      <c r="I38">
        <v>0</v>
      </c>
      <c r="J38">
        <f t="shared" si="1"/>
        <v>0</v>
      </c>
      <c r="K38">
        <v>0</v>
      </c>
      <c r="L38">
        <f>SUM(M38:T38)-Z38-(6*0.45)</f>
        <v>52.11</v>
      </c>
      <c r="M38">
        <v>9.27</v>
      </c>
      <c r="N38">
        <v>8.83</v>
      </c>
      <c r="O38">
        <v>8.8000000000000007</v>
      </c>
      <c r="P38">
        <v>9.94</v>
      </c>
      <c r="Q38">
        <v>9.89</v>
      </c>
      <c r="R38">
        <v>8.08</v>
      </c>
      <c r="Y38">
        <v>5</v>
      </c>
      <c r="Z38">
        <v>0</v>
      </c>
    </row>
    <row r="39" spans="1:26" x14ac:dyDescent="0.25">
      <c r="A39">
        <v>38</v>
      </c>
      <c r="B39" s="29">
        <v>154</v>
      </c>
      <c r="C39">
        <v>775</v>
      </c>
      <c r="D39">
        <f t="shared" si="3"/>
        <v>8.85</v>
      </c>
      <c r="E39">
        <v>8.85</v>
      </c>
      <c r="F39">
        <v>0</v>
      </c>
      <c r="G39">
        <f>176.73+18.4+F39</f>
        <v>195.13</v>
      </c>
      <c r="H39">
        <v>0</v>
      </c>
      <c r="I39">
        <v>0</v>
      </c>
      <c r="J39">
        <f t="shared" si="1"/>
        <v>0</v>
      </c>
      <c r="K39">
        <v>0</v>
      </c>
      <c r="L39">
        <f>SUM(M39:T39)-(4*0.45)</f>
        <v>35.200000000000003</v>
      </c>
      <c r="M39">
        <v>9.19</v>
      </c>
      <c r="N39">
        <v>8.58</v>
      </c>
      <c r="O39">
        <v>9.36</v>
      </c>
      <c r="P39">
        <v>9.8699999999999992</v>
      </c>
      <c r="Y39">
        <v>5</v>
      </c>
      <c r="Z39">
        <v>0</v>
      </c>
    </row>
    <row r="40" spans="1:26" x14ac:dyDescent="0.25">
      <c r="A40">
        <v>39</v>
      </c>
      <c r="B40">
        <v>306.77999999999997</v>
      </c>
      <c r="C40">
        <v>820</v>
      </c>
      <c r="D40">
        <f t="shared" si="3"/>
        <v>14.31</v>
      </c>
      <c r="E40">
        <v>14.31</v>
      </c>
      <c r="F40">
        <v>1.19</v>
      </c>
      <c r="G40">
        <f>243.12+4.17+F40</f>
        <v>248.48</v>
      </c>
      <c r="H40">
        <v>0</v>
      </c>
      <c r="I40">
        <v>0</v>
      </c>
      <c r="J40">
        <f t="shared" si="1"/>
        <v>0</v>
      </c>
      <c r="K40">
        <v>0</v>
      </c>
      <c r="L40">
        <f>SUM(M40:T40)-(6*0.45)</f>
        <v>47.05</v>
      </c>
      <c r="M40">
        <v>9.24</v>
      </c>
      <c r="N40">
        <v>9.25</v>
      </c>
      <c r="O40">
        <v>9.2899999999999991</v>
      </c>
      <c r="P40">
        <v>9.3800000000000008</v>
      </c>
      <c r="Q40">
        <v>9.75</v>
      </c>
      <c r="R40">
        <v>2.84</v>
      </c>
      <c r="Y40">
        <v>5</v>
      </c>
      <c r="Z40">
        <v>0</v>
      </c>
    </row>
    <row r="41" spans="1:26" x14ac:dyDescent="0.25">
      <c r="A41">
        <v>40</v>
      </c>
      <c r="B41">
        <v>126.57</v>
      </c>
      <c r="C41">
        <v>345</v>
      </c>
      <c r="D41">
        <f t="shared" si="3"/>
        <v>4.83</v>
      </c>
      <c r="E41">
        <v>4.83</v>
      </c>
      <c r="F41">
        <v>0</v>
      </c>
      <c r="G41">
        <f>120.07+1.89</f>
        <v>121.96</v>
      </c>
      <c r="H41">
        <v>0</v>
      </c>
      <c r="I41">
        <v>0</v>
      </c>
      <c r="J41">
        <f t="shared" si="1"/>
        <v>0</v>
      </c>
      <c r="K41">
        <v>0</v>
      </c>
      <c r="L41">
        <f>SUM(M41:T41)-(6*0.45)</f>
        <v>48.609999999999992</v>
      </c>
      <c r="M41">
        <v>9.7799999999999994</v>
      </c>
      <c r="N41">
        <v>9.11</v>
      </c>
      <c r="O41">
        <v>9.57</v>
      </c>
      <c r="P41">
        <v>9.83</v>
      </c>
      <c r="Q41">
        <v>9.26</v>
      </c>
      <c r="R41">
        <v>3.76</v>
      </c>
      <c r="Y41">
        <v>5</v>
      </c>
      <c r="Z41">
        <v>0</v>
      </c>
    </row>
    <row r="42" spans="1:26" x14ac:dyDescent="0.25">
      <c r="A42">
        <v>41</v>
      </c>
      <c r="B42" s="29">
        <v>641</v>
      </c>
      <c r="C42">
        <v>175</v>
      </c>
      <c r="D42">
        <f t="shared" si="3"/>
        <v>8.8800000000000008</v>
      </c>
      <c r="E42">
        <v>8.8800000000000008</v>
      </c>
      <c r="F42">
        <v>0</v>
      </c>
      <c r="G42">
        <f>142.47</f>
        <v>142.47</v>
      </c>
      <c r="H42">
        <v>0</v>
      </c>
      <c r="I42">
        <v>0</v>
      </c>
      <c r="J42">
        <f t="shared" si="1"/>
        <v>0</v>
      </c>
      <c r="K42">
        <v>0</v>
      </c>
      <c r="L42">
        <f>SUM(M42:T42)-(6*0.45)</f>
        <v>51.669999999999995</v>
      </c>
      <c r="M42">
        <v>9.6999999999999993</v>
      </c>
      <c r="N42">
        <v>9.81</v>
      </c>
      <c r="O42">
        <v>10.56</v>
      </c>
      <c r="P42">
        <v>9.6999999999999993</v>
      </c>
      <c r="Q42">
        <v>8.6999999999999993</v>
      </c>
      <c r="R42">
        <v>5.9</v>
      </c>
      <c r="Y42">
        <v>5</v>
      </c>
      <c r="Z42">
        <v>0</v>
      </c>
    </row>
    <row r="43" spans="1:26" x14ac:dyDescent="0.25">
      <c r="A43">
        <v>42</v>
      </c>
      <c r="B43">
        <v>293.61</v>
      </c>
      <c r="C43">
        <v>310</v>
      </c>
      <c r="D43">
        <f t="shared" si="3"/>
        <v>3.36</v>
      </c>
      <c r="E43">
        <v>3.36</v>
      </c>
      <c r="F43">
        <v>0</v>
      </c>
      <c r="G43">
        <f>231.27+33.34</f>
        <v>264.61</v>
      </c>
      <c r="H43">
        <v>0</v>
      </c>
      <c r="I43">
        <v>0</v>
      </c>
      <c r="J43">
        <f t="shared" si="1"/>
        <v>0</v>
      </c>
      <c r="K43">
        <v>0</v>
      </c>
      <c r="L43">
        <f>SUM(M43:T43)-(7*0.45)</f>
        <v>54.24</v>
      </c>
      <c r="M43">
        <v>9.18</v>
      </c>
      <c r="N43">
        <v>8.9499999999999993</v>
      </c>
      <c r="O43">
        <v>8.0299999999999994</v>
      </c>
      <c r="P43">
        <v>8.81</v>
      </c>
      <c r="Q43">
        <v>8.92</v>
      </c>
      <c r="R43">
        <v>9.94</v>
      </c>
      <c r="S43">
        <v>3.56</v>
      </c>
      <c r="Y43">
        <v>5</v>
      </c>
      <c r="Z43">
        <v>0</v>
      </c>
    </row>
    <row r="44" spans="1:26" x14ac:dyDescent="0.25">
      <c r="A44">
        <v>43</v>
      </c>
      <c r="B44">
        <v>226.88</v>
      </c>
      <c r="C44">
        <v>365</v>
      </c>
      <c r="D44">
        <f t="shared" si="3"/>
        <v>3.29</v>
      </c>
      <c r="E44">
        <v>3.29</v>
      </c>
      <c r="F44">
        <v>0.27</v>
      </c>
      <c r="G44">
        <f>174.75+0.42+F44</f>
        <v>175.44</v>
      </c>
      <c r="H44">
        <v>0</v>
      </c>
      <c r="I44">
        <v>0</v>
      </c>
      <c r="J44">
        <f t="shared" si="1"/>
        <v>0</v>
      </c>
      <c r="K44">
        <v>0</v>
      </c>
      <c r="L44">
        <f>SUM(M44:T44)-(5*0.45)</f>
        <v>48.53</v>
      </c>
      <c r="M44">
        <v>10.029999999999999</v>
      </c>
      <c r="N44">
        <v>9.8800000000000008</v>
      </c>
      <c r="O44">
        <v>10.31</v>
      </c>
      <c r="P44">
        <v>9.0399999999999991</v>
      </c>
      <c r="Q44">
        <v>11.52</v>
      </c>
      <c r="Y44">
        <v>5</v>
      </c>
      <c r="Z44">
        <v>0</v>
      </c>
    </row>
    <row r="45" spans="1:26" x14ac:dyDescent="0.25">
      <c r="A45">
        <v>44</v>
      </c>
      <c r="B45">
        <v>740</v>
      </c>
      <c r="C45">
        <v>535</v>
      </c>
      <c r="D45">
        <f t="shared" si="3"/>
        <v>9.4700000000000006</v>
      </c>
      <c r="E45">
        <v>9.4700000000000006</v>
      </c>
      <c r="F45">
        <v>0</v>
      </c>
      <c r="G45">
        <f>308.96+59.2</f>
        <v>368.15999999999997</v>
      </c>
      <c r="H45">
        <v>0</v>
      </c>
      <c r="I45">
        <v>0</v>
      </c>
      <c r="J45">
        <f t="shared" si="1"/>
        <v>0</v>
      </c>
      <c r="K45">
        <v>0</v>
      </c>
      <c r="L45">
        <f>SUM(M45:T45)-(7*0.45)</f>
        <v>59.360000000000007</v>
      </c>
      <c r="M45">
        <v>9.3699999999999992</v>
      </c>
      <c r="N45">
        <v>9.7200000000000006</v>
      </c>
      <c r="O45">
        <v>10.26</v>
      </c>
      <c r="P45">
        <v>10.44</v>
      </c>
      <c r="Q45">
        <v>9</v>
      </c>
      <c r="R45">
        <v>10.27</v>
      </c>
      <c r="S45">
        <v>3.45</v>
      </c>
      <c r="Y45">
        <v>5</v>
      </c>
      <c r="Z45">
        <v>0</v>
      </c>
    </row>
    <row r="46" spans="1:26" x14ac:dyDescent="0.25">
      <c r="A46">
        <v>45</v>
      </c>
      <c r="B46" s="29">
        <v>517</v>
      </c>
      <c r="C46">
        <v>910</v>
      </c>
      <c r="D46">
        <f t="shared" si="3"/>
        <v>5.17</v>
      </c>
      <c r="E46">
        <v>5.17</v>
      </c>
      <c r="F46">
        <v>0</v>
      </c>
      <c r="G46">
        <f>335.71+41.03</f>
        <v>376.74</v>
      </c>
      <c r="H46">
        <v>0</v>
      </c>
      <c r="I46">
        <v>0</v>
      </c>
      <c r="J46">
        <f t="shared" si="1"/>
        <v>0</v>
      </c>
      <c r="K46">
        <v>0</v>
      </c>
      <c r="L46">
        <f>SUM(M46:T46)-(6*0.45)</f>
        <v>55.779999999999994</v>
      </c>
      <c r="M46">
        <v>9.3000000000000007</v>
      </c>
      <c r="N46">
        <v>9.33</v>
      </c>
      <c r="O46">
        <v>10.62</v>
      </c>
      <c r="P46">
        <v>9.67</v>
      </c>
      <c r="Q46">
        <v>9.52</v>
      </c>
      <c r="R46">
        <v>10.039999999999999</v>
      </c>
      <c r="Y46">
        <v>5</v>
      </c>
      <c r="Z46">
        <v>0</v>
      </c>
    </row>
    <row r="47" spans="1:26" x14ac:dyDescent="0.25">
      <c r="A47">
        <v>46</v>
      </c>
      <c r="B47" s="29">
        <v>693</v>
      </c>
      <c r="C47">
        <v>910</v>
      </c>
      <c r="D47">
        <f t="shared" si="3"/>
        <v>1.35</v>
      </c>
      <c r="E47">
        <v>1.35</v>
      </c>
      <c r="F47">
        <v>0</v>
      </c>
      <c r="G47">
        <f>322.67+23.81</f>
        <v>346.48</v>
      </c>
      <c r="H47">
        <v>0</v>
      </c>
      <c r="I47">
        <v>0</v>
      </c>
      <c r="J47">
        <f t="shared" si="1"/>
        <v>0</v>
      </c>
      <c r="K47">
        <v>0</v>
      </c>
      <c r="L47">
        <f>SUM(M47:T47)-(7*0.45)</f>
        <v>64.72</v>
      </c>
      <c r="M47">
        <v>10.8</v>
      </c>
      <c r="N47">
        <v>9.1</v>
      </c>
      <c r="O47">
        <v>9.93</v>
      </c>
      <c r="P47">
        <v>10.4</v>
      </c>
      <c r="Q47">
        <v>9.7799999999999994</v>
      </c>
      <c r="R47">
        <v>9.92</v>
      </c>
      <c r="S47">
        <v>7.94</v>
      </c>
      <c r="Y47">
        <v>5</v>
      </c>
      <c r="Z47">
        <v>0</v>
      </c>
    </row>
    <row r="48" spans="1:26" x14ac:dyDescent="0.25">
      <c r="A48">
        <v>47</v>
      </c>
      <c r="B48">
        <v>735</v>
      </c>
      <c r="C48">
        <v>835</v>
      </c>
      <c r="D48">
        <f t="shared" si="3"/>
        <v>3.45</v>
      </c>
      <c r="E48">
        <v>3.45</v>
      </c>
      <c r="F48">
        <v>2.65</v>
      </c>
      <c r="G48">
        <f>590+45.39+F48</f>
        <v>638.04</v>
      </c>
      <c r="H48">
        <v>0</v>
      </c>
      <c r="I48">
        <v>0</v>
      </c>
      <c r="J48">
        <f t="shared" si="1"/>
        <v>0</v>
      </c>
      <c r="K48">
        <v>0</v>
      </c>
      <c r="L48">
        <f>SUM(M48:T48)-(6*0.45)</f>
        <v>44.27</v>
      </c>
      <c r="M48">
        <v>8.92</v>
      </c>
      <c r="N48">
        <v>9.06</v>
      </c>
      <c r="O48">
        <v>8.69</v>
      </c>
      <c r="P48">
        <v>9.48</v>
      </c>
      <c r="Q48">
        <v>7.33</v>
      </c>
      <c r="R48">
        <v>3.49</v>
      </c>
      <c r="Y48">
        <v>5</v>
      </c>
      <c r="Z48">
        <v>0</v>
      </c>
    </row>
    <row r="49" spans="1:26" x14ac:dyDescent="0.25">
      <c r="A49">
        <v>48</v>
      </c>
      <c r="B49">
        <v>340.96</v>
      </c>
      <c r="C49">
        <v>625</v>
      </c>
      <c r="D49">
        <f t="shared" si="3"/>
        <v>0.96</v>
      </c>
      <c r="E49">
        <v>0.96</v>
      </c>
      <c r="F49">
        <v>1.99</v>
      </c>
      <c r="G49">
        <f>354.55+10.98+F49</f>
        <v>367.52000000000004</v>
      </c>
      <c r="H49">
        <v>0</v>
      </c>
      <c r="I49">
        <v>0</v>
      </c>
      <c r="J49">
        <f t="shared" si="1"/>
        <v>0</v>
      </c>
      <c r="K49">
        <v>0</v>
      </c>
      <c r="L49">
        <f>SUM(M49:T49)-(6*0.45)</f>
        <v>47.875</v>
      </c>
      <c r="M49">
        <v>8.66</v>
      </c>
      <c r="N49">
        <v>9.59</v>
      </c>
      <c r="O49">
        <v>9.4499999999999993</v>
      </c>
      <c r="P49">
        <v>9.0250000000000004</v>
      </c>
      <c r="Q49">
        <v>9.35</v>
      </c>
      <c r="R49">
        <v>4.5</v>
      </c>
      <c r="Y49">
        <v>5</v>
      </c>
      <c r="Z49">
        <v>0</v>
      </c>
    </row>
    <row r="50" spans="1:26" x14ac:dyDescent="0.25">
      <c r="A50">
        <v>49</v>
      </c>
      <c r="B50">
        <v>400</v>
      </c>
      <c r="C50">
        <v>750</v>
      </c>
      <c r="D50">
        <f t="shared" si="3"/>
        <v>3.8</v>
      </c>
      <c r="E50">
        <v>3.8</v>
      </c>
      <c r="F50">
        <v>0.28999999999999998</v>
      </c>
      <c r="G50">
        <f>515+18.74+F50</f>
        <v>534.03</v>
      </c>
      <c r="H50">
        <v>0</v>
      </c>
      <c r="I50">
        <v>0</v>
      </c>
      <c r="J50">
        <f t="shared" si="1"/>
        <v>0</v>
      </c>
      <c r="K50">
        <v>0</v>
      </c>
      <c r="L50">
        <f>SUM(M50:T50)-(6*0.45)</f>
        <v>56.19</v>
      </c>
      <c r="M50">
        <v>9.9499999999999993</v>
      </c>
      <c r="N50">
        <v>9.57</v>
      </c>
      <c r="O50">
        <v>9.9700000000000006</v>
      </c>
      <c r="P50">
        <v>9.3699999999999992</v>
      </c>
      <c r="Q50">
        <v>9.6300000000000008</v>
      </c>
      <c r="R50">
        <v>10.4</v>
      </c>
      <c r="Y50">
        <v>5</v>
      </c>
      <c r="Z50">
        <v>0</v>
      </c>
    </row>
    <row r="51" spans="1:26" x14ac:dyDescent="0.25">
      <c r="A51">
        <v>50</v>
      </c>
      <c r="B51">
        <v>339.96</v>
      </c>
      <c r="C51">
        <v>810</v>
      </c>
      <c r="D51">
        <f t="shared" si="3"/>
        <v>0.98</v>
      </c>
      <c r="E51">
        <f>0.13+0.85</f>
        <v>0.98</v>
      </c>
      <c r="F51">
        <v>0.91</v>
      </c>
      <c r="G51">
        <f>565+24.29+F51</f>
        <v>590.19999999999993</v>
      </c>
      <c r="H51">
        <v>0</v>
      </c>
      <c r="I51">
        <v>0</v>
      </c>
      <c r="J51">
        <f t="shared" si="1"/>
        <v>0</v>
      </c>
      <c r="K51">
        <v>0</v>
      </c>
      <c r="L51">
        <f>SUM(M51:T51)-(8*0.45)</f>
        <v>73.37</v>
      </c>
      <c r="M51">
        <v>10.33</v>
      </c>
      <c r="N51">
        <v>10.96</v>
      </c>
      <c r="O51">
        <v>10.220000000000001</v>
      </c>
      <c r="P51">
        <v>11.04</v>
      </c>
      <c r="Q51">
        <v>10.1</v>
      </c>
      <c r="R51">
        <v>9.9600000000000009</v>
      </c>
      <c r="S51">
        <v>10.56</v>
      </c>
      <c r="T51">
        <v>3.8</v>
      </c>
      <c r="Y51">
        <v>5</v>
      </c>
      <c r="Z51">
        <v>0</v>
      </c>
    </row>
    <row r="52" spans="1:26" x14ac:dyDescent="0.25">
      <c r="A52">
        <v>51</v>
      </c>
      <c r="B52">
        <v>290</v>
      </c>
      <c r="C52">
        <v>650</v>
      </c>
      <c r="D52">
        <f t="shared" si="3"/>
        <v>0.73</v>
      </c>
      <c r="E52">
        <v>0.73</v>
      </c>
      <c r="F52">
        <v>0.19</v>
      </c>
      <c r="G52">
        <f>415.39+6.57+F52</f>
        <v>422.15</v>
      </c>
      <c r="H52">
        <v>0</v>
      </c>
      <c r="I52">
        <v>0</v>
      </c>
      <c r="J52">
        <f t="shared" si="1"/>
        <v>0</v>
      </c>
      <c r="K52">
        <v>0</v>
      </c>
      <c r="L52">
        <f>SUM(M52:T52)-(6*0.45)</f>
        <v>56.389999999999993</v>
      </c>
      <c r="M52">
        <v>9.25</v>
      </c>
      <c r="N52">
        <v>10.35</v>
      </c>
      <c r="O52">
        <v>10.02</v>
      </c>
      <c r="P52">
        <v>11.16</v>
      </c>
      <c r="Q52">
        <v>10.94</v>
      </c>
      <c r="R52">
        <v>7.37</v>
      </c>
      <c r="Y52">
        <v>5</v>
      </c>
      <c r="Z52">
        <v>0</v>
      </c>
    </row>
    <row r="53" spans="1:26" x14ac:dyDescent="0.25">
      <c r="A53">
        <v>52</v>
      </c>
      <c r="B53" s="29">
        <v>525</v>
      </c>
      <c r="C53">
        <v>390</v>
      </c>
      <c r="D53">
        <f t="shared" si="3"/>
        <v>0.56999999999999995</v>
      </c>
      <c r="E53">
        <f>0.21+0.36</f>
        <v>0.56999999999999995</v>
      </c>
      <c r="F53">
        <v>0</v>
      </c>
      <c r="G53">
        <f>410+31.15</f>
        <v>441.15</v>
      </c>
      <c r="H53">
        <v>0</v>
      </c>
      <c r="I53">
        <v>0</v>
      </c>
      <c r="J53">
        <f t="shared" si="1"/>
        <v>0</v>
      </c>
      <c r="K53">
        <v>0</v>
      </c>
      <c r="L53">
        <f>SUM(M53:T53)-(6*0.45)</f>
        <v>48.319999999999993</v>
      </c>
      <c r="M53">
        <v>9.01</v>
      </c>
      <c r="N53">
        <v>9.9600000000000009</v>
      </c>
      <c r="O53">
        <v>9.41</v>
      </c>
      <c r="P53">
        <v>9.6300000000000008</v>
      </c>
      <c r="Q53">
        <v>9.09</v>
      </c>
      <c r="R53">
        <v>3.92</v>
      </c>
      <c r="Y53">
        <v>5</v>
      </c>
      <c r="Z53">
        <v>0</v>
      </c>
    </row>
    <row r="54" spans="1:26" x14ac:dyDescent="0.25">
      <c r="A54">
        <v>53</v>
      </c>
      <c r="B54">
        <v>425.49</v>
      </c>
      <c r="C54">
        <v>0</v>
      </c>
      <c r="D54">
        <f t="shared" si="3"/>
        <v>1.7</v>
      </c>
      <c r="E54">
        <v>1.7</v>
      </c>
      <c r="F54">
        <v>1.64</v>
      </c>
      <c r="G54">
        <f>410.55+53.31+F54</f>
        <v>465.5</v>
      </c>
      <c r="H54">
        <v>0</v>
      </c>
      <c r="I54">
        <v>1</v>
      </c>
      <c r="J54">
        <f t="shared" si="1"/>
        <v>1</v>
      </c>
      <c r="K54">
        <v>0</v>
      </c>
      <c r="L54">
        <f>SUM(M54:T54)-(7*0.45)</f>
        <v>59.5</v>
      </c>
      <c r="M54">
        <v>8.9499999999999993</v>
      </c>
      <c r="N54">
        <v>8.42</v>
      </c>
      <c r="O54">
        <v>8.44</v>
      </c>
      <c r="P54">
        <v>10.46</v>
      </c>
      <c r="Q54">
        <v>9.2799999999999994</v>
      </c>
      <c r="R54">
        <v>10.14</v>
      </c>
      <c r="S54">
        <v>6.96</v>
      </c>
      <c r="Y54">
        <v>5</v>
      </c>
      <c r="Z54">
        <v>0</v>
      </c>
    </row>
    <row r="55" spans="1:26" x14ac:dyDescent="0.25">
      <c r="A55">
        <v>54</v>
      </c>
      <c r="B55">
        <v>610</v>
      </c>
      <c r="C55">
        <v>236.14</v>
      </c>
      <c r="D55">
        <f t="shared" si="3"/>
        <v>2.73</v>
      </c>
      <c r="E55">
        <v>2.73</v>
      </c>
      <c r="F55">
        <v>0.13</v>
      </c>
      <c r="G55">
        <f>365.03+33.62+F55</f>
        <v>398.78</v>
      </c>
      <c r="H55">
        <v>0</v>
      </c>
      <c r="I55">
        <v>17</v>
      </c>
      <c r="J55">
        <f t="shared" si="1"/>
        <v>17</v>
      </c>
      <c r="K55">
        <v>0</v>
      </c>
      <c r="L55">
        <f>SUM(M55:T55)-(6*0.45)</f>
        <v>51.72</v>
      </c>
      <c r="M55">
        <v>8.7100000000000009</v>
      </c>
      <c r="N55">
        <v>9.41</v>
      </c>
      <c r="O55">
        <v>10.38</v>
      </c>
      <c r="P55">
        <v>8.65</v>
      </c>
      <c r="Q55">
        <v>9.3800000000000008</v>
      </c>
      <c r="R55">
        <v>7.89</v>
      </c>
      <c r="Y55">
        <v>5</v>
      </c>
      <c r="Z55">
        <v>0</v>
      </c>
    </row>
    <row r="56" spans="1:26" x14ac:dyDescent="0.25">
      <c r="A56">
        <v>55</v>
      </c>
      <c r="B56">
        <v>261.73</v>
      </c>
      <c r="C56">
        <v>0</v>
      </c>
      <c r="D56">
        <f t="shared" si="3"/>
        <v>3.05</v>
      </c>
      <c r="E56">
        <v>3.05</v>
      </c>
      <c r="F56">
        <v>0.56000000000000005</v>
      </c>
      <c r="G56">
        <f>237.17+22.48+F56</f>
        <v>260.20999999999998</v>
      </c>
      <c r="H56">
        <v>0</v>
      </c>
      <c r="I56">
        <v>0</v>
      </c>
      <c r="J56">
        <f t="shared" si="1"/>
        <v>0</v>
      </c>
      <c r="K56">
        <v>0</v>
      </c>
      <c r="L56">
        <f>SUM(M56:T56)-(6*0.45)</f>
        <v>50.78</v>
      </c>
      <c r="M56">
        <v>9.82</v>
      </c>
      <c r="N56">
        <v>10.83</v>
      </c>
      <c r="O56">
        <v>9.8000000000000007</v>
      </c>
      <c r="P56">
        <v>9.7200000000000006</v>
      </c>
      <c r="Q56">
        <v>10.36</v>
      </c>
      <c r="R56">
        <v>2.95</v>
      </c>
      <c r="Y56">
        <v>5</v>
      </c>
      <c r="Z56">
        <v>0</v>
      </c>
    </row>
    <row r="57" spans="1:26" x14ac:dyDescent="0.25">
      <c r="A57">
        <v>56</v>
      </c>
      <c r="B57">
        <v>785</v>
      </c>
      <c r="C57">
        <v>45</v>
      </c>
      <c r="D57">
        <f t="shared" si="3"/>
        <v>3.12</v>
      </c>
      <c r="E57">
        <v>3.12</v>
      </c>
      <c r="F57">
        <v>0</v>
      </c>
      <c r="G57">
        <f>328.59+5.24</f>
        <v>333.83</v>
      </c>
      <c r="H57">
        <v>1.5</v>
      </c>
      <c r="I57">
        <v>12</v>
      </c>
      <c r="J57">
        <f t="shared" si="1"/>
        <v>13.5</v>
      </c>
      <c r="K57">
        <v>0</v>
      </c>
      <c r="L57">
        <f>SUM(M57:T57)-(8*0.45)</f>
        <v>71.260000000000005</v>
      </c>
      <c r="M57">
        <v>10.79</v>
      </c>
      <c r="N57">
        <v>9.01</v>
      </c>
      <c r="O57">
        <v>10.4</v>
      </c>
      <c r="P57">
        <v>9.42</v>
      </c>
      <c r="Q57">
        <v>10.39</v>
      </c>
      <c r="R57">
        <v>10.78</v>
      </c>
      <c r="S57">
        <v>11.54</v>
      </c>
      <c r="T57">
        <v>2.5299999999999998</v>
      </c>
      <c r="Y57">
        <v>5</v>
      </c>
      <c r="Z57">
        <v>0</v>
      </c>
    </row>
    <row r="58" spans="1:26" x14ac:dyDescent="0.25">
      <c r="A58">
        <v>57</v>
      </c>
      <c r="B58">
        <v>770</v>
      </c>
      <c r="C58">
        <v>105</v>
      </c>
      <c r="D58">
        <f t="shared" si="3"/>
        <v>2.73</v>
      </c>
      <c r="E58">
        <f>2.33+0.4</f>
        <v>2.73</v>
      </c>
      <c r="F58">
        <v>0.72</v>
      </c>
      <c r="G58">
        <f>155.67+3.51+F58</f>
        <v>159.89999999999998</v>
      </c>
      <c r="H58">
        <v>57</v>
      </c>
      <c r="I58">
        <v>33.5</v>
      </c>
      <c r="J58">
        <f t="shared" si="1"/>
        <v>90.5</v>
      </c>
      <c r="K58">
        <v>0</v>
      </c>
      <c r="L58">
        <f>SUM(M58:T58)-(6*0.45)</f>
        <v>54.365000000000002</v>
      </c>
      <c r="M58">
        <v>10.1</v>
      </c>
      <c r="N58">
        <v>9.82</v>
      </c>
      <c r="O58">
        <v>9.5299999999999994</v>
      </c>
      <c r="P58">
        <v>9.1300000000000008</v>
      </c>
      <c r="Q58">
        <v>9.61</v>
      </c>
      <c r="R58">
        <v>8.875</v>
      </c>
      <c r="Y58">
        <v>5</v>
      </c>
      <c r="Z58">
        <v>0</v>
      </c>
    </row>
    <row r="59" spans="1:26" x14ac:dyDescent="0.25">
      <c r="A59">
        <v>58</v>
      </c>
      <c r="B59">
        <v>755</v>
      </c>
      <c r="C59">
        <v>319.26</v>
      </c>
      <c r="D59">
        <f t="shared" si="3"/>
        <v>3.198</v>
      </c>
      <c r="E59">
        <v>3.198</v>
      </c>
      <c r="F59">
        <v>0.13</v>
      </c>
      <c r="G59">
        <f>165.43+8.27+F59</f>
        <v>173.83</v>
      </c>
      <c r="H59">
        <v>157.5</v>
      </c>
      <c r="I59">
        <v>3</v>
      </c>
      <c r="J59">
        <f t="shared" si="1"/>
        <v>160.5</v>
      </c>
      <c r="K59">
        <v>0</v>
      </c>
      <c r="L59">
        <f>SUM(M59:T59)-(7*0.45)</f>
        <v>58.565000000000012</v>
      </c>
      <c r="M59">
        <v>9.61</v>
      </c>
      <c r="N59">
        <v>9.57</v>
      </c>
      <c r="O59">
        <v>9.6150000000000002</v>
      </c>
      <c r="P59">
        <v>10.130000000000001</v>
      </c>
      <c r="Q59">
        <v>10.3</v>
      </c>
      <c r="R59">
        <v>10.130000000000001</v>
      </c>
      <c r="S59">
        <v>2.36</v>
      </c>
      <c r="Y59">
        <v>5</v>
      </c>
      <c r="Z59">
        <v>0</v>
      </c>
    </row>
    <row r="60" spans="1:26" x14ac:dyDescent="0.25">
      <c r="A60">
        <v>59</v>
      </c>
      <c r="B60" s="29">
        <v>703</v>
      </c>
      <c r="C60">
        <v>251.3</v>
      </c>
      <c r="D60">
        <f t="shared" ref="D60:D87" si="4">E60</f>
        <v>4.4000000000000004</v>
      </c>
      <c r="E60">
        <v>4.4000000000000004</v>
      </c>
      <c r="F60">
        <v>2.73</v>
      </c>
      <c r="G60">
        <f>196.49+12.51+F60</f>
        <v>211.73</v>
      </c>
      <c r="H60">
        <v>0</v>
      </c>
      <c r="I60">
        <v>0</v>
      </c>
      <c r="J60">
        <f t="shared" si="1"/>
        <v>0</v>
      </c>
      <c r="K60">
        <v>0</v>
      </c>
      <c r="L60">
        <f>SUM(M60:R60)-(6*0.45)</f>
        <v>55.73</v>
      </c>
      <c r="M60">
        <v>9.58</v>
      </c>
      <c r="N60">
        <v>9.11</v>
      </c>
      <c r="O60">
        <v>9.6</v>
      </c>
      <c r="P60">
        <v>9.83</v>
      </c>
      <c r="Q60">
        <v>9.91</v>
      </c>
      <c r="R60">
        <v>10.4</v>
      </c>
      <c r="Y60">
        <v>5</v>
      </c>
      <c r="Z60">
        <v>0</v>
      </c>
    </row>
    <row r="61" spans="1:26" x14ac:dyDescent="0.25">
      <c r="A61">
        <v>60</v>
      </c>
      <c r="B61">
        <v>850</v>
      </c>
      <c r="C61">
        <v>162.02000000000001</v>
      </c>
      <c r="D61">
        <f t="shared" si="4"/>
        <v>3.27</v>
      </c>
      <c r="E61">
        <v>3.27</v>
      </c>
      <c r="F61">
        <v>0.25</v>
      </c>
      <c r="G61">
        <f>249.57+2.6+F61</f>
        <v>252.42</v>
      </c>
      <c r="H61">
        <v>39</v>
      </c>
      <c r="I61">
        <v>15.5</v>
      </c>
      <c r="J61">
        <f t="shared" si="1"/>
        <v>54.5</v>
      </c>
      <c r="K61">
        <v>0</v>
      </c>
      <c r="L61">
        <f>SUM(M61:R61)-(6*0.45)</f>
        <v>57.78</v>
      </c>
      <c r="M61">
        <v>9.52</v>
      </c>
      <c r="N61">
        <v>9.9600000000000009</v>
      </c>
      <c r="O61">
        <v>9.34</v>
      </c>
      <c r="P61">
        <v>9.14</v>
      </c>
      <c r="Q61">
        <v>10.28</v>
      </c>
      <c r="R61">
        <v>12.24</v>
      </c>
      <c r="Y61">
        <v>5</v>
      </c>
      <c r="Z61">
        <v>0</v>
      </c>
    </row>
    <row r="62" spans="1:26" x14ac:dyDescent="0.25">
      <c r="A62">
        <v>61</v>
      </c>
      <c r="B62">
        <v>1585</v>
      </c>
      <c r="C62">
        <v>370.64</v>
      </c>
      <c r="D62">
        <f t="shared" si="4"/>
        <v>3.8000000000000003</v>
      </c>
      <c r="E62">
        <f>0.08+3.72</f>
        <v>3.8000000000000003</v>
      </c>
      <c r="F62">
        <v>3.06</v>
      </c>
      <c r="G62">
        <f>368.9+14.89+F62</f>
        <v>386.84999999999997</v>
      </c>
      <c r="H62">
        <v>19.5</v>
      </c>
      <c r="I62">
        <v>2</v>
      </c>
      <c r="J62">
        <f t="shared" si="1"/>
        <v>21.5</v>
      </c>
      <c r="K62">
        <v>0</v>
      </c>
      <c r="L62">
        <f>SUM(M62:R62)-(6*0.45)</f>
        <v>58.234999999999999</v>
      </c>
      <c r="M62">
        <v>10.61</v>
      </c>
      <c r="N62">
        <v>9.91</v>
      </c>
      <c r="O62">
        <v>9.7750000000000004</v>
      </c>
      <c r="P62">
        <v>11.25</v>
      </c>
      <c r="Q62">
        <v>10.83</v>
      </c>
      <c r="R62">
        <v>8.56</v>
      </c>
      <c r="Y62">
        <v>5</v>
      </c>
      <c r="Z62">
        <v>0</v>
      </c>
    </row>
    <row r="63" spans="1:26" x14ac:dyDescent="0.25">
      <c r="A63">
        <v>62</v>
      </c>
      <c r="B63" s="29">
        <v>886</v>
      </c>
      <c r="C63">
        <v>283.7</v>
      </c>
      <c r="D63">
        <f t="shared" si="4"/>
        <v>0</v>
      </c>
      <c r="E63">
        <v>0</v>
      </c>
      <c r="F63">
        <v>2.14</v>
      </c>
      <c r="G63">
        <f>309.55+44.18+F63</f>
        <v>355.87</v>
      </c>
      <c r="H63">
        <v>0</v>
      </c>
      <c r="I63">
        <v>10.5</v>
      </c>
      <c r="J63">
        <f t="shared" si="1"/>
        <v>10.5</v>
      </c>
      <c r="K63">
        <v>0</v>
      </c>
      <c r="L63">
        <f>SUM(M63:S63)-(7*0.45)</f>
        <v>65.419999999999987</v>
      </c>
      <c r="M63">
        <v>8.94</v>
      </c>
      <c r="N63">
        <v>9.98</v>
      </c>
      <c r="O63">
        <v>10.84</v>
      </c>
      <c r="P63">
        <v>10.56</v>
      </c>
      <c r="Q63">
        <v>11.84</v>
      </c>
      <c r="R63">
        <v>11.17</v>
      </c>
      <c r="S63">
        <v>5.24</v>
      </c>
      <c r="Y63">
        <v>5</v>
      </c>
      <c r="Z63">
        <v>0</v>
      </c>
    </row>
    <row r="64" spans="1:26" x14ac:dyDescent="0.25">
      <c r="A64">
        <v>63</v>
      </c>
      <c r="B64">
        <v>1000</v>
      </c>
      <c r="C64">
        <v>348.88</v>
      </c>
      <c r="D64">
        <f t="shared" si="4"/>
        <v>0.43</v>
      </c>
      <c r="E64">
        <v>0.43</v>
      </c>
      <c r="F64">
        <v>0</v>
      </c>
      <c r="G64">
        <f>470+33.04</f>
        <v>503.04</v>
      </c>
      <c r="H64">
        <v>0</v>
      </c>
      <c r="I64">
        <v>4.5</v>
      </c>
      <c r="J64">
        <f t="shared" si="1"/>
        <v>4.5</v>
      </c>
      <c r="K64">
        <v>0</v>
      </c>
      <c r="L64">
        <f>SUM(M64:R64)-(6*0.45)</f>
        <v>66.36999999999999</v>
      </c>
      <c r="M64">
        <v>12.01</v>
      </c>
      <c r="N64">
        <v>12.46</v>
      </c>
      <c r="O64">
        <v>12.06</v>
      </c>
      <c r="P64">
        <v>12.53</v>
      </c>
      <c r="Q64">
        <v>11.41</v>
      </c>
      <c r="R64">
        <v>8.6</v>
      </c>
      <c r="Y64">
        <v>5</v>
      </c>
      <c r="Z64">
        <v>0</v>
      </c>
    </row>
    <row r="65" spans="1:26" x14ac:dyDescent="0.25">
      <c r="A65">
        <v>64</v>
      </c>
      <c r="B65">
        <v>555</v>
      </c>
      <c r="C65">
        <f>3.26+10.87</f>
        <v>14.129999999999999</v>
      </c>
      <c r="D65">
        <f t="shared" si="4"/>
        <v>16.29</v>
      </c>
      <c r="E65">
        <f>11.39+4.9</f>
        <v>16.29</v>
      </c>
      <c r="F65">
        <v>0.35</v>
      </c>
      <c r="G65">
        <f>98.78+4.02+F65+555+22.83</f>
        <v>680.98</v>
      </c>
      <c r="H65">
        <v>0</v>
      </c>
      <c r="I65">
        <v>0</v>
      </c>
      <c r="J65">
        <f t="shared" si="1"/>
        <v>0</v>
      </c>
      <c r="K65">
        <v>0</v>
      </c>
      <c r="L65">
        <f>SUM(M65:R65)-(6*0.45)</f>
        <v>57.3</v>
      </c>
      <c r="M65">
        <v>12.54</v>
      </c>
      <c r="N65">
        <v>10.06</v>
      </c>
      <c r="O65">
        <v>11.92</v>
      </c>
      <c r="P65">
        <v>12.7</v>
      </c>
      <c r="Q65">
        <v>11.29</v>
      </c>
      <c r="R65">
        <v>1.49</v>
      </c>
      <c r="Y65">
        <v>5</v>
      </c>
      <c r="Z65">
        <v>0</v>
      </c>
    </row>
    <row r="66" spans="1:26" x14ac:dyDescent="0.25">
      <c r="A66">
        <v>65</v>
      </c>
      <c r="B66">
        <v>1625</v>
      </c>
      <c r="C66">
        <v>335.57</v>
      </c>
      <c r="D66">
        <f t="shared" si="4"/>
        <v>2.17</v>
      </c>
      <c r="E66">
        <v>2.17</v>
      </c>
      <c r="F66">
        <v>0</v>
      </c>
      <c r="G66">
        <f>570+13.7</f>
        <v>583.70000000000005</v>
      </c>
      <c r="H66">
        <v>0</v>
      </c>
      <c r="I66">
        <v>0</v>
      </c>
      <c r="J66">
        <f t="shared" si="1"/>
        <v>0</v>
      </c>
      <c r="K66">
        <v>0</v>
      </c>
      <c r="L66">
        <f>SUM(M66:T66)-(8*0.45)</f>
        <v>68.27</v>
      </c>
      <c r="M66">
        <v>11.84</v>
      </c>
      <c r="N66">
        <v>12.36</v>
      </c>
      <c r="O66">
        <v>11.03</v>
      </c>
      <c r="P66">
        <v>13.71</v>
      </c>
      <c r="Q66">
        <v>8.4600000000000009</v>
      </c>
      <c r="R66">
        <v>4.74</v>
      </c>
      <c r="S66">
        <v>8.35</v>
      </c>
      <c r="T66">
        <v>1.38</v>
      </c>
      <c r="Y66">
        <v>5</v>
      </c>
      <c r="Z66">
        <v>0</v>
      </c>
    </row>
    <row r="67" spans="1:26" x14ac:dyDescent="0.25">
      <c r="A67">
        <v>66</v>
      </c>
      <c r="B67">
        <v>1335</v>
      </c>
      <c r="C67">
        <v>97.35</v>
      </c>
      <c r="D67">
        <f t="shared" si="4"/>
        <v>0.33</v>
      </c>
      <c r="E67">
        <v>0.33</v>
      </c>
      <c r="F67">
        <v>0</v>
      </c>
      <c r="G67">
        <f>131.12+42.88</f>
        <v>174</v>
      </c>
      <c r="H67">
        <v>30.5</v>
      </c>
      <c r="I67">
        <v>0</v>
      </c>
      <c r="J67">
        <f t="shared" ref="J67:J87" si="5">H67+I67</f>
        <v>30.5</v>
      </c>
      <c r="K67">
        <v>0</v>
      </c>
      <c r="L67">
        <f>SUM(M67:T67)-(7*0.45)</f>
        <v>64.549999999999983</v>
      </c>
      <c r="M67">
        <v>11.54</v>
      </c>
      <c r="N67">
        <v>9.44</v>
      </c>
      <c r="O67">
        <v>10.69</v>
      </c>
      <c r="P67">
        <v>9.09</v>
      </c>
      <c r="Q67">
        <v>9.06</v>
      </c>
      <c r="R67">
        <v>9.69</v>
      </c>
      <c r="S67">
        <v>8.19</v>
      </c>
      <c r="Y67">
        <v>5</v>
      </c>
      <c r="Z67">
        <v>0</v>
      </c>
    </row>
    <row r="68" spans="1:26" x14ac:dyDescent="0.25">
      <c r="A68">
        <v>67</v>
      </c>
      <c r="B68">
        <v>805</v>
      </c>
      <c r="C68">
        <v>12</v>
      </c>
      <c r="D68">
        <f t="shared" si="4"/>
        <v>0.75</v>
      </c>
      <c r="E68">
        <v>0.75</v>
      </c>
      <c r="F68">
        <v>0</v>
      </c>
      <c r="G68">
        <f>22.31+19.26</f>
        <v>41.57</v>
      </c>
      <c r="H68">
        <v>0</v>
      </c>
      <c r="I68">
        <v>0</v>
      </c>
      <c r="J68">
        <f t="shared" si="5"/>
        <v>0</v>
      </c>
      <c r="K68">
        <v>0</v>
      </c>
      <c r="L68">
        <f>SUM(M68:T68)-(7*0.45)</f>
        <v>58.41</v>
      </c>
      <c r="M68">
        <v>8.7200000000000006</v>
      </c>
      <c r="N68">
        <v>9.17</v>
      </c>
      <c r="O68">
        <v>8.26</v>
      </c>
      <c r="P68">
        <v>7.96</v>
      </c>
      <c r="Q68">
        <v>9.39</v>
      </c>
      <c r="R68">
        <v>9.69</v>
      </c>
      <c r="S68">
        <v>8.3699999999999992</v>
      </c>
      <c r="Y68">
        <v>5</v>
      </c>
      <c r="Z68">
        <v>0</v>
      </c>
    </row>
    <row r="69" spans="1:26" x14ac:dyDescent="0.25">
      <c r="A69">
        <v>68</v>
      </c>
      <c r="B69">
        <v>435.68</v>
      </c>
      <c r="C69">
        <v>7.32</v>
      </c>
      <c r="D69">
        <f t="shared" si="4"/>
        <v>0.28999999999999998</v>
      </c>
      <c r="E69">
        <v>0.28999999999999998</v>
      </c>
      <c r="F69">
        <v>0</v>
      </c>
      <c r="G69">
        <f>2.21+1.85</f>
        <v>4.0600000000000005</v>
      </c>
      <c r="H69">
        <v>0</v>
      </c>
      <c r="I69">
        <v>0</v>
      </c>
      <c r="J69">
        <f t="shared" si="5"/>
        <v>0</v>
      </c>
      <c r="K69">
        <v>0</v>
      </c>
      <c r="L69">
        <f>SUM(M69:U69)-(9*0.45)</f>
        <v>67.430000000000021</v>
      </c>
      <c r="M69">
        <v>7.64</v>
      </c>
      <c r="N69">
        <v>8.92</v>
      </c>
      <c r="O69">
        <v>7.59</v>
      </c>
      <c r="P69">
        <v>7.92</v>
      </c>
      <c r="Q69">
        <v>7.5</v>
      </c>
      <c r="R69">
        <v>9.14</v>
      </c>
      <c r="S69">
        <v>8.8000000000000007</v>
      </c>
      <c r="T69">
        <v>9.65</v>
      </c>
      <c r="U69">
        <v>4.32</v>
      </c>
      <c r="Y69">
        <v>5</v>
      </c>
      <c r="Z69">
        <v>0</v>
      </c>
    </row>
    <row r="70" spans="1:26" x14ac:dyDescent="0.25">
      <c r="A70">
        <v>69</v>
      </c>
      <c r="B70">
        <v>309.66000000000003</v>
      </c>
      <c r="C70">
        <v>3.66</v>
      </c>
      <c r="D70">
        <f t="shared" si="4"/>
        <v>0</v>
      </c>
      <c r="E70">
        <v>0</v>
      </c>
      <c r="F70">
        <v>0</v>
      </c>
      <c r="G70">
        <f>3.14+0.13</f>
        <v>3.27</v>
      </c>
      <c r="H70">
        <v>0</v>
      </c>
      <c r="I70">
        <v>0</v>
      </c>
      <c r="J70">
        <f t="shared" si="5"/>
        <v>0</v>
      </c>
      <c r="K70">
        <v>0</v>
      </c>
      <c r="L70">
        <f>SUM(M70:X70)-(12*0.45)</f>
        <v>95.09</v>
      </c>
      <c r="M70">
        <v>8.06</v>
      </c>
      <c r="N70">
        <v>7.82</v>
      </c>
      <c r="O70">
        <v>8.11</v>
      </c>
      <c r="P70">
        <v>8.19</v>
      </c>
      <c r="Q70">
        <v>8</v>
      </c>
      <c r="R70">
        <v>8.49</v>
      </c>
      <c r="S70">
        <v>9.2100000000000009</v>
      </c>
      <c r="T70">
        <v>8.56</v>
      </c>
      <c r="U70">
        <v>9.6199999999999992</v>
      </c>
      <c r="V70">
        <v>8.75</v>
      </c>
      <c r="W70">
        <v>9.68</v>
      </c>
      <c r="X70">
        <v>6</v>
      </c>
      <c r="Y70">
        <v>5</v>
      </c>
      <c r="Z70">
        <v>0</v>
      </c>
    </row>
    <row r="71" spans="1:26" x14ac:dyDescent="0.25">
      <c r="A71">
        <v>70</v>
      </c>
      <c r="B71">
        <v>42.79</v>
      </c>
      <c r="C71">
        <v>0.11</v>
      </c>
      <c r="D71">
        <f t="shared" si="4"/>
        <v>0</v>
      </c>
      <c r="E71">
        <v>0</v>
      </c>
      <c r="F71">
        <v>0</v>
      </c>
      <c r="G71">
        <f>0.01+0.92</f>
        <v>0.93</v>
      </c>
      <c r="H71">
        <v>0</v>
      </c>
      <c r="I71">
        <v>0</v>
      </c>
      <c r="J71">
        <f t="shared" si="5"/>
        <v>0</v>
      </c>
      <c r="K71">
        <v>0</v>
      </c>
      <c r="L71">
        <f>SUM(M71:T71)-(8*0.45)</f>
        <v>66.190000000000012</v>
      </c>
      <c r="M71">
        <v>9.5500000000000007</v>
      </c>
      <c r="N71">
        <v>8.93</v>
      </c>
      <c r="O71">
        <v>9.18</v>
      </c>
      <c r="P71">
        <v>9.51</v>
      </c>
      <c r="Q71">
        <v>8.59</v>
      </c>
      <c r="R71">
        <v>9.24</v>
      </c>
      <c r="S71">
        <v>8.89</v>
      </c>
      <c r="T71">
        <v>5.9</v>
      </c>
      <c r="Y71">
        <v>5</v>
      </c>
      <c r="Z71">
        <v>0</v>
      </c>
    </row>
    <row r="72" spans="1:26" x14ac:dyDescent="0.25">
      <c r="A72">
        <v>71</v>
      </c>
      <c r="B72">
        <v>138.54</v>
      </c>
      <c r="C72">
        <f>D72</f>
        <v>0</v>
      </c>
      <c r="D72">
        <f t="shared" si="4"/>
        <v>0</v>
      </c>
      <c r="E72">
        <v>0</v>
      </c>
      <c r="F72">
        <v>0.18</v>
      </c>
      <c r="G72">
        <f>1.1+F72</f>
        <v>1.28</v>
      </c>
      <c r="H72">
        <v>0</v>
      </c>
      <c r="I72">
        <v>0</v>
      </c>
      <c r="J72">
        <f t="shared" si="5"/>
        <v>0</v>
      </c>
      <c r="K72">
        <v>0</v>
      </c>
      <c r="L72">
        <f>SUM(M72:T72)-(7*0.45)</f>
        <v>58.230000000000004</v>
      </c>
      <c r="M72">
        <v>7.8</v>
      </c>
      <c r="N72">
        <v>8.92</v>
      </c>
      <c r="O72">
        <v>8.67</v>
      </c>
      <c r="P72">
        <v>9.2899999999999991</v>
      </c>
      <c r="Q72">
        <v>9.24</v>
      </c>
      <c r="R72">
        <v>9.24</v>
      </c>
      <c r="S72">
        <v>8.2200000000000006</v>
      </c>
      <c r="Y72">
        <v>5</v>
      </c>
      <c r="Z72">
        <v>0</v>
      </c>
    </row>
    <row r="73" spans="1:26" x14ac:dyDescent="0.25">
      <c r="A73">
        <v>72</v>
      </c>
      <c r="B73">
        <v>87.1</v>
      </c>
      <c r="C73">
        <v>1.3</v>
      </c>
      <c r="D73">
        <f t="shared" si="4"/>
        <v>0</v>
      </c>
      <c r="E73">
        <v>0</v>
      </c>
      <c r="F73">
        <v>0</v>
      </c>
      <c r="G73">
        <v>1.93</v>
      </c>
      <c r="H73">
        <v>0</v>
      </c>
      <c r="I73">
        <v>0</v>
      </c>
      <c r="J73">
        <f t="shared" si="5"/>
        <v>0</v>
      </c>
      <c r="K73">
        <v>0</v>
      </c>
      <c r="L73">
        <f>SUM(M73:T73)-(8*0.45)</f>
        <v>63.74</v>
      </c>
      <c r="M73">
        <v>8.4499999999999993</v>
      </c>
      <c r="N73">
        <v>7.36</v>
      </c>
      <c r="O73">
        <v>7.44</v>
      </c>
      <c r="P73">
        <v>8.2899999999999991</v>
      </c>
      <c r="Q73">
        <v>8.06</v>
      </c>
      <c r="R73">
        <v>8.91</v>
      </c>
      <c r="S73">
        <v>8.9</v>
      </c>
      <c r="T73">
        <v>9.93</v>
      </c>
      <c r="Y73">
        <v>5</v>
      </c>
      <c r="Z73">
        <v>0</v>
      </c>
    </row>
    <row r="74" spans="1:26" x14ac:dyDescent="0.25">
      <c r="A74">
        <v>73</v>
      </c>
      <c r="B74">
        <v>35.5</v>
      </c>
      <c r="C74">
        <v>1.53</v>
      </c>
      <c r="D74">
        <f t="shared" si="4"/>
        <v>9.68</v>
      </c>
      <c r="E74">
        <v>9.68</v>
      </c>
      <c r="F74">
        <v>0</v>
      </c>
      <c r="G74">
        <v>0</v>
      </c>
      <c r="H74">
        <v>0</v>
      </c>
      <c r="I74">
        <v>0</v>
      </c>
      <c r="J74">
        <f t="shared" si="5"/>
        <v>0</v>
      </c>
      <c r="K74">
        <v>0</v>
      </c>
      <c r="L74">
        <f>SUM(M74:W74)-(11*0.45)</f>
        <v>91.039999999999978</v>
      </c>
      <c r="M74">
        <v>9.5</v>
      </c>
      <c r="N74">
        <v>9.1999999999999993</v>
      </c>
      <c r="O74">
        <v>8.91</v>
      </c>
      <c r="P74">
        <v>8.94</v>
      </c>
      <c r="Q74">
        <v>9.01</v>
      </c>
      <c r="R74">
        <v>10.08</v>
      </c>
      <c r="S74">
        <v>9.49</v>
      </c>
      <c r="T74">
        <v>9.19</v>
      </c>
      <c r="U74">
        <v>10.6</v>
      </c>
      <c r="V74">
        <v>9.77</v>
      </c>
      <c r="W74">
        <v>1.3</v>
      </c>
      <c r="Y74">
        <v>5</v>
      </c>
      <c r="Z74">
        <v>0</v>
      </c>
    </row>
    <row r="75" spans="1:26" x14ac:dyDescent="0.25">
      <c r="A75">
        <v>74</v>
      </c>
      <c r="B75">
        <v>54.6</v>
      </c>
      <c r="C75">
        <v>1.97</v>
      </c>
      <c r="D75">
        <f t="shared" si="4"/>
        <v>0</v>
      </c>
      <c r="E75">
        <v>0</v>
      </c>
      <c r="F75">
        <v>0</v>
      </c>
      <c r="G75">
        <f>0.98+2.05</f>
        <v>3.03</v>
      </c>
      <c r="H75">
        <v>0</v>
      </c>
      <c r="I75">
        <v>0</v>
      </c>
      <c r="J75">
        <f t="shared" si="5"/>
        <v>0</v>
      </c>
      <c r="K75">
        <v>0</v>
      </c>
      <c r="L75">
        <f>SUM(M75:W75)-(10*0.45)</f>
        <v>90.27</v>
      </c>
      <c r="M75">
        <v>9.34</v>
      </c>
      <c r="N75">
        <v>9.9</v>
      </c>
      <c r="O75">
        <v>9.9</v>
      </c>
      <c r="P75">
        <v>9.44</v>
      </c>
      <c r="Q75">
        <v>9.65</v>
      </c>
      <c r="R75">
        <v>9.25</v>
      </c>
      <c r="S75">
        <v>10.039999999999999</v>
      </c>
      <c r="T75">
        <v>9.39</v>
      </c>
      <c r="U75">
        <v>9.61</v>
      </c>
      <c r="V75">
        <v>8.25</v>
      </c>
      <c r="Y75">
        <v>5</v>
      </c>
      <c r="Z75">
        <v>0</v>
      </c>
    </row>
    <row r="76" spans="1:26" x14ac:dyDescent="0.25">
      <c r="A76">
        <v>75</v>
      </c>
      <c r="B76">
        <v>68.930000000000007</v>
      </c>
      <c r="C76">
        <v>6.63</v>
      </c>
      <c r="D76">
        <f t="shared" si="4"/>
        <v>0</v>
      </c>
      <c r="E76">
        <v>0</v>
      </c>
      <c r="F76">
        <v>0</v>
      </c>
      <c r="G76">
        <v>3.12</v>
      </c>
      <c r="H76">
        <v>0</v>
      </c>
      <c r="I76">
        <v>0</v>
      </c>
      <c r="J76">
        <f t="shared" si="5"/>
        <v>0</v>
      </c>
      <c r="K76">
        <v>0</v>
      </c>
      <c r="L76">
        <f>SUM(M76:W76)-(10*0.45)</f>
        <v>79.640000000000015</v>
      </c>
      <c r="M76">
        <v>8.93</v>
      </c>
      <c r="N76">
        <v>8.9600000000000009</v>
      </c>
      <c r="O76">
        <v>9.32</v>
      </c>
      <c r="P76">
        <v>10.77</v>
      </c>
      <c r="Q76">
        <v>8.18</v>
      </c>
      <c r="R76">
        <v>9</v>
      </c>
      <c r="S76">
        <v>8.93</v>
      </c>
      <c r="T76">
        <v>9.09</v>
      </c>
      <c r="U76">
        <v>8.67</v>
      </c>
      <c r="V76">
        <v>2.29</v>
      </c>
      <c r="Y76">
        <v>5</v>
      </c>
      <c r="Z76">
        <v>0</v>
      </c>
    </row>
    <row r="77" spans="1:26" x14ac:dyDescent="0.25">
      <c r="A77">
        <v>76</v>
      </c>
      <c r="B77">
        <v>24.57</v>
      </c>
      <c r="C77">
        <v>0.34</v>
      </c>
      <c r="D77">
        <f t="shared" si="4"/>
        <v>0.01</v>
      </c>
      <c r="E77">
        <v>0.01</v>
      </c>
      <c r="F77">
        <v>0</v>
      </c>
      <c r="G77">
        <v>0</v>
      </c>
      <c r="H77">
        <v>0</v>
      </c>
      <c r="I77">
        <v>0</v>
      </c>
      <c r="J77">
        <f t="shared" si="5"/>
        <v>0</v>
      </c>
      <c r="K77">
        <v>0</v>
      </c>
      <c r="L77">
        <f>SUM(M77:T77)-(8*0.45)</f>
        <v>69.870000000000019</v>
      </c>
      <c r="M77">
        <v>9.43</v>
      </c>
      <c r="N77">
        <v>9.17</v>
      </c>
      <c r="O77">
        <v>8.6300000000000008</v>
      </c>
      <c r="P77">
        <v>9.2100000000000009</v>
      </c>
      <c r="Q77">
        <v>7.58</v>
      </c>
      <c r="R77">
        <v>10.16</v>
      </c>
      <c r="S77">
        <v>10.17</v>
      </c>
      <c r="T77">
        <v>9.1199999999999992</v>
      </c>
      <c r="Y77">
        <v>5</v>
      </c>
      <c r="Z77">
        <v>0</v>
      </c>
    </row>
    <row r="78" spans="1:26" x14ac:dyDescent="0.25">
      <c r="A78">
        <v>77</v>
      </c>
      <c r="B78">
        <v>42.14</v>
      </c>
      <c r="C78">
        <v>0</v>
      </c>
      <c r="D78">
        <f t="shared" si="4"/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5"/>
        <v>0</v>
      </c>
      <c r="K78">
        <v>0</v>
      </c>
      <c r="L78">
        <f>SUM(M78:W78)-(11*0.45)</f>
        <v>94.919999999999987</v>
      </c>
      <c r="M78">
        <v>9.26</v>
      </c>
      <c r="N78">
        <v>9.02</v>
      </c>
      <c r="O78">
        <v>9.7200000000000006</v>
      </c>
      <c r="P78">
        <v>8.9600000000000009</v>
      </c>
      <c r="Q78">
        <v>10.220000000000001</v>
      </c>
      <c r="R78">
        <v>9.57</v>
      </c>
      <c r="S78">
        <v>9.2100000000000009</v>
      </c>
      <c r="T78">
        <v>9.41</v>
      </c>
      <c r="U78">
        <v>9.27</v>
      </c>
      <c r="V78">
        <v>9.68</v>
      </c>
      <c r="W78">
        <v>5.55</v>
      </c>
      <c r="Y78">
        <v>5</v>
      </c>
      <c r="Z78">
        <v>0</v>
      </c>
    </row>
    <row r="79" spans="1:26" x14ac:dyDescent="0.25">
      <c r="A79">
        <v>78</v>
      </c>
      <c r="B79">
        <v>231.64</v>
      </c>
      <c r="C79">
        <v>2.58</v>
      </c>
      <c r="D79">
        <f t="shared" si="4"/>
        <v>0</v>
      </c>
      <c r="E79">
        <v>0</v>
      </c>
      <c r="F79">
        <v>0</v>
      </c>
      <c r="G79">
        <v>2.74</v>
      </c>
      <c r="H79">
        <v>0</v>
      </c>
      <c r="I79">
        <v>0</v>
      </c>
      <c r="J79">
        <f t="shared" si="5"/>
        <v>0</v>
      </c>
      <c r="K79">
        <v>0</v>
      </c>
      <c r="L79">
        <f>SUM(M79:W79)-(9*0.45)</f>
        <v>69.760000000000005</v>
      </c>
      <c r="M79">
        <v>9.84</v>
      </c>
      <c r="N79">
        <v>9.2899999999999991</v>
      </c>
      <c r="O79">
        <v>9.5299999999999994</v>
      </c>
      <c r="P79">
        <v>10.38</v>
      </c>
      <c r="Q79">
        <v>10.039999999999999</v>
      </c>
      <c r="R79">
        <v>8.25</v>
      </c>
      <c r="S79">
        <v>10.72</v>
      </c>
      <c r="T79">
        <v>0.98</v>
      </c>
      <c r="U79">
        <v>4.78</v>
      </c>
      <c r="Y79">
        <v>5</v>
      </c>
      <c r="Z79">
        <v>0</v>
      </c>
    </row>
    <row r="80" spans="1:26" x14ac:dyDescent="0.25">
      <c r="A80">
        <v>79</v>
      </c>
      <c r="B80">
        <v>72.569999999999993</v>
      </c>
      <c r="C80">
        <v>0</v>
      </c>
      <c r="D80">
        <f t="shared" si="4"/>
        <v>0</v>
      </c>
      <c r="E80">
        <v>0</v>
      </c>
      <c r="F80">
        <v>0.7</v>
      </c>
      <c r="G80">
        <f>0.39+0.7</f>
        <v>1.0899999999999999</v>
      </c>
      <c r="H80">
        <v>0</v>
      </c>
      <c r="I80">
        <v>0</v>
      </c>
      <c r="J80">
        <f t="shared" si="5"/>
        <v>0</v>
      </c>
      <c r="K80">
        <v>0</v>
      </c>
      <c r="L80">
        <f>SUM(M80:W80)-(11*0.45)</f>
        <v>91.78</v>
      </c>
      <c r="M80">
        <v>9.1300000000000008</v>
      </c>
      <c r="N80">
        <v>8.8699999999999992</v>
      </c>
      <c r="O80">
        <v>9</v>
      </c>
      <c r="P80">
        <v>9.7899999999999991</v>
      </c>
      <c r="Q80">
        <v>8.9</v>
      </c>
      <c r="R80">
        <v>8.91</v>
      </c>
      <c r="S80">
        <v>8.7899999999999991</v>
      </c>
      <c r="T80">
        <v>9.27</v>
      </c>
      <c r="U80">
        <v>8.8000000000000007</v>
      </c>
      <c r="V80">
        <v>8.07</v>
      </c>
      <c r="W80">
        <v>7.2</v>
      </c>
      <c r="Y80">
        <v>5</v>
      </c>
      <c r="Z80">
        <v>0</v>
      </c>
    </row>
    <row r="81" spans="1:26" x14ac:dyDescent="0.25">
      <c r="A81">
        <v>80</v>
      </c>
      <c r="B81">
        <v>5.73</v>
      </c>
      <c r="C81">
        <v>0</v>
      </c>
      <c r="D81">
        <f t="shared" si="4"/>
        <v>0</v>
      </c>
      <c r="E81">
        <v>0</v>
      </c>
      <c r="F81">
        <v>0</v>
      </c>
      <c r="G81">
        <v>0.35</v>
      </c>
      <c r="H81">
        <v>0</v>
      </c>
      <c r="I81">
        <v>0</v>
      </c>
      <c r="J81">
        <f t="shared" si="5"/>
        <v>0</v>
      </c>
      <c r="K81">
        <v>0</v>
      </c>
      <c r="L81">
        <f>SUM(M81:W81)-(10*0.45)</f>
        <v>92.800000000000011</v>
      </c>
      <c r="M81">
        <v>10.119999999999999</v>
      </c>
      <c r="N81">
        <v>10.42</v>
      </c>
      <c r="O81">
        <v>10.92</v>
      </c>
      <c r="P81">
        <v>9.77</v>
      </c>
      <c r="Q81">
        <v>9.2100000000000009</v>
      </c>
      <c r="R81">
        <v>7.85</v>
      </c>
      <c r="S81">
        <v>11.66</v>
      </c>
      <c r="T81">
        <v>11.27</v>
      </c>
      <c r="U81">
        <v>4.6500000000000004</v>
      </c>
      <c r="V81">
        <v>11.43</v>
      </c>
      <c r="Y81">
        <v>5</v>
      </c>
      <c r="Z81">
        <v>0</v>
      </c>
    </row>
    <row r="82" spans="1:26" x14ac:dyDescent="0.25">
      <c r="A82">
        <v>81</v>
      </c>
      <c r="B82">
        <v>15.27</v>
      </c>
      <c r="C82">
        <v>0</v>
      </c>
      <c r="D82">
        <f t="shared" si="4"/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5"/>
        <v>0</v>
      </c>
      <c r="K82">
        <v>0</v>
      </c>
      <c r="L82">
        <f>SUM(M82:W82)-(9*0.45)</f>
        <v>89.679999999999993</v>
      </c>
      <c r="M82">
        <v>11.08</v>
      </c>
      <c r="N82">
        <v>11.17</v>
      </c>
      <c r="O82">
        <v>9.5</v>
      </c>
      <c r="P82">
        <v>10.76</v>
      </c>
      <c r="Q82">
        <v>10.16</v>
      </c>
      <c r="R82">
        <v>10.220000000000001</v>
      </c>
      <c r="S82">
        <v>7.88</v>
      </c>
      <c r="T82">
        <v>11.94</v>
      </c>
      <c r="U82">
        <v>11.02</v>
      </c>
      <c r="Y82">
        <v>5</v>
      </c>
      <c r="Z82">
        <v>0</v>
      </c>
    </row>
    <row r="83" spans="1:26" x14ac:dyDescent="0.25">
      <c r="A83">
        <v>82</v>
      </c>
      <c r="B83">
        <v>1.02</v>
      </c>
      <c r="C83">
        <v>0.06</v>
      </c>
      <c r="D83">
        <f t="shared" si="4"/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5"/>
        <v>0</v>
      </c>
      <c r="K83">
        <v>0</v>
      </c>
      <c r="L83">
        <f>SUM(M83:W83)-(9*0.45)</f>
        <v>69.400000000000006</v>
      </c>
      <c r="M83">
        <v>8.9700000000000006</v>
      </c>
      <c r="N83">
        <v>9.7200000000000006</v>
      </c>
      <c r="O83">
        <v>9.24</v>
      </c>
      <c r="P83">
        <v>8.5500000000000007</v>
      </c>
      <c r="Q83">
        <v>8.92</v>
      </c>
      <c r="R83">
        <v>9.1300000000000008</v>
      </c>
      <c r="S83">
        <v>9.25</v>
      </c>
      <c r="T83">
        <v>7.53</v>
      </c>
      <c r="U83">
        <v>2.14</v>
      </c>
      <c r="Y83">
        <v>5</v>
      </c>
      <c r="Z83">
        <v>0</v>
      </c>
    </row>
    <row r="84" spans="1:26" x14ac:dyDescent="0.25">
      <c r="A84">
        <v>83</v>
      </c>
      <c r="B84">
        <v>3.6</v>
      </c>
      <c r="C84">
        <v>5.26</v>
      </c>
      <c r="D84">
        <f t="shared" si="4"/>
        <v>0</v>
      </c>
      <c r="E84">
        <v>0</v>
      </c>
      <c r="F84">
        <v>0.38</v>
      </c>
      <c r="G84">
        <f>F84</f>
        <v>0.38</v>
      </c>
      <c r="H84">
        <v>0</v>
      </c>
      <c r="I84">
        <v>0</v>
      </c>
      <c r="J84">
        <f t="shared" si="5"/>
        <v>0</v>
      </c>
      <c r="K84">
        <v>0</v>
      </c>
      <c r="L84">
        <f>SUM(M84:T84)-(8*0.45)</f>
        <v>67.990000000000009</v>
      </c>
      <c r="M84">
        <v>9.19</v>
      </c>
      <c r="N84">
        <v>8.92</v>
      </c>
      <c r="O84">
        <v>9.14</v>
      </c>
      <c r="P84">
        <v>9.94</v>
      </c>
      <c r="Q84">
        <v>8.99</v>
      </c>
      <c r="R84">
        <v>8.52</v>
      </c>
      <c r="S84">
        <v>8.59</v>
      </c>
      <c r="T84">
        <v>8.3000000000000007</v>
      </c>
      <c r="Y84">
        <v>5</v>
      </c>
      <c r="Z84">
        <v>0</v>
      </c>
    </row>
    <row r="85" spans="1:26" x14ac:dyDescent="0.25">
      <c r="A85">
        <v>84</v>
      </c>
      <c r="B85">
        <v>2.5299999999999998</v>
      </c>
      <c r="C85">
        <v>0</v>
      </c>
      <c r="D85">
        <f t="shared" si="4"/>
        <v>0</v>
      </c>
      <c r="E85">
        <v>0</v>
      </c>
      <c r="F85">
        <v>0</v>
      </c>
      <c r="G85">
        <v>0.37</v>
      </c>
      <c r="H85">
        <v>0</v>
      </c>
      <c r="I85">
        <v>0</v>
      </c>
      <c r="J85">
        <f t="shared" si="5"/>
        <v>0</v>
      </c>
      <c r="K85">
        <v>0</v>
      </c>
      <c r="L85">
        <f>SUM(M85:T85)-(8*0.45)</f>
        <v>68.610000000000014</v>
      </c>
      <c r="M85">
        <v>8.9700000000000006</v>
      </c>
      <c r="N85">
        <v>9.65</v>
      </c>
      <c r="O85">
        <v>9.4499999999999993</v>
      </c>
      <c r="P85">
        <v>10.35</v>
      </c>
      <c r="Q85">
        <v>8.5299999999999994</v>
      </c>
      <c r="R85">
        <v>9.06</v>
      </c>
      <c r="S85">
        <v>8.6199999999999992</v>
      </c>
      <c r="T85">
        <v>7.58</v>
      </c>
      <c r="Y85">
        <v>5</v>
      </c>
      <c r="Z85">
        <v>0</v>
      </c>
    </row>
    <row r="86" spans="1:26" x14ac:dyDescent="0.25">
      <c r="A86">
        <v>85</v>
      </c>
      <c r="B86">
        <v>4.57</v>
      </c>
      <c r="C86">
        <v>0</v>
      </c>
      <c r="D86">
        <f t="shared" si="4"/>
        <v>0</v>
      </c>
      <c r="E86">
        <v>0</v>
      </c>
      <c r="F86">
        <v>0</v>
      </c>
      <c r="G86">
        <v>0.2</v>
      </c>
      <c r="H86">
        <v>0</v>
      </c>
      <c r="I86">
        <v>0</v>
      </c>
      <c r="J86">
        <f t="shared" si="5"/>
        <v>0</v>
      </c>
      <c r="K86">
        <v>0</v>
      </c>
      <c r="L86">
        <f>SUM(M86:T86)-(8*0.45)</f>
        <v>71.81</v>
      </c>
      <c r="M86">
        <v>7.28</v>
      </c>
      <c r="N86">
        <v>8.67</v>
      </c>
      <c r="O86">
        <v>9.69</v>
      </c>
      <c r="P86">
        <v>8.83</v>
      </c>
      <c r="Q86">
        <v>11.05</v>
      </c>
      <c r="R86">
        <v>10.63</v>
      </c>
      <c r="S86">
        <v>9.2200000000000006</v>
      </c>
      <c r="T86">
        <v>10.039999999999999</v>
      </c>
      <c r="Y86">
        <v>5</v>
      </c>
      <c r="Z86">
        <v>0</v>
      </c>
    </row>
    <row r="87" spans="1:26" x14ac:dyDescent="0.25">
      <c r="A87">
        <v>86</v>
      </c>
      <c r="B87">
        <v>129.83000000000001</v>
      </c>
      <c r="C87">
        <v>0.15</v>
      </c>
      <c r="D87">
        <f t="shared" si="4"/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5"/>
        <v>0</v>
      </c>
      <c r="K87">
        <v>0</v>
      </c>
      <c r="L87">
        <f>SUM(M87:U87)-(9*0.45)</f>
        <v>81.59</v>
      </c>
      <c r="M87">
        <v>10.89</v>
      </c>
      <c r="N87">
        <v>11.15</v>
      </c>
      <c r="O87">
        <v>8.5299999999999994</v>
      </c>
      <c r="P87">
        <v>7.55</v>
      </c>
      <c r="Q87">
        <v>10.15</v>
      </c>
      <c r="R87">
        <v>10</v>
      </c>
      <c r="S87">
        <v>9.98</v>
      </c>
      <c r="T87">
        <v>11.02</v>
      </c>
      <c r="U87">
        <v>6.37</v>
      </c>
      <c r="Y87">
        <v>5</v>
      </c>
      <c r="Z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55" zoomScaleNormal="100" workbookViewId="0">
      <selection activeCell="O77" sqref="O77"/>
    </sheetView>
  </sheetViews>
  <sheetFormatPr defaultRowHeight="15" x14ac:dyDescent="0.25"/>
  <cols>
    <col min="1" max="5" width="9.140625" style="1"/>
    <col min="6" max="6" width="11.28515625" style="1" customWidth="1"/>
    <col min="7" max="7" width="9.140625" style="1"/>
  </cols>
  <sheetData>
    <row r="1" spans="1:7" x14ac:dyDescent="0.25">
      <c r="A1" s="34" t="s">
        <v>0</v>
      </c>
      <c r="B1" s="34" t="s">
        <v>231</v>
      </c>
      <c r="C1" s="34" t="s">
        <v>232</v>
      </c>
      <c r="D1" s="34" t="s">
        <v>233</v>
      </c>
      <c r="E1" s="34" t="s">
        <v>28</v>
      </c>
      <c r="F1" s="34" t="s">
        <v>234</v>
      </c>
      <c r="G1" s="34" t="s">
        <v>236</v>
      </c>
    </row>
    <row r="2" spans="1:7" x14ac:dyDescent="0.25">
      <c r="A2" s="34">
        <f>Talimbue_E!A2</f>
        <v>1</v>
      </c>
      <c r="B2" s="34">
        <f>Talimbue_E!B2/Talimbue_E!L2</f>
        <v>0</v>
      </c>
      <c r="C2" s="35">
        <f>Talimbue_E!C2/Talimbue_E!L2</f>
        <v>3.0326856115915981</v>
      </c>
      <c r="D2" s="35">
        <f>Talimbue_E!G2/Talimbue_E!L2</f>
        <v>1.7625519487813095</v>
      </c>
      <c r="E2" s="34">
        <f>Talimbue_E!D2/Talimbue_E!L2</f>
        <v>0</v>
      </c>
      <c r="F2" s="35">
        <f>Talimbue_E!J2/Talimbue_E!L2</f>
        <v>2.8080422329551834E-2</v>
      </c>
      <c r="G2" s="35">
        <f>Talimbue_E!K2/Talimbue_E!L2</f>
        <v>1.945411658991351</v>
      </c>
    </row>
    <row r="3" spans="1:7" x14ac:dyDescent="0.25">
      <c r="A3" s="34">
        <f>Talimbue_E!A3</f>
        <v>2</v>
      </c>
      <c r="B3" s="35">
        <f>Talimbue_E!B3/Talimbue_E!L3</f>
        <v>3.9548387096774191</v>
      </c>
      <c r="C3" s="35">
        <f>Talimbue_E!C3/Talimbue_E!L3</f>
        <v>17.147707979626485</v>
      </c>
      <c r="D3" s="35">
        <f>Talimbue_E!G3/Talimbue_E!L3</f>
        <v>4.9483870967741925</v>
      </c>
      <c r="E3" s="35">
        <f>Talimbue_E!D3/Talimbue_E!L3</f>
        <v>1.7996604414261458E-2</v>
      </c>
      <c r="F3" s="35">
        <f>Talimbue_E!J3/Talimbue_E!L3</f>
        <v>0.54329371816638361</v>
      </c>
      <c r="G3" s="35">
        <f>Talimbue_E!K3/Talimbue_E!L3</f>
        <v>4.8896434634974533</v>
      </c>
    </row>
    <row r="4" spans="1:7" x14ac:dyDescent="0.25">
      <c r="A4" s="34">
        <f>Talimbue_E!A4</f>
        <v>3</v>
      </c>
      <c r="B4" s="35">
        <f>Talimbue_E!B4/Talimbue_E!L4</f>
        <v>2.5044846843797601</v>
      </c>
      <c r="C4" s="35">
        <f>Talimbue_E!C4/Talimbue_E!L4</f>
        <v>25.977322728041973</v>
      </c>
      <c r="D4" s="35">
        <f>Talimbue_E!G4/Talimbue_E!L4</f>
        <v>8.2738195972245734</v>
      </c>
      <c r="E4" s="35">
        <f>Talimbue_E!D4/Talimbue_E!L4</f>
        <v>4.6539177525808093E-2</v>
      </c>
      <c r="F4" s="35">
        <f>Talimbue_E!J4/Talimbue_E!L4</f>
        <v>0.67693349128448133</v>
      </c>
      <c r="G4" s="35">
        <f>Talimbue_E!K4/Talimbue_E!L4</f>
        <v>1.3961753257742429</v>
      </c>
    </row>
    <row r="5" spans="1:7" x14ac:dyDescent="0.25">
      <c r="A5" s="34">
        <f>Talimbue_E!A5</f>
        <v>4</v>
      </c>
      <c r="B5" s="35">
        <f>Talimbue_E!B5/Talimbue_E!L5</f>
        <v>2.7686350435624396</v>
      </c>
      <c r="C5" s="35">
        <f>Talimbue_E!C5/Talimbue_E!L5</f>
        <v>27.105517909002906</v>
      </c>
      <c r="D5" s="35">
        <f>Talimbue_E!G5/Talimbue_E!L5</f>
        <v>7.6089060987415298</v>
      </c>
      <c r="E5" s="35">
        <f>Talimbue_E!D5/Talimbue_E!L5</f>
        <v>5.5759922555663116E-2</v>
      </c>
      <c r="F5" s="35">
        <f>Talimbue_E!J5/Talimbue_E!L5</f>
        <v>0.90029041626331074</v>
      </c>
      <c r="G5" s="35">
        <f>Talimbue_E!K5/Talimbue_E!L5</f>
        <v>1.090029041626331</v>
      </c>
    </row>
    <row r="6" spans="1:7" x14ac:dyDescent="0.25">
      <c r="A6" s="34">
        <f>Talimbue_E!A6</f>
        <v>5</v>
      </c>
      <c r="B6" s="35">
        <f>Talimbue_E!B6/Talimbue_E!L6</f>
        <v>2.335314599233286</v>
      </c>
      <c r="C6" s="35">
        <f>Talimbue_E!C6/Talimbue_E!L6</f>
        <v>5.6272640945380372</v>
      </c>
      <c r="D6" s="35">
        <f>Talimbue_E!G6/Talimbue_E!L6</f>
        <v>0.37298209826609929</v>
      </c>
      <c r="E6" s="35">
        <f>Talimbue_E!D6/Talimbue_E!L6</f>
        <v>0.16195969472092292</v>
      </c>
      <c r="F6" s="35">
        <f>Talimbue_E!J6/Talimbue_E!L6</f>
        <v>0.39566700664720578</v>
      </c>
      <c r="G6" s="35">
        <f>Talimbue_E!K6/Talimbue_E!L6</f>
        <v>0.42028628706080967</v>
      </c>
    </row>
    <row r="7" spans="1:7" x14ac:dyDescent="0.25">
      <c r="A7" s="34">
        <f>Talimbue_E!A7</f>
        <v>6</v>
      </c>
      <c r="B7" s="35">
        <f>Talimbue_E!B7/Talimbue_E!L7</f>
        <v>14.28684816255258</v>
      </c>
      <c r="C7" s="35">
        <f>Talimbue_E!C7/Talimbue_E!L7</f>
        <v>22.779585681403283</v>
      </c>
      <c r="D7" s="35">
        <f>Talimbue_E!G7/Talimbue_E!L7</f>
        <v>7.8261766806889419</v>
      </c>
      <c r="E7" s="35">
        <f>Talimbue_E!D7/Talimbue_E!L7</f>
        <v>0.76069529327724417</v>
      </c>
      <c r="F7" s="35">
        <f>Talimbue_E!J7/Talimbue_E!L7</f>
        <v>1.0953250257956979</v>
      </c>
      <c r="G7" s="35">
        <f>Talimbue_E!K7/Talimbue_E!L7</f>
        <v>0.39685689340423835</v>
      </c>
    </row>
    <row r="8" spans="1:7" x14ac:dyDescent="0.25">
      <c r="A8" s="34">
        <f>Talimbue_E!A8</f>
        <v>7</v>
      </c>
      <c r="B8" s="35">
        <f>Talimbue_E!B8/Talimbue_E!L8</f>
        <v>3.832826285366596</v>
      </c>
      <c r="C8" s="35">
        <f>Talimbue_E!C8/Talimbue_E!L8</f>
        <v>18.862184362640708</v>
      </c>
      <c r="D8" s="35">
        <f>Talimbue_E!G8/Talimbue_E!L8</f>
        <v>6.8194402190447221</v>
      </c>
      <c r="E8" s="35">
        <f>Talimbue_E!D8/Talimbue_E!L8</f>
        <v>0.7417097657438394</v>
      </c>
      <c r="F8" s="35">
        <f>Talimbue_E!J8/Talimbue_E!L8</f>
        <v>1.4755095832065714</v>
      </c>
      <c r="G8" s="35">
        <f>Talimbue_E!K8/Talimbue_E!L8</f>
        <v>0.24186188013386067</v>
      </c>
    </row>
    <row r="9" spans="1:7" x14ac:dyDescent="0.25">
      <c r="A9" s="34">
        <f>Talimbue_E!A9</f>
        <v>8</v>
      </c>
      <c r="B9" s="35">
        <f>Talimbue_E!B9/Talimbue_E!L9</f>
        <v>4.7274295572167917</v>
      </c>
      <c r="C9" s="35">
        <f>Talimbue_E!C9/Talimbue_E!L9</f>
        <v>16.580410197431476</v>
      </c>
      <c r="D9" s="35">
        <f>Talimbue_E!G9/Talimbue_E!L9</f>
        <v>7.1171171171171181</v>
      </c>
      <c r="E9" s="35">
        <f>Talimbue_E!D9/Talimbue_E!L9</f>
        <v>1.0576959938662067</v>
      </c>
      <c r="F9" s="35">
        <f>Talimbue_E!J9/Talimbue_E!L9</f>
        <v>2.1947479394287908</v>
      </c>
      <c r="G9" s="34">
        <f>Talimbue_E!K9/Talimbue_E!L9</f>
        <v>0</v>
      </c>
    </row>
    <row r="10" spans="1:7" x14ac:dyDescent="0.25">
      <c r="A10" s="34">
        <f>Talimbue_E!A10</f>
        <v>9</v>
      </c>
      <c r="B10" s="35">
        <f>Talimbue_E!B10/Talimbue_E!L10</f>
        <v>6.7352581585629645</v>
      </c>
      <c r="C10" s="35">
        <f>Talimbue_E!C10/Talimbue_E!L10</f>
        <v>19.373648076742217</v>
      </c>
      <c r="D10" s="35">
        <f>Talimbue_E!G10/Talimbue_E!L10</f>
        <v>5.8916580457067624</v>
      </c>
      <c r="E10" s="35">
        <f>Talimbue_E!D10/Talimbue_E!L10</f>
        <v>9.0661149252327669E-2</v>
      </c>
      <c r="F10" s="35">
        <f>Talimbue_E!J10/Talimbue_E!L10</f>
        <v>3.2540205022101008</v>
      </c>
      <c r="G10" s="34">
        <f>Talimbue_E!K10/Talimbue_E!L10</f>
        <v>0</v>
      </c>
    </row>
    <row r="11" spans="1:7" x14ac:dyDescent="0.25">
      <c r="A11" s="34">
        <f>Talimbue_E!A11</f>
        <v>10</v>
      </c>
      <c r="B11" s="35">
        <f>Talimbue_E!B11/Talimbue_E!L11</f>
        <v>3.7655093910073982</v>
      </c>
      <c r="C11" s="35">
        <f>Talimbue_E!C11/Talimbue_E!L11</f>
        <v>13.090495162208308</v>
      </c>
      <c r="D11" s="35">
        <f>Talimbue_E!G11/Talimbue_E!L11</f>
        <v>0.57760793560452062</v>
      </c>
      <c r="E11" s="35">
        <f>Talimbue_E!D11/Talimbue_E!L11</f>
        <v>0.14391413936092362</v>
      </c>
      <c r="F11" s="35">
        <f>Talimbue_E!J11/Talimbue_E!L11</f>
        <v>0.13009187738840552</v>
      </c>
      <c r="G11" s="34">
        <f>Talimbue_E!K11/Talimbue_E!L11</f>
        <v>0</v>
      </c>
    </row>
    <row r="12" spans="1:7" x14ac:dyDescent="0.25">
      <c r="A12" s="34">
        <f>Talimbue_E!A12</f>
        <v>11</v>
      </c>
      <c r="B12" s="35">
        <f>Talimbue_E!B12/Talimbue_E!L12</f>
        <v>8.8487652018204876</v>
      </c>
      <c r="C12" s="35">
        <f>Talimbue_E!C12/Talimbue_E!L12</f>
        <v>21.189285980750579</v>
      </c>
      <c r="D12" s="35">
        <f>Talimbue_E!G12/Talimbue_E!L12</f>
        <v>8.2518839065880769</v>
      </c>
      <c r="E12" s="35">
        <f>Talimbue_E!D12/Talimbue_E!L12</f>
        <v>2.1487726628366781E-2</v>
      </c>
      <c r="F12" s="35">
        <f>Talimbue_E!J12/Talimbue_E!L12</f>
        <v>0.30590166380661044</v>
      </c>
      <c r="G12" s="34">
        <f>Talimbue_E!K12/Talimbue_E!L12</f>
        <v>0</v>
      </c>
    </row>
    <row r="13" spans="1:7" x14ac:dyDescent="0.25">
      <c r="A13" s="34">
        <f>Talimbue_E!A13</f>
        <v>12</v>
      </c>
      <c r="B13" s="35">
        <f>Talimbue_E!B13/Talimbue_E!L13</f>
        <v>6.3899925037481262</v>
      </c>
      <c r="C13" s="35">
        <f>Talimbue_E!C13/Talimbue_E!L13</f>
        <v>21.926536731634183</v>
      </c>
      <c r="D13" s="35">
        <f>Talimbue_E!G13/Talimbue_E!L13</f>
        <v>6.5071214392803602</v>
      </c>
      <c r="E13" s="35">
        <f>Talimbue_E!D13/Talimbue_E!L13</f>
        <v>0.13155922038980508</v>
      </c>
      <c r="F13" s="34">
        <f>Talimbue_E!J13/Talimbue_E!L13</f>
        <v>0</v>
      </c>
      <c r="G13" s="34">
        <f>Talimbue_E!K13/Talimbue_E!L13</f>
        <v>0</v>
      </c>
    </row>
    <row r="14" spans="1:7" x14ac:dyDescent="0.25">
      <c r="A14" s="34">
        <f>Talimbue_E!A14</f>
        <v>13</v>
      </c>
      <c r="B14" s="35">
        <f>Talimbue_E!B14/Talimbue_E!L14</f>
        <v>5.495321959273527</v>
      </c>
      <c r="C14" s="35">
        <f>Talimbue_E!C14/Talimbue_E!L14</f>
        <v>16.029168959823885</v>
      </c>
      <c r="D14" s="35">
        <f>Talimbue_E!G14/Talimbue_E!L14</f>
        <v>5.5729223995597135</v>
      </c>
      <c r="E14" s="35">
        <f>Talimbue_E!D14/Talimbue_E!L14</f>
        <v>4.9119427627958165E-2</v>
      </c>
      <c r="F14" s="35">
        <f>Talimbue_E!J14/Talimbue_E!L14</f>
        <v>5.5035773252614197E-2</v>
      </c>
      <c r="G14" s="34">
        <f>Talimbue_E!K14/Talimbue_E!L14</f>
        <v>0</v>
      </c>
    </row>
    <row r="15" spans="1:7" x14ac:dyDescent="0.25">
      <c r="A15" s="34">
        <f>Talimbue_E!A15</f>
        <v>14</v>
      </c>
      <c r="B15" s="35">
        <f>Talimbue_E!B15/Talimbue_E!L15</f>
        <v>2.9832214765100669</v>
      </c>
      <c r="C15" s="35">
        <f>Talimbue_E!C15/Talimbue_E!L15</f>
        <v>18.160284247927358</v>
      </c>
      <c r="D15" s="35">
        <f>Talimbue_E!G15/Talimbue_E!L15</f>
        <v>4.6711409395973158</v>
      </c>
      <c r="E15" s="35">
        <f>Talimbue_E!D15/Talimbue_E!L15</f>
        <v>0.54559810501381756</v>
      </c>
      <c r="F15" s="35">
        <f>Talimbue_E!J15/Talimbue_E!L15</f>
        <v>0.6514015001973944</v>
      </c>
      <c r="G15" s="34">
        <f>Talimbue_E!K15/Talimbue_E!L15</f>
        <v>0</v>
      </c>
    </row>
    <row r="16" spans="1:7" x14ac:dyDescent="0.25">
      <c r="A16" s="34">
        <f>Talimbue_E!A16</f>
        <v>15</v>
      </c>
      <c r="B16" s="35">
        <f>Talimbue_E!B16/Talimbue_E!L16</f>
        <v>5.6539848539487911</v>
      </c>
      <c r="C16" s="35">
        <f>Talimbue_E!C16/Talimbue_E!L16</f>
        <v>15.236206274792641</v>
      </c>
      <c r="D16" s="35">
        <f>Talimbue_E!G16/Talimbue_E!L16</f>
        <v>5.2600072124053368</v>
      </c>
      <c r="E16" s="35">
        <f>Talimbue_E!D16/Talimbue_E!L16</f>
        <v>0.55535521096285601</v>
      </c>
      <c r="F16" s="34">
        <f>Talimbue_E!J16/Talimbue_E!L16</f>
        <v>0</v>
      </c>
      <c r="G16" s="34">
        <f>Talimbue_E!K16/Talimbue_E!L16</f>
        <v>0</v>
      </c>
    </row>
    <row r="17" spans="1:7" x14ac:dyDescent="0.25">
      <c r="A17" s="34">
        <f>Talimbue_E!A17</f>
        <v>16</v>
      </c>
      <c r="B17" s="35">
        <f>Talimbue_E!B17/Talimbue_E!L17</f>
        <v>10.060240963855422</v>
      </c>
      <c r="C17" s="35">
        <f>Talimbue_E!C17/Talimbue_E!L17</f>
        <v>10.240963855421688</v>
      </c>
      <c r="D17" s="35">
        <f>Talimbue_E!G17/Talimbue_E!L17</f>
        <v>4.3875502008032132</v>
      </c>
      <c r="E17" s="35">
        <f>Talimbue_E!D17/Talimbue_E!L17</f>
        <v>0.33674698795180724</v>
      </c>
      <c r="F17" s="35">
        <f>Talimbue_E!J17/Talimbue_E!L17</f>
        <v>0.80321285140562249</v>
      </c>
      <c r="G17" s="34">
        <f>Talimbue_E!K17/Talimbue_E!L17</f>
        <v>0</v>
      </c>
    </row>
    <row r="18" spans="1:7" x14ac:dyDescent="0.25">
      <c r="A18" s="34">
        <f>Talimbue_E!A18</f>
        <v>17</v>
      </c>
      <c r="B18" s="35">
        <f>Talimbue_E!B18/Talimbue_E!L18</f>
        <v>6.3935802469135812</v>
      </c>
      <c r="C18" s="35">
        <f>Talimbue_E!C18/Talimbue_E!L18</f>
        <v>11.193415637860083</v>
      </c>
      <c r="D18" s="35">
        <f>Talimbue_E!G18/Talimbue_E!L18</f>
        <v>4.6156378600823045</v>
      </c>
      <c r="E18" s="35">
        <f>Talimbue_E!D18/Talimbue_E!L18</f>
        <v>0.49662551440329222</v>
      </c>
      <c r="F18" s="35">
        <f>Talimbue_E!J18/Talimbue_E!L18</f>
        <v>1.6049382716049385</v>
      </c>
      <c r="G18" s="34">
        <f>Talimbue_E!K18/Talimbue_E!L18</f>
        <v>0</v>
      </c>
    </row>
    <row r="19" spans="1:7" x14ac:dyDescent="0.25">
      <c r="A19" s="34">
        <f>Talimbue_E!A19</f>
        <v>18</v>
      </c>
      <c r="B19" s="35">
        <f>Talimbue_E!B19/Talimbue_E!L19</f>
        <v>12.775411960748009</v>
      </c>
      <c r="C19" s="35">
        <f>Talimbue_E!C19/Talimbue_E!L19</f>
        <v>12.219959266802444</v>
      </c>
      <c r="D19" s="35">
        <f>Talimbue_E!G19/Talimbue_E!L19</f>
        <v>5.9777818922421782</v>
      </c>
      <c r="E19" s="35">
        <f>Talimbue_E!D19/Talimbue_E!L19</f>
        <v>0.13719681540455472</v>
      </c>
      <c r="F19" s="35">
        <f>Talimbue_E!J19/Talimbue_E!L19</f>
        <v>7.4615811886687657</v>
      </c>
      <c r="G19" s="34">
        <f>Talimbue_E!K19/Talimbue_E!L19</f>
        <v>0</v>
      </c>
    </row>
    <row r="20" spans="1:7" x14ac:dyDescent="0.25">
      <c r="A20" s="34">
        <f>Talimbue_E!A20</f>
        <v>19</v>
      </c>
      <c r="B20" s="35">
        <f>Talimbue_E!B20/Talimbue_E!L20</f>
        <v>10.954513888888888</v>
      </c>
      <c r="C20" s="35">
        <f>Talimbue_E!C20/Talimbue_E!L20</f>
        <v>16.840277777777779</v>
      </c>
      <c r="D20" s="35">
        <f>Talimbue_E!G20/Talimbue_E!L20</f>
        <v>6.5064236111111118</v>
      </c>
      <c r="E20" s="35">
        <f>Talimbue_E!D20/Talimbue_E!L20</f>
        <v>0.50642361111111112</v>
      </c>
      <c r="F20" s="35">
        <f>Talimbue_E!J20/Talimbue_E!L20</f>
        <v>1.2152777777777777</v>
      </c>
      <c r="G20" s="34">
        <f>Talimbue_E!K20/Talimbue_E!L20</f>
        <v>0</v>
      </c>
    </row>
    <row r="21" spans="1:7" x14ac:dyDescent="0.25">
      <c r="A21" s="34">
        <f>Talimbue_E!A21</f>
        <v>20</v>
      </c>
      <c r="B21" s="35">
        <f>Talimbue_E!B21/Talimbue_E!L21</f>
        <v>7.9817559863169887</v>
      </c>
      <c r="C21" s="35">
        <f>Talimbue_E!C21/Talimbue_E!L21</f>
        <v>14.680729760547319</v>
      </c>
      <c r="D21" s="35">
        <f>Talimbue_E!G21/Talimbue_E!L21</f>
        <v>6.7165051311288479</v>
      </c>
      <c r="E21" s="35">
        <f>Talimbue_E!D21/Talimbue_E!L21</f>
        <v>0.15607183580387682</v>
      </c>
      <c r="F21" s="35">
        <f>Talimbue_E!J21/Talimbue_E!L21</f>
        <v>1.0547320410490306</v>
      </c>
      <c r="G21" s="34">
        <f>Talimbue_E!K21/Talimbue_E!L21</f>
        <v>0</v>
      </c>
    </row>
    <row r="22" spans="1:7" x14ac:dyDescent="0.25">
      <c r="A22" s="34">
        <f>Talimbue_E!A22</f>
        <v>21</v>
      </c>
      <c r="B22" s="35">
        <f>Talimbue_E!B22/Talimbue_E!L22</f>
        <v>7.0493695613567757</v>
      </c>
      <c r="C22" s="35">
        <f>Talimbue_E!C22/Talimbue_E!L22</f>
        <v>19.712306872669153</v>
      </c>
      <c r="D22" s="35">
        <f>Talimbue_E!G22/Talimbue_E!L22</f>
        <v>8.4583555318771104</v>
      </c>
      <c r="E22" s="35">
        <f>Talimbue_E!D22/Talimbue_E!L22</f>
        <v>0.19428165512342391</v>
      </c>
      <c r="F22" s="35">
        <f>Talimbue_E!J22/Talimbue_E!L22</f>
        <v>2.921328360859528</v>
      </c>
      <c r="G22" s="34">
        <f>Talimbue_E!K22/Talimbue_E!L22</f>
        <v>0</v>
      </c>
    </row>
    <row r="23" spans="1:7" x14ac:dyDescent="0.25">
      <c r="A23" s="34">
        <f>Talimbue_E!A23</f>
        <v>22</v>
      </c>
      <c r="B23" s="35">
        <f>Talimbue_E!B23/Talimbue_E!L23</f>
        <v>4.9831356560415117</v>
      </c>
      <c r="C23" s="35">
        <f>Talimbue_E!C23/Talimbue_E!L23</f>
        <v>20.756115641215715</v>
      </c>
      <c r="D23" s="35">
        <f>Talimbue_E!G23/Talimbue_E!L23</f>
        <v>7.1719792438843591E-2</v>
      </c>
      <c r="E23" s="35">
        <f>Talimbue_E!D23/Talimbue_E!L23</f>
        <v>0.10989621942179391</v>
      </c>
      <c r="F23" s="34">
        <f>Talimbue_E!J23/Talimbue_E!L23</f>
        <v>0</v>
      </c>
      <c r="G23" s="34">
        <f>Talimbue_E!K23/Talimbue_E!L23</f>
        <v>0</v>
      </c>
    </row>
    <row r="24" spans="1:7" x14ac:dyDescent="0.25">
      <c r="A24" s="34">
        <f>Talimbue_E!A24</f>
        <v>23</v>
      </c>
      <c r="B24" s="35">
        <f>Talimbue_E!B24/Talimbue_E!L24</f>
        <v>6.4553831976654896</v>
      </c>
      <c r="C24" s="35">
        <f>Talimbue_E!C24/Talimbue_E!L24</f>
        <v>16.740900015358623</v>
      </c>
      <c r="D24" s="35">
        <f>Talimbue_E!G24/Talimbue_E!L24</f>
        <v>6.4364920903087084</v>
      </c>
      <c r="E24" s="35">
        <f>Talimbue_E!D24/Talimbue_E!L24</f>
        <v>0.26447550299493167</v>
      </c>
      <c r="F24" s="34">
        <f>Talimbue_E!J24/Talimbue_E!L24</f>
        <v>0</v>
      </c>
      <c r="G24" s="34">
        <f>Talimbue_E!K24/Talimbue_E!L24</f>
        <v>0</v>
      </c>
    </row>
    <row r="25" spans="1:7" x14ac:dyDescent="0.25">
      <c r="A25" s="34">
        <f>Talimbue_E!A25</f>
        <v>24</v>
      </c>
      <c r="B25" s="35">
        <f>Talimbue_E!B25/Talimbue_E!L25</f>
        <v>5.8687013519049565</v>
      </c>
      <c r="C25" s="35">
        <f>Talimbue_E!C25/Talimbue_E!L25</f>
        <v>21.712412945514135</v>
      </c>
      <c r="D25" s="35">
        <f>Talimbue_E!G25/Talimbue_E!L25</f>
        <v>12.199713232281852</v>
      </c>
      <c r="E25" s="34">
        <f>Talimbue_E!D25/Talimbue_E!L25</f>
        <v>0</v>
      </c>
      <c r="F25" s="34">
        <f>Talimbue_E!J25/Talimbue_E!L25</f>
        <v>0</v>
      </c>
      <c r="G25" s="34">
        <f>Talimbue_E!K25/Talimbue_E!L25</f>
        <v>0</v>
      </c>
    </row>
    <row r="26" spans="1:7" x14ac:dyDescent="0.25">
      <c r="A26" s="34">
        <f>Talimbue_E!A26</f>
        <v>25</v>
      </c>
      <c r="B26" s="35">
        <f>Talimbue_E!B26/Talimbue_E!L26</f>
        <v>12.109135499693442</v>
      </c>
      <c r="C26" s="35">
        <f>Talimbue_E!C26/Talimbue_E!L26</f>
        <v>25.90435315757205</v>
      </c>
      <c r="D26" s="35">
        <f>Talimbue_E!G26/Talimbue_E!L26</f>
        <v>9.4278050275904395</v>
      </c>
      <c r="E26" s="35">
        <f>Talimbue_E!D26/Talimbue_E!L26</f>
        <v>0.14209074187614965</v>
      </c>
      <c r="F26" s="35">
        <f>Talimbue_E!J26/Talimbue_E!L26</f>
        <v>0.56713672593500941</v>
      </c>
      <c r="G26" s="34">
        <f>Talimbue_E!K26/Talimbue_E!L26</f>
        <v>0</v>
      </c>
    </row>
    <row r="27" spans="1:7" x14ac:dyDescent="0.25">
      <c r="A27" s="34">
        <f>Talimbue_E!A27</f>
        <v>26</v>
      </c>
      <c r="B27" s="35">
        <f>Talimbue_E!B27/Talimbue_E!L27</f>
        <v>6.9241241604646948</v>
      </c>
      <c r="C27" s="35">
        <f>Talimbue_E!C27/Talimbue_E!L27</f>
        <v>28.589580686149937</v>
      </c>
      <c r="D27" s="35">
        <f>Talimbue_E!G27/Talimbue_E!L27</f>
        <v>7.3396260664367396</v>
      </c>
      <c r="E27" s="35">
        <f>Talimbue_E!D27/Talimbue_E!L27</f>
        <v>7.4968233799237616E-2</v>
      </c>
      <c r="F27" s="35">
        <f>Talimbue_E!J27/Talimbue_E!L27</f>
        <v>9.0760573606825198E-2</v>
      </c>
      <c r="G27" s="34">
        <f>Talimbue_E!K27/Talimbue_E!L27</f>
        <v>0</v>
      </c>
    </row>
    <row r="28" spans="1:7" x14ac:dyDescent="0.25">
      <c r="A28" s="34">
        <f>Talimbue_E!A28</f>
        <v>27</v>
      </c>
      <c r="B28" s="35">
        <f>Talimbue_E!B28/Talimbue_E!L28</f>
        <v>9.41360437842064</v>
      </c>
      <c r="C28" s="35">
        <f>Talimbue_E!C28/Talimbue_E!L28</f>
        <v>18.530101641907738</v>
      </c>
      <c r="D28" s="35">
        <f>Talimbue_E!G28/Talimbue_E!L28</f>
        <v>7.740422204847536</v>
      </c>
      <c r="E28" s="34">
        <f>Talimbue_E!D28/Talimbue_E!L28</f>
        <v>0</v>
      </c>
      <c r="F28" s="34">
        <f>Talimbue_E!J28/Talimbue_E!L28</f>
        <v>0</v>
      </c>
      <c r="G28" s="34">
        <f>Talimbue_E!K28/Talimbue_E!L28</f>
        <v>0</v>
      </c>
    </row>
    <row r="29" spans="1:7" x14ac:dyDescent="0.25">
      <c r="A29" s="34">
        <f>Talimbue_E!A29</f>
        <v>28</v>
      </c>
      <c r="B29" s="35">
        <f>Talimbue_E!B29/Talimbue_E!L29</f>
        <v>8.6840545346769407</v>
      </c>
      <c r="C29" s="35">
        <f>Talimbue_E!C29/Talimbue_E!L29</f>
        <v>21.932424422050978</v>
      </c>
      <c r="D29" s="35">
        <f>Talimbue_E!G29/Talimbue_E!L29</f>
        <v>8.3876704208654402</v>
      </c>
      <c r="E29" s="35">
        <f>Talimbue_E!D29/Talimbue_E!L29</f>
        <v>1.1410788381742738E-2</v>
      </c>
      <c r="F29" s="34">
        <f>Talimbue_E!J29/Talimbue_E!L29</f>
        <v>0</v>
      </c>
      <c r="G29" s="34">
        <f>Talimbue_E!K29/Talimbue_E!L29</f>
        <v>0</v>
      </c>
    </row>
    <row r="30" spans="1:7" x14ac:dyDescent="0.25">
      <c r="A30" s="34">
        <f>Talimbue_E!A30</f>
        <v>29</v>
      </c>
      <c r="B30" s="35">
        <f>Talimbue_E!B30/Talimbue_E!L30</f>
        <v>6.6169154228855733</v>
      </c>
      <c r="C30" s="35">
        <f>Talimbue_E!C30/Talimbue_E!L30</f>
        <v>27.363184079601993</v>
      </c>
      <c r="D30" s="35">
        <f>Talimbue_E!G30/Talimbue_E!L30</f>
        <v>9.0878938640132692</v>
      </c>
      <c r="E30" s="35">
        <f>Talimbue_E!D30/Talimbue_E!L30</f>
        <v>1.6086235489220568E-2</v>
      </c>
      <c r="F30" s="35">
        <f>Talimbue_E!J30/Talimbue_E!L30</f>
        <v>0.53067993366500843</v>
      </c>
      <c r="G30" s="34">
        <f>Talimbue_E!K30/Talimbue_E!L30</f>
        <v>0</v>
      </c>
    </row>
    <row r="31" spans="1:7" x14ac:dyDescent="0.25">
      <c r="A31" s="34">
        <f>Talimbue_E!A31</f>
        <v>30</v>
      </c>
      <c r="B31" s="35">
        <f>Talimbue_E!B31/Talimbue_E!L31</f>
        <v>7.3703108759331002</v>
      </c>
      <c r="C31" s="35">
        <f>Talimbue_E!C31/Talimbue_E!L31</f>
        <v>21.638476802418975</v>
      </c>
      <c r="D31" s="35">
        <f>Talimbue_E!G31/Talimbue_E!L31</f>
        <v>8.2615515449305477</v>
      </c>
      <c r="E31" s="35">
        <f>Talimbue_E!D31/Talimbue_E!L31</f>
        <v>0.16970613247661345</v>
      </c>
      <c r="F31" s="34">
        <f>Talimbue_E!J31/Talimbue_E!L31</f>
        <v>0</v>
      </c>
      <c r="G31" s="34">
        <f>Talimbue_E!K31/Talimbue_E!L31</f>
        <v>0</v>
      </c>
    </row>
    <row r="32" spans="1:7" x14ac:dyDescent="0.25">
      <c r="A32" s="34">
        <f>Talimbue_E!A32</f>
        <v>31</v>
      </c>
      <c r="B32" s="35">
        <f>Talimbue_E!B32/Talimbue_E!L32</f>
        <v>13.917282591602458</v>
      </c>
      <c r="C32" s="35">
        <f>Talimbue_E!C32/Talimbue_E!L32</f>
        <v>18.16323321276931</v>
      </c>
      <c r="D32" s="35">
        <f>Talimbue_E!G32/Talimbue_E!L32</f>
        <v>6.7276301305236688</v>
      </c>
      <c r="E32" s="35">
        <f>Talimbue_E!D32/Talimbue_E!L32</f>
        <v>0.21324107564082409</v>
      </c>
      <c r="F32" s="34">
        <f>Talimbue_E!J32/Talimbue_E!L32</f>
        <v>0</v>
      </c>
      <c r="G32" s="34">
        <f>Talimbue_E!K32/Talimbue_E!L32</f>
        <v>0</v>
      </c>
    </row>
    <row r="33" spans="1:12" x14ac:dyDescent="0.25">
      <c r="A33" s="34">
        <f>Talimbue_E!A33</f>
        <v>32</v>
      </c>
      <c r="B33" s="35">
        <f>Talimbue_E!B33/Talimbue_E!L33</f>
        <v>9.7633136094674562</v>
      </c>
      <c r="C33" s="35">
        <f>Talimbue_E!C33/Talimbue_E!L33</f>
        <v>15.088757396449706</v>
      </c>
      <c r="D33" s="35">
        <f>Talimbue_E!G33/Talimbue_E!L33</f>
        <v>8.2767751479289942</v>
      </c>
      <c r="E33" s="35">
        <f>Talimbue_E!D33/Talimbue_E!L33</f>
        <v>8.1952662721893499E-2</v>
      </c>
      <c r="F33" s="34">
        <f>Talimbue_E!J33/Talimbue_E!L33</f>
        <v>0</v>
      </c>
      <c r="G33" s="34">
        <f>Talimbue_E!K33/Talimbue_E!L33</f>
        <v>0</v>
      </c>
    </row>
    <row r="34" spans="1:12" x14ac:dyDescent="0.25">
      <c r="A34" s="34">
        <f>Talimbue_E!A34</f>
        <v>33</v>
      </c>
      <c r="B34" s="35">
        <f>Talimbue_E!B34/Talimbue_E!L34</f>
        <v>9.2536099247508634</v>
      </c>
      <c r="C34" s="35">
        <f>Talimbue_E!C34/Talimbue_E!L34</f>
        <v>18.405531828350618</v>
      </c>
      <c r="D34" s="35">
        <f>Talimbue_E!G34/Talimbue_E!L34</f>
        <v>9.5072198495017286</v>
      </c>
      <c r="E34" s="35">
        <f>Talimbue_E!D34/Talimbue_E!L34</f>
        <v>0.22717103925157617</v>
      </c>
      <c r="F34" s="35">
        <f>Talimbue_E!J34/Talimbue_E!L34</f>
        <v>0.32540166768354689</v>
      </c>
      <c r="G34" s="34">
        <f>Talimbue_E!K34/Talimbue_E!L34</f>
        <v>0</v>
      </c>
    </row>
    <row r="35" spans="1:12" x14ac:dyDescent="0.25">
      <c r="A35" s="34">
        <f>Talimbue_E!A35</f>
        <v>34</v>
      </c>
      <c r="B35" s="35">
        <f>Talimbue_E!B35/Talimbue_E!L35</f>
        <v>14.514054749219179</v>
      </c>
      <c r="C35" s="35">
        <f>Talimbue_E!C35/Talimbue_E!L35</f>
        <v>20.301304427705308</v>
      </c>
      <c r="D35" s="35">
        <f>Talimbue_E!G35/Talimbue_E!L35</f>
        <v>7.5629248576152843</v>
      </c>
      <c r="E35" s="35">
        <f>Talimbue_E!D35/Talimbue_E!L35</f>
        <v>0.23700165349990812</v>
      </c>
      <c r="F35" s="34">
        <f>Talimbue_E!J35/Talimbue_E!L35</f>
        <v>0</v>
      </c>
      <c r="G35" s="34">
        <f>Talimbue_E!K35/Talimbue_E!L35</f>
        <v>0</v>
      </c>
    </row>
    <row r="36" spans="1:12" x14ac:dyDescent="0.25">
      <c r="A36" s="34">
        <f>Talimbue_E!A36</f>
        <v>35</v>
      </c>
      <c r="B36" s="35">
        <f>Talimbue_E!B36/Talimbue_E!L36</f>
        <v>6.5428087465352629</v>
      </c>
      <c r="C36" s="35">
        <f>Talimbue_E!C36/Talimbue_E!L36</f>
        <v>10.856174930705267</v>
      </c>
      <c r="D36" s="35">
        <f>Talimbue_E!G36/Talimbue_E!L36</f>
        <v>5.5041576840160147</v>
      </c>
      <c r="E36" s="35">
        <f>Talimbue_E!D36/Talimbue_E!L36</f>
        <v>0.13689559593470899</v>
      </c>
      <c r="F36" s="34">
        <f>Talimbue_E!J36/Talimbue_E!L36</f>
        <v>0</v>
      </c>
      <c r="G36" s="34">
        <f>Talimbue_E!K36/Talimbue_E!L36</f>
        <v>0</v>
      </c>
    </row>
    <row r="37" spans="1:12" x14ac:dyDescent="0.25">
      <c r="A37" s="34">
        <f>Talimbue_E!A37</f>
        <v>36</v>
      </c>
      <c r="B37" s="35">
        <f>Talimbue_E!B37/Talimbue_E!L37</f>
        <v>10.928961748633879</v>
      </c>
      <c r="C37" s="35">
        <f>Talimbue_E!C37/Talimbue_E!L37</f>
        <v>17.21311475409836</v>
      </c>
      <c r="D37" s="35">
        <f>Talimbue_E!G37/Talimbue_E!L37</f>
        <v>8.7205828779599273</v>
      </c>
      <c r="E37" s="35">
        <f>Talimbue_E!D37/Talimbue_E!L37</f>
        <v>0.21183970856102005</v>
      </c>
      <c r="F37" s="34">
        <f>Talimbue_E!J37/Talimbue_E!L37</f>
        <v>0</v>
      </c>
      <c r="G37" s="34">
        <f>Talimbue_E!K37/Talimbue_E!L37</f>
        <v>0</v>
      </c>
      <c r="L37" s="1"/>
    </row>
    <row r="38" spans="1:12" x14ac:dyDescent="0.25">
      <c r="A38" s="34">
        <f>Talimbue_E!A38</f>
        <v>37</v>
      </c>
      <c r="B38" s="35">
        <f>Talimbue_E!B38/Talimbue_E!L38</f>
        <v>7.3306467088850509</v>
      </c>
      <c r="C38" s="35">
        <f>Talimbue_E!C38/Talimbue_E!L38</f>
        <v>21.205142966800999</v>
      </c>
      <c r="D38" s="35">
        <f>Talimbue_E!G38/Talimbue_E!L38</f>
        <v>6.8424486662828636</v>
      </c>
      <c r="E38" s="35">
        <f>Talimbue_E!D38/Talimbue_E!L38</f>
        <v>0.24160429859911725</v>
      </c>
      <c r="F38" s="34">
        <f>Talimbue_E!J38/Talimbue_E!L38</f>
        <v>0</v>
      </c>
      <c r="G38" s="34">
        <f>Talimbue_E!K38/Talimbue_E!L38</f>
        <v>0</v>
      </c>
    </row>
    <row r="39" spans="1:12" x14ac:dyDescent="0.25">
      <c r="A39" s="34">
        <f>Talimbue_E!A39</f>
        <v>38</v>
      </c>
      <c r="B39" s="35">
        <f>Talimbue_E!B39/Talimbue_E!L39</f>
        <v>4.375</v>
      </c>
      <c r="C39" s="35">
        <f>Talimbue_E!C39/Talimbue_E!L39</f>
        <v>22.017045454545453</v>
      </c>
      <c r="D39" s="35">
        <f>Talimbue_E!G39/Talimbue_E!L39</f>
        <v>5.5434659090909086</v>
      </c>
      <c r="E39" s="35">
        <f>Talimbue_E!D39/Talimbue_E!L39</f>
        <v>0.25142045454545453</v>
      </c>
      <c r="F39" s="34">
        <f>Talimbue_E!J39/Talimbue_E!L39</f>
        <v>0</v>
      </c>
      <c r="G39" s="34">
        <f>Talimbue_E!K39/Talimbue_E!L39</f>
        <v>0</v>
      </c>
    </row>
    <row r="40" spans="1:12" x14ac:dyDescent="0.25">
      <c r="A40" s="34">
        <f>Talimbue_E!A40</f>
        <v>39</v>
      </c>
      <c r="B40" s="35">
        <f>Talimbue_E!B40/Talimbue_E!L40</f>
        <v>6.5202975557917107</v>
      </c>
      <c r="C40" s="35">
        <f>Talimbue_E!C40/Talimbue_E!L40</f>
        <v>17.428267800212542</v>
      </c>
      <c r="D40" s="35">
        <f>Talimbue_E!G40/Talimbue_E!L40</f>
        <v>5.2811902231668437</v>
      </c>
      <c r="E40" s="35">
        <f>Talimbue_E!D40/Talimbue_E!L40</f>
        <v>0.30414452709883105</v>
      </c>
      <c r="F40" s="34">
        <f>Talimbue_E!J40/Talimbue_E!L40</f>
        <v>0</v>
      </c>
      <c r="G40" s="34">
        <f>Talimbue_E!K40/Talimbue_E!L40</f>
        <v>0</v>
      </c>
    </row>
    <row r="41" spans="1:12" x14ac:dyDescent="0.25">
      <c r="A41" s="34">
        <f>Talimbue_E!A41</f>
        <v>40</v>
      </c>
      <c r="B41" s="35">
        <f>Talimbue_E!B41/Talimbue_E!L41</f>
        <v>2.6037852293766717</v>
      </c>
      <c r="C41" s="35">
        <f>Talimbue_E!C41/Talimbue_E!L41</f>
        <v>7.0973050812590017</v>
      </c>
      <c r="D41" s="35">
        <f>Talimbue_E!G41/Talimbue_E!L41</f>
        <v>2.5089487759720224</v>
      </c>
      <c r="E41" s="35">
        <f>Talimbue_E!D41/Talimbue_E!L41</f>
        <v>9.9362271137626024E-2</v>
      </c>
      <c r="F41" s="34">
        <f>Talimbue_E!J41/Talimbue_E!L41</f>
        <v>0</v>
      </c>
      <c r="G41" s="34">
        <f>Talimbue_E!K41/Talimbue_E!L41</f>
        <v>0</v>
      </c>
    </row>
    <row r="42" spans="1:12" x14ac:dyDescent="0.25">
      <c r="A42" s="34">
        <f>Talimbue_E!A42</f>
        <v>41</v>
      </c>
      <c r="B42" s="35">
        <f>Talimbue_E!B42/Talimbue_E!L42</f>
        <v>12.405651248306562</v>
      </c>
      <c r="C42" s="35">
        <f>Talimbue_E!C42/Talimbue_E!L42</f>
        <v>3.3868782659183281</v>
      </c>
      <c r="D42" s="35">
        <f>Talimbue_E!G42/Talimbue_E!L42</f>
        <v>2.7573059802593383</v>
      </c>
      <c r="E42" s="35">
        <f>Talimbue_E!D42/Talimbue_E!L42</f>
        <v>0.17185988000774147</v>
      </c>
      <c r="F42" s="34">
        <f>Talimbue_E!J42/Talimbue_E!L42</f>
        <v>0</v>
      </c>
      <c r="G42" s="34">
        <f>Talimbue_E!K42/Talimbue_E!L42</f>
        <v>0</v>
      </c>
    </row>
    <row r="43" spans="1:12" x14ac:dyDescent="0.25">
      <c r="A43" s="34">
        <f>Talimbue_E!A43</f>
        <v>42</v>
      </c>
      <c r="B43" s="35">
        <f>Talimbue_E!B43/Talimbue_E!L43</f>
        <v>5.4131637168141591</v>
      </c>
      <c r="C43" s="35">
        <f>Talimbue_E!C43/Talimbue_E!L43</f>
        <v>5.7153392330383479</v>
      </c>
      <c r="D43" s="35">
        <f>Talimbue_E!G43/Talimbue_E!L43</f>
        <v>4.8785029498525079</v>
      </c>
      <c r="E43" s="35">
        <f>Talimbue_E!D43/Talimbue_E!L43</f>
        <v>6.1946902654867249E-2</v>
      </c>
      <c r="F43" s="34">
        <f>Talimbue_E!J43/Talimbue_E!L43</f>
        <v>0</v>
      </c>
      <c r="G43" s="34">
        <f>Talimbue_E!K43/Talimbue_E!L43</f>
        <v>0</v>
      </c>
    </row>
    <row r="44" spans="1:12" x14ac:dyDescent="0.25">
      <c r="A44" s="34">
        <f>Talimbue_E!A44</f>
        <v>43</v>
      </c>
      <c r="B44" s="35">
        <f>Talimbue_E!B44/Talimbue_E!L44</f>
        <v>4.6750463630743866</v>
      </c>
      <c r="C44" s="35">
        <f>Talimbue_E!C44/Talimbue_E!L44</f>
        <v>7.5211209561096224</v>
      </c>
      <c r="D44" s="35">
        <f>Talimbue_E!G44/Talimbue_E!L44</f>
        <v>3.6150834535338965</v>
      </c>
      <c r="E44" s="35">
        <f>Talimbue_E!D44/Talimbue_E!L44</f>
        <v>6.7793117659179891E-2</v>
      </c>
      <c r="F44" s="34">
        <f>Talimbue_E!J44/Talimbue_E!L44</f>
        <v>0</v>
      </c>
      <c r="G44" s="34">
        <f>Talimbue_E!K44/Talimbue_E!L44</f>
        <v>0</v>
      </c>
    </row>
    <row r="45" spans="1:12" x14ac:dyDescent="0.25">
      <c r="A45" s="34">
        <f>Talimbue_E!A45</f>
        <v>44</v>
      </c>
      <c r="B45" s="35">
        <f>Talimbue_E!B45/Talimbue_E!L45</f>
        <v>12.466307277628031</v>
      </c>
      <c r="C45" s="35">
        <f>Talimbue_E!C45/Talimbue_E!L45</f>
        <v>9.0128032345013462</v>
      </c>
      <c r="D45" s="35">
        <f>Talimbue_E!G45/Talimbue_E!L45</f>
        <v>6.2021563342318045</v>
      </c>
      <c r="E45" s="35">
        <f>Talimbue_E!D45/Talimbue_E!L45</f>
        <v>0.15953504043126684</v>
      </c>
      <c r="F45" s="34">
        <f>Talimbue_E!J45/Talimbue_E!L45</f>
        <v>0</v>
      </c>
      <c r="G45" s="34">
        <f>Talimbue_E!K45/Talimbue_E!L45</f>
        <v>0</v>
      </c>
    </row>
    <row r="46" spans="1:12" x14ac:dyDescent="0.25">
      <c r="A46" s="34">
        <f>Talimbue_E!A46</f>
        <v>45</v>
      </c>
      <c r="B46" s="35">
        <f>Talimbue_E!B46/Talimbue_E!L46</f>
        <v>9.2685550376479036</v>
      </c>
      <c r="C46" s="35">
        <f>Talimbue_E!C46/Talimbue_E!L46</f>
        <v>16.314091072068845</v>
      </c>
      <c r="D46" s="35">
        <f>Talimbue_E!G46/Talimbue_E!L46</f>
        <v>6.7540337038365017</v>
      </c>
      <c r="E46" s="35">
        <f>Talimbue_E!D46/Talimbue_E!L46</f>
        <v>9.2685550376479034E-2</v>
      </c>
      <c r="F46" s="34">
        <f>Talimbue_E!J46/Talimbue_E!L46</f>
        <v>0</v>
      </c>
      <c r="G46" s="34">
        <f>Talimbue_E!K46/Talimbue_E!L46</f>
        <v>0</v>
      </c>
    </row>
    <row r="47" spans="1:12" x14ac:dyDescent="0.25">
      <c r="A47" s="34">
        <f>Talimbue_E!A47</f>
        <v>46</v>
      </c>
      <c r="B47" s="35">
        <f>Talimbue_E!B47/Talimbue_E!L47</f>
        <v>10.707663782447467</v>
      </c>
      <c r="C47" s="35">
        <f>Talimbue_E!C47/Talimbue_E!L47</f>
        <v>14.060568603213845</v>
      </c>
      <c r="D47" s="35">
        <f>Talimbue_E!G47/Talimbue_E!L47</f>
        <v>5.3535228677379481</v>
      </c>
      <c r="E47" s="35">
        <f>Talimbue_E!D47/Talimbue_E!L47</f>
        <v>2.0859085290482079E-2</v>
      </c>
      <c r="F47" s="34">
        <f>Talimbue_E!J47/Talimbue_E!L47</f>
        <v>0</v>
      </c>
      <c r="G47" s="34">
        <f>Talimbue_E!K47/Talimbue_E!L47</f>
        <v>0</v>
      </c>
    </row>
    <row r="48" spans="1:12" x14ac:dyDescent="0.25">
      <c r="A48" s="34">
        <f>Talimbue_E!A48</f>
        <v>47</v>
      </c>
      <c r="B48" s="35">
        <f>Talimbue_E!B48/Talimbue_E!L48</f>
        <v>16.602665461938106</v>
      </c>
      <c r="C48" s="35">
        <f>Talimbue_E!C48/Talimbue_E!L48</f>
        <v>18.861531511181386</v>
      </c>
      <c r="D48" s="35">
        <f>Talimbue_E!G48/Talimbue_E!L48</f>
        <v>14.412468940591822</v>
      </c>
      <c r="E48" s="35">
        <f>Talimbue_E!D48/Talimbue_E!L48</f>
        <v>7.7930878698893161E-2</v>
      </c>
      <c r="F48" s="34">
        <f>Talimbue_E!J48/Talimbue_E!L48</f>
        <v>0</v>
      </c>
      <c r="G48" s="34">
        <f>Talimbue_E!K48/Talimbue_E!L48</f>
        <v>0</v>
      </c>
    </row>
    <row r="49" spans="1:7" x14ac:dyDescent="0.25">
      <c r="A49" s="34">
        <f>Talimbue_E!A49</f>
        <v>48</v>
      </c>
      <c r="B49" s="35">
        <f>Talimbue_E!B49/Talimbue_E!L49</f>
        <v>7.1218798955613574</v>
      </c>
      <c r="C49" s="35">
        <f>Talimbue_E!C49/Talimbue_E!L49</f>
        <v>13.054830287206267</v>
      </c>
      <c r="D49" s="35">
        <f>Talimbue_E!G49/Talimbue_E!L49</f>
        <v>7.676657963446476</v>
      </c>
      <c r="E49" s="35">
        <f>Talimbue_E!D49/Talimbue_E!L49</f>
        <v>2.0052219321148826E-2</v>
      </c>
      <c r="F49" s="34">
        <f>Talimbue_E!J49/Talimbue_E!L49</f>
        <v>0</v>
      </c>
      <c r="G49" s="34">
        <f>Talimbue_E!K49/Talimbue_E!L49</f>
        <v>0</v>
      </c>
    </row>
    <row r="50" spans="1:7" x14ac:dyDescent="0.25">
      <c r="A50" s="34">
        <f>Talimbue_E!A50</f>
        <v>49</v>
      </c>
      <c r="B50" s="35">
        <f>Talimbue_E!B50/Talimbue_E!L50</f>
        <v>7.1187043957999645</v>
      </c>
      <c r="C50" s="35">
        <f>Talimbue_E!C50/Talimbue_E!L50</f>
        <v>13.347570742124933</v>
      </c>
      <c r="D50" s="35">
        <f>Talimbue_E!G50/Talimbue_E!L50</f>
        <v>9.5040042712226374</v>
      </c>
      <c r="E50" s="35">
        <f>Talimbue_E!D50/Talimbue_E!L50</f>
        <v>6.7627691760099667E-2</v>
      </c>
      <c r="F50" s="34">
        <f>Talimbue_E!J50/Talimbue_E!L50</f>
        <v>0</v>
      </c>
      <c r="G50" s="34">
        <f>Talimbue_E!K50/Talimbue_E!L50</f>
        <v>0</v>
      </c>
    </row>
    <row r="51" spans="1:7" x14ac:dyDescent="0.25">
      <c r="A51" s="34">
        <f>Talimbue_E!A51</f>
        <v>50</v>
      </c>
      <c r="B51" s="35">
        <f>Talimbue_E!B51/Talimbue_E!L51</f>
        <v>4.6335014311026299</v>
      </c>
      <c r="C51" s="35">
        <f>Talimbue_E!C51/Talimbue_E!L51</f>
        <v>11.039934578165463</v>
      </c>
      <c r="D51" s="35">
        <f>Talimbue_E!G51/Talimbue_E!L51</f>
        <v>8.0441597383126613</v>
      </c>
      <c r="E51" s="35">
        <f>Talimbue_E!D51/Talimbue_E!L51</f>
        <v>1.3356957884694015E-2</v>
      </c>
      <c r="F51" s="34">
        <f>Talimbue_E!J51/Talimbue_E!L51</f>
        <v>0</v>
      </c>
      <c r="G51" s="34">
        <f>Talimbue_E!K51/Talimbue_E!L51</f>
        <v>0</v>
      </c>
    </row>
    <row r="52" spans="1:7" x14ac:dyDescent="0.25">
      <c r="A52" s="34">
        <f>Talimbue_E!A52</f>
        <v>51</v>
      </c>
      <c r="B52" s="35">
        <f>Talimbue_E!B52/Talimbue_E!L52</f>
        <v>5.142755807767335</v>
      </c>
      <c r="C52" s="35">
        <f>Talimbue_E!C52/Talimbue_E!L52</f>
        <v>11.526866465685407</v>
      </c>
      <c r="D52" s="35">
        <f>Talimbue_E!G52/Talimbue_E!L52</f>
        <v>7.4862564284447606</v>
      </c>
      <c r="E52" s="35">
        <f>Talimbue_E!D52/Talimbue_E!L52</f>
        <v>1.2945557723000533E-2</v>
      </c>
      <c r="F52" s="34">
        <f>Talimbue_E!J52/Talimbue_E!L52</f>
        <v>0</v>
      </c>
      <c r="G52" s="34">
        <f>Talimbue_E!K52/Talimbue_E!L52</f>
        <v>0</v>
      </c>
    </row>
    <row r="53" spans="1:7" x14ac:dyDescent="0.25">
      <c r="A53" s="34">
        <f>Talimbue_E!A53</f>
        <v>52</v>
      </c>
      <c r="B53" s="35">
        <f>Talimbue_E!B53/Talimbue_E!L53</f>
        <v>10.865066225165565</v>
      </c>
      <c r="C53" s="35">
        <f>Talimbue_E!C53/Talimbue_E!L53</f>
        <v>8.071192052980134</v>
      </c>
      <c r="D53" s="35">
        <f>Talimbue_E!G53/Talimbue_E!L53</f>
        <v>9.1297599337748352</v>
      </c>
      <c r="E53" s="35">
        <f>Talimbue_E!D53/Talimbue_E!L53</f>
        <v>1.1796357615894041E-2</v>
      </c>
      <c r="F53" s="34">
        <f>Talimbue_E!J53/Talimbue_E!L53</f>
        <v>0</v>
      </c>
      <c r="G53" s="34">
        <f>Talimbue_E!K53/Talimbue_E!L53</f>
        <v>0</v>
      </c>
    </row>
    <row r="54" spans="1:7" x14ac:dyDescent="0.25">
      <c r="A54" s="34">
        <f>Talimbue_E!A54</f>
        <v>53</v>
      </c>
      <c r="B54" s="35">
        <f>Talimbue_E!B54/Talimbue_E!L54</f>
        <v>7.1510924369747899</v>
      </c>
      <c r="C54" s="34">
        <f>Talimbue_E!C54/Talimbue_E!L54</f>
        <v>0</v>
      </c>
      <c r="D54" s="35">
        <f>Talimbue_E!G54/Talimbue_E!L54</f>
        <v>7.8235294117647056</v>
      </c>
      <c r="E54" s="35">
        <f>Talimbue_E!D54/Talimbue_E!L54</f>
        <v>2.8571428571428571E-2</v>
      </c>
      <c r="F54" s="35">
        <f>Talimbue_E!J54/Talimbue_E!L54</f>
        <v>1.680672268907563E-2</v>
      </c>
      <c r="G54" s="34">
        <f>Talimbue_E!K54/Talimbue_E!L54</f>
        <v>0</v>
      </c>
    </row>
    <row r="55" spans="1:7" x14ac:dyDescent="0.25">
      <c r="A55" s="34">
        <f>Talimbue_E!A55</f>
        <v>54</v>
      </c>
      <c r="B55" s="35">
        <f>Talimbue_E!B55/Talimbue_E!L55</f>
        <v>11.794276875483373</v>
      </c>
      <c r="C55" s="35">
        <f>Talimbue_E!C55/Talimbue_E!L55</f>
        <v>4.5657385924207272</v>
      </c>
      <c r="D55" s="35">
        <f>Talimbue_E!G55/Talimbue_E!L55</f>
        <v>7.7103634957463258</v>
      </c>
      <c r="E55" s="35">
        <f>Talimbue_E!D55/Talimbue_E!L55</f>
        <v>5.2784222737819027E-2</v>
      </c>
      <c r="F55" s="35">
        <f>Talimbue_E!J55/Talimbue_E!L55</f>
        <v>0.32869296210363497</v>
      </c>
      <c r="G55" s="34">
        <f>Talimbue_E!K55/Talimbue_E!L55</f>
        <v>0</v>
      </c>
    </row>
    <row r="56" spans="1:7" x14ac:dyDescent="0.25">
      <c r="A56" s="34">
        <f>Talimbue_E!A56</f>
        <v>55</v>
      </c>
      <c r="B56" s="35">
        <f>Talimbue_E!B56/Talimbue_E!L56</f>
        <v>5.1541945647892877</v>
      </c>
      <c r="C56" s="34">
        <f>Talimbue_E!C56/Talimbue_E!L56</f>
        <v>0</v>
      </c>
      <c r="D56" s="35">
        <f>Talimbue_E!G56/Talimbue_E!L56</f>
        <v>5.124261520283576</v>
      </c>
      <c r="E56" s="35">
        <f>Talimbue_E!D56/Talimbue_E!L56</f>
        <v>6.0063016935801489E-2</v>
      </c>
      <c r="F56" s="34">
        <f>Talimbue_E!J56/Talimbue_E!L56</f>
        <v>0</v>
      </c>
      <c r="G56" s="34">
        <f>Talimbue_E!K56/Talimbue_E!L56</f>
        <v>0</v>
      </c>
    </row>
    <row r="57" spans="1:7" x14ac:dyDescent="0.25">
      <c r="A57" s="34">
        <f>Talimbue_E!A57</f>
        <v>56</v>
      </c>
      <c r="B57" s="35">
        <f>Talimbue_E!B57/Talimbue_E!L57</f>
        <v>11.015997754701093</v>
      </c>
      <c r="C57" s="35">
        <f>Talimbue_E!C57/Talimbue_E!L57</f>
        <v>0.63149031714847037</v>
      </c>
      <c r="D57" s="35">
        <f>Talimbue_E!G57/Talimbue_E!L57</f>
        <v>4.6846758349705295</v>
      </c>
      <c r="E57" s="35">
        <f>Talimbue_E!D57/Talimbue_E!L57</f>
        <v>4.3783328655627278E-2</v>
      </c>
      <c r="F57" s="35">
        <f>Talimbue_E!J57/Talimbue_E!L57</f>
        <v>0.18944709514454111</v>
      </c>
      <c r="G57" s="34">
        <f>Talimbue_E!K57/Talimbue_E!L57</f>
        <v>0</v>
      </c>
    </row>
    <row r="58" spans="1:7" x14ac:dyDescent="0.25">
      <c r="A58" s="34">
        <f>Talimbue_E!A58</f>
        <v>57</v>
      </c>
      <c r="B58" s="35">
        <f>Talimbue_E!B58/Talimbue_E!L58</f>
        <v>14.163524326312885</v>
      </c>
      <c r="C58" s="35">
        <f>Talimbue_E!C58/Talimbue_E!L58</f>
        <v>1.9313896808608479</v>
      </c>
      <c r="D58" s="35">
        <f>Talimbue_E!G58/Talimbue_E!L58</f>
        <v>2.9412305711395192</v>
      </c>
      <c r="E58" s="35">
        <f>Talimbue_E!D58/Talimbue_E!L58</f>
        <v>5.0216131702382046E-2</v>
      </c>
      <c r="F58" s="35">
        <f>Talimbue_E!J58/Talimbue_E!L58</f>
        <v>1.6646739630276832</v>
      </c>
      <c r="G58" s="34">
        <f>Talimbue_E!K58/Talimbue_E!L58</f>
        <v>0</v>
      </c>
    </row>
    <row r="59" spans="1:7" x14ac:dyDescent="0.25">
      <c r="A59" s="34">
        <f>Talimbue_E!A59</f>
        <v>58</v>
      </c>
      <c r="B59" s="35">
        <f>Talimbue_E!B59/Talimbue_E!L59</f>
        <v>12.891658840604453</v>
      </c>
      <c r="C59" s="35">
        <f>Talimbue_E!C59/Talimbue_E!L59</f>
        <v>5.4513788098693743</v>
      </c>
      <c r="D59" s="35">
        <f>Talimbue_E!G59/Talimbue_E!L59</f>
        <v>2.9681550414069835</v>
      </c>
      <c r="E59" s="35">
        <f>Talimbue_E!D59/Talimbue_E!L59</f>
        <v>5.460599334073251E-2</v>
      </c>
      <c r="F59" s="35">
        <f>Talimbue_E!J59/Talimbue_E!L59</f>
        <v>2.740544693929821</v>
      </c>
      <c r="G59" s="34">
        <f>Talimbue_E!K59/Talimbue_E!L59</f>
        <v>0</v>
      </c>
    </row>
    <row r="60" spans="1:7" x14ac:dyDescent="0.25">
      <c r="A60" s="34">
        <f>Talimbue_E!A60</f>
        <v>59</v>
      </c>
      <c r="B60" s="35">
        <f>Talimbue_E!B60/Talimbue_E!L60</f>
        <v>12.61439081284766</v>
      </c>
      <c r="C60" s="35">
        <f>Talimbue_E!C60/Talimbue_E!L60</f>
        <v>4.5092409833123996</v>
      </c>
      <c r="D60" s="35">
        <f>Talimbue_E!G60/Talimbue_E!L60</f>
        <v>3.7992104790956396</v>
      </c>
      <c r="E60" s="35">
        <f>Talimbue_E!D60/Talimbue_E!L60</f>
        <v>7.8952090436030881E-2</v>
      </c>
      <c r="F60" s="34">
        <f>Talimbue_E!J60/Talimbue_E!L60</f>
        <v>0</v>
      </c>
      <c r="G60" s="34">
        <f>Talimbue_E!K60/Talimbue_E!L60</f>
        <v>0</v>
      </c>
    </row>
    <row r="61" spans="1:7" x14ac:dyDescent="0.25">
      <c r="A61" s="34">
        <f>Talimbue_E!A61</f>
        <v>60</v>
      </c>
      <c r="B61" s="35">
        <f>Talimbue_E!B61/Talimbue_E!L61</f>
        <v>14.710972654897889</v>
      </c>
      <c r="C61" s="35">
        <f>Talimbue_E!C61/Talimbue_E!L61</f>
        <v>2.8040844582900659</v>
      </c>
      <c r="D61" s="35">
        <f>Talimbue_E!G61/Talimbue_E!L61</f>
        <v>4.3686396677050876</v>
      </c>
      <c r="E61" s="35">
        <f>Talimbue_E!D61/Talimbue_E!L61</f>
        <v>5.659397715472482E-2</v>
      </c>
      <c r="F61" s="35">
        <f>Talimbue_E!J61/Talimbue_E!L61</f>
        <v>0.94323295257874695</v>
      </c>
      <c r="G61" s="34">
        <f>Talimbue_E!K61/Talimbue_E!L61</f>
        <v>0</v>
      </c>
    </row>
    <row r="62" spans="1:7" x14ac:dyDescent="0.25">
      <c r="A62" s="34">
        <f>Talimbue_E!A62</f>
        <v>61</v>
      </c>
      <c r="B62" s="35">
        <f>Talimbue_E!B62/Talimbue_E!L62</f>
        <v>27.217309178329185</v>
      </c>
      <c r="C62" s="35">
        <f>Talimbue_E!C62/Talimbue_E!L62</f>
        <v>6.3645573967545293</v>
      </c>
      <c r="D62" s="35">
        <f>Talimbue_E!G62/Talimbue_E!L62</f>
        <v>6.6429123379410999</v>
      </c>
      <c r="E62" s="35">
        <f>Talimbue_E!D62/Talimbue_E!L62</f>
        <v>6.5252854812398051E-2</v>
      </c>
      <c r="F62" s="35">
        <f>Talimbue_E!J62/Talimbue_E!L62</f>
        <v>0.36919378380698892</v>
      </c>
      <c r="G62" s="34">
        <f>Talimbue_E!K62/Talimbue_E!L62</f>
        <v>0</v>
      </c>
    </row>
    <row r="63" spans="1:7" x14ac:dyDescent="0.25">
      <c r="A63" s="34">
        <f>Talimbue_E!A63</f>
        <v>62</v>
      </c>
      <c r="B63" s="35">
        <f>Talimbue_E!B63/Talimbue_E!L63</f>
        <v>13.543258942219508</v>
      </c>
      <c r="C63" s="35">
        <f>Talimbue_E!C63/Talimbue_E!L63</f>
        <v>4.3365943136655467</v>
      </c>
      <c r="D63" s="35">
        <f>Talimbue_E!G63/Talimbue_E!L63</f>
        <v>5.4397737694894541</v>
      </c>
      <c r="E63" s="34">
        <f>Talimbue_E!D63/Talimbue_E!L63</f>
        <v>0</v>
      </c>
      <c r="F63" s="35">
        <f>Talimbue_E!J63/Talimbue_E!L63</f>
        <v>0.16050137572607767</v>
      </c>
      <c r="G63" s="34">
        <f>Talimbue_E!K63/Talimbue_E!L63</f>
        <v>0</v>
      </c>
    </row>
    <row r="64" spans="1:7" x14ac:dyDescent="0.25">
      <c r="A64" s="34">
        <f>Talimbue_E!A64</f>
        <v>63</v>
      </c>
      <c r="B64" s="35">
        <f>Talimbue_E!B64/Talimbue_E!L64</f>
        <v>15.067048365225254</v>
      </c>
      <c r="C64" s="35">
        <f>Talimbue_E!C64/Talimbue_E!L64</f>
        <v>5.2565918336597868</v>
      </c>
      <c r="D64" s="35">
        <f>Talimbue_E!G64/Talimbue_E!L64</f>
        <v>7.5793280096429125</v>
      </c>
      <c r="E64" s="35">
        <f>Talimbue_E!D64/Talimbue_E!L64</f>
        <v>6.4788307970468596E-3</v>
      </c>
      <c r="F64" s="35">
        <f>Talimbue_E!J64/Talimbue_E!L64</f>
        <v>6.7801717643513643E-2</v>
      </c>
      <c r="G64" s="34">
        <f>Talimbue_E!K64/Talimbue_E!L64</f>
        <v>0</v>
      </c>
    </row>
    <row r="65" spans="1:7" x14ac:dyDescent="0.25">
      <c r="A65" s="34">
        <f>Talimbue_E!A65</f>
        <v>64</v>
      </c>
      <c r="B65" s="35">
        <f>Talimbue_E!B65/Talimbue_E!L65</f>
        <v>9.6858638743455501</v>
      </c>
      <c r="C65" s="35">
        <f>Talimbue_E!C65/Talimbue_E!L65</f>
        <v>0.24659685863874345</v>
      </c>
      <c r="D65" s="35">
        <f>Talimbue_E!G65/Talimbue_E!L65</f>
        <v>11.884467713787087</v>
      </c>
      <c r="E65" s="35">
        <f>Talimbue_E!D65/Talimbue_E!L65</f>
        <v>0.28429319371727746</v>
      </c>
      <c r="F65" s="34">
        <f>Talimbue_E!J65/Talimbue_E!L65</f>
        <v>0</v>
      </c>
      <c r="G65" s="34">
        <f>Talimbue_E!K65/Talimbue_E!L65</f>
        <v>0</v>
      </c>
    </row>
    <row r="66" spans="1:7" x14ac:dyDescent="0.25">
      <c r="A66" s="34">
        <f>Talimbue_E!A66</f>
        <v>65</v>
      </c>
      <c r="B66" s="35">
        <f>Talimbue_E!B66/Talimbue_E!L66</f>
        <v>23.802548703676578</v>
      </c>
      <c r="C66" s="35">
        <f>Talimbue_E!C66/Talimbue_E!L66</f>
        <v>4.9153361652263072</v>
      </c>
      <c r="D66" s="35">
        <f>Talimbue_E!G66/Talimbue_E!L66</f>
        <v>8.5498754943606272</v>
      </c>
      <c r="E66" s="35">
        <f>Talimbue_E!D66/Talimbue_E!L66</f>
        <v>3.1785557345832723E-2</v>
      </c>
      <c r="F66" s="34">
        <f>Talimbue_E!J66/Talimbue_E!L66</f>
        <v>0</v>
      </c>
      <c r="G66" s="34">
        <f>Talimbue_E!K66/Talimbue_E!L66</f>
        <v>0</v>
      </c>
    </row>
    <row r="67" spans="1:7" x14ac:dyDescent="0.25">
      <c r="A67" s="34">
        <f>Talimbue_E!A67</f>
        <v>66</v>
      </c>
      <c r="B67" s="35">
        <f>Talimbue_E!B67/Talimbue_E!L67</f>
        <v>20.681642137877621</v>
      </c>
      <c r="C67" s="35">
        <f>Talimbue_E!C67/Talimbue_E!L67</f>
        <v>1.5081332300542218</v>
      </c>
      <c r="D67" s="35">
        <f>Talimbue_E!G67/Talimbue_E!L67</f>
        <v>2.6955848179705661</v>
      </c>
      <c r="E67" s="35">
        <f>Talimbue_E!D67/Talimbue_E!L67</f>
        <v>5.1123160340821082E-3</v>
      </c>
      <c r="F67" s="35">
        <f>Talimbue_E!J67/Talimbue_E!L67</f>
        <v>0.47250193648334637</v>
      </c>
      <c r="G67" s="34">
        <f>Talimbue_E!K67/Talimbue_E!L67</f>
        <v>0</v>
      </c>
    </row>
    <row r="68" spans="1:7" x14ac:dyDescent="0.25">
      <c r="A68" s="34">
        <f>Talimbue_E!A68</f>
        <v>67</v>
      </c>
      <c r="B68" s="35">
        <f>Talimbue_E!B68/Talimbue_E!L68</f>
        <v>13.781886663242597</v>
      </c>
      <c r="C68" s="35">
        <f>Talimbue_E!C68/Talimbue_E!L68</f>
        <v>0.20544427324088343</v>
      </c>
      <c r="D68" s="35">
        <f>Talimbue_E!G68/Talimbue_E!L68</f>
        <v>0.71169320321862695</v>
      </c>
      <c r="E68" s="35">
        <f>Talimbue_E!D68/Talimbue_E!L68</f>
        <v>1.2840267077555215E-2</v>
      </c>
      <c r="F68" s="34">
        <f>Talimbue_E!J68/Talimbue_E!L68</f>
        <v>0</v>
      </c>
      <c r="G68" s="34">
        <f>Talimbue_E!K68/Talimbue_E!L68</f>
        <v>0</v>
      </c>
    </row>
    <row r="69" spans="1:7" x14ac:dyDescent="0.25">
      <c r="A69" s="34">
        <f>Talimbue_E!A69</f>
        <v>68</v>
      </c>
      <c r="B69" s="35">
        <f>Talimbue_E!B69/Talimbue_E!L69</f>
        <v>6.4612190419694482</v>
      </c>
      <c r="C69" s="35">
        <f>Talimbue_E!C69/Talimbue_E!L69</f>
        <v>0.10855702209698945</v>
      </c>
      <c r="D69" s="35">
        <f>Talimbue_E!G69/Talimbue_E!L69</f>
        <v>6.0210588758712727E-2</v>
      </c>
      <c r="E69" s="35">
        <f>Talimbue_E!D69/Talimbue_E!L69</f>
        <v>4.3007563399080516E-3</v>
      </c>
      <c r="F69" s="34">
        <f>Talimbue_E!J69/Talimbue_E!L69</f>
        <v>0</v>
      </c>
      <c r="G69" s="34">
        <f>Talimbue_E!K69/Talimbue_E!L69</f>
        <v>0</v>
      </c>
    </row>
    <row r="70" spans="1:7" x14ac:dyDescent="0.25">
      <c r="A70" s="34">
        <f>Talimbue_E!A70</f>
        <v>69</v>
      </c>
      <c r="B70" s="35">
        <f>Talimbue_E!B70/Talimbue_E!L70</f>
        <v>3.2564938479335366</v>
      </c>
      <c r="C70" s="35">
        <f>Talimbue_E!C70/Talimbue_E!L70</f>
        <v>3.8489851719423707E-2</v>
      </c>
      <c r="D70" s="35">
        <f>Talimbue_E!G70/Talimbue_E!L70</f>
        <v>3.4388474077190027E-2</v>
      </c>
      <c r="E70" s="34">
        <f>Talimbue_E!D70/Talimbue_E!L70</f>
        <v>0</v>
      </c>
      <c r="F70" s="34">
        <f>Talimbue_E!J70/Talimbue_E!L70</f>
        <v>0</v>
      </c>
      <c r="G70" s="34">
        <f>Talimbue_E!K70/Talimbue_E!L70</f>
        <v>0</v>
      </c>
    </row>
    <row r="71" spans="1:7" x14ac:dyDescent="0.25">
      <c r="A71" s="34">
        <f>Talimbue_E!A71</f>
        <v>70</v>
      </c>
      <c r="B71" s="35">
        <f>Talimbue_E!B71/Talimbue_E!L71</f>
        <v>0.64647227677896946</v>
      </c>
      <c r="C71" s="35">
        <f>Talimbue_E!C71/Talimbue_E!L71</f>
        <v>1.66188245958604E-3</v>
      </c>
      <c r="D71" s="35">
        <f>Talimbue_E!G71/Talimbue_E!L71</f>
        <v>1.4050460794681974E-2</v>
      </c>
      <c r="E71" s="34">
        <f>Talimbue_E!D71/Talimbue_E!L71</f>
        <v>0</v>
      </c>
      <c r="F71" s="34">
        <f>Talimbue_E!J71/Talimbue_E!L71</f>
        <v>0</v>
      </c>
      <c r="G71" s="34">
        <f>Talimbue_E!K71/Talimbue_E!L71</f>
        <v>0</v>
      </c>
    </row>
    <row r="72" spans="1:7" x14ac:dyDescent="0.25">
      <c r="A72" s="34">
        <f>Talimbue_E!A72</f>
        <v>71</v>
      </c>
      <c r="B72" s="35">
        <f>Talimbue_E!B72/Talimbue_E!L72</f>
        <v>2.3791859866048424</v>
      </c>
      <c r="C72" s="34">
        <f>Talimbue_E!C72/Talimbue_E!L72</f>
        <v>0</v>
      </c>
      <c r="D72" s="35">
        <f>Talimbue_E!G72/Talimbue_E!L72</f>
        <v>2.1981796324918427E-2</v>
      </c>
      <c r="E72" s="34">
        <f>Talimbue_E!D72/Talimbue_E!L72</f>
        <v>0</v>
      </c>
      <c r="F72" s="34">
        <f>Talimbue_E!J72/Talimbue_E!L72</f>
        <v>0</v>
      </c>
      <c r="G72" s="34">
        <f>Talimbue_E!K72/Talimbue_E!L72</f>
        <v>0</v>
      </c>
    </row>
    <row r="73" spans="1:7" x14ac:dyDescent="0.25">
      <c r="A73" s="34">
        <f>Talimbue_E!A73</f>
        <v>72</v>
      </c>
      <c r="B73" s="35">
        <f>Talimbue_E!B73/Talimbue_E!L73</f>
        <v>1.3664888609978034</v>
      </c>
      <c r="C73" s="35">
        <f>Talimbue_E!C73/Talimbue_E!L73</f>
        <v>2.0395356134295575E-2</v>
      </c>
      <c r="D73" s="35">
        <f>Talimbue_E!G73/Talimbue_E!L73</f>
        <v>3.027925949168497E-2</v>
      </c>
      <c r="E73" s="34">
        <f>Talimbue_E!D73/Talimbue_E!L73</f>
        <v>0</v>
      </c>
      <c r="F73" s="34">
        <f>Talimbue_E!J73/Talimbue_E!L73</f>
        <v>0</v>
      </c>
      <c r="G73" s="34">
        <f>Talimbue_E!K73/Talimbue_E!L73</f>
        <v>0</v>
      </c>
    </row>
    <row r="74" spans="1:7" x14ac:dyDescent="0.25">
      <c r="A74" s="1">
        <f>Talimbue_E!A74</f>
        <v>73</v>
      </c>
      <c r="B74" s="37">
        <f>Talimbue_E!B74/Talimbue_E!L74</f>
        <v>0.38993848857645003</v>
      </c>
      <c r="C74" s="37">
        <f>Talimbue_E!C74/Talimbue_E!L74</f>
        <v>1.6805799648506155E-2</v>
      </c>
      <c r="D74" s="1">
        <f>Talimbue_E!G74/Talimbue_E!L74</f>
        <v>0</v>
      </c>
      <c r="E74" s="37">
        <f>Talimbue_E!D74/Talimbue_E!L74</f>
        <v>0.10632688927943763</v>
      </c>
      <c r="F74" s="1">
        <f>Talimbue_E!J74/Talimbue_E!L74</f>
        <v>0</v>
      </c>
      <c r="G74" s="1">
        <f>Talimbue_E!K74/Talimbue_E!L74</f>
        <v>0</v>
      </c>
    </row>
    <row r="75" spans="1:7" x14ac:dyDescent="0.25">
      <c r="A75" s="1">
        <f>Talimbue_E!A75</f>
        <v>74</v>
      </c>
      <c r="B75" s="37">
        <f>Talimbue_E!B75/Talimbue_E!L75</f>
        <v>0.60485211033565978</v>
      </c>
      <c r="C75" s="37">
        <f>Talimbue_E!C75/Talimbue_E!L75</f>
        <v>2.1823418632989918E-2</v>
      </c>
      <c r="D75" s="37">
        <f>Talimbue_E!G75/Talimbue_E!L75</f>
        <v>3.3565968760385506E-2</v>
      </c>
      <c r="E75" s="1">
        <f>Talimbue_E!D75/Talimbue_E!L75</f>
        <v>0</v>
      </c>
      <c r="F75" s="1">
        <f>Talimbue_E!J75/Talimbue_E!L75</f>
        <v>0</v>
      </c>
      <c r="G75" s="1">
        <f>Talimbue_E!K75/Talimbue_E!L75</f>
        <v>0</v>
      </c>
    </row>
    <row r="76" spans="1:7" x14ac:dyDescent="0.25">
      <c r="A76" s="1">
        <f>Talimbue_E!A76</f>
        <v>75</v>
      </c>
      <c r="B76" s="37">
        <f>Talimbue_E!B76/Talimbue_E!L76</f>
        <v>0.86551983927674525</v>
      </c>
      <c r="C76" s="37">
        <f>Talimbue_E!C76/Talimbue_E!L76</f>
        <v>8.32496233048719E-2</v>
      </c>
      <c r="D76" s="37">
        <f>Talimbue_E!G76/Talimbue_E!L76</f>
        <v>3.9176293319939721E-2</v>
      </c>
      <c r="E76" s="1">
        <f>Talimbue_E!D76/Talimbue_E!L76</f>
        <v>0</v>
      </c>
      <c r="F76" s="1">
        <f>Talimbue_E!J76/Talimbue_E!L76</f>
        <v>0</v>
      </c>
      <c r="G76" s="1">
        <f>Talimbue_E!K76/Talimbue_E!L76</f>
        <v>0</v>
      </c>
    </row>
    <row r="77" spans="1:7" x14ac:dyDescent="0.25">
      <c r="A77" s="1">
        <f>Talimbue_E!A77</f>
        <v>76</v>
      </c>
      <c r="B77" s="37">
        <f>Talimbue_E!B77/Talimbue_E!L77</f>
        <v>0.35165306998711887</v>
      </c>
      <c r="C77" s="37">
        <f>Talimbue_E!C77/Talimbue_E!L77</f>
        <v>4.8661800486617997E-3</v>
      </c>
      <c r="D77" s="1">
        <f>Talimbue_E!G77/Talimbue_E!L77</f>
        <v>0</v>
      </c>
      <c r="E77" s="37">
        <f>Talimbue_E!D77/Talimbue_E!L77</f>
        <v>1.4312294260769999E-4</v>
      </c>
      <c r="F77" s="1">
        <f>Talimbue_E!J77/Talimbue_E!L77</f>
        <v>0</v>
      </c>
      <c r="G77" s="1">
        <f>Talimbue_E!K77/Talimbue_E!L77</f>
        <v>0</v>
      </c>
    </row>
    <row r="78" spans="1:7" x14ac:dyDescent="0.25">
      <c r="A78" s="1">
        <f>Talimbue_E!A78</f>
        <v>77</v>
      </c>
      <c r="B78" s="37">
        <f>Talimbue_E!B78/Talimbue_E!L78</f>
        <v>0.44395280235988205</v>
      </c>
      <c r="C78" s="1">
        <f>Talimbue_E!C78/Talimbue_E!L78</f>
        <v>0</v>
      </c>
      <c r="D78" s="1">
        <f>Talimbue_E!G78/Talimbue_E!L78</f>
        <v>0</v>
      </c>
      <c r="E78" s="1">
        <f>Talimbue_E!D78/Talimbue_E!L78</f>
        <v>0</v>
      </c>
      <c r="F78" s="1">
        <f>Talimbue_E!J78/Talimbue_E!L78</f>
        <v>0</v>
      </c>
      <c r="G78" s="1">
        <f>Talimbue_E!K78/Talimbue_E!L78</f>
        <v>0</v>
      </c>
    </row>
    <row r="79" spans="1:7" x14ac:dyDescent="0.25">
      <c r="A79" s="1">
        <f>Talimbue_E!A79</f>
        <v>78</v>
      </c>
      <c r="B79" s="37">
        <f>Talimbue_E!B79/Talimbue_E!L79</f>
        <v>3.3205275229357794</v>
      </c>
      <c r="C79" s="37">
        <f>Talimbue_E!C79/Talimbue_E!L79</f>
        <v>3.6983944954128441E-2</v>
      </c>
      <c r="D79" s="37">
        <f>Talimbue_E!G79/Talimbue_E!L79</f>
        <v>3.9277522935779817E-2</v>
      </c>
      <c r="E79" s="1">
        <f>Talimbue_E!D79/Talimbue_E!L79</f>
        <v>0</v>
      </c>
      <c r="F79" s="1">
        <f>Talimbue_E!J79/Talimbue_E!L79</f>
        <v>0</v>
      </c>
      <c r="G79" s="1">
        <f>Talimbue_E!K79/Talimbue_E!L79</f>
        <v>0</v>
      </c>
    </row>
    <row r="80" spans="1:7" x14ac:dyDescent="0.25">
      <c r="A80" s="1">
        <f>Talimbue_E!A80</f>
        <v>79</v>
      </c>
      <c r="B80" s="37">
        <f>Talimbue_E!B80/Talimbue_E!L80</f>
        <v>0.79069514055349743</v>
      </c>
      <c r="C80" s="1">
        <f>Talimbue_E!C80/Talimbue_E!L80</f>
        <v>0</v>
      </c>
      <c r="D80" s="37">
        <f>Talimbue_E!G80/Talimbue_E!L80</f>
        <v>1.1876225757245586E-2</v>
      </c>
      <c r="E80" s="1">
        <f>Talimbue_E!D80/Talimbue_E!L80</f>
        <v>0</v>
      </c>
      <c r="F80" s="1">
        <f>Talimbue_E!J80/Talimbue_E!L80</f>
        <v>0</v>
      </c>
      <c r="G80" s="1">
        <f>Talimbue_E!K80/Talimbue_E!L80</f>
        <v>0</v>
      </c>
    </row>
    <row r="81" spans="1:7" x14ac:dyDescent="0.25">
      <c r="A81" s="1">
        <f>Talimbue_E!A81</f>
        <v>80</v>
      </c>
      <c r="B81" s="37">
        <f>Talimbue_E!B81/Talimbue_E!L81</f>
        <v>6.1745689655172409E-2</v>
      </c>
      <c r="C81" s="1">
        <f>Talimbue_E!C81/Talimbue_E!L81</f>
        <v>0</v>
      </c>
      <c r="D81" s="37">
        <f>Talimbue_E!G81/Talimbue_E!L81</f>
        <v>3.7715517241379303E-3</v>
      </c>
      <c r="E81" s="1">
        <f>Talimbue_E!D81/Talimbue_E!L81</f>
        <v>0</v>
      </c>
      <c r="F81" s="1">
        <f>Talimbue_E!J81/Talimbue_E!L81</f>
        <v>0</v>
      </c>
      <c r="G81" s="1">
        <f>Talimbue_E!K81/Talimbue_E!L81</f>
        <v>0</v>
      </c>
    </row>
    <row r="82" spans="1:7" x14ac:dyDescent="0.25">
      <c r="A82" s="1">
        <f>Talimbue_E!A82</f>
        <v>81</v>
      </c>
      <c r="B82" s="37">
        <f>Talimbue_E!B82/Talimbue_E!L82</f>
        <v>0.1702720785013381</v>
      </c>
      <c r="C82" s="1">
        <f>Talimbue_E!C82/Talimbue_E!L82</f>
        <v>0</v>
      </c>
      <c r="D82" s="1">
        <f>Talimbue_E!G82/Talimbue_E!L82</f>
        <v>0</v>
      </c>
      <c r="E82" s="1">
        <f>Talimbue_E!D82/Talimbue_E!L82</f>
        <v>0</v>
      </c>
      <c r="F82" s="1">
        <f>Talimbue_E!J82/Talimbue_E!L82</f>
        <v>0</v>
      </c>
      <c r="G82" s="1">
        <f>Talimbue_E!K82/Talimbue_E!L82</f>
        <v>0</v>
      </c>
    </row>
    <row r="83" spans="1:7" x14ac:dyDescent="0.25">
      <c r="A83" s="1">
        <f>Talimbue_E!A83</f>
        <v>82</v>
      </c>
      <c r="B83" s="37">
        <f>Talimbue_E!B83/Talimbue_E!L83</f>
        <v>1.4697406340057636E-2</v>
      </c>
      <c r="C83" s="37">
        <f>Talimbue_E!C83/Talimbue_E!L83</f>
        <v>8.6455331412103734E-4</v>
      </c>
      <c r="D83" s="1">
        <f>Talimbue_E!G83/Talimbue_E!L83</f>
        <v>0</v>
      </c>
      <c r="E83" s="1">
        <f>Talimbue_E!D83/Talimbue_E!L83</f>
        <v>0</v>
      </c>
      <c r="F83" s="1">
        <f>Talimbue_E!J83/Talimbue_E!L83</f>
        <v>0</v>
      </c>
      <c r="G83" s="1">
        <f>Talimbue_E!K83/Talimbue_E!L83</f>
        <v>0</v>
      </c>
    </row>
    <row r="84" spans="1:7" x14ac:dyDescent="0.25">
      <c r="A84" s="1">
        <f>Talimbue_E!A84</f>
        <v>83</v>
      </c>
      <c r="B84" s="37">
        <f>Talimbue_E!B84/Talimbue_E!L84</f>
        <v>5.2948963082806291E-2</v>
      </c>
      <c r="C84" s="37">
        <f>Talimbue_E!C84/Talimbue_E!L84</f>
        <v>7.7364318282100289E-2</v>
      </c>
      <c r="D84" s="37">
        <f>Talimbue_E!G84/Talimbue_E!L84</f>
        <v>5.5890572142962194E-3</v>
      </c>
      <c r="E84" s="1">
        <f>Talimbue_E!D84/Talimbue_E!L84</f>
        <v>0</v>
      </c>
      <c r="F84" s="1">
        <f>Talimbue_E!J84/Talimbue_E!L84</f>
        <v>0</v>
      </c>
      <c r="G84" s="1">
        <f>Talimbue_E!K84/Talimbue_E!L84</f>
        <v>0</v>
      </c>
    </row>
    <row r="85" spans="1:7" x14ac:dyDescent="0.25">
      <c r="A85" s="1">
        <f>Talimbue_E!A85</f>
        <v>84</v>
      </c>
      <c r="B85" s="37">
        <f>Talimbue_E!B85/Talimbue_E!L85</f>
        <v>3.6875091094592617E-2</v>
      </c>
      <c r="C85" s="1">
        <f>Talimbue_E!C85/Talimbue_E!L85</f>
        <v>0</v>
      </c>
      <c r="D85" s="37">
        <f>Talimbue_E!G85/Talimbue_E!L85</f>
        <v>5.3927998833989202E-3</v>
      </c>
      <c r="E85" s="1">
        <f>Talimbue_E!D85/Talimbue_E!L85</f>
        <v>0</v>
      </c>
      <c r="F85" s="1">
        <f>Talimbue_E!J85/Talimbue_E!L85</f>
        <v>0</v>
      </c>
      <c r="G85" s="1">
        <f>Talimbue_E!K85/Talimbue_E!L85</f>
        <v>0</v>
      </c>
    </row>
    <row r="86" spans="1:7" x14ac:dyDescent="0.25">
      <c r="A86" s="1">
        <f>Talimbue_E!A86</f>
        <v>85</v>
      </c>
      <c r="B86" s="37">
        <f>Talimbue_E!B86/Talimbue_E!L86</f>
        <v>6.3640161537390341E-2</v>
      </c>
      <c r="C86" s="1">
        <f>Talimbue_E!C86/Talimbue_E!L86</f>
        <v>0</v>
      </c>
      <c r="D86" s="37">
        <f>Talimbue_E!G86/Talimbue_E!L86</f>
        <v>2.7851274195794459E-3</v>
      </c>
      <c r="E86" s="1">
        <f>Talimbue_E!D86/Talimbue_E!L86</f>
        <v>0</v>
      </c>
      <c r="F86" s="1">
        <f>Talimbue_E!J86/Talimbue_E!L86</f>
        <v>0</v>
      </c>
      <c r="G86" s="1">
        <f>Talimbue_E!K86/Talimbue_E!L86</f>
        <v>0</v>
      </c>
    </row>
    <row r="87" spans="1:7" x14ac:dyDescent="0.25">
      <c r="A87" s="1">
        <f>Talimbue_E!A87</f>
        <v>86</v>
      </c>
      <c r="B87" s="37">
        <f>Talimbue_E!B87/Talimbue_E!L87</f>
        <v>1.5912489275646526</v>
      </c>
      <c r="C87" s="37">
        <f>Talimbue_E!C87/Talimbue_E!L87</f>
        <v>1.8384605956612329E-3</v>
      </c>
      <c r="D87" s="1">
        <f>Talimbue_E!G87/Talimbue_E!L87</f>
        <v>0</v>
      </c>
      <c r="E87" s="1">
        <f>Talimbue_E!D87/Talimbue_E!L87</f>
        <v>0</v>
      </c>
      <c r="F87" s="1">
        <f>Talimbue_E!J87/Talimbue_E!L87</f>
        <v>0</v>
      </c>
      <c r="G87" s="1">
        <f>Talimbue_E!K87/Talimbue_E!L87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H1" sqref="H1"/>
    </sheetView>
  </sheetViews>
  <sheetFormatPr defaultRowHeight="15" x14ac:dyDescent="0.25"/>
  <sheetData>
    <row r="1" spans="1:7" x14ac:dyDescent="0.25">
      <c r="A1" t="s">
        <v>0</v>
      </c>
      <c r="B1" t="s">
        <v>231</v>
      </c>
      <c r="C1" t="s">
        <v>232</v>
      </c>
      <c r="D1" t="s">
        <v>233</v>
      </c>
      <c r="E1" t="s">
        <v>28</v>
      </c>
      <c r="F1" t="s">
        <v>234</v>
      </c>
      <c r="G1" t="s">
        <v>236</v>
      </c>
    </row>
    <row r="2" spans="1:7" x14ac:dyDescent="0.25">
      <c r="A2" t="s">
        <v>237</v>
      </c>
      <c r="B2">
        <v>1.248750297548203</v>
      </c>
      <c r="C2">
        <v>2.2106641275886694</v>
      </c>
      <c r="D2">
        <v>0.43822899309688162</v>
      </c>
      <c r="E2">
        <v>2.2613663413472984E-2</v>
      </c>
      <c r="F2">
        <v>0</v>
      </c>
      <c r="G2">
        <v>1.5282075696262796</v>
      </c>
    </row>
    <row r="3" spans="1:7" x14ac:dyDescent="0.25">
      <c r="A3" t="s">
        <v>238</v>
      </c>
      <c r="B3">
        <v>2.2616465556743548</v>
      </c>
      <c r="C3">
        <v>13.899495952344585</v>
      </c>
      <c r="D3">
        <v>2.519627310218421</v>
      </c>
      <c r="E3">
        <v>5.9569268367191085E-3</v>
      </c>
      <c r="F3">
        <v>7.6370856881014207E-2</v>
      </c>
      <c r="G3">
        <v>2.7233847563769666</v>
      </c>
    </row>
    <row r="4" spans="1:7" x14ac:dyDescent="0.25">
      <c r="A4" t="s">
        <v>239</v>
      </c>
      <c r="B4">
        <v>2.7615520850104653</v>
      </c>
      <c r="C4">
        <v>53.292545483819026</v>
      </c>
      <c r="D4">
        <v>8.8198357752374825</v>
      </c>
      <c r="E4">
        <v>0.13604894541941714</v>
      </c>
      <c r="F4">
        <v>0.3703107390114313</v>
      </c>
      <c r="G4">
        <v>0.63918853646755758</v>
      </c>
    </row>
    <row r="5" spans="1:7" x14ac:dyDescent="0.25">
      <c r="A5" t="s">
        <v>240</v>
      </c>
      <c r="B5">
        <v>1.9430569430569431</v>
      </c>
      <c r="C5">
        <v>30.719280719280718</v>
      </c>
      <c r="D5">
        <v>11.897269397269396</v>
      </c>
      <c r="E5">
        <v>0.10872460872460872</v>
      </c>
      <c r="F5">
        <v>0</v>
      </c>
      <c r="G5">
        <v>6.1605061605061608E-2</v>
      </c>
    </row>
    <row r="6" spans="1:7" x14ac:dyDescent="0.25">
      <c r="A6" t="s">
        <v>241</v>
      </c>
      <c r="B6">
        <v>2.2034961302375233</v>
      </c>
      <c r="C6">
        <v>22.017614091273018</v>
      </c>
      <c r="D6">
        <v>11.322658126501201</v>
      </c>
      <c r="E6">
        <v>0.10101414464905258</v>
      </c>
      <c r="F6">
        <v>3.9765145449693091</v>
      </c>
      <c r="G6">
        <v>0</v>
      </c>
    </row>
    <row r="7" spans="1:7" x14ac:dyDescent="0.25">
      <c r="A7" t="s">
        <v>242</v>
      </c>
      <c r="B7">
        <v>2.0421138877509217</v>
      </c>
      <c r="C7">
        <v>22.122081114297419</v>
      </c>
      <c r="D7">
        <v>9.5061040557148715</v>
      </c>
      <c r="E7">
        <v>0.1812371978697255</v>
      </c>
      <c r="F7">
        <v>2.3105284719377304</v>
      </c>
      <c r="G7">
        <v>0</v>
      </c>
    </row>
    <row r="8" spans="1:7" x14ac:dyDescent="0.25">
      <c r="A8" t="s">
        <v>243</v>
      </c>
      <c r="B8">
        <v>3.4927643784786637</v>
      </c>
      <c r="C8">
        <v>24.025974025974023</v>
      </c>
      <c r="D8">
        <v>15.788682745825602</v>
      </c>
      <c r="E8">
        <v>0.1805194805194805</v>
      </c>
      <c r="F8">
        <v>1.37291280148423</v>
      </c>
      <c r="G8">
        <v>0</v>
      </c>
    </row>
    <row r="9" spans="1:7" x14ac:dyDescent="0.25">
      <c r="A9" t="s">
        <v>244</v>
      </c>
      <c r="B9">
        <v>3.9895412407891615</v>
      </c>
      <c r="C9">
        <v>21.274067031138582</v>
      </c>
      <c r="D9">
        <v>8.8250534822914215</v>
      </c>
      <c r="E9">
        <v>0.11433325410030902</v>
      </c>
      <c r="F9">
        <v>0.45162823864986934</v>
      </c>
      <c r="G9">
        <v>0</v>
      </c>
    </row>
    <row r="10" spans="1:7" x14ac:dyDescent="0.25">
      <c r="A10" t="s">
        <v>245</v>
      </c>
      <c r="B10">
        <v>2.0073950822702904</v>
      </c>
      <c r="C10">
        <v>16.546496579774452</v>
      </c>
      <c r="D10">
        <v>6.2946940284710662</v>
      </c>
      <c r="E10">
        <v>5.8975781105564805E-2</v>
      </c>
      <c r="F10">
        <v>2.070623035681272</v>
      </c>
      <c r="G10">
        <v>0</v>
      </c>
    </row>
    <row r="11" spans="1:7" x14ac:dyDescent="0.25">
      <c r="A11" t="s">
        <v>246</v>
      </c>
      <c r="B11">
        <v>3.4552332912988653</v>
      </c>
      <c r="C11">
        <v>16.663664204647812</v>
      </c>
      <c r="D11">
        <v>5.4775716087191499</v>
      </c>
      <c r="E11">
        <v>5.7467123040893534E-2</v>
      </c>
      <c r="F11">
        <v>2.9183930823275088</v>
      </c>
      <c r="G11">
        <v>0</v>
      </c>
    </row>
    <row r="12" spans="1:7" x14ac:dyDescent="0.25">
      <c r="A12" t="s">
        <v>247</v>
      </c>
      <c r="B12">
        <v>2.2131115072291543</v>
      </c>
      <c r="C12">
        <v>26.143790849673206</v>
      </c>
      <c r="D12">
        <v>7.1018023370964549</v>
      </c>
      <c r="E12">
        <v>0.10873440285204992</v>
      </c>
      <c r="F12">
        <v>0.63378886908298682</v>
      </c>
      <c r="G12">
        <v>0</v>
      </c>
    </row>
    <row r="13" spans="1:7" x14ac:dyDescent="0.25">
      <c r="A13" t="s">
        <v>248</v>
      </c>
      <c r="B13">
        <v>5.4935312831389185</v>
      </c>
      <c r="C13">
        <v>40.08483563096501</v>
      </c>
      <c r="D13">
        <v>6.7828207847295863</v>
      </c>
      <c r="E13">
        <v>0.1007423117709438</v>
      </c>
      <c r="F13">
        <v>1.7391304347826086</v>
      </c>
      <c r="G13">
        <v>0</v>
      </c>
    </row>
    <row r="14" spans="1:7" x14ac:dyDescent="0.25">
      <c r="A14" t="s">
        <v>249</v>
      </c>
      <c r="B14">
        <v>4.4204502814258921</v>
      </c>
      <c r="C14">
        <v>32.457786116322708</v>
      </c>
      <c r="D14">
        <v>6.4587242026266427</v>
      </c>
      <c r="E14">
        <v>0.3234521575984991</v>
      </c>
      <c r="F14">
        <v>1.5947467166979366</v>
      </c>
      <c r="G14">
        <v>0</v>
      </c>
    </row>
    <row r="15" spans="1:7" x14ac:dyDescent="0.25">
      <c r="A15" t="s">
        <v>250</v>
      </c>
      <c r="B15">
        <v>4.464976059585033</v>
      </c>
      <c r="C15">
        <v>29.52651179287108</v>
      </c>
      <c r="D15">
        <v>7.347579358042208</v>
      </c>
      <c r="E15">
        <v>0.36318496187267252</v>
      </c>
      <c r="F15">
        <v>0.56747650292605079</v>
      </c>
      <c r="G15">
        <v>0</v>
      </c>
    </row>
    <row r="16" spans="1:7" x14ac:dyDescent="0.25">
      <c r="A16" t="s">
        <v>251</v>
      </c>
      <c r="B16">
        <v>6.2893051552993917</v>
      </c>
      <c r="C16">
        <v>23.214857508805636</v>
      </c>
      <c r="D16">
        <v>6.0235350624399615</v>
      </c>
      <c r="E16">
        <v>0</v>
      </c>
      <c r="F16">
        <v>0.43227665706051871</v>
      </c>
      <c r="G16">
        <v>0</v>
      </c>
    </row>
    <row r="17" spans="1:7" x14ac:dyDescent="0.25">
      <c r="A17" t="s">
        <v>252</v>
      </c>
      <c r="B17">
        <v>7.1431728492501971</v>
      </c>
      <c r="C17">
        <v>17.363851617995262</v>
      </c>
      <c r="D17">
        <v>6.2029992107340171</v>
      </c>
      <c r="E17">
        <v>3.3827940015785321</v>
      </c>
      <c r="F17">
        <v>7.1033938437253349E-2</v>
      </c>
      <c r="G17">
        <v>0</v>
      </c>
    </row>
    <row r="18" spans="1:7" x14ac:dyDescent="0.25">
      <c r="A18" t="s">
        <v>253</v>
      </c>
      <c r="B18">
        <v>6.1535363705008814</v>
      </c>
      <c r="C18">
        <v>18.877422602567332</v>
      </c>
      <c r="D18">
        <v>10.973571608356407</v>
      </c>
      <c r="E18">
        <v>0.19934558268311101</v>
      </c>
      <c r="F18">
        <v>1.9884218474704256</v>
      </c>
      <c r="G18">
        <v>0</v>
      </c>
    </row>
    <row r="19" spans="1:7" x14ac:dyDescent="0.25">
      <c r="A19" t="s">
        <v>254</v>
      </c>
      <c r="B19">
        <v>5.9074437895655967</v>
      </c>
      <c r="C19">
        <v>16.15367823619297</v>
      </c>
      <c r="D19">
        <v>9.1359965073128127</v>
      </c>
      <c r="E19">
        <v>0.10870988867059594</v>
      </c>
      <c r="F19">
        <v>0.72764316379247618</v>
      </c>
      <c r="G19">
        <v>0</v>
      </c>
    </row>
    <row r="20" spans="1:7" x14ac:dyDescent="0.25">
      <c r="A20" t="s">
        <v>255</v>
      </c>
      <c r="B20">
        <v>8.1415143216638288</v>
      </c>
      <c r="C20">
        <v>24.202501665309747</v>
      </c>
      <c r="D20">
        <v>10.628376878099326</v>
      </c>
      <c r="E20">
        <v>0.16638294722818442</v>
      </c>
      <c r="F20">
        <v>0.72533491229368652</v>
      </c>
      <c r="G20">
        <v>0</v>
      </c>
    </row>
    <row r="21" spans="1:7" x14ac:dyDescent="0.25">
      <c r="A21" t="s">
        <v>256</v>
      </c>
      <c r="B21">
        <v>7.0564516129032242</v>
      </c>
      <c r="C21">
        <v>25.285618279569889</v>
      </c>
      <c r="D21">
        <v>15.418346774193546</v>
      </c>
      <c r="E21">
        <v>0.24311155913978491</v>
      </c>
      <c r="F21">
        <v>0.34442204301075263</v>
      </c>
      <c r="G21">
        <v>0</v>
      </c>
    </row>
    <row r="22" spans="1:7" x14ac:dyDescent="0.25">
      <c r="A22" t="s">
        <v>257</v>
      </c>
      <c r="B22">
        <v>6.9391490010675625</v>
      </c>
      <c r="C22">
        <v>27.985359158151596</v>
      </c>
      <c r="D22">
        <v>19.39240506329114</v>
      </c>
      <c r="E22">
        <v>7.915205124294647E-2</v>
      </c>
      <c r="F22">
        <v>0.27451578465761783</v>
      </c>
      <c r="G22">
        <v>0</v>
      </c>
    </row>
    <row r="23" spans="1:7" x14ac:dyDescent="0.25">
      <c r="A23" t="s">
        <v>258</v>
      </c>
      <c r="B23">
        <v>7.280096067247074</v>
      </c>
      <c r="C23">
        <v>22.590813569498653</v>
      </c>
      <c r="D23">
        <v>16.68357850495347</v>
      </c>
      <c r="E23">
        <v>5.0135094566196345E-2</v>
      </c>
      <c r="F23">
        <v>0.45031522065445817</v>
      </c>
      <c r="G23">
        <v>0</v>
      </c>
    </row>
    <row r="24" spans="1:7" x14ac:dyDescent="0.25">
      <c r="A24" t="s">
        <v>259</v>
      </c>
      <c r="B24">
        <v>7.16078547172597</v>
      </c>
      <c r="C24">
        <v>12.033072493725085</v>
      </c>
      <c r="D24">
        <v>16.012992765391996</v>
      </c>
      <c r="E24">
        <v>0.1350952310645209</v>
      </c>
      <c r="F24">
        <v>0.4576996899453713</v>
      </c>
      <c r="G24">
        <v>0</v>
      </c>
    </row>
    <row r="25" spans="1:7" x14ac:dyDescent="0.25">
      <c r="A25" t="s">
        <v>260</v>
      </c>
      <c r="B25">
        <v>8.0424995497929057</v>
      </c>
      <c r="C25">
        <v>36.286691878264008</v>
      </c>
      <c r="D25">
        <v>12.503151449666847</v>
      </c>
      <c r="E25">
        <v>0.14514676751305602</v>
      </c>
      <c r="F25">
        <v>0</v>
      </c>
      <c r="G25">
        <v>0</v>
      </c>
    </row>
    <row r="26" spans="1:7" x14ac:dyDescent="0.25">
      <c r="A26" t="s">
        <v>261</v>
      </c>
      <c r="B26">
        <v>9.1148956584312799</v>
      </c>
      <c r="C26">
        <v>27.984328775885508</v>
      </c>
      <c r="D26">
        <v>12.313104661389623</v>
      </c>
      <c r="E26">
        <v>5.2290717198368926E-2</v>
      </c>
      <c r="F26">
        <v>0</v>
      </c>
      <c r="G26">
        <v>0</v>
      </c>
    </row>
    <row r="27" spans="1:7" x14ac:dyDescent="0.25">
      <c r="A27" t="s">
        <v>262</v>
      </c>
      <c r="B27">
        <v>12.786361214704316</v>
      </c>
      <c r="C27">
        <v>16.071745693482509</v>
      </c>
      <c r="D27">
        <v>8.0094121825608244</v>
      </c>
      <c r="E27">
        <v>0.10726336352335288</v>
      </c>
      <c r="F27">
        <v>0.8701829160007104</v>
      </c>
      <c r="G27">
        <v>0</v>
      </c>
    </row>
    <row r="28" spans="1:7" x14ac:dyDescent="0.25">
      <c r="A28" t="s">
        <v>263</v>
      </c>
      <c r="B28">
        <v>16.719745222929937</v>
      </c>
      <c r="C28">
        <v>25.000000000000004</v>
      </c>
      <c r="D28">
        <v>6.9441082802547776</v>
      </c>
      <c r="E28">
        <v>8.2165605095541411E-2</v>
      </c>
      <c r="F28">
        <v>0.88375796178343968</v>
      </c>
      <c r="G28">
        <v>0</v>
      </c>
    </row>
    <row r="29" spans="1:7" x14ac:dyDescent="0.25">
      <c r="A29" t="s">
        <v>264</v>
      </c>
      <c r="B29">
        <v>9.5301629657867135</v>
      </c>
      <c r="C29">
        <v>32.116649194701225</v>
      </c>
      <c r="D29">
        <v>8.0531783093490894</v>
      </c>
      <c r="E29">
        <v>0.21766892213856856</v>
      </c>
      <c r="F29">
        <v>0.26684456304202803</v>
      </c>
      <c r="G29">
        <v>0</v>
      </c>
    </row>
    <row r="30" spans="1:7" x14ac:dyDescent="0.25">
      <c r="A30" t="s">
        <v>265</v>
      </c>
      <c r="B30">
        <v>8.4023204231359827</v>
      </c>
      <c r="C30">
        <v>26.531308650400955</v>
      </c>
      <c r="D30">
        <v>7.9024057328101014</v>
      </c>
      <c r="E30">
        <v>6.3470397543081383E-2</v>
      </c>
      <c r="F30">
        <v>0</v>
      </c>
      <c r="G30">
        <v>0</v>
      </c>
    </row>
    <row r="31" spans="1:7" x14ac:dyDescent="0.25">
      <c r="A31" t="s">
        <v>266</v>
      </c>
      <c r="B31">
        <v>10.214741729541499</v>
      </c>
      <c r="C31">
        <v>23.505513639001745</v>
      </c>
      <c r="D31">
        <v>6.7351131746953001</v>
      </c>
      <c r="E31">
        <v>7.6726639582124209E-2</v>
      </c>
      <c r="F31">
        <v>0</v>
      </c>
      <c r="G31">
        <v>0</v>
      </c>
    </row>
    <row r="32" spans="1:7" x14ac:dyDescent="0.25">
      <c r="A32" t="s">
        <v>267</v>
      </c>
      <c r="B32">
        <v>7.6590376644440434</v>
      </c>
      <c r="C32">
        <v>16.6696702108488</v>
      </c>
      <c r="D32">
        <v>9.5343305100018014</v>
      </c>
      <c r="E32">
        <v>0.11749864840511803</v>
      </c>
      <c r="F32">
        <v>0</v>
      </c>
      <c r="G32">
        <v>0</v>
      </c>
    </row>
    <row r="33" spans="1:7" x14ac:dyDescent="0.25">
      <c r="A33" t="s">
        <v>268</v>
      </c>
      <c r="B33">
        <v>12.761458883938687</v>
      </c>
      <c r="C33">
        <v>15.328852978932268</v>
      </c>
      <c r="D33">
        <v>8.8692894359284153</v>
      </c>
      <c r="E33">
        <v>0.20433436532507743</v>
      </c>
      <c r="F33">
        <v>0</v>
      </c>
      <c r="G33">
        <v>0</v>
      </c>
    </row>
    <row r="34" spans="1:7" x14ac:dyDescent="0.25">
      <c r="A34" t="s">
        <v>269</v>
      </c>
      <c r="B34">
        <v>8.7986698073991949</v>
      </c>
      <c r="C34">
        <v>24.109740889566297</v>
      </c>
      <c r="D34">
        <v>7.7572398503533311</v>
      </c>
      <c r="E34">
        <v>0.46515172509352909</v>
      </c>
      <c r="F34">
        <v>0</v>
      </c>
      <c r="G34">
        <v>0</v>
      </c>
    </row>
    <row r="35" spans="1:7" x14ac:dyDescent="0.25">
      <c r="A35" t="s">
        <v>270</v>
      </c>
      <c r="B35">
        <v>9.2882104101526579</v>
      </c>
      <c r="C35">
        <v>20.323707927165717</v>
      </c>
      <c r="D35">
        <v>7.605848813684017</v>
      </c>
      <c r="E35">
        <v>0.39525473606768435</v>
      </c>
      <c r="F35">
        <v>0.14713996689350745</v>
      </c>
      <c r="G35">
        <v>0</v>
      </c>
    </row>
    <row r="36" spans="1:7" x14ac:dyDescent="0.25">
      <c r="A36" t="s">
        <v>271</v>
      </c>
      <c r="B36">
        <v>8.6186666666666678</v>
      </c>
      <c r="C36">
        <v>9.6666666666666679</v>
      </c>
      <c r="D36">
        <v>9.6095555555555574</v>
      </c>
      <c r="E36">
        <v>0.33422222222222225</v>
      </c>
      <c r="F36">
        <v>0.17777777777777781</v>
      </c>
      <c r="G36">
        <v>0</v>
      </c>
    </row>
    <row r="37" spans="1:7" x14ac:dyDescent="0.25">
      <c r="A37" t="s">
        <v>272</v>
      </c>
      <c r="B37">
        <v>5.1455888744024332</v>
      </c>
      <c r="C37">
        <v>10.719976821671736</v>
      </c>
      <c r="D37">
        <v>3.9091699261190782</v>
      </c>
      <c r="E37">
        <v>2.7379400260756193E-2</v>
      </c>
      <c r="F37">
        <v>7.2432275822106332E-2</v>
      </c>
      <c r="G37">
        <v>0</v>
      </c>
    </row>
    <row r="38" spans="1:7" x14ac:dyDescent="0.25">
      <c r="A38" t="s">
        <v>273</v>
      </c>
      <c r="B38">
        <v>7.9917708498180087</v>
      </c>
      <c r="C38">
        <v>7.9126444057604042</v>
      </c>
      <c r="D38">
        <v>5.1452761512897602</v>
      </c>
      <c r="E38">
        <v>4.4310808672258263E-2</v>
      </c>
      <c r="F38">
        <v>0</v>
      </c>
      <c r="G38">
        <v>0</v>
      </c>
    </row>
    <row r="39" spans="1:7" x14ac:dyDescent="0.25">
      <c r="A39" t="s">
        <v>274</v>
      </c>
      <c r="B39">
        <v>13.927576601671307</v>
      </c>
      <c r="C39">
        <v>12.90133411523237</v>
      </c>
      <c r="D39">
        <v>5.4080046913942228</v>
      </c>
      <c r="E39">
        <v>0.19865122416068023</v>
      </c>
      <c r="F39">
        <v>0</v>
      </c>
      <c r="G39">
        <v>0</v>
      </c>
    </row>
    <row r="40" spans="1:7" x14ac:dyDescent="0.25">
      <c r="A40" t="s">
        <v>275</v>
      </c>
      <c r="B40">
        <v>11.704789135096496</v>
      </c>
      <c r="C40">
        <v>22.337383845603998</v>
      </c>
      <c r="D40">
        <v>6.9206576125804142</v>
      </c>
      <c r="E40">
        <v>0.18263045032165831</v>
      </c>
      <c r="F40">
        <v>0</v>
      </c>
      <c r="G40">
        <v>0</v>
      </c>
    </row>
    <row r="41" spans="1:7" x14ac:dyDescent="0.25">
      <c r="A41" t="s">
        <v>276</v>
      </c>
      <c r="B41">
        <v>13.556116015132407</v>
      </c>
      <c r="C41">
        <v>26.79697351828499</v>
      </c>
      <c r="D41">
        <v>5.0128205128205119</v>
      </c>
      <c r="E41">
        <v>0.14144598570828079</v>
      </c>
      <c r="F41">
        <v>0</v>
      </c>
      <c r="G41">
        <v>0</v>
      </c>
    </row>
    <row r="42" spans="1:7" x14ac:dyDescent="0.25">
      <c r="A42" t="s">
        <v>277</v>
      </c>
      <c r="B42">
        <v>20.535797629048822</v>
      </c>
      <c r="C42">
        <v>25.109679828246062</v>
      </c>
      <c r="D42">
        <v>5.534584150098012</v>
      </c>
      <c r="E42">
        <v>8.9610753290394862E-2</v>
      </c>
      <c r="F42">
        <v>0</v>
      </c>
      <c r="G42">
        <v>0</v>
      </c>
    </row>
    <row r="43" spans="1:7" x14ac:dyDescent="0.25">
      <c r="A43" t="s">
        <v>278</v>
      </c>
      <c r="B43">
        <v>15.252480379090775</v>
      </c>
      <c r="C43">
        <v>14.067821708870131</v>
      </c>
      <c r="D43">
        <v>5.592329335110322</v>
      </c>
      <c r="E43">
        <v>7.8779801569672736E-2</v>
      </c>
      <c r="F43">
        <v>0</v>
      </c>
      <c r="G43">
        <v>0</v>
      </c>
    </row>
    <row r="44" spans="1:7" x14ac:dyDescent="0.25">
      <c r="A44" t="s">
        <v>279</v>
      </c>
      <c r="B44">
        <v>4.283739595719382</v>
      </c>
      <c r="C44">
        <v>16.34958382877527</v>
      </c>
      <c r="D44">
        <v>6.8503269916765763</v>
      </c>
      <c r="E44">
        <v>3.4185493460166475E-3</v>
      </c>
      <c r="F44">
        <v>0</v>
      </c>
      <c r="G44">
        <v>0</v>
      </c>
    </row>
    <row r="45" spans="1:7" x14ac:dyDescent="0.25">
      <c r="A45" t="s">
        <v>280</v>
      </c>
      <c r="B45">
        <v>6.3084112149532707</v>
      </c>
      <c r="C45">
        <v>17.601246105919003</v>
      </c>
      <c r="D45">
        <v>5.6386292834890966E-2</v>
      </c>
      <c r="E45">
        <v>1.4641744548286604E-2</v>
      </c>
      <c r="F45">
        <v>0</v>
      </c>
      <c r="G45">
        <v>0</v>
      </c>
    </row>
    <row r="46" spans="1:7" x14ac:dyDescent="0.25">
      <c r="A46" t="s">
        <v>281</v>
      </c>
      <c r="B46">
        <v>10.986321094312455</v>
      </c>
      <c r="C46">
        <v>14.254859611231101</v>
      </c>
      <c r="D46">
        <v>11.127429805615551</v>
      </c>
      <c r="E46">
        <v>4.1756659467242618E-3</v>
      </c>
      <c r="F46">
        <v>0</v>
      </c>
      <c r="G46">
        <v>0</v>
      </c>
    </row>
    <row r="47" spans="1:7" x14ac:dyDescent="0.25">
      <c r="A47" t="s">
        <v>282</v>
      </c>
      <c r="B47">
        <v>7.6099682221107203</v>
      </c>
      <c r="C47">
        <v>14.550928248871047</v>
      </c>
      <c r="D47">
        <v>8.427496236828901</v>
      </c>
      <c r="E47">
        <v>1.8230473323298208E-2</v>
      </c>
      <c r="F47">
        <v>0</v>
      </c>
      <c r="G47">
        <v>0</v>
      </c>
    </row>
    <row r="48" spans="1:7" x14ac:dyDescent="0.25">
      <c r="A48" t="s">
        <v>283</v>
      </c>
      <c r="B48">
        <v>11.922503725782413</v>
      </c>
      <c r="C48">
        <v>11.326378539493293</v>
      </c>
      <c r="D48">
        <v>7.9697466467958256</v>
      </c>
      <c r="E48">
        <v>7.4515648286140081E-3</v>
      </c>
      <c r="F48">
        <v>0</v>
      </c>
      <c r="G48">
        <v>0</v>
      </c>
    </row>
    <row r="49" spans="1:7" x14ac:dyDescent="0.25">
      <c r="A49" t="s">
        <v>284</v>
      </c>
      <c r="B49">
        <v>7.9072937968643497</v>
      </c>
      <c r="C49">
        <v>10.497614178595775</v>
      </c>
      <c r="D49">
        <v>7.8329925017041582</v>
      </c>
      <c r="E49">
        <v>3.1356509884117249E-2</v>
      </c>
      <c r="F49">
        <v>0</v>
      </c>
      <c r="G49">
        <v>0</v>
      </c>
    </row>
    <row r="50" spans="1:7" x14ac:dyDescent="0.25">
      <c r="A50" t="s">
        <v>285</v>
      </c>
      <c r="B50">
        <v>9.7549909255898353</v>
      </c>
      <c r="C50">
        <v>8.1669691470054442</v>
      </c>
      <c r="D50">
        <v>8.3333333333333321</v>
      </c>
      <c r="E50">
        <v>4.3859649122807015E-3</v>
      </c>
      <c r="F50">
        <v>0</v>
      </c>
      <c r="G50">
        <v>0</v>
      </c>
    </row>
    <row r="51" spans="1:7" x14ac:dyDescent="0.25">
      <c r="A51" t="s">
        <v>286</v>
      </c>
      <c r="B51">
        <v>15.313390313390313</v>
      </c>
      <c r="C51">
        <v>5.0569800569800565</v>
      </c>
      <c r="D51">
        <v>7.4974358974358974</v>
      </c>
      <c r="E51">
        <v>9.4017094017094013E-3</v>
      </c>
      <c r="F51">
        <v>0</v>
      </c>
      <c r="G51">
        <v>0</v>
      </c>
    </row>
    <row r="52" spans="1:7" x14ac:dyDescent="0.25">
      <c r="A52" t="s">
        <v>287</v>
      </c>
      <c r="B52">
        <v>14.322598179100417</v>
      </c>
      <c r="C52">
        <v>3.1254246500883265</v>
      </c>
      <c r="D52">
        <v>8.8192689224079341</v>
      </c>
      <c r="E52">
        <v>4.5114825383883665E-2</v>
      </c>
      <c r="F52">
        <v>0</v>
      </c>
      <c r="G52">
        <v>0</v>
      </c>
    </row>
    <row r="53" spans="1:7" x14ac:dyDescent="0.25">
      <c r="A53" t="s">
        <v>288</v>
      </c>
      <c r="B53">
        <v>13.38602753697093</v>
      </c>
      <c r="C53">
        <v>0</v>
      </c>
      <c r="D53">
        <v>7.5704997450280462</v>
      </c>
      <c r="E53">
        <v>1.0198878123406424E-3</v>
      </c>
      <c r="F53">
        <v>0</v>
      </c>
      <c r="G53">
        <v>0</v>
      </c>
    </row>
    <row r="54" spans="1:7" x14ac:dyDescent="0.25">
      <c r="A54" t="s">
        <v>289</v>
      </c>
      <c r="B54">
        <v>22.470407276131876</v>
      </c>
      <c r="C54">
        <v>8.5601551528121433</v>
      </c>
      <c r="D54">
        <v>0.19661606366615389</v>
      </c>
      <c r="E54">
        <v>6.486992576740451E-2</v>
      </c>
      <c r="F54">
        <v>0</v>
      </c>
      <c r="G54">
        <v>0</v>
      </c>
    </row>
    <row r="55" spans="1:7" x14ac:dyDescent="0.25">
      <c r="A55" t="s">
        <v>290</v>
      </c>
      <c r="B55">
        <v>24.81102712316585</v>
      </c>
      <c r="C55">
        <v>12.094264117385505</v>
      </c>
      <c r="D55">
        <v>5.8514895509115163</v>
      </c>
      <c r="E55">
        <v>6.0471320586927522E-2</v>
      </c>
      <c r="F55">
        <v>0</v>
      </c>
      <c r="G55">
        <v>0</v>
      </c>
    </row>
    <row r="56" spans="1:7" x14ac:dyDescent="0.25">
      <c r="A56" t="s">
        <v>291</v>
      </c>
      <c r="B56">
        <v>20.527340293753319</v>
      </c>
      <c r="C56">
        <v>7.6092726950982126</v>
      </c>
      <c r="D56">
        <v>4.5147761458149001</v>
      </c>
      <c r="E56">
        <v>0.11201557246505044</v>
      </c>
      <c r="F56">
        <v>0</v>
      </c>
      <c r="G56">
        <v>0</v>
      </c>
    </row>
    <row r="57" spans="1:7" x14ac:dyDescent="0.25">
      <c r="A57" t="s">
        <v>292</v>
      </c>
      <c r="B57">
        <v>21.007055805003208</v>
      </c>
      <c r="C57">
        <v>4.8107761385503531</v>
      </c>
      <c r="D57">
        <v>5.0283835792174472</v>
      </c>
      <c r="E57">
        <v>5.5163566388710714E-2</v>
      </c>
      <c r="F57">
        <v>0</v>
      </c>
      <c r="G57">
        <v>0</v>
      </c>
    </row>
    <row r="58" spans="1:7" x14ac:dyDescent="0.25">
      <c r="A58" t="s">
        <v>293</v>
      </c>
      <c r="B58">
        <v>15.456329735034346</v>
      </c>
      <c r="C58">
        <v>1.8809290153745502</v>
      </c>
      <c r="D58">
        <v>7.3050376185803074</v>
      </c>
      <c r="E58">
        <v>1.4883873078181224E-2</v>
      </c>
      <c r="F58">
        <v>0.53974484789008836</v>
      </c>
      <c r="G58">
        <v>0</v>
      </c>
    </row>
    <row r="59" spans="1:7" x14ac:dyDescent="0.25">
      <c r="A59" t="s">
        <v>294</v>
      </c>
      <c r="B59">
        <v>16.280304370907803</v>
      </c>
      <c r="C59">
        <v>2.2119978764820387</v>
      </c>
      <c r="D59">
        <v>4.0707839320474255</v>
      </c>
      <c r="E59">
        <v>0</v>
      </c>
      <c r="F59">
        <v>0.65475137143868345</v>
      </c>
      <c r="G59">
        <v>0</v>
      </c>
    </row>
    <row r="60" spans="1:7" x14ac:dyDescent="0.25">
      <c r="A60" t="s">
        <v>295</v>
      </c>
      <c r="B60">
        <v>16.698172652804033</v>
      </c>
      <c r="C60">
        <v>2.2336168872085698</v>
      </c>
      <c r="D60">
        <v>6.655954631379962</v>
      </c>
      <c r="E60">
        <v>5.6080655324511661E-2</v>
      </c>
      <c r="F60">
        <v>0.45683679899180846</v>
      </c>
      <c r="G60">
        <v>0</v>
      </c>
    </row>
    <row r="61" spans="1:7" x14ac:dyDescent="0.25">
      <c r="A61" t="s">
        <v>296</v>
      </c>
      <c r="B61">
        <v>2.7404085700049827</v>
      </c>
      <c r="C61">
        <v>2.4912805181863482</v>
      </c>
      <c r="D61">
        <v>0.32818468692908159</v>
      </c>
      <c r="E61">
        <v>8.3873110778940385E-2</v>
      </c>
      <c r="F61">
        <v>0</v>
      </c>
      <c r="G61">
        <v>0</v>
      </c>
    </row>
    <row r="62" spans="1:7" x14ac:dyDescent="0.25">
      <c r="A62" t="s">
        <v>297</v>
      </c>
      <c r="B62">
        <v>13.575585968224004</v>
      </c>
      <c r="C62">
        <v>3.6753185464841902</v>
      </c>
      <c r="D62">
        <v>5.2697813434009753</v>
      </c>
      <c r="E62">
        <v>1.9348749410099102E-2</v>
      </c>
      <c r="F62">
        <v>2.0213937391851502</v>
      </c>
      <c r="G62">
        <v>0</v>
      </c>
    </row>
    <row r="63" spans="1:7" x14ac:dyDescent="0.25">
      <c r="A63" t="s">
        <v>298</v>
      </c>
      <c r="B63">
        <v>27.347114556416876</v>
      </c>
      <c r="C63">
        <v>2.0334481768590291</v>
      </c>
      <c r="D63">
        <v>4.2717484926787241</v>
      </c>
      <c r="E63">
        <v>5.1248923341946591E-2</v>
      </c>
      <c r="F63">
        <v>0</v>
      </c>
      <c r="G63">
        <v>0</v>
      </c>
    </row>
    <row r="64" spans="1:7" x14ac:dyDescent="0.25">
      <c r="A64" t="s">
        <v>299</v>
      </c>
      <c r="B64">
        <v>47.898938503377494</v>
      </c>
      <c r="C64">
        <v>0.10790420212299326</v>
      </c>
      <c r="D64">
        <v>2.1794894288972722</v>
      </c>
      <c r="E64">
        <v>8.5972453724010873E-3</v>
      </c>
      <c r="F64">
        <v>0.23686288270900957</v>
      </c>
      <c r="G64">
        <v>0</v>
      </c>
    </row>
    <row r="65" spans="1:7" x14ac:dyDescent="0.25">
      <c r="A65" t="s">
        <v>300</v>
      </c>
      <c r="B65">
        <v>23.117623117623115</v>
      </c>
      <c r="C65">
        <v>5.4313390313390313</v>
      </c>
      <c r="D65">
        <v>0.8454212454212453</v>
      </c>
      <c r="E65">
        <v>0</v>
      </c>
      <c r="F65">
        <v>0.92796092796092788</v>
      </c>
      <c r="G65">
        <v>0</v>
      </c>
    </row>
    <row r="66" spans="1:7" x14ac:dyDescent="0.25">
      <c r="A66" t="s">
        <v>301</v>
      </c>
      <c r="B66">
        <v>11.830819284235433</v>
      </c>
      <c r="C66">
        <v>0.16430050280981956</v>
      </c>
      <c r="D66">
        <v>0.38257911860396332</v>
      </c>
      <c r="E66">
        <v>0</v>
      </c>
      <c r="F66">
        <v>0</v>
      </c>
      <c r="G66">
        <v>0</v>
      </c>
    </row>
    <row r="67" spans="1:7" x14ac:dyDescent="0.25">
      <c r="A67" t="s">
        <v>302</v>
      </c>
      <c r="B67">
        <v>3.3073593073593064</v>
      </c>
      <c r="C67">
        <v>3.4090909090909081E-2</v>
      </c>
      <c r="D67">
        <v>4.6807359307359298E-2</v>
      </c>
      <c r="E67">
        <v>0</v>
      </c>
      <c r="F67">
        <v>0</v>
      </c>
      <c r="G67">
        <v>0</v>
      </c>
    </row>
    <row r="68" spans="1:7" x14ac:dyDescent="0.25">
      <c r="A68" t="s">
        <v>303</v>
      </c>
      <c r="B68">
        <v>6.5617776452166128</v>
      </c>
      <c r="C68">
        <v>5.9055998806949513E-2</v>
      </c>
      <c r="D68">
        <v>0.13779733054954887</v>
      </c>
      <c r="E68">
        <v>6.5617776452166123E-3</v>
      </c>
      <c r="F68">
        <v>0</v>
      </c>
      <c r="G68">
        <v>0</v>
      </c>
    </row>
    <row r="69" spans="1:7" x14ac:dyDescent="0.25">
      <c r="A69" t="s">
        <v>304</v>
      </c>
      <c r="B69">
        <v>0.9586393505991494</v>
      </c>
      <c r="C69">
        <v>0</v>
      </c>
      <c r="D69">
        <v>5.3807499033629677E-2</v>
      </c>
      <c r="E69">
        <v>0</v>
      </c>
      <c r="F69">
        <v>0.15461925009663702</v>
      </c>
      <c r="G69">
        <v>0</v>
      </c>
    </row>
    <row r="70" spans="1:7" x14ac:dyDescent="0.25">
      <c r="A70" t="s">
        <v>305</v>
      </c>
      <c r="B70">
        <v>1.3282674772036476</v>
      </c>
      <c r="C70">
        <v>0.12181435585690906</v>
      </c>
      <c r="D70">
        <v>1.3794715922375498E-2</v>
      </c>
      <c r="E70">
        <v>3.0395136778115506E-3</v>
      </c>
      <c r="F70">
        <v>0</v>
      </c>
      <c r="G70">
        <v>0</v>
      </c>
    </row>
    <row r="71" spans="1:7" x14ac:dyDescent="0.25">
      <c r="A71" t="s">
        <v>306</v>
      </c>
      <c r="B71">
        <v>0</v>
      </c>
      <c r="C71">
        <v>3.0326856115915981</v>
      </c>
      <c r="D71">
        <v>1.7625519487813095</v>
      </c>
      <c r="E71">
        <v>0</v>
      </c>
      <c r="F71">
        <v>2.8080422329551834E-2</v>
      </c>
      <c r="G71">
        <v>1.945411658991351</v>
      </c>
    </row>
    <row r="72" spans="1:7" x14ac:dyDescent="0.25">
      <c r="A72" t="s">
        <v>307</v>
      </c>
      <c r="B72">
        <v>3.9548387096774191</v>
      </c>
      <c r="C72">
        <v>17.147707979626485</v>
      </c>
      <c r="D72">
        <v>4.9483870967741925</v>
      </c>
      <c r="E72">
        <v>1.7996604414261458E-2</v>
      </c>
      <c r="F72">
        <v>0.54329371816638361</v>
      </c>
      <c r="G72">
        <v>4.8896434634974533</v>
      </c>
    </row>
    <row r="73" spans="1:7" x14ac:dyDescent="0.25">
      <c r="A73" t="s">
        <v>308</v>
      </c>
      <c r="B73">
        <v>2.5044846843797601</v>
      </c>
      <c r="C73">
        <v>25.977322728041973</v>
      </c>
      <c r="D73">
        <v>8.2738195972245734</v>
      </c>
      <c r="E73">
        <v>4.6539177525808093E-2</v>
      </c>
      <c r="F73">
        <v>0.67693349128448133</v>
      </c>
      <c r="G73">
        <v>1.3961753257742429</v>
      </c>
    </row>
    <row r="74" spans="1:7" x14ac:dyDescent="0.25">
      <c r="A74" t="s">
        <v>309</v>
      </c>
      <c r="B74">
        <v>2.7686350435624396</v>
      </c>
      <c r="C74">
        <v>27.105517909002906</v>
      </c>
      <c r="D74">
        <v>7.6089060987415298</v>
      </c>
      <c r="E74">
        <v>5.5759922555663116E-2</v>
      </c>
      <c r="F74">
        <v>0.90029041626331074</v>
      </c>
      <c r="G74">
        <v>1.090029041626331</v>
      </c>
    </row>
    <row r="75" spans="1:7" x14ac:dyDescent="0.25">
      <c r="A75" t="s">
        <v>310</v>
      </c>
      <c r="B75">
        <v>2.335314599233286</v>
      </c>
      <c r="C75">
        <v>5.6272640945380372</v>
      </c>
      <c r="D75">
        <v>0.37298209826609929</v>
      </c>
      <c r="E75">
        <v>0.16195969472092292</v>
      </c>
      <c r="F75">
        <v>0.39566700664720578</v>
      </c>
      <c r="G75">
        <v>0.42028628706080967</v>
      </c>
    </row>
    <row r="76" spans="1:7" x14ac:dyDescent="0.25">
      <c r="A76" t="s">
        <v>311</v>
      </c>
      <c r="B76">
        <v>14.28684816255258</v>
      </c>
      <c r="C76">
        <v>22.779585681403283</v>
      </c>
      <c r="D76">
        <v>7.8261766806889419</v>
      </c>
      <c r="E76">
        <v>0.76069529327724417</v>
      </c>
      <c r="F76">
        <v>1.0953250257956979</v>
      </c>
      <c r="G76">
        <v>0.39685689340423835</v>
      </c>
    </row>
    <row r="77" spans="1:7" x14ac:dyDescent="0.25">
      <c r="A77" t="s">
        <v>312</v>
      </c>
      <c r="B77">
        <v>3.832826285366596</v>
      </c>
      <c r="C77">
        <v>18.862184362640708</v>
      </c>
      <c r="D77">
        <v>6.8194402190447221</v>
      </c>
      <c r="E77">
        <v>0.7417097657438394</v>
      </c>
      <c r="F77">
        <v>1.4755095832065714</v>
      </c>
      <c r="G77">
        <v>0.24186188013386067</v>
      </c>
    </row>
    <row r="78" spans="1:7" x14ac:dyDescent="0.25">
      <c r="A78" t="s">
        <v>313</v>
      </c>
      <c r="B78">
        <v>4.7274295572167917</v>
      </c>
      <c r="C78">
        <v>16.580410197431476</v>
      </c>
      <c r="D78">
        <v>7.1171171171171181</v>
      </c>
      <c r="E78">
        <v>1.0576959938662067</v>
      </c>
      <c r="F78">
        <v>2.1947479394287908</v>
      </c>
      <c r="G78">
        <v>0</v>
      </c>
    </row>
    <row r="79" spans="1:7" x14ac:dyDescent="0.25">
      <c r="A79" t="s">
        <v>314</v>
      </c>
      <c r="B79">
        <v>6.7352581585629645</v>
      </c>
      <c r="C79">
        <v>19.373648076742217</v>
      </c>
      <c r="D79">
        <v>5.8916580457067624</v>
      </c>
      <c r="E79">
        <v>9.0661149252327669E-2</v>
      </c>
      <c r="F79">
        <v>3.2540205022101008</v>
      </c>
      <c r="G79">
        <v>0</v>
      </c>
    </row>
    <row r="80" spans="1:7" x14ac:dyDescent="0.25">
      <c r="A80" t="s">
        <v>315</v>
      </c>
      <c r="B80">
        <v>3.7655093910073982</v>
      </c>
      <c r="C80">
        <v>13.090495162208308</v>
      </c>
      <c r="D80">
        <v>0.57760793560452062</v>
      </c>
      <c r="E80">
        <v>0.14391413936092362</v>
      </c>
      <c r="F80">
        <v>0.13009187738840552</v>
      </c>
      <c r="G80">
        <v>0</v>
      </c>
    </row>
    <row r="81" spans="1:7" x14ac:dyDescent="0.25">
      <c r="A81" t="s">
        <v>316</v>
      </c>
      <c r="B81">
        <v>8.8487652018204876</v>
      </c>
      <c r="C81">
        <v>21.189285980750579</v>
      </c>
      <c r="D81">
        <v>8.2518839065880769</v>
      </c>
      <c r="E81">
        <v>2.1487726628366781E-2</v>
      </c>
      <c r="F81">
        <v>0.30590166380661044</v>
      </c>
      <c r="G81">
        <v>0</v>
      </c>
    </row>
    <row r="82" spans="1:7" x14ac:dyDescent="0.25">
      <c r="A82" t="s">
        <v>317</v>
      </c>
      <c r="B82">
        <v>6.3899925037481262</v>
      </c>
      <c r="C82">
        <v>21.926536731634183</v>
      </c>
      <c r="D82">
        <v>6.5071214392803602</v>
      </c>
      <c r="E82">
        <v>0.13155922038980508</v>
      </c>
      <c r="F82">
        <v>0</v>
      </c>
      <c r="G82">
        <v>0</v>
      </c>
    </row>
    <row r="83" spans="1:7" x14ac:dyDescent="0.25">
      <c r="A83" t="s">
        <v>318</v>
      </c>
      <c r="B83">
        <v>5.495321959273527</v>
      </c>
      <c r="C83">
        <v>16.029168959823885</v>
      </c>
      <c r="D83">
        <v>5.5729223995597135</v>
      </c>
      <c r="E83">
        <v>4.9119427627958165E-2</v>
      </c>
      <c r="F83">
        <v>5.5035773252614197E-2</v>
      </c>
      <c r="G83">
        <v>0</v>
      </c>
    </row>
    <row r="84" spans="1:7" x14ac:dyDescent="0.25">
      <c r="A84" t="s">
        <v>319</v>
      </c>
      <c r="B84">
        <v>2.9832214765100669</v>
      </c>
      <c r="C84">
        <v>18.160284247927358</v>
      </c>
      <c r="D84">
        <v>4.6711409395973158</v>
      </c>
      <c r="E84">
        <v>0.54559810501381756</v>
      </c>
      <c r="F84">
        <v>0.6514015001973944</v>
      </c>
      <c r="G84">
        <v>0</v>
      </c>
    </row>
    <row r="85" spans="1:7" x14ac:dyDescent="0.25">
      <c r="A85" t="s">
        <v>320</v>
      </c>
      <c r="B85">
        <v>5.6539848539487911</v>
      </c>
      <c r="C85">
        <v>15.236206274792641</v>
      </c>
      <c r="D85">
        <v>5.2600072124053368</v>
      </c>
      <c r="E85">
        <v>0.55535521096285601</v>
      </c>
      <c r="F85">
        <v>0</v>
      </c>
      <c r="G85">
        <v>0</v>
      </c>
    </row>
    <row r="86" spans="1:7" x14ac:dyDescent="0.25">
      <c r="A86" t="s">
        <v>321</v>
      </c>
      <c r="B86">
        <v>10.060240963855422</v>
      </c>
      <c r="C86">
        <v>10.240963855421688</v>
      </c>
      <c r="D86">
        <v>4.3875502008032132</v>
      </c>
      <c r="E86">
        <v>0.33674698795180724</v>
      </c>
      <c r="F86">
        <v>0.80321285140562249</v>
      </c>
      <c r="G86">
        <v>0</v>
      </c>
    </row>
    <row r="87" spans="1:7" x14ac:dyDescent="0.25">
      <c r="A87" t="s">
        <v>322</v>
      </c>
      <c r="B87">
        <v>6.3935802469135812</v>
      </c>
      <c r="C87">
        <v>11.193415637860083</v>
      </c>
      <c r="D87">
        <v>4.6156378600823045</v>
      </c>
      <c r="E87">
        <v>0.49662551440329222</v>
      </c>
      <c r="F87">
        <v>1.6049382716049385</v>
      </c>
      <c r="G87">
        <v>0</v>
      </c>
    </row>
    <row r="88" spans="1:7" x14ac:dyDescent="0.25">
      <c r="A88" t="s">
        <v>323</v>
      </c>
      <c r="B88">
        <v>12.775411960748009</v>
      </c>
      <c r="C88">
        <v>12.219959266802444</v>
      </c>
      <c r="D88">
        <v>5.9777818922421782</v>
      </c>
      <c r="E88">
        <v>0.13719681540455472</v>
      </c>
      <c r="F88">
        <v>7.4615811886687657</v>
      </c>
      <c r="G88">
        <v>0</v>
      </c>
    </row>
    <row r="89" spans="1:7" x14ac:dyDescent="0.25">
      <c r="A89" t="s">
        <v>324</v>
      </c>
      <c r="B89">
        <v>10.954513888888888</v>
      </c>
      <c r="C89">
        <v>16.840277777777779</v>
      </c>
      <c r="D89">
        <v>6.5064236111111118</v>
      </c>
      <c r="E89">
        <v>0.50642361111111112</v>
      </c>
      <c r="F89">
        <v>1.2152777777777777</v>
      </c>
      <c r="G89">
        <v>0</v>
      </c>
    </row>
    <row r="90" spans="1:7" x14ac:dyDescent="0.25">
      <c r="A90" t="s">
        <v>325</v>
      </c>
      <c r="B90">
        <v>7.9817559863169887</v>
      </c>
      <c r="C90">
        <v>14.680729760547319</v>
      </c>
      <c r="D90">
        <v>6.7165051311288479</v>
      </c>
      <c r="E90">
        <v>0.15607183580387682</v>
      </c>
      <c r="F90">
        <v>1.0547320410490306</v>
      </c>
      <c r="G90">
        <v>0</v>
      </c>
    </row>
    <row r="91" spans="1:7" x14ac:dyDescent="0.25">
      <c r="A91" t="s">
        <v>326</v>
      </c>
      <c r="B91">
        <v>7.0493695613567757</v>
      </c>
      <c r="C91">
        <v>19.712306872669153</v>
      </c>
      <c r="D91">
        <v>8.4583555318771104</v>
      </c>
      <c r="E91">
        <v>0.19428165512342391</v>
      </c>
      <c r="F91">
        <v>2.921328360859528</v>
      </c>
      <c r="G91">
        <v>0</v>
      </c>
    </row>
    <row r="92" spans="1:7" x14ac:dyDescent="0.25">
      <c r="A92" t="s">
        <v>327</v>
      </c>
      <c r="B92">
        <v>4.9831356560415117</v>
      </c>
      <c r="C92">
        <v>20.756115641215715</v>
      </c>
      <c r="D92">
        <v>7.1719792438843591E-2</v>
      </c>
      <c r="E92">
        <v>0.10989621942179391</v>
      </c>
      <c r="F92">
        <v>0</v>
      </c>
      <c r="G92">
        <v>0</v>
      </c>
    </row>
    <row r="93" spans="1:7" x14ac:dyDescent="0.25">
      <c r="A93" t="s">
        <v>328</v>
      </c>
      <c r="B93">
        <v>6.4553831976654896</v>
      </c>
      <c r="C93">
        <v>16.740900015358623</v>
      </c>
      <c r="D93">
        <v>6.4364920903087084</v>
      </c>
      <c r="E93">
        <v>0.26447550299493167</v>
      </c>
      <c r="F93">
        <v>0</v>
      </c>
      <c r="G93">
        <v>0</v>
      </c>
    </row>
    <row r="94" spans="1:7" x14ac:dyDescent="0.25">
      <c r="A94" t="s">
        <v>329</v>
      </c>
      <c r="B94">
        <v>5.8687013519049565</v>
      </c>
      <c r="C94">
        <v>21.712412945514135</v>
      </c>
      <c r="D94">
        <v>12.199713232281852</v>
      </c>
      <c r="E94">
        <v>0</v>
      </c>
      <c r="F94">
        <v>0</v>
      </c>
      <c r="G94">
        <v>0</v>
      </c>
    </row>
    <row r="95" spans="1:7" x14ac:dyDescent="0.25">
      <c r="A95" t="s">
        <v>330</v>
      </c>
      <c r="B95">
        <v>12.109135499693442</v>
      </c>
      <c r="C95">
        <v>25.90435315757205</v>
      </c>
      <c r="D95">
        <v>9.4278050275904395</v>
      </c>
      <c r="E95">
        <v>0.14209074187614965</v>
      </c>
      <c r="F95">
        <v>0.56713672593500941</v>
      </c>
      <c r="G95">
        <v>0</v>
      </c>
    </row>
    <row r="96" spans="1:7" x14ac:dyDescent="0.25">
      <c r="A96" t="s">
        <v>331</v>
      </c>
      <c r="B96">
        <v>6.9241241604646948</v>
      </c>
      <c r="C96">
        <v>28.589580686149937</v>
      </c>
      <c r="D96">
        <v>7.3396260664367396</v>
      </c>
      <c r="E96">
        <v>7.4968233799237616E-2</v>
      </c>
      <c r="F96">
        <v>9.0760573606825198E-2</v>
      </c>
      <c r="G96">
        <v>0</v>
      </c>
    </row>
    <row r="97" spans="1:7" x14ac:dyDescent="0.25">
      <c r="A97" t="s">
        <v>332</v>
      </c>
      <c r="B97">
        <v>9.41360437842064</v>
      </c>
      <c r="C97">
        <v>18.530101641907738</v>
      </c>
      <c r="D97">
        <v>7.740422204847536</v>
      </c>
      <c r="E97">
        <v>0</v>
      </c>
      <c r="F97">
        <v>0</v>
      </c>
      <c r="G97">
        <v>0</v>
      </c>
    </row>
    <row r="98" spans="1:7" x14ac:dyDescent="0.25">
      <c r="A98" t="s">
        <v>333</v>
      </c>
      <c r="B98">
        <v>8.6840545346769407</v>
      </c>
      <c r="C98">
        <v>21.932424422050978</v>
      </c>
      <c r="D98">
        <v>8.3876704208654402</v>
      </c>
      <c r="E98">
        <v>1.1410788381742738E-2</v>
      </c>
      <c r="F98">
        <v>0</v>
      </c>
      <c r="G98">
        <v>0</v>
      </c>
    </row>
    <row r="99" spans="1:7" x14ac:dyDescent="0.25">
      <c r="A99" t="s">
        <v>334</v>
      </c>
      <c r="B99">
        <v>6.6169154228855733</v>
      </c>
      <c r="C99">
        <v>27.363184079601993</v>
      </c>
      <c r="D99">
        <v>9.0878938640132692</v>
      </c>
      <c r="E99">
        <v>1.6086235489220568E-2</v>
      </c>
      <c r="F99">
        <v>0.53067993366500843</v>
      </c>
      <c r="G99">
        <v>0</v>
      </c>
    </row>
    <row r="100" spans="1:7" x14ac:dyDescent="0.25">
      <c r="A100" t="s">
        <v>335</v>
      </c>
      <c r="B100">
        <v>7.3703108759331002</v>
      </c>
      <c r="C100">
        <v>21.638476802418975</v>
      </c>
      <c r="D100">
        <v>8.2615515449305477</v>
      </c>
      <c r="E100">
        <v>0.16970613247661345</v>
      </c>
      <c r="F100">
        <v>0</v>
      </c>
      <c r="G100">
        <v>0</v>
      </c>
    </row>
    <row r="101" spans="1:7" x14ac:dyDescent="0.25">
      <c r="A101" t="s">
        <v>336</v>
      </c>
      <c r="B101">
        <v>13.917282591602458</v>
      </c>
      <c r="C101">
        <v>18.16323321276931</v>
      </c>
      <c r="D101">
        <v>6.7276301305236688</v>
      </c>
      <c r="E101">
        <v>0.21324107564082409</v>
      </c>
      <c r="F101">
        <v>0</v>
      </c>
      <c r="G101">
        <v>0</v>
      </c>
    </row>
    <row r="102" spans="1:7" x14ac:dyDescent="0.25">
      <c r="A102" t="s">
        <v>337</v>
      </c>
      <c r="B102">
        <v>9.7633136094674562</v>
      </c>
      <c r="C102">
        <v>15.088757396449706</v>
      </c>
      <c r="D102">
        <v>8.2767751479289942</v>
      </c>
      <c r="E102">
        <v>8.1952662721893499E-2</v>
      </c>
      <c r="F102">
        <v>0</v>
      </c>
      <c r="G102">
        <v>0</v>
      </c>
    </row>
    <row r="103" spans="1:7" x14ac:dyDescent="0.25">
      <c r="A103" t="s">
        <v>338</v>
      </c>
      <c r="B103">
        <v>9.2536099247508634</v>
      </c>
      <c r="C103">
        <v>18.405531828350618</v>
      </c>
      <c r="D103">
        <v>9.5072198495017286</v>
      </c>
      <c r="E103">
        <v>0.22717103925157617</v>
      </c>
      <c r="F103">
        <v>0.32540166768354689</v>
      </c>
      <c r="G103">
        <v>0</v>
      </c>
    </row>
    <row r="104" spans="1:7" x14ac:dyDescent="0.25">
      <c r="A104" t="s">
        <v>339</v>
      </c>
      <c r="B104">
        <v>14.514054749219179</v>
      </c>
      <c r="C104">
        <v>20.301304427705308</v>
      </c>
      <c r="D104">
        <v>7.5629248576152843</v>
      </c>
      <c r="E104">
        <v>0.23700165349990812</v>
      </c>
      <c r="F104">
        <v>0</v>
      </c>
      <c r="G104">
        <v>0</v>
      </c>
    </row>
    <row r="105" spans="1:7" x14ac:dyDescent="0.25">
      <c r="A105" t="s">
        <v>340</v>
      </c>
      <c r="B105">
        <v>6.5428087465352629</v>
      </c>
      <c r="C105">
        <v>10.856174930705267</v>
      </c>
      <c r="D105">
        <v>5.5041576840160147</v>
      </c>
      <c r="E105">
        <v>0.13689559593470899</v>
      </c>
      <c r="F105">
        <v>0</v>
      </c>
      <c r="G105">
        <v>0</v>
      </c>
    </row>
    <row r="106" spans="1:7" x14ac:dyDescent="0.25">
      <c r="A106" t="s">
        <v>341</v>
      </c>
      <c r="B106">
        <v>10.928961748633879</v>
      </c>
      <c r="C106">
        <v>17.21311475409836</v>
      </c>
      <c r="D106">
        <v>8.7205828779599273</v>
      </c>
      <c r="E106">
        <v>0.21183970856102005</v>
      </c>
      <c r="F106">
        <v>0</v>
      </c>
      <c r="G106">
        <v>0</v>
      </c>
    </row>
    <row r="107" spans="1:7" x14ac:dyDescent="0.25">
      <c r="A107" t="s">
        <v>342</v>
      </c>
      <c r="B107">
        <v>7.3306467088850509</v>
      </c>
      <c r="C107">
        <v>21.205142966800999</v>
      </c>
      <c r="D107">
        <v>6.8424486662828636</v>
      </c>
      <c r="E107">
        <v>0.24160429859911725</v>
      </c>
      <c r="F107">
        <v>0</v>
      </c>
      <c r="G107">
        <v>0</v>
      </c>
    </row>
    <row r="108" spans="1:7" x14ac:dyDescent="0.25">
      <c r="A108" t="s">
        <v>343</v>
      </c>
      <c r="B108">
        <v>4.375</v>
      </c>
      <c r="C108">
        <v>22.017045454545453</v>
      </c>
      <c r="D108">
        <v>5.5434659090909086</v>
      </c>
      <c r="E108">
        <v>0.25142045454545453</v>
      </c>
      <c r="F108">
        <v>0</v>
      </c>
      <c r="G108">
        <v>0</v>
      </c>
    </row>
    <row r="109" spans="1:7" x14ac:dyDescent="0.25">
      <c r="A109" t="s">
        <v>344</v>
      </c>
      <c r="B109">
        <v>6.5202975557917107</v>
      </c>
      <c r="C109">
        <v>17.428267800212542</v>
      </c>
      <c r="D109">
        <v>5.2811902231668437</v>
      </c>
      <c r="E109">
        <v>0.30414452709883105</v>
      </c>
      <c r="F109">
        <v>0</v>
      </c>
      <c r="G109">
        <v>0</v>
      </c>
    </row>
    <row r="110" spans="1:7" x14ac:dyDescent="0.25">
      <c r="A110" t="s">
        <v>345</v>
      </c>
      <c r="B110">
        <v>2.6037852293766717</v>
      </c>
      <c r="C110">
        <v>7.0973050812590017</v>
      </c>
      <c r="D110">
        <v>2.5089487759720224</v>
      </c>
      <c r="E110">
        <v>9.9362271137626024E-2</v>
      </c>
      <c r="F110">
        <v>0</v>
      </c>
      <c r="G110">
        <v>0</v>
      </c>
    </row>
    <row r="111" spans="1:7" x14ac:dyDescent="0.25">
      <c r="A111" t="s">
        <v>346</v>
      </c>
      <c r="B111">
        <v>12.405651248306562</v>
      </c>
      <c r="C111">
        <v>3.3868782659183281</v>
      </c>
      <c r="D111">
        <v>2.7573059802593383</v>
      </c>
      <c r="E111">
        <v>0.17185988000774147</v>
      </c>
      <c r="F111">
        <v>0</v>
      </c>
      <c r="G111">
        <v>0</v>
      </c>
    </row>
    <row r="112" spans="1:7" x14ac:dyDescent="0.25">
      <c r="A112" t="s">
        <v>347</v>
      </c>
      <c r="B112">
        <v>5.4131637168141591</v>
      </c>
      <c r="C112">
        <v>5.7153392330383479</v>
      </c>
      <c r="D112">
        <v>4.8785029498525079</v>
      </c>
      <c r="E112">
        <v>6.1946902654867249E-2</v>
      </c>
      <c r="F112">
        <v>0</v>
      </c>
      <c r="G112">
        <v>0</v>
      </c>
    </row>
    <row r="113" spans="1:7" x14ac:dyDescent="0.25">
      <c r="A113" t="s">
        <v>348</v>
      </c>
      <c r="B113">
        <v>4.6750463630743866</v>
      </c>
      <c r="C113">
        <v>7.5211209561096224</v>
      </c>
      <c r="D113">
        <v>3.6150834535338965</v>
      </c>
      <c r="E113">
        <v>6.7793117659179891E-2</v>
      </c>
      <c r="F113">
        <v>0</v>
      </c>
      <c r="G113">
        <v>0</v>
      </c>
    </row>
    <row r="114" spans="1:7" x14ac:dyDescent="0.25">
      <c r="A114" t="s">
        <v>349</v>
      </c>
      <c r="B114">
        <v>12.466307277628031</v>
      </c>
      <c r="C114">
        <v>9.0128032345013462</v>
      </c>
      <c r="D114">
        <v>6.2021563342318045</v>
      </c>
      <c r="E114">
        <v>0.15953504043126684</v>
      </c>
      <c r="F114">
        <v>0</v>
      </c>
      <c r="G114">
        <v>0</v>
      </c>
    </row>
    <row r="115" spans="1:7" x14ac:dyDescent="0.25">
      <c r="A115" t="s">
        <v>350</v>
      </c>
      <c r="B115">
        <v>9.2685550376479036</v>
      </c>
      <c r="C115">
        <v>16.314091072068845</v>
      </c>
      <c r="D115">
        <v>6.7540337038365017</v>
      </c>
      <c r="E115">
        <v>9.2685550376479034E-2</v>
      </c>
      <c r="F115">
        <v>0</v>
      </c>
      <c r="G115">
        <v>0</v>
      </c>
    </row>
    <row r="116" spans="1:7" x14ac:dyDescent="0.25">
      <c r="A116" t="s">
        <v>351</v>
      </c>
      <c r="B116">
        <v>10.707663782447467</v>
      </c>
      <c r="C116">
        <v>14.060568603213845</v>
      </c>
      <c r="D116">
        <v>5.3535228677379481</v>
      </c>
      <c r="E116">
        <v>2.0859085290482079E-2</v>
      </c>
      <c r="F116">
        <v>0</v>
      </c>
      <c r="G116">
        <v>0</v>
      </c>
    </row>
    <row r="117" spans="1:7" x14ac:dyDescent="0.25">
      <c r="A117" t="s">
        <v>352</v>
      </c>
      <c r="B117">
        <v>16.602665461938106</v>
      </c>
      <c r="C117">
        <v>18.861531511181386</v>
      </c>
      <c r="D117">
        <v>14.412468940591822</v>
      </c>
      <c r="E117">
        <v>7.7930878698893161E-2</v>
      </c>
      <c r="F117">
        <v>0</v>
      </c>
      <c r="G117">
        <v>0</v>
      </c>
    </row>
    <row r="118" spans="1:7" x14ac:dyDescent="0.25">
      <c r="A118" t="s">
        <v>353</v>
      </c>
      <c r="B118">
        <v>7.1218798955613574</v>
      </c>
      <c r="C118">
        <v>13.054830287206267</v>
      </c>
      <c r="D118">
        <v>7.676657963446476</v>
      </c>
      <c r="E118">
        <v>2.0052219321148826E-2</v>
      </c>
      <c r="F118">
        <v>0</v>
      </c>
      <c r="G118">
        <v>0</v>
      </c>
    </row>
    <row r="119" spans="1:7" x14ac:dyDescent="0.25">
      <c r="A119" t="s">
        <v>354</v>
      </c>
      <c r="B119">
        <v>7.1187043957999645</v>
      </c>
      <c r="C119">
        <v>13.347570742124933</v>
      </c>
      <c r="D119">
        <v>9.5040042712226374</v>
      </c>
      <c r="E119">
        <v>6.7627691760099667E-2</v>
      </c>
      <c r="F119">
        <v>0</v>
      </c>
      <c r="G119">
        <v>0</v>
      </c>
    </row>
    <row r="120" spans="1:7" x14ac:dyDescent="0.25">
      <c r="A120" t="s">
        <v>355</v>
      </c>
      <c r="B120">
        <v>4.6335014311026299</v>
      </c>
      <c r="C120">
        <v>11.039934578165463</v>
      </c>
      <c r="D120">
        <v>8.0441597383126613</v>
      </c>
      <c r="E120">
        <v>1.3356957884694015E-2</v>
      </c>
      <c r="F120">
        <v>0</v>
      </c>
      <c r="G120">
        <v>0</v>
      </c>
    </row>
    <row r="121" spans="1:7" x14ac:dyDescent="0.25">
      <c r="A121" t="s">
        <v>356</v>
      </c>
      <c r="B121">
        <v>5.142755807767335</v>
      </c>
      <c r="C121">
        <v>11.526866465685407</v>
      </c>
      <c r="D121">
        <v>7.4862564284447606</v>
      </c>
      <c r="E121">
        <v>1.2945557723000533E-2</v>
      </c>
      <c r="F121">
        <v>0</v>
      </c>
      <c r="G121">
        <v>0</v>
      </c>
    </row>
    <row r="122" spans="1:7" x14ac:dyDescent="0.25">
      <c r="A122" t="s">
        <v>357</v>
      </c>
      <c r="B122">
        <v>10.865066225165565</v>
      </c>
      <c r="C122">
        <v>8.071192052980134</v>
      </c>
      <c r="D122">
        <v>9.1297599337748352</v>
      </c>
      <c r="E122">
        <v>1.1796357615894041E-2</v>
      </c>
      <c r="F122">
        <v>0</v>
      </c>
      <c r="G122">
        <v>0</v>
      </c>
    </row>
    <row r="123" spans="1:7" x14ac:dyDescent="0.25">
      <c r="A123" t="s">
        <v>358</v>
      </c>
      <c r="B123">
        <v>7.1510924369747899</v>
      </c>
      <c r="C123">
        <v>0</v>
      </c>
      <c r="D123">
        <v>7.8235294117647056</v>
      </c>
      <c r="E123">
        <v>2.8571428571428571E-2</v>
      </c>
      <c r="F123">
        <v>1.680672268907563E-2</v>
      </c>
      <c r="G123">
        <v>0</v>
      </c>
    </row>
    <row r="124" spans="1:7" x14ac:dyDescent="0.25">
      <c r="A124" t="s">
        <v>359</v>
      </c>
      <c r="B124">
        <v>11.794276875483373</v>
      </c>
      <c r="C124">
        <v>4.5657385924207272</v>
      </c>
      <c r="D124">
        <v>7.7103634957463258</v>
      </c>
      <c r="E124">
        <v>5.2784222737819027E-2</v>
      </c>
      <c r="F124">
        <v>0.32869296210363497</v>
      </c>
      <c r="G124">
        <v>0</v>
      </c>
    </row>
    <row r="125" spans="1:7" x14ac:dyDescent="0.25">
      <c r="A125" t="s">
        <v>360</v>
      </c>
      <c r="B125">
        <v>5.1541945647892877</v>
      </c>
      <c r="C125">
        <v>0</v>
      </c>
      <c r="D125">
        <v>5.124261520283576</v>
      </c>
      <c r="E125">
        <v>6.0063016935801489E-2</v>
      </c>
      <c r="F125">
        <v>0</v>
      </c>
      <c r="G125">
        <v>0</v>
      </c>
    </row>
    <row r="126" spans="1:7" x14ac:dyDescent="0.25">
      <c r="A126" t="s">
        <v>361</v>
      </c>
      <c r="B126">
        <v>11.015997754701093</v>
      </c>
      <c r="C126">
        <v>0.63149031714847037</v>
      </c>
      <c r="D126">
        <v>4.6846758349705295</v>
      </c>
      <c r="E126">
        <v>4.3783328655627278E-2</v>
      </c>
      <c r="F126">
        <v>0.18944709514454111</v>
      </c>
      <c r="G126">
        <v>0</v>
      </c>
    </row>
    <row r="127" spans="1:7" x14ac:dyDescent="0.25">
      <c r="A127" t="s">
        <v>362</v>
      </c>
      <c r="B127">
        <v>14.163524326312885</v>
      </c>
      <c r="C127">
        <v>1.9313896808608479</v>
      </c>
      <c r="D127">
        <v>2.9412305711395192</v>
      </c>
      <c r="E127">
        <v>5.0216131702382046E-2</v>
      </c>
      <c r="F127">
        <v>1.6646739630276832</v>
      </c>
      <c r="G127">
        <v>0</v>
      </c>
    </row>
    <row r="128" spans="1:7" x14ac:dyDescent="0.25">
      <c r="A128" t="s">
        <v>363</v>
      </c>
      <c r="B128">
        <v>12.891658840604453</v>
      </c>
      <c r="C128">
        <v>5.4513788098693743</v>
      </c>
      <c r="D128">
        <v>2.9681550414069835</v>
      </c>
      <c r="E128">
        <v>5.460599334073251E-2</v>
      </c>
      <c r="F128">
        <v>2.740544693929821</v>
      </c>
      <c r="G128">
        <v>0</v>
      </c>
    </row>
    <row r="129" spans="1:7" x14ac:dyDescent="0.25">
      <c r="A129" t="s">
        <v>364</v>
      </c>
      <c r="B129">
        <v>12.61439081284766</v>
      </c>
      <c r="C129">
        <v>4.5092409833123996</v>
      </c>
      <c r="D129">
        <v>3.7992104790956396</v>
      </c>
      <c r="E129">
        <v>7.8952090436030881E-2</v>
      </c>
      <c r="F129">
        <v>0</v>
      </c>
      <c r="G129">
        <v>0</v>
      </c>
    </row>
    <row r="130" spans="1:7" x14ac:dyDescent="0.25">
      <c r="A130" t="s">
        <v>365</v>
      </c>
      <c r="B130">
        <v>14.710972654897889</v>
      </c>
      <c r="C130">
        <v>2.8040844582900659</v>
      </c>
      <c r="D130">
        <v>4.3686396677050876</v>
      </c>
      <c r="E130">
        <v>5.659397715472482E-2</v>
      </c>
      <c r="F130">
        <v>0.94323295257874695</v>
      </c>
      <c r="G130">
        <v>0</v>
      </c>
    </row>
    <row r="131" spans="1:7" x14ac:dyDescent="0.25">
      <c r="A131" t="s">
        <v>366</v>
      </c>
      <c r="B131">
        <v>27.217309178329185</v>
      </c>
      <c r="C131">
        <v>6.3645573967545293</v>
      </c>
      <c r="D131">
        <v>6.6429123379410999</v>
      </c>
      <c r="E131">
        <v>6.5252854812398051E-2</v>
      </c>
      <c r="F131">
        <v>0.36919378380698892</v>
      </c>
      <c r="G131">
        <v>0</v>
      </c>
    </row>
    <row r="132" spans="1:7" x14ac:dyDescent="0.25">
      <c r="A132" t="s">
        <v>367</v>
      </c>
      <c r="B132">
        <v>13.543258942219508</v>
      </c>
      <c r="C132">
        <v>4.3365943136655467</v>
      </c>
      <c r="D132">
        <v>5.4397737694894541</v>
      </c>
      <c r="E132">
        <v>0</v>
      </c>
      <c r="F132">
        <v>0.16050137572607767</v>
      </c>
      <c r="G132">
        <v>0</v>
      </c>
    </row>
    <row r="133" spans="1:7" x14ac:dyDescent="0.25">
      <c r="A133" t="s">
        <v>368</v>
      </c>
      <c r="B133">
        <v>15.067048365225254</v>
      </c>
      <c r="C133">
        <v>5.2565918336597868</v>
      </c>
      <c r="D133">
        <v>7.5793280096429125</v>
      </c>
      <c r="E133">
        <v>6.4788307970468596E-3</v>
      </c>
      <c r="F133">
        <v>6.7801717643513643E-2</v>
      </c>
      <c r="G133">
        <v>0</v>
      </c>
    </row>
    <row r="134" spans="1:7" x14ac:dyDescent="0.25">
      <c r="A134" t="s">
        <v>369</v>
      </c>
      <c r="B134">
        <v>9.6858638743455501</v>
      </c>
      <c r="C134">
        <v>0.24659685863874345</v>
      </c>
      <c r="D134">
        <v>11.884467713787087</v>
      </c>
      <c r="E134">
        <v>0.28429319371727746</v>
      </c>
      <c r="F134">
        <v>0</v>
      </c>
      <c r="G134">
        <v>0</v>
      </c>
    </row>
    <row r="135" spans="1:7" x14ac:dyDescent="0.25">
      <c r="A135" t="s">
        <v>370</v>
      </c>
      <c r="B135">
        <v>23.802548703676578</v>
      </c>
      <c r="C135">
        <v>4.9153361652263072</v>
      </c>
      <c r="D135">
        <v>8.5498754943606272</v>
      </c>
      <c r="E135">
        <v>3.1785557345832723E-2</v>
      </c>
      <c r="F135">
        <v>0</v>
      </c>
      <c r="G135">
        <v>0</v>
      </c>
    </row>
    <row r="136" spans="1:7" x14ac:dyDescent="0.25">
      <c r="A136" t="s">
        <v>371</v>
      </c>
      <c r="B136">
        <v>20.681642137877621</v>
      </c>
      <c r="C136">
        <v>1.5081332300542218</v>
      </c>
      <c r="D136">
        <v>2.6955848179705661</v>
      </c>
      <c r="E136">
        <v>5.1123160340821082E-3</v>
      </c>
      <c r="F136">
        <v>0.47250193648334637</v>
      </c>
      <c r="G136">
        <v>0</v>
      </c>
    </row>
    <row r="137" spans="1:7" x14ac:dyDescent="0.25">
      <c r="A137" t="s">
        <v>372</v>
      </c>
      <c r="B137">
        <v>13.781886663242597</v>
      </c>
      <c r="C137">
        <v>0.20544427324088343</v>
      </c>
      <c r="D137">
        <v>0.71169320321862695</v>
      </c>
      <c r="E137">
        <v>1.2840267077555215E-2</v>
      </c>
      <c r="F137">
        <v>0</v>
      </c>
      <c r="G137">
        <v>0</v>
      </c>
    </row>
    <row r="138" spans="1:7" x14ac:dyDescent="0.25">
      <c r="A138" t="s">
        <v>373</v>
      </c>
      <c r="B138">
        <v>6.4612190419694482</v>
      </c>
      <c r="C138">
        <v>0.10855702209698945</v>
      </c>
      <c r="D138">
        <v>6.0210588758712727E-2</v>
      </c>
      <c r="E138">
        <v>4.3007563399080516E-3</v>
      </c>
      <c r="F138">
        <v>0</v>
      </c>
      <c r="G138">
        <v>0</v>
      </c>
    </row>
    <row r="139" spans="1:7" x14ac:dyDescent="0.25">
      <c r="A139" t="s">
        <v>374</v>
      </c>
      <c r="B139">
        <v>3.2564938479335366</v>
      </c>
      <c r="C139">
        <v>3.8489851719423707E-2</v>
      </c>
      <c r="D139">
        <v>3.4388474077190027E-2</v>
      </c>
      <c r="E139">
        <v>0</v>
      </c>
      <c r="F139">
        <v>0</v>
      </c>
      <c r="G139">
        <v>0</v>
      </c>
    </row>
    <row r="140" spans="1:7" x14ac:dyDescent="0.25">
      <c r="A140" t="s">
        <v>375</v>
      </c>
      <c r="B140">
        <v>0.64647227677896946</v>
      </c>
      <c r="C140">
        <v>1.66188245958604E-3</v>
      </c>
      <c r="D140">
        <v>1.4050460794681974E-2</v>
      </c>
      <c r="E140">
        <v>0</v>
      </c>
      <c r="F140">
        <v>0</v>
      </c>
      <c r="G140">
        <v>0</v>
      </c>
    </row>
    <row r="141" spans="1:7" x14ac:dyDescent="0.25">
      <c r="A141" t="s">
        <v>376</v>
      </c>
      <c r="B141">
        <v>2.3791859866048424</v>
      </c>
      <c r="C141">
        <v>0</v>
      </c>
      <c r="D141">
        <v>2.1981796324918427E-2</v>
      </c>
      <c r="E141">
        <v>0</v>
      </c>
      <c r="F141">
        <v>0</v>
      </c>
      <c r="G141">
        <v>0</v>
      </c>
    </row>
    <row r="142" spans="1:7" x14ac:dyDescent="0.25">
      <c r="A142" t="s">
        <v>377</v>
      </c>
      <c r="B142">
        <v>1.3664888609978034</v>
      </c>
      <c r="C142">
        <v>2.0395356134295575E-2</v>
      </c>
      <c r="D142">
        <v>3.027925949168497E-2</v>
      </c>
      <c r="E142">
        <v>0</v>
      </c>
      <c r="F142">
        <v>0</v>
      </c>
      <c r="G1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3"/>
  <sheetViews>
    <sheetView tabSelected="1" topLeftCell="A2" zoomScale="90" zoomScaleNormal="90" workbookViewId="0">
      <selection activeCell="M21" sqref="M21"/>
    </sheetView>
  </sheetViews>
  <sheetFormatPr defaultRowHeight="15" x14ac:dyDescent="0.25"/>
  <cols>
    <col min="1" max="1" width="5" customWidth="1"/>
  </cols>
  <sheetData>
    <row r="1" spans="2:15" x14ac:dyDescent="0.25">
      <c r="B1" t="s">
        <v>378</v>
      </c>
    </row>
    <row r="2" spans="2:15" x14ac:dyDescent="0.25">
      <c r="B2" t="s">
        <v>379</v>
      </c>
    </row>
    <row r="6" spans="2:15" x14ac:dyDescent="0.25">
      <c r="B6" t="s">
        <v>380</v>
      </c>
    </row>
    <row r="7" spans="2:15" ht="15.75" thickBot="1" x14ac:dyDescent="0.3"/>
    <row r="8" spans="2:15" x14ac:dyDescent="0.25">
      <c r="B8" s="3" t="s">
        <v>381</v>
      </c>
      <c r="C8" s="4" t="s">
        <v>44</v>
      </c>
      <c r="D8" s="4" t="s">
        <v>382</v>
      </c>
      <c r="E8" s="4" t="s">
        <v>383</v>
      </c>
      <c r="F8" s="4" t="s">
        <v>384</v>
      </c>
      <c r="G8" s="4" t="s">
        <v>385</v>
      </c>
      <c r="H8" s="4" t="s">
        <v>386</v>
      </c>
      <c r="I8" s="4" t="s">
        <v>387</v>
      </c>
    </row>
    <row r="9" spans="2:15" x14ac:dyDescent="0.25">
      <c r="B9" s="6" t="s">
        <v>231</v>
      </c>
      <c r="C9" s="21">
        <v>141</v>
      </c>
      <c r="D9" s="21">
        <v>0</v>
      </c>
      <c r="E9" s="21">
        <v>141</v>
      </c>
      <c r="F9" s="8">
        <v>0</v>
      </c>
      <c r="G9" s="8">
        <v>47.898938503377494</v>
      </c>
      <c r="H9" s="8">
        <v>9.2858957085937011</v>
      </c>
      <c r="I9" s="8">
        <v>6.5723888470581695</v>
      </c>
    </row>
    <row r="10" spans="2:15" x14ac:dyDescent="0.25">
      <c r="B10" s="2" t="s">
        <v>232</v>
      </c>
      <c r="C10" s="22">
        <v>141</v>
      </c>
      <c r="D10" s="22">
        <v>0</v>
      </c>
      <c r="E10" s="22">
        <v>141</v>
      </c>
      <c r="F10" s="10">
        <v>0</v>
      </c>
      <c r="G10" s="10">
        <v>53.292545483819026</v>
      </c>
      <c r="H10" s="10">
        <v>14.037872443499756</v>
      </c>
      <c r="I10" s="10">
        <v>10.034169061065043</v>
      </c>
    </row>
    <row r="11" spans="2:15" x14ac:dyDescent="0.25">
      <c r="B11" s="2" t="s">
        <v>233</v>
      </c>
      <c r="C11" s="22">
        <v>141</v>
      </c>
      <c r="D11" s="22">
        <v>0</v>
      </c>
      <c r="E11" s="22">
        <v>141</v>
      </c>
      <c r="F11" s="10">
        <v>1.3794715922375498E-2</v>
      </c>
      <c r="G11" s="10">
        <v>19.39240506329114</v>
      </c>
      <c r="H11" s="10">
        <v>6.4290790345667386</v>
      </c>
      <c r="I11" s="10">
        <v>3.738347919339521</v>
      </c>
    </row>
    <row r="12" spans="2:15" x14ac:dyDescent="0.25">
      <c r="B12" s="2" t="s">
        <v>28</v>
      </c>
      <c r="C12" s="22">
        <v>141</v>
      </c>
      <c r="D12" s="22">
        <v>0</v>
      </c>
      <c r="E12" s="22">
        <v>141</v>
      </c>
      <c r="F12" s="10">
        <v>0</v>
      </c>
      <c r="G12" s="10">
        <v>3.3827940015785321</v>
      </c>
      <c r="H12" s="10">
        <v>0.14568633458520774</v>
      </c>
      <c r="I12" s="10">
        <v>0.31849573390106239</v>
      </c>
    </row>
    <row r="13" spans="2:15" x14ac:dyDescent="0.25">
      <c r="B13" s="2" t="s">
        <v>234</v>
      </c>
      <c r="C13" s="22">
        <v>141</v>
      </c>
      <c r="D13" s="22">
        <v>0</v>
      </c>
      <c r="E13" s="22">
        <v>141</v>
      </c>
      <c r="F13" s="10">
        <v>0</v>
      </c>
      <c r="G13" s="10">
        <v>7.4615811886687657</v>
      </c>
      <c r="H13" s="10">
        <v>0.46949743508307079</v>
      </c>
      <c r="I13" s="10">
        <v>0.95735606855312505</v>
      </c>
    </row>
    <row r="14" spans="2:15" ht="15.75" thickBot="1" x14ac:dyDescent="0.3">
      <c r="B14" s="16" t="s">
        <v>236</v>
      </c>
      <c r="C14" s="23">
        <v>141</v>
      </c>
      <c r="D14" s="23">
        <v>0</v>
      </c>
      <c r="E14" s="23">
        <v>141</v>
      </c>
      <c r="F14" s="17">
        <v>0</v>
      </c>
      <c r="G14" s="17">
        <v>4.8896434634974533</v>
      </c>
      <c r="H14" s="17">
        <v>0.10874220194726349</v>
      </c>
      <c r="I14" s="17">
        <v>0.5326526313954707</v>
      </c>
    </row>
    <row r="15" spans="2:15" x14ac:dyDescent="0.25">
      <c r="K15" t="s">
        <v>390</v>
      </c>
    </row>
    <row r="16" spans="2:15" x14ac:dyDescent="0.25">
      <c r="O16" s="32" t="s">
        <v>391</v>
      </c>
    </row>
    <row r="17" spans="2:25" x14ac:dyDescent="0.25">
      <c r="B17" t="s">
        <v>36</v>
      </c>
      <c r="K17" t="s">
        <v>392</v>
      </c>
    </row>
    <row r="18" spans="2:25" ht="15.75" thickBot="1" x14ac:dyDescent="0.3">
      <c r="K18" t="s">
        <v>388</v>
      </c>
    </row>
    <row r="19" spans="2:25" ht="15.75" thickBot="1" x14ac:dyDescent="0.3">
      <c r="B19" s="3" t="s">
        <v>37</v>
      </c>
      <c r="C19" s="4" t="s">
        <v>231</v>
      </c>
      <c r="D19" s="4" t="s">
        <v>232</v>
      </c>
      <c r="E19" s="4" t="s">
        <v>233</v>
      </c>
      <c r="F19" s="4" t="s">
        <v>28</v>
      </c>
      <c r="G19" s="4" t="s">
        <v>234</v>
      </c>
      <c r="H19" s="4" t="s">
        <v>236</v>
      </c>
    </row>
    <row r="20" spans="2:25" x14ac:dyDescent="0.25">
      <c r="B20" s="6" t="s">
        <v>231</v>
      </c>
      <c r="C20" s="13">
        <v>1</v>
      </c>
      <c r="D20" s="8">
        <v>-0.25477691287067172</v>
      </c>
      <c r="E20" s="8">
        <v>-2.2988609414736121E-2</v>
      </c>
      <c r="F20" s="8">
        <v>-8.2882385892173269E-2</v>
      </c>
      <c r="G20" s="8">
        <v>-7.3993000917819907E-2</v>
      </c>
      <c r="H20" s="8">
        <v>-0.20198272268918405</v>
      </c>
      <c r="K20" s="3" t="s">
        <v>37</v>
      </c>
      <c r="L20" s="4" t="s">
        <v>231</v>
      </c>
      <c r="M20" s="4" t="s">
        <v>232</v>
      </c>
      <c r="N20" s="4" t="s">
        <v>233</v>
      </c>
      <c r="O20" s="4" t="s">
        <v>28</v>
      </c>
      <c r="P20" s="4" t="s">
        <v>234</v>
      </c>
      <c r="Q20" s="4" t="s">
        <v>236</v>
      </c>
      <c r="S20" s="3" t="s">
        <v>37</v>
      </c>
      <c r="T20" s="4" t="s">
        <v>231</v>
      </c>
      <c r="U20" s="4" t="s">
        <v>232</v>
      </c>
      <c r="V20" s="4" t="s">
        <v>233</v>
      </c>
      <c r="W20" s="4" t="s">
        <v>28</v>
      </c>
      <c r="X20" s="4" t="s">
        <v>234</v>
      </c>
      <c r="Y20" s="4" t="s">
        <v>236</v>
      </c>
    </row>
    <row r="21" spans="2:25" x14ac:dyDescent="0.25">
      <c r="B21" s="2" t="s">
        <v>232</v>
      </c>
      <c r="C21" s="10">
        <v>-0.25477691287067172</v>
      </c>
      <c r="D21" s="14">
        <v>1</v>
      </c>
      <c r="E21" s="10">
        <v>0.5430737271400492</v>
      </c>
      <c r="F21" s="10">
        <v>0.17580316304306137</v>
      </c>
      <c r="G21" s="10">
        <v>0.14032403213481334</v>
      </c>
      <c r="H21" s="10">
        <v>4.4741998478567309E-2</v>
      </c>
      <c r="K21" s="6" t="s">
        <v>231</v>
      </c>
      <c r="L21" s="13"/>
      <c r="M21" s="8">
        <f>D20*(139/(1-D20^2))</f>
        <v>-37.872332276911557</v>
      </c>
      <c r="N21" s="8">
        <f>E20*(139/(1-E20^2))</f>
        <v>-3.197106303119531</v>
      </c>
      <c r="O21" s="8">
        <f>F20*(139/(1-F20^2))</f>
        <v>-11.600340057773197</v>
      </c>
      <c r="P21" s="8">
        <f>G20*(139/(1-G20^2))</f>
        <v>-10.341647276025293</v>
      </c>
      <c r="Q21" s="8">
        <f>H20*(139/(1-H20^2))</f>
        <v>-29.269715635736638</v>
      </c>
      <c r="S21" s="6" t="s">
        <v>231</v>
      </c>
      <c r="T21" s="13"/>
      <c r="U21" s="21">
        <f>(D20*SQRT(139))/SQRT(1-D20^2)</f>
        <v>-3.1062832937006601</v>
      </c>
      <c r="V21" s="8">
        <f>E20*(139/(1-E20^2))</f>
        <v>-3.197106303119531</v>
      </c>
      <c r="W21" s="8"/>
      <c r="X21" s="8"/>
      <c r="Y21" s="8"/>
    </row>
    <row r="22" spans="2:25" x14ac:dyDescent="0.25">
      <c r="B22" s="2" t="s">
        <v>233</v>
      </c>
      <c r="C22" s="10">
        <v>-2.2988609414736121E-2</v>
      </c>
      <c r="D22" s="10">
        <v>0.5430737271400492</v>
      </c>
      <c r="E22" s="14">
        <v>1</v>
      </c>
      <c r="F22" s="10">
        <v>7.4934366450247938E-2</v>
      </c>
      <c r="G22" s="10">
        <v>8.9143953237660473E-2</v>
      </c>
      <c r="H22" s="10">
        <v>-0.11583003279325244</v>
      </c>
      <c r="K22" s="2" t="s">
        <v>232</v>
      </c>
      <c r="L22" s="10"/>
      <c r="M22" s="14"/>
      <c r="N22" s="8">
        <f>E21*(139/(1-E21^2))</f>
        <v>107.06333957834678</v>
      </c>
      <c r="O22" s="8">
        <f>F21*(139/(1-F21^2))</f>
        <v>25.215983824926539</v>
      </c>
      <c r="P22" s="8">
        <f>G21*(139/(1-G21^2))</f>
        <v>19.896825555776818</v>
      </c>
      <c r="Q22" s="8">
        <f>H21*(139/(1-H21^2))</f>
        <v>6.2316125197833676</v>
      </c>
      <c r="S22" s="2" t="s">
        <v>232</v>
      </c>
      <c r="T22" s="10"/>
      <c r="U22" s="14"/>
      <c r="V22" s="8"/>
      <c r="W22" s="8"/>
      <c r="X22" s="8"/>
      <c r="Y22" s="8"/>
    </row>
    <row r="23" spans="2:25" x14ac:dyDescent="0.25">
      <c r="B23" s="2" t="s">
        <v>28</v>
      </c>
      <c r="C23" s="10">
        <v>-8.2882385892173269E-2</v>
      </c>
      <c r="D23" s="10">
        <v>0.17580316304306137</v>
      </c>
      <c r="E23" s="10">
        <v>7.4934366450247938E-2</v>
      </c>
      <c r="F23" s="14">
        <v>1</v>
      </c>
      <c r="G23" s="10">
        <v>7.6330706354642022E-2</v>
      </c>
      <c r="H23" s="10">
        <v>-5.5839101508781137E-2</v>
      </c>
      <c r="K23" s="2" t="s">
        <v>233</v>
      </c>
      <c r="L23" s="10"/>
      <c r="M23" s="10"/>
      <c r="N23" s="14"/>
      <c r="O23" s="8">
        <f>F22*(139/(1-F22^2))</f>
        <v>10.474694011820871</v>
      </c>
      <c r="P23" s="8">
        <f>G22*(139/(1-G22^2))</f>
        <v>12.490265195994558</v>
      </c>
      <c r="Q23" s="8">
        <f>H22*(139/(1-H22^2))</f>
        <v>-16.319324348142928</v>
      </c>
      <c r="S23" s="2" t="s">
        <v>233</v>
      </c>
      <c r="T23" s="10"/>
      <c r="U23" s="10"/>
      <c r="V23" s="14"/>
      <c r="W23" s="8"/>
      <c r="X23" s="8"/>
      <c r="Y23" s="8"/>
    </row>
    <row r="24" spans="2:25" x14ac:dyDescent="0.25">
      <c r="B24" s="2" t="s">
        <v>234</v>
      </c>
      <c r="C24" s="10">
        <v>-7.3993000917819907E-2</v>
      </c>
      <c r="D24" s="10">
        <v>0.14032403213481334</v>
      </c>
      <c r="E24" s="10">
        <v>8.9143953237660473E-2</v>
      </c>
      <c r="F24" s="10">
        <v>7.6330706354642022E-2</v>
      </c>
      <c r="G24" s="14">
        <v>1</v>
      </c>
      <c r="H24" s="10">
        <v>-1.622749966483095E-2</v>
      </c>
      <c r="K24" s="2" t="s">
        <v>28</v>
      </c>
      <c r="L24" s="10"/>
      <c r="M24" s="10"/>
      <c r="N24" s="10"/>
      <c r="O24" s="14"/>
      <c r="P24" s="8">
        <f>G23*(139/(1-G23^2))</f>
        <v>10.672148138898564</v>
      </c>
      <c r="Q24" s="8">
        <f>H23*(139/(1-H23^2))</f>
        <v>-7.7859116230943215</v>
      </c>
      <c r="S24" s="2" t="s">
        <v>28</v>
      </c>
      <c r="T24" s="10"/>
      <c r="U24" s="10"/>
      <c r="V24" s="10"/>
      <c r="W24" s="14"/>
      <c r="X24" s="8"/>
      <c r="Y24" s="8"/>
    </row>
    <row r="25" spans="2:25" ht="15.75" thickBot="1" x14ac:dyDescent="0.3">
      <c r="B25" s="16" t="s">
        <v>236</v>
      </c>
      <c r="C25" s="17">
        <v>-0.20198272268918405</v>
      </c>
      <c r="D25" s="17">
        <v>4.4741998478567309E-2</v>
      </c>
      <c r="E25" s="17">
        <v>-0.11583003279325244</v>
      </c>
      <c r="F25" s="17">
        <v>-5.5839101508781137E-2</v>
      </c>
      <c r="G25" s="17">
        <v>-1.622749966483095E-2</v>
      </c>
      <c r="H25" s="30">
        <v>1</v>
      </c>
      <c r="K25" s="2" t="s">
        <v>234</v>
      </c>
      <c r="L25" s="10"/>
      <c r="M25" s="10"/>
      <c r="N25" s="10"/>
      <c r="O25" s="10"/>
      <c r="P25" s="14"/>
      <c r="Q25" s="8">
        <f>H24*(139/(1-H24^2))</f>
        <v>-2.2562165868632582</v>
      </c>
      <c r="S25" s="2" t="s">
        <v>234</v>
      </c>
      <c r="T25" s="10"/>
      <c r="U25" s="10"/>
      <c r="V25" s="10"/>
      <c r="W25" s="10"/>
      <c r="X25" s="14"/>
      <c r="Y25" s="8"/>
    </row>
    <row r="26" spans="2:25" ht="15.75" thickBot="1" x14ac:dyDescent="0.3">
      <c r="K26" s="16" t="s">
        <v>236</v>
      </c>
      <c r="L26" s="17"/>
      <c r="M26" s="17"/>
      <c r="N26" s="17"/>
      <c r="O26" s="17"/>
      <c r="P26" s="17"/>
      <c r="Q26" s="30"/>
      <c r="S26" s="16" t="s">
        <v>236</v>
      </c>
      <c r="T26" s="17"/>
      <c r="U26" s="17"/>
      <c r="V26" s="17"/>
      <c r="W26" s="17"/>
      <c r="X26" s="17"/>
      <c r="Y26" s="30"/>
    </row>
    <row r="27" spans="2:25" x14ac:dyDescent="0.25">
      <c r="K27" s="31" t="s">
        <v>389</v>
      </c>
    </row>
    <row r="28" spans="2:25" x14ac:dyDescent="0.25">
      <c r="B28" t="s">
        <v>38</v>
      </c>
    </row>
    <row r="29" spans="2:25" ht="15.75" thickBot="1" x14ac:dyDescent="0.3"/>
    <row r="30" spans="2:25" x14ac:dyDescent="0.25">
      <c r="B30" s="3" t="s">
        <v>39</v>
      </c>
      <c r="C30" s="4" t="s">
        <v>231</v>
      </c>
      <c r="D30" s="4" t="s">
        <v>232</v>
      </c>
      <c r="E30" s="4" t="s">
        <v>233</v>
      </c>
      <c r="F30" s="4" t="s">
        <v>28</v>
      </c>
      <c r="G30" s="4" t="s">
        <v>234</v>
      </c>
      <c r="H30" s="4" t="s">
        <v>236</v>
      </c>
      <c r="I30" s="33"/>
    </row>
    <row r="31" spans="2:25" x14ac:dyDescent="0.25">
      <c r="B31" s="6" t="s">
        <v>47</v>
      </c>
      <c r="C31" s="8">
        <v>0.11675253922705942</v>
      </c>
      <c r="D31" s="8">
        <v>0.37644445488576062</v>
      </c>
      <c r="E31" s="8">
        <v>0.32420397109502064</v>
      </c>
      <c r="F31" s="8">
        <v>4.1064652510968469E-2</v>
      </c>
      <c r="G31" s="8">
        <v>2.4932468247542916E-2</v>
      </c>
      <c r="H31" s="8">
        <v>6.677685580781656E-2</v>
      </c>
    </row>
    <row r="32" spans="2:25" x14ac:dyDescent="0.25">
      <c r="B32" s="2" t="s">
        <v>40</v>
      </c>
      <c r="C32" s="10">
        <v>0.88324746077294058</v>
      </c>
      <c r="D32" s="10">
        <v>0.62355554511423938</v>
      </c>
      <c r="E32" s="10">
        <v>0.67579602890497936</v>
      </c>
      <c r="F32" s="10">
        <v>0.95893534748903153</v>
      </c>
      <c r="G32" s="10">
        <v>0.97506753175245708</v>
      </c>
      <c r="H32" s="10">
        <v>0.93322314419218344</v>
      </c>
    </row>
    <row r="33" spans="2:8" ht="15.75" thickBot="1" x14ac:dyDescent="0.3">
      <c r="B33" s="16" t="s">
        <v>41</v>
      </c>
      <c r="C33" s="17">
        <v>1.1321855362311348</v>
      </c>
      <c r="D33" s="17">
        <v>1.6037063704032872</v>
      </c>
      <c r="E33" s="17">
        <v>1.479736425235203</v>
      </c>
      <c r="F33" s="17">
        <v>1.0428231711538176</v>
      </c>
      <c r="G33" s="17">
        <v>1.0255699912422811</v>
      </c>
      <c r="H33" s="17">
        <v>1.0715550790005535</v>
      </c>
    </row>
  </sheetData>
  <pageMargins left="0.7" right="0.7" top="0.75" bottom="0.75" header="0.3" footer="0.3"/>
  <pageSetup paperSize="9" orientation="portrait" horizontalDpi="0" verticalDpi="0" r:id="rId1"/>
  <ignoredErrors>
    <ignoredError sqref="A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23</v>
      </c>
      <c r="D1" t="s">
        <v>22</v>
      </c>
    </row>
    <row r="2" spans="1:4" x14ac:dyDescent="0.25">
      <c r="A2">
        <v>52.46</v>
      </c>
      <c r="B2">
        <v>92.87</v>
      </c>
      <c r="C2">
        <v>0.95</v>
      </c>
      <c r="D2">
        <v>42.01</v>
      </c>
    </row>
    <row r="3" spans="1:4" x14ac:dyDescent="0.25">
      <c r="A3">
        <v>148.07</v>
      </c>
      <c r="B3">
        <v>910</v>
      </c>
      <c r="C3">
        <v>0.39</v>
      </c>
      <c r="D3">
        <v>65.47</v>
      </c>
    </row>
    <row r="4" spans="1:4" x14ac:dyDescent="0.25">
      <c r="A4">
        <v>171.52</v>
      </c>
      <c r="B4">
        <v>3310</v>
      </c>
      <c r="C4">
        <v>8.4499999999999993</v>
      </c>
      <c r="D4">
        <v>62.110000000000007</v>
      </c>
    </row>
    <row r="5" spans="1:4" ht="15.75" customHeight="1" x14ac:dyDescent="0.25">
      <c r="A5">
        <v>116.7</v>
      </c>
      <c r="B5">
        <v>1845</v>
      </c>
      <c r="C5">
        <v>6.53</v>
      </c>
      <c r="D5">
        <v>60.06</v>
      </c>
    </row>
    <row r="6" spans="1:4" x14ac:dyDescent="0.25">
      <c r="A6">
        <v>165.13</v>
      </c>
      <c r="B6">
        <v>1650</v>
      </c>
      <c r="C6">
        <v>7.57</v>
      </c>
      <c r="D6">
        <v>74.94</v>
      </c>
    </row>
    <row r="7" spans="1:4" x14ac:dyDescent="0.25">
      <c r="A7">
        <v>124.62</v>
      </c>
      <c r="B7">
        <v>1350</v>
      </c>
      <c r="C7">
        <v>11.059999999999999</v>
      </c>
      <c r="D7">
        <v>61.024999999999999</v>
      </c>
    </row>
    <row r="8" spans="1:4" x14ac:dyDescent="0.25">
      <c r="A8">
        <v>188.26</v>
      </c>
      <c r="B8">
        <v>1295</v>
      </c>
      <c r="C8">
        <v>9.73</v>
      </c>
      <c r="D8">
        <v>53.900000000000006</v>
      </c>
    </row>
    <row r="9" spans="1:4" x14ac:dyDescent="0.25">
      <c r="A9">
        <v>167.84</v>
      </c>
      <c r="B9">
        <v>895</v>
      </c>
      <c r="C9">
        <v>4.8099999999999996</v>
      </c>
      <c r="D9">
        <v>42.069999999999993</v>
      </c>
    </row>
    <row r="10" spans="1:4" x14ac:dyDescent="0.25">
      <c r="A10">
        <v>108.58</v>
      </c>
      <c r="B10">
        <v>895</v>
      </c>
      <c r="C10">
        <v>3.19</v>
      </c>
      <c r="D10">
        <v>54.089999999999996</v>
      </c>
    </row>
    <row r="11" spans="1:4" x14ac:dyDescent="0.25">
      <c r="A11">
        <v>191.8</v>
      </c>
      <c r="B11">
        <v>925</v>
      </c>
      <c r="C11">
        <v>3.19</v>
      </c>
      <c r="D11">
        <v>55.51</v>
      </c>
    </row>
    <row r="12" spans="1:4" x14ac:dyDescent="0.25">
      <c r="A12">
        <v>111.74</v>
      </c>
      <c r="B12">
        <v>1320</v>
      </c>
      <c r="C12">
        <v>5.49</v>
      </c>
      <c r="D12">
        <v>50.489999999999995</v>
      </c>
    </row>
    <row r="13" spans="1:4" x14ac:dyDescent="0.25">
      <c r="A13">
        <v>259.02</v>
      </c>
      <c r="B13">
        <v>1890</v>
      </c>
      <c r="C13">
        <v>4.75</v>
      </c>
      <c r="D13">
        <v>47.15</v>
      </c>
    </row>
    <row r="14" spans="1:4" x14ac:dyDescent="0.25">
      <c r="A14">
        <v>235.61</v>
      </c>
      <c r="B14">
        <v>1730</v>
      </c>
      <c r="C14">
        <v>17.239999999999998</v>
      </c>
      <c r="D14">
        <v>53.29999999999999</v>
      </c>
    </row>
    <row r="15" spans="1:4" x14ac:dyDescent="0.25">
      <c r="A15">
        <v>251.78</v>
      </c>
      <c r="B15">
        <v>1665</v>
      </c>
      <c r="C15">
        <v>20.48</v>
      </c>
      <c r="D15">
        <v>56.389999999999993</v>
      </c>
    </row>
    <row r="16" spans="1:4" x14ac:dyDescent="0.25">
      <c r="A16">
        <v>392.83</v>
      </c>
      <c r="B16">
        <v>1450</v>
      </c>
      <c r="C16">
        <v>0</v>
      </c>
      <c r="D16">
        <v>62.46</v>
      </c>
    </row>
    <row r="17" spans="1:4" x14ac:dyDescent="0.25">
      <c r="A17">
        <v>452.52</v>
      </c>
      <c r="B17">
        <v>1100</v>
      </c>
      <c r="C17">
        <v>214.3</v>
      </c>
      <c r="D17">
        <v>63.35</v>
      </c>
    </row>
    <row r="18" spans="1:4" x14ac:dyDescent="0.25">
      <c r="A18">
        <v>244.48</v>
      </c>
      <c r="B18">
        <v>750</v>
      </c>
      <c r="C18">
        <v>7.92</v>
      </c>
      <c r="D18">
        <v>39.729999999999997</v>
      </c>
    </row>
    <row r="19" spans="1:4" x14ac:dyDescent="0.25">
      <c r="A19">
        <v>405.93</v>
      </c>
      <c r="B19">
        <v>1110</v>
      </c>
      <c r="C19">
        <v>7.4700000000000006</v>
      </c>
      <c r="D19">
        <v>68.715000000000003</v>
      </c>
    </row>
    <row r="20" spans="1:4" x14ac:dyDescent="0.25">
      <c r="A20">
        <v>550</v>
      </c>
      <c r="B20">
        <v>1635</v>
      </c>
      <c r="C20">
        <v>11.24</v>
      </c>
      <c r="D20">
        <v>67.555000000000007</v>
      </c>
    </row>
    <row r="21" spans="1:4" x14ac:dyDescent="0.25">
      <c r="A21">
        <v>420</v>
      </c>
      <c r="B21">
        <v>1505</v>
      </c>
      <c r="C21">
        <v>14.47</v>
      </c>
      <c r="D21">
        <v>59.52000000000001</v>
      </c>
    </row>
    <row r="22" spans="1:4" x14ac:dyDescent="0.25">
      <c r="A22">
        <v>455</v>
      </c>
      <c r="B22">
        <v>1835</v>
      </c>
      <c r="C22">
        <v>5.1899999999999995</v>
      </c>
      <c r="D22">
        <v>65.569999999999993</v>
      </c>
    </row>
    <row r="23" spans="1:4" x14ac:dyDescent="0.25">
      <c r="A23">
        <v>485</v>
      </c>
      <c r="B23">
        <v>1505</v>
      </c>
      <c r="C23">
        <v>3.34</v>
      </c>
      <c r="D23">
        <v>66.61999999999999</v>
      </c>
    </row>
    <row r="24" spans="1:4" x14ac:dyDescent="0.25">
      <c r="A24">
        <v>485</v>
      </c>
      <c r="B24">
        <v>815</v>
      </c>
      <c r="C24">
        <v>9.15</v>
      </c>
      <c r="D24">
        <v>67.73</v>
      </c>
    </row>
    <row r="25" spans="1:4" x14ac:dyDescent="0.25">
      <c r="A25">
        <v>446.6</v>
      </c>
      <c r="B25">
        <v>2015</v>
      </c>
      <c r="C25">
        <v>8.06</v>
      </c>
      <c r="D25">
        <v>55.529999999999994</v>
      </c>
    </row>
    <row r="26" spans="1:4" x14ac:dyDescent="0.25">
      <c r="A26">
        <v>570</v>
      </c>
      <c r="B26">
        <v>1750</v>
      </c>
      <c r="C26">
        <v>3.27</v>
      </c>
      <c r="D26">
        <v>62.534999999999989</v>
      </c>
    </row>
    <row r="27" spans="1:4" x14ac:dyDescent="0.25">
      <c r="A27">
        <v>720</v>
      </c>
      <c r="B27">
        <v>905</v>
      </c>
      <c r="C27">
        <v>6.04</v>
      </c>
      <c r="D27">
        <v>56.309999999999995</v>
      </c>
    </row>
    <row r="28" spans="1:4" x14ac:dyDescent="0.25">
      <c r="A28">
        <v>1050</v>
      </c>
      <c r="B28">
        <v>1570</v>
      </c>
      <c r="C28">
        <v>5.16</v>
      </c>
      <c r="D28">
        <v>62.79999999999999</v>
      </c>
    </row>
    <row r="29" spans="1:4" x14ac:dyDescent="0.25">
      <c r="A29">
        <v>500</v>
      </c>
      <c r="B29">
        <v>1685</v>
      </c>
      <c r="C29">
        <v>11.42</v>
      </c>
      <c r="D29">
        <v>52.465000000000003</v>
      </c>
    </row>
    <row r="30" spans="1:4" x14ac:dyDescent="0.25">
      <c r="A30">
        <v>492.46</v>
      </c>
      <c r="B30">
        <v>1555</v>
      </c>
      <c r="C30">
        <v>3.72</v>
      </c>
      <c r="D30">
        <v>58.61</v>
      </c>
    </row>
    <row r="31" spans="1:4" x14ac:dyDescent="0.25">
      <c r="A31">
        <v>880</v>
      </c>
      <c r="B31">
        <v>2025</v>
      </c>
      <c r="C31">
        <v>6.61</v>
      </c>
      <c r="D31">
        <v>86.149999999999991</v>
      </c>
    </row>
    <row r="32" spans="1:4" x14ac:dyDescent="0.25">
      <c r="A32">
        <v>425</v>
      </c>
      <c r="B32">
        <v>925</v>
      </c>
      <c r="C32">
        <v>6.52</v>
      </c>
      <c r="D32">
        <v>55.49</v>
      </c>
    </row>
    <row r="33" spans="1:4" x14ac:dyDescent="0.25">
      <c r="A33">
        <v>845</v>
      </c>
      <c r="B33">
        <v>1015</v>
      </c>
      <c r="C33">
        <v>13.53</v>
      </c>
      <c r="D33">
        <v>66.214999999999989</v>
      </c>
    </row>
    <row r="34" spans="1:4" x14ac:dyDescent="0.25">
      <c r="A34">
        <v>635</v>
      </c>
      <c r="B34">
        <v>1740</v>
      </c>
      <c r="C34">
        <v>33.57</v>
      </c>
      <c r="D34">
        <v>72.170000000000016</v>
      </c>
    </row>
    <row r="35" spans="1:4" x14ac:dyDescent="0.25">
      <c r="A35">
        <v>505</v>
      </c>
      <c r="B35">
        <v>1105</v>
      </c>
      <c r="C35">
        <v>21.49</v>
      </c>
      <c r="D35">
        <v>54.37</v>
      </c>
    </row>
    <row r="36" spans="1:4" x14ac:dyDescent="0.25">
      <c r="A36">
        <v>387.84</v>
      </c>
      <c r="B36">
        <v>435</v>
      </c>
      <c r="C36">
        <v>15.04</v>
      </c>
      <c r="D36">
        <v>44.999999999999993</v>
      </c>
    </row>
    <row r="37" spans="1:4" x14ac:dyDescent="0.25">
      <c r="A37">
        <v>355.2</v>
      </c>
      <c r="B37">
        <v>740</v>
      </c>
      <c r="C37">
        <v>1.89</v>
      </c>
      <c r="D37">
        <v>69.03</v>
      </c>
    </row>
    <row r="38" spans="1:4" x14ac:dyDescent="0.25">
      <c r="A38">
        <v>505</v>
      </c>
      <c r="B38">
        <v>500</v>
      </c>
      <c r="C38">
        <v>2.8</v>
      </c>
      <c r="D38">
        <v>63.190000000000005</v>
      </c>
    </row>
    <row r="39" spans="1:4" x14ac:dyDescent="0.25">
      <c r="A39">
        <v>950</v>
      </c>
      <c r="B39">
        <v>880</v>
      </c>
      <c r="C39">
        <v>13.55</v>
      </c>
      <c r="D39">
        <v>68.210000000000008</v>
      </c>
    </row>
    <row r="40" spans="1:4" x14ac:dyDescent="0.25">
      <c r="A40">
        <v>655</v>
      </c>
      <c r="B40">
        <v>1250</v>
      </c>
      <c r="C40">
        <v>10.220000000000001</v>
      </c>
      <c r="D40">
        <v>55.960000000000008</v>
      </c>
    </row>
    <row r="41" spans="1:4" x14ac:dyDescent="0.25">
      <c r="A41">
        <v>645</v>
      </c>
      <c r="B41">
        <v>1275</v>
      </c>
      <c r="C41">
        <v>6.73</v>
      </c>
      <c r="D41">
        <v>47.580000000000005</v>
      </c>
    </row>
    <row r="42" spans="1:4" x14ac:dyDescent="0.25">
      <c r="A42">
        <v>1100</v>
      </c>
      <c r="B42">
        <v>1345</v>
      </c>
      <c r="C42">
        <v>4.8</v>
      </c>
      <c r="D42">
        <v>53.564999999999991</v>
      </c>
    </row>
    <row r="43" spans="1:4" x14ac:dyDescent="0.25">
      <c r="A43">
        <v>1030</v>
      </c>
      <c r="B43">
        <v>950</v>
      </c>
      <c r="C43">
        <v>5.32</v>
      </c>
      <c r="D43">
        <v>67.53</v>
      </c>
    </row>
    <row r="44" spans="1:4" x14ac:dyDescent="0.25">
      <c r="A44">
        <v>288.20999999999998</v>
      </c>
      <c r="B44">
        <v>1100</v>
      </c>
      <c r="C44">
        <v>0.23</v>
      </c>
      <c r="D44">
        <v>67.279999999999987</v>
      </c>
    </row>
    <row r="45" spans="1:4" x14ac:dyDescent="0.25">
      <c r="A45">
        <v>405</v>
      </c>
      <c r="B45">
        <v>1130</v>
      </c>
      <c r="C45">
        <v>0.94</v>
      </c>
      <c r="D45">
        <v>64.2</v>
      </c>
    </row>
    <row r="46" spans="1:4" x14ac:dyDescent="0.25">
      <c r="A46">
        <v>455</v>
      </c>
      <c r="B46">
        <v>870</v>
      </c>
      <c r="C46">
        <v>1.0900000000000001</v>
      </c>
      <c r="D46">
        <v>59.790000000000006</v>
      </c>
    </row>
    <row r="47" spans="1:4" x14ac:dyDescent="0.25">
      <c r="A47">
        <v>800</v>
      </c>
      <c r="B47">
        <v>760</v>
      </c>
      <c r="C47">
        <v>0.5</v>
      </c>
      <c r="D47">
        <v>67.100000000000009</v>
      </c>
    </row>
    <row r="48" spans="1:4" x14ac:dyDescent="0.25">
      <c r="A48">
        <v>580</v>
      </c>
      <c r="B48">
        <v>770</v>
      </c>
      <c r="C48">
        <v>2.2999999999999998</v>
      </c>
      <c r="D48">
        <v>73.349999999999994</v>
      </c>
    </row>
    <row r="49" spans="1:4" x14ac:dyDescent="0.25">
      <c r="A49">
        <v>645</v>
      </c>
      <c r="B49">
        <v>540</v>
      </c>
      <c r="C49">
        <v>0.28999999999999998</v>
      </c>
      <c r="D49">
        <v>66.12</v>
      </c>
    </row>
    <row r="50" spans="1:4" x14ac:dyDescent="0.25">
      <c r="A50">
        <v>1075</v>
      </c>
      <c r="B50">
        <v>355</v>
      </c>
      <c r="C50">
        <v>0.66</v>
      </c>
      <c r="D50">
        <v>70.2</v>
      </c>
    </row>
    <row r="51" spans="1:4" x14ac:dyDescent="0.25">
      <c r="A51">
        <v>1050</v>
      </c>
      <c r="B51">
        <v>0</v>
      </c>
      <c r="C51">
        <v>0.08</v>
      </c>
      <c r="D51">
        <v>78.440000000000012</v>
      </c>
    </row>
    <row r="52" spans="1:4" x14ac:dyDescent="0.25">
      <c r="A52">
        <v>1680</v>
      </c>
      <c r="B52">
        <v>640</v>
      </c>
      <c r="C52">
        <v>4.8499999999999996</v>
      </c>
      <c r="D52">
        <v>74.765000000000015</v>
      </c>
    </row>
    <row r="53" spans="1:4" x14ac:dyDescent="0.25">
      <c r="A53">
        <v>1395</v>
      </c>
      <c r="B53">
        <v>680</v>
      </c>
      <c r="C53">
        <v>3.4</v>
      </c>
      <c r="D53">
        <v>56.225000000000001</v>
      </c>
    </row>
    <row r="54" spans="1:4" x14ac:dyDescent="0.25">
      <c r="A54">
        <v>1160</v>
      </c>
      <c r="B54">
        <v>430</v>
      </c>
      <c r="C54">
        <v>6.33</v>
      </c>
      <c r="D54">
        <v>56.51</v>
      </c>
    </row>
    <row r="55" spans="1:4" x14ac:dyDescent="0.25">
      <c r="A55">
        <v>1310</v>
      </c>
      <c r="B55">
        <v>300</v>
      </c>
      <c r="C55">
        <v>3.44</v>
      </c>
      <c r="D55">
        <v>62.36</v>
      </c>
    </row>
    <row r="56" spans="1:4" x14ac:dyDescent="0.25">
      <c r="A56">
        <v>945</v>
      </c>
      <c r="B56">
        <v>115</v>
      </c>
      <c r="C56">
        <v>0.91</v>
      </c>
      <c r="D56">
        <v>61.14</v>
      </c>
    </row>
    <row r="57" spans="1:4" x14ac:dyDescent="0.25">
      <c r="A57">
        <v>920</v>
      </c>
      <c r="B57">
        <v>125</v>
      </c>
      <c r="C57">
        <v>0</v>
      </c>
      <c r="D57">
        <v>56.51</v>
      </c>
    </row>
    <row r="58" spans="1:4" x14ac:dyDescent="0.25">
      <c r="A58">
        <v>1060</v>
      </c>
      <c r="B58">
        <v>141.79</v>
      </c>
      <c r="C58">
        <v>3.56</v>
      </c>
      <c r="D58">
        <v>63.48</v>
      </c>
    </row>
    <row r="59" spans="1:4" x14ac:dyDescent="0.25">
      <c r="A59">
        <v>165</v>
      </c>
      <c r="B59">
        <v>150</v>
      </c>
      <c r="C59">
        <v>5.05</v>
      </c>
      <c r="D59">
        <v>60.209999999999994</v>
      </c>
    </row>
    <row r="60" spans="1:4" x14ac:dyDescent="0.25">
      <c r="A60">
        <v>1905</v>
      </c>
      <c r="B60">
        <v>141.65</v>
      </c>
      <c r="C60">
        <v>3.57</v>
      </c>
      <c r="D60">
        <v>69.660000000000011</v>
      </c>
    </row>
    <row r="61" spans="1:4" x14ac:dyDescent="0.25">
      <c r="A61">
        <v>2730</v>
      </c>
      <c r="B61">
        <v>6.15</v>
      </c>
      <c r="C61">
        <v>0.49</v>
      </c>
      <c r="D61">
        <v>56.994999999999997</v>
      </c>
    </row>
    <row r="62" spans="1:4" x14ac:dyDescent="0.25">
      <c r="A62">
        <v>1420</v>
      </c>
      <c r="B62">
        <v>333.62</v>
      </c>
      <c r="C62">
        <v>0</v>
      </c>
      <c r="D62">
        <v>61.425000000000004</v>
      </c>
    </row>
    <row r="63" spans="1:4" x14ac:dyDescent="0.25">
      <c r="A63">
        <v>232.94</v>
      </c>
      <c r="B63">
        <v>1010</v>
      </c>
      <c r="C63">
        <v>1.06</v>
      </c>
      <c r="D63">
        <v>58.900000000000006</v>
      </c>
    </row>
    <row r="64" spans="1:4" x14ac:dyDescent="0.25">
      <c r="A64">
        <v>147.99</v>
      </c>
      <c r="B64">
        <v>1535</v>
      </c>
      <c r="C64">
        <v>2.75</v>
      </c>
      <c r="D64">
        <v>59.089999999999996</v>
      </c>
    </row>
    <row r="65" spans="1:4" x14ac:dyDescent="0.25">
      <c r="A65">
        <v>143</v>
      </c>
      <c r="B65">
        <v>1400</v>
      </c>
      <c r="C65">
        <v>2.88</v>
      </c>
      <c r="D65">
        <v>51.65</v>
      </c>
    </row>
    <row r="66" spans="1:4" x14ac:dyDescent="0.25">
      <c r="A66">
        <v>132.80000000000001</v>
      </c>
      <c r="B66">
        <v>320</v>
      </c>
      <c r="C66">
        <v>9.2100000000000009</v>
      </c>
      <c r="D66">
        <v>56.865999999999993</v>
      </c>
    </row>
    <row r="67" spans="1:4" x14ac:dyDescent="0.25">
      <c r="A67">
        <v>900</v>
      </c>
      <c r="B67">
        <v>1435</v>
      </c>
      <c r="C67">
        <v>47.92</v>
      </c>
      <c r="D67">
        <v>62.995000000000012</v>
      </c>
    </row>
    <row r="68" spans="1:4" x14ac:dyDescent="0.25">
      <c r="A68">
        <v>251.97</v>
      </c>
      <c r="B68">
        <v>1240</v>
      </c>
      <c r="C68">
        <v>48.76</v>
      </c>
      <c r="D68">
        <v>65.739999999999995</v>
      </c>
    </row>
    <row r="69" spans="1:4" x14ac:dyDescent="0.25">
      <c r="A69">
        <v>246.63</v>
      </c>
      <c r="B69">
        <v>865</v>
      </c>
      <c r="C69">
        <v>55.18</v>
      </c>
      <c r="D69">
        <v>52.169999999999995</v>
      </c>
    </row>
    <row r="70" spans="1:4" x14ac:dyDescent="0.25">
      <c r="A70">
        <v>358.08</v>
      </c>
      <c r="B70">
        <v>1030</v>
      </c>
      <c r="C70">
        <v>4.82</v>
      </c>
      <c r="D70">
        <v>53.164999999999999</v>
      </c>
    </row>
    <row r="71" spans="1:4" x14ac:dyDescent="0.25">
      <c r="A71">
        <v>231.56</v>
      </c>
      <c r="B71">
        <v>805</v>
      </c>
      <c r="C71">
        <v>8.85</v>
      </c>
      <c r="D71">
        <v>61.495000000000012</v>
      </c>
    </row>
    <row r="72" spans="1:4" x14ac:dyDescent="0.25">
      <c r="A72">
        <v>340.97</v>
      </c>
      <c r="B72">
        <v>1170</v>
      </c>
      <c r="C72">
        <v>7.02</v>
      </c>
      <c r="D72">
        <v>53.36</v>
      </c>
    </row>
    <row r="73" spans="1:4" x14ac:dyDescent="0.25">
      <c r="A73">
        <v>399.4</v>
      </c>
      <c r="B73">
        <v>1165</v>
      </c>
      <c r="C73">
        <v>3.57</v>
      </c>
      <c r="D73">
        <v>72.680000000000007</v>
      </c>
    </row>
    <row r="74" spans="1:4" x14ac:dyDescent="0.25">
      <c r="A74">
        <v>151.13</v>
      </c>
      <c r="B74">
        <v>920</v>
      </c>
      <c r="C74">
        <v>27.64</v>
      </c>
      <c r="D74">
        <v>50.660000000000004</v>
      </c>
    </row>
    <row r="75" spans="1:4" x14ac:dyDescent="0.25">
      <c r="A75">
        <v>313.57</v>
      </c>
      <c r="B75">
        <v>845</v>
      </c>
      <c r="C75">
        <v>30.8</v>
      </c>
      <c r="D75">
        <v>55.460000000000008</v>
      </c>
    </row>
    <row r="76" spans="1:4" x14ac:dyDescent="0.25">
      <c r="A76">
        <v>0</v>
      </c>
      <c r="B76">
        <v>510</v>
      </c>
      <c r="C76">
        <v>16.77</v>
      </c>
      <c r="D76">
        <v>49.8</v>
      </c>
    </row>
    <row r="77" spans="1:4" x14ac:dyDescent="0.25">
      <c r="A77">
        <v>388.41</v>
      </c>
      <c r="B77">
        <v>680</v>
      </c>
      <c r="C77">
        <v>30.169999999999998</v>
      </c>
      <c r="D77">
        <v>60.749999999999993</v>
      </c>
    </row>
    <row r="78" spans="1:4" x14ac:dyDescent="0.25">
      <c r="A78">
        <v>690</v>
      </c>
      <c r="B78">
        <v>660</v>
      </c>
      <c r="C78">
        <v>7.41</v>
      </c>
      <c r="D78">
        <v>54.01</v>
      </c>
    </row>
    <row r="79" spans="1:4" x14ac:dyDescent="0.25">
      <c r="A79">
        <v>630.98</v>
      </c>
      <c r="B79">
        <v>970</v>
      </c>
      <c r="C79">
        <v>29.17</v>
      </c>
      <c r="D79">
        <v>57.6</v>
      </c>
    </row>
    <row r="80" spans="1:4" x14ac:dyDescent="0.25">
      <c r="A80">
        <v>560</v>
      </c>
      <c r="B80">
        <v>1030</v>
      </c>
      <c r="C80">
        <v>10.95</v>
      </c>
      <c r="D80">
        <v>70.160000000000011</v>
      </c>
    </row>
    <row r="81" spans="1:4" x14ac:dyDescent="0.25">
      <c r="A81">
        <v>396.95</v>
      </c>
      <c r="B81">
        <v>1110</v>
      </c>
      <c r="C81">
        <v>10.94</v>
      </c>
      <c r="D81">
        <v>56.309999999999995</v>
      </c>
    </row>
    <row r="82" spans="1:4" x14ac:dyDescent="0.25">
      <c r="A82">
        <v>268.89</v>
      </c>
      <c r="B82">
        <v>1120</v>
      </c>
      <c r="C82">
        <v>5.93</v>
      </c>
      <c r="D82">
        <v>53.96</v>
      </c>
    </row>
    <row r="83" spans="1:4" x14ac:dyDescent="0.25">
      <c r="A83">
        <v>420.31</v>
      </c>
      <c r="B83">
        <v>1090</v>
      </c>
      <c r="C83">
        <v>17.22</v>
      </c>
      <c r="D83">
        <v>65.11</v>
      </c>
    </row>
    <row r="84" spans="1:4" x14ac:dyDescent="0.25">
      <c r="A84">
        <v>286.51</v>
      </c>
      <c r="B84">
        <v>1060</v>
      </c>
      <c r="C84">
        <v>0</v>
      </c>
      <c r="D84">
        <v>48.82</v>
      </c>
    </row>
    <row r="85" spans="1:4" x14ac:dyDescent="0.25">
      <c r="A85">
        <v>790</v>
      </c>
      <c r="B85">
        <v>1690</v>
      </c>
      <c r="C85">
        <v>9.27</v>
      </c>
      <c r="D85">
        <v>65.239999999999981</v>
      </c>
    </row>
    <row r="86" spans="1:4" x14ac:dyDescent="0.25">
      <c r="A86">
        <v>381.45</v>
      </c>
      <c r="B86">
        <v>1575</v>
      </c>
      <c r="C86">
        <v>4.13</v>
      </c>
      <c r="D86">
        <v>55.089999999999996</v>
      </c>
    </row>
    <row r="87" spans="1:4" x14ac:dyDescent="0.25">
      <c r="A87">
        <v>885</v>
      </c>
      <c r="B87">
        <v>1155</v>
      </c>
      <c r="C87">
        <v>13.56</v>
      </c>
      <c r="D87">
        <v>63.589999999999982</v>
      </c>
    </row>
    <row r="88" spans="1:4" x14ac:dyDescent="0.25">
      <c r="A88">
        <v>660</v>
      </c>
      <c r="B88">
        <v>1020</v>
      </c>
      <c r="C88">
        <v>5.54</v>
      </c>
      <c r="D88">
        <v>67.599999999999994</v>
      </c>
    </row>
    <row r="89" spans="1:4" x14ac:dyDescent="0.25">
      <c r="A89">
        <v>455</v>
      </c>
      <c r="B89">
        <v>905</v>
      </c>
      <c r="C89">
        <v>11.17</v>
      </c>
      <c r="D89">
        <v>49.17</v>
      </c>
    </row>
    <row r="90" spans="1:4" x14ac:dyDescent="0.25">
      <c r="A90">
        <v>790</v>
      </c>
      <c r="B90">
        <v>1105</v>
      </c>
      <c r="C90">
        <v>12.9</v>
      </c>
      <c r="D90">
        <v>54.430000000000007</v>
      </c>
    </row>
    <row r="91" spans="1:4" x14ac:dyDescent="0.25">
      <c r="A91">
        <v>424.89</v>
      </c>
      <c r="B91">
        <v>705</v>
      </c>
      <c r="C91">
        <v>8.89</v>
      </c>
      <c r="D91">
        <v>64.94</v>
      </c>
    </row>
    <row r="92" spans="1:4" x14ac:dyDescent="0.25">
      <c r="A92">
        <v>600</v>
      </c>
      <c r="B92">
        <v>945</v>
      </c>
      <c r="C92">
        <v>11.63</v>
      </c>
      <c r="D92">
        <v>54.9</v>
      </c>
    </row>
    <row r="93" spans="1:4" x14ac:dyDescent="0.25">
      <c r="A93">
        <v>306.77999999999997</v>
      </c>
      <c r="B93">
        <v>820</v>
      </c>
      <c r="C93">
        <v>14.31</v>
      </c>
      <c r="D93">
        <v>47.05</v>
      </c>
    </row>
    <row r="94" spans="1:4" x14ac:dyDescent="0.25">
      <c r="A94">
        <v>126.57</v>
      </c>
      <c r="B94">
        <v>345</v>
      </c>
      <c r="C94">
        <v>4.83</v>
      </c>
      <c r="D94">
        <v>48.609999999999992</v>
      </c>
    </row>
    <row r="95" spans="1:4" x14ac:dyDescent="0.25">
      <c r="A95">
        <v>293.61</v>
      </c>
      <c r="B95">
        <v>310</v>
      </c>
      <c r="C95">
        <v>3.36</v>
      </c>
      <c r="D95">
        <v>54.24</v>
      </c>
    </row>
    <row r="96" spans="1:4" x14ac:dyDescent="0.25">
      <c r="A96">
        <v>226.88</v>
      </c>
      <c r="B96">
        <v>365</v>
      </c>
      <c r="C96">
        <v>3.29</v>
      </c>
      <c r="D96">
        <v>48.53</v>
      </c>
    </row>
    <row r="97" spans="1:4" x14ac:dyDescent="0.25">
      <c r="A97">
        <v>740</v>
      </c>
      <c r="B97">
        <v>535</v>
      </c>
      <c r="C97">
        <v>9.4700000000000006</v>
      </c>
      <c r="D97">
        <v>59.360000000000007</v>
      </c>
    </row>
    <row r="98" spans="1:4" x14ac:dyDescent="0.25">
      <c r="A98">
        <v>735</v>
      </c>
      <c r="B98">
        <v>835</v>
      </c>
      <c r="C98">
        <v>3.45</v>
      </c>
      <c r="D98">
        <v>44.27</v>
      </c>
    </row>
    <row r="99" spans="1:4" x14ac:dyDescent="0.25">
      <c r="A99">
        <v>340.96</v>
      </c>
      <c r="B99">
        <v>625</v>
      </c>
      <c r="C99">
        <v>0.96</v>
      </c>
      <c r="D99">
        <v>47.875</v>
      </c>
    </row>
    <row r="100" spans="1:4" x14ac:dyDescent="0.25">
      <c r="A100">
        <v>400</v>
      </c>
      <c r="B100">
        <v>750</v>
      </c>
      <c r="C100">
        <v>3.8</v>
      </c>
      <c r="D100">
        <v>56.19</v>
      </c>
    </row>
    <row r="101" spans="1:4" x14ac:dyDescent="0.25">
      <c r="A101">
        <v>339.96</v>
      </c>
      <c r="B101">
        <v>810</v>
      </c>
      <c r="C101">
        <v>0.98</v>
      </c>
      <c r="D101">
        <v>73.37</v>
      </c>
    </row>
    <row r="102" spans="1:4" x14ac:dyDescent="0.25">
      <c r="A102">
        <v>290</v>
      </c>
      <c r="B102">
        <v>650</v>
      </c>
      <c r="C102">
        <v>0.73</v>
      </c>
      <c r="D102">
        <v>56.389999999999993</v>
      </c>
    </row>
    <row r="103" spans="1:4" x14ac:dyDescent="0.25">
      <c r="A103">
        <v>425.49</v>
      </c>
      <c r="B103">
        <v>0</v>
      </c>
      <c r="C103">
        <v>1.7</v>
      </c>
      <c r="D103">
        <v>59.5</v>
      </c>
    </row>
    <row r="104" spans="1:4" x14ac:dyDescent="0.25">
      <c r="A104">
        <v>610</v>
      </c>
      <c r="B104">
        <v>236.14</v>
      </c>
      <c r="C104">
        <v>2.73</v>
      </c>
      <c r="D104">
        <v>51.72</v>
      </c>
    </row>
    <row r="105" spans="1:4" x14ac:dyDescent="0.25">
      <c r="A105">
        <v>261.73</v>
      </c>
      <c r="B105">
        <v>0</v>
      </c>
      <c r="C105">
        <v>3.05</v>
      </c>
      <c r="D105">
        <v>50.78</v>
      </c>
    </row>
    <row r="106" spans="1:4" x14ac:dyDescent="0.25">
      <c r="A106">
        <v>785</v>
      </c>
      <c r="B106">
        <v>45</v>
      </c>
      <c r="C106">
        <v>3.12</v>
      </c>
      <c r="D106">
        <v>71.260000000000005</v>
      </c>
    </row>
    <row r="107" spans="1:4" x14ac:dyDescent="0.25">
      <c r="A107">
        <v>770</v>
      </c>
      <c r="B107">
        <v>105</v>
      </c>
      <c r="C107">
        <v>2.73</v>
      </c>
      <c r="D107">
        <v>54.365000000000002</v>
      </c>
    </row>
    <row r="108" spans="1:4" x14ac:dyDescent="0.25">
      <c r="A108">
        <v>755</v>
      </c>
      <c r="B108">
        <v>319.26</v>
      </c>
      <c r="C108">
        <v>3.198</v>
      </c>
      <c r="D108">
        <v>58.565000000000012</v>
      </c>
    </row>
    <row r="109" spans="1:4" x14ac:dyDescent="0.25">
      <c r="A109">
        <v>850</v>
      </c>
      <c r="B109">
        <v>162.02000000000001</v>
      </c>
      <c r="C109">
        <v>3.27</v>
      </c>
      <c r="D109">
        <v>57.78</v>
      </c>
    </row>
    <row r="110" spans="1:4" x14ac:dyDescent="0.25">
      <c r="A110">
        <v>1585</v>
      </c>
      <c r="B110">
        <v>370.64</v>
      </c>
      <c r="C110">
        <v>3.8000000000000003</v>
      </c>
      <c r="D110">
        <v>58.234999999999999</v>
      </c>
    </row>
    <row r="111" spans="1:4" x14ac:dyDescent="0.25">
      <c r="A111">
        <v>1000</v>
      </c>
      <c r="B111">
        <v>348.88</v>
      </c>
      <c r="C111">
        <v>0.43</v>
      </c>
      <c r="D111">
        <v>66.36999999999999</v>
      </c>
    </row>
    <row r="112" spans="1:4" x14ac:dyDescent="0.25">
      <c r="A112">
        <v>555</v>
      </c>
      <c r="B112">
        <v>14.129999999999999</v>
      </c>
      <c r="C112">
        <v>16.29</v>
      </c>
      <c r="D112">
        <v>57.3</v>
      </c>
    </row>
    <row r="113" spans="1:4" x14ac:dyDescent="0.25">
      <c r="A113">
        <v>1625</v>
      </c>
      <c r="B113">
        <v>335.57</v>
      </c>
      <c r="C113">
        <v>2.17</v>
      </c>
      <c r="D113">
        <v>68.27</v>
      </c>
    </row>
    <row r="114" spans="1:4" x14ac:dyDescent="0.25">
      <c r="A114">
        <v>1335</v>
      </c>
      <c r="B114">
        <v>97.35</v>
      </c>
      <c r="C114">
        <v>0.33</v>
      </c>
      <c r="D114">
        <v>64.549999999999983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9"/>
  <sheetViews>
    <sheetView topLeftCell="A53" zoomScaleNormal="100" workbookViewId="0">
      <selection activeCell="O62" sqref="O62:T63"/>
    </sheetView>
  </sheetViews>
  <sheetFormatPr defaultRowHeight="15" x14ac:dyDescent="0.25"/>
  <cols>
    <col min="1" max="1" width="5" customWidth="1"/>
    <col min="3" max="3" width="10.5703125" bestFit="1" customWidth="1"/>
    <col min="4" max="4" width="12.5703125" bestFit="1" customWidth="1"/>
    <col min="5" max="5" width="11.5703125" bestFit="1" customWidth="1"/>
  </cols>
  <sheetData>
    <row r="1" spans="2:6" x14ac:dyDescent="0.25">
      <c r="B1" t="s">
        <v>31</v>
      </c>
    </row>
    <row r="2" spans="2:6" x14ac:dyDescent="0.25">
      <c r="B2" t="s">
        <v>32</v>
      </c>
    </row>
    <row r="3" spans="2:6" x14ac:dyDescent="0.25">
      <c r="B3" t="s">
        <v>33</v>
      </c>
    </row>
    <row r="4" spans="2:6" x14ac:dyDescent="0.25">
      <c r="B4" t="s">
        <v>34</v>
      </c>
    </row>
    <row r="5" spans="2:6" x14ac:dyDescent="0.25">
      <c r="B5" t="s">
        <v>35</v>
      </c>
    </row>
    <row r="9" spans="2:6" x14ac:dyDescent="0.25">
      <c r="B9" t="s">
        <v>36</v>
      </c>
    </row>
    <row r="10" spans="2:6" ht="15.75" thickBot="1" x14ac:dyDescent="0.3"/>
    <row r="11" spans="2:6" x14ac:dyDescent="0.25">
      <c r="B11" s="3" t="s">
        <v>37</v>
      </c>
      <c r="C11" s="4" t="s">
        <v>2</v>
      </c>
      <c r="D11" s="4" t="s">
        <v>23</v>
      </c>
      <c r="E11" s="4" t="s">
        <v>22</v>
      </c>
      <c r="F11" s="5" t="s">
        <v>1</v>
      </c>
    </row>
    <row r="12" spans="2:6" x14ac:dyDescent="0.25">
      <c r="B12" s="6" t="s">
        <v>2</v>
      </c>
      <c r="C12" s="13">
        <v>1</v>
      </c>
      <c r="D12" s="8">
        <v>0.13375271869163996</v>
      </c>
      <c r="E12" s="8">
        <v>9.0687692370075526E-2</v>
      </c>
      <c r="F12" s="9">
        <v>-0.34639447895407732</v>
      </c>
    </row>
    <row r="13" spans="2:6" x14ac:dyDescent="0.25">
      <c r="B13" s="2" t="s">
        <v>23</v>
      </c>
      <c r="C13" s="10">
        <v>0.13375271869163996</v>
      </c>
      <c r="D13" s="14">
        <v>1</v>
      </c>
      <c r="E13" s="10">
        <v>1.2662264963540401E-2</v>
      </c>
      <c r="F13" s="11">
        <v>-0.10444381605780256</v>
      </c>
    </row>
    <row r="14" spans="2:6" x14ac:dyDescent="0.25">
      <c r="B14" s="2" t="s">
        <v>22</v>
      </c>
      <c r="C14" s="10">
        <v>9.0687692370075526E-2</v>
      </c>
      <c r="D14" s="10">
        <v>1.2662264963540401E-2</v>
      </c>
      <c r="E14" s="14">
        <v>1</v>
      </c>
      <c r="F14" s="11">
        <v>0.3302735732128802</v>
      </c>
    </row>
    <row r="15" spans="2:6" ht="15.75" thickBot="1" x14ac:dyDescent="0.3">
      <c r="B15" s="7" t="s">
        <v>1</v>
      </c>
      <c r="C15" s="12">
        <v>-0.34639447895407732</v>
      </c>
      <c r="D15" s="12">
        <v>-0.10444381605780256</v>
      </c>
      <c r="E15" s="12">
        <v>0.3302735732128802</v>
      </c>
      <c r="F15" s="15">
        <v>1</v>
      </c>
    </row>
    <row r="18" spans="2:5" x14ac:dyDescent="0.25">
      <c r="B18" t="s">
        <v>38</v>
      </c>
    </row>
    <row r="19" spans="2:5" ht="15.75" thickBot="1" x14ac:dyDescent="0.3"/>
    <row r="20" spans="2:5" x14ac:dyDescent="0.25">
      <c r="B20" s="3" t="s">
        <v>39</v>
      </c>
      <c r="C20" s="4" t="s">
        <v>2</v>
      </c>
      <c r="D20" s="4" t="s">
        <v>23</v>
      </c>
      <c r="E20" s="4" t="s">
        <v>22</v>
      </c>
    </row>
    <row r="21" spans="2:5" x14ac:dyDescent="0.25">
      <c r="B21" s="6" t="s">
        <v>40</v>
      </c>
      <c r="C21" s="8">
        <v>0.97418899393439806</v>
      </c>
      <c r="D21" s="8">
        <v>0.98210992429248778</v>
      </c>
      <c r="E21" s="8">
        <v>0.9917754536882778</v>
      </c>
    </row>
    <row r="22" spans="2:5" ht="15.75" thickBot="1" x14ac:dyDescent="0.3">
      <c r="B22" s="16" t="s">
        <v>41</v>
      </c>
      <c r="C22" s="17">
        <v>1.026494865191774</v>
      </c>
      <c r="D22" s="17">
        <v>1.018215960622127</v>
      </c>
      <c r="E22" s="17">
        <v>1.0082927504216164</v>
      </c>
    </row>
    <row r="25" spans="2:5" x14ac:dyDescent="0.25">
      <c r="B25" s="18" t="s">
        <v>42</v>
      </c>
    </row>
    <row r="27" spans="2:5" x14ac:dyDescent="0.25">
      <c r="B27" t="s">
        <v>43</v>
      </c>
    </row>
    <row r="28" spans="2:5" ht="15.75" thickBot="1" x14ac:dyDescent="0.3"/>
    <row r="29" spans="2:5" x14ac:dyDescent="0.25">
      <c r="B29" s="19" t="s">
        <v>44</v>
      </c>
      <c r="C29" s="20">
        <v>113</v>
      </c>
    </row>
    <row r="30" spans="2:5" x14ac:dyDescent="0.25">
      <c r="B30" s="2" t="s">
        <v>45</v>
      </c>
      <c r="C30" s="10">
        <v>113</v>
      </c>
    </row>
    <row r="31" spans="2:5" x14ac:dyDescent="0.25">
      <c r="B31" s="2" t="s">
        <v>46</v>
      </c>
      <c r="C31" s="10">
        <v>109</v>
      </c>
    </row>
    <row r="32" spans="2:5" x14ac:dyDescent="0.25">
      <c r="B32" s="2" t="s">
        <v>47</v>
      </c>
      <c r="C32" s="10">
        <v>0.2553532444023463</v>
      </c>
    </row>
    <row r="33" spans="2:7" x14ac:dyDescent="0.25">
      <c r="B33" s="2" t="s">
        <v>48</v>
      </c>
      <c r="C33" s="10">
        <v>0.23485837956938335</v>
      </c>
    </row>
    <row r="34" spans="2:7" x14ac:dyDescent="0.25">
      <c r="B34" s="2" t="s">
        <v>49</v>
      </c>
      <c r="C34" s="10">
        <v>146114.87204550116</v>
      </c>
    </row>
    <row r="35" spans="2:7" x14ac:dyDescent="0.25">
      <c r="B35" s="2" t="s">
        <v>50</v>
      </c>
      <c r="C35" s="10">
        <v>382.24975087696419</v>
      </c>
    </row>
    <row r="36" spans="2:7" x14ac:dyDescent="0.25">
      <c r="B36" s="2" t="s">
        <v>51</v>
      </c>
      <c r="C36" s="10">
        <v>78.286940513772464</v>
      </c>
    </row>
    <row r="37" spans="2:7" x14ac:dyDescent="0.25">
      <c r="B37" s="2" t="s">
        <v>52</v>
      </c>
      <c r="C37" s="10">
        <v>1.1988168749703532</v>
      </c>
    </row>
    <row r="38" spans="2:7" x14ac:dyDescent="0.25">
      <c r="B38" s="2" t="s">
        <v>53</v>
      </c>
      <c r="C38" s="10">
        <v>4</v>
      </c>
    </row>
    <row r="39" spans="2:7" x14ac:dyDescent="0.25">
      <c r="B39" s="2" t="s">
        <v>54</v>
      </c>
      <c r="C39" s="10">
        <v>1347.7402548136909</v>
      </c>
    </row>
    <row r="40" spans="2:7" x14ac:dyDescent="0.25">
      <c r="B40" s="2" t="s">
        <v>55</v>
      </c>
      <c r="C40" s="10">
        <v>1358.6498060885401</v>
      </c>
    </row>
    <row r="41" spans="2:7" ht="15.75" thickBot="1" x14ac:dyDescent="0.3">
      <c r="B41" s="16" t="s">
        <v>56</v>
      </c>
      <c r="C41" s="17">
        <v>0.79929972848555486</v>
      </c>
    </row>
    <row r="44" spans="2:7" x14ac:dyDescent="0.25">
      <c r="B44" t="s">
        <v>57</v>
      </c>
    </row>
    <row r="45" spans="2:7" ht="15.75" thickBot="1" x14ac:dyDescent="0.3"/>
    <row r="46" spans="2:7" x14ac:dyDescent="0.25">
      <c r="B46" s="3" t="s">
        <v>58</v>
      </c>
      <c r="C46" s="4" t="s">
        <v>46</v>
      </c>
      <c r="D46" s="4" t="s">
        <v>59</v>
      </c>
      <c r="E46" s="4" t="s">
        <v>60</v>
      </c>
      <c r="F46" s="4" t="s">
        <v>61</v>
      </c>
      <c r="G46" s="4" t="s">
        <v>62</v>
      </c>
    </row>
    <row r="47" spans="2:7" x14ac:dyDescent="0.25">
      <c r="B47" s="6" t="s">
        <v>63</v>
      </c>
      <c r="C47" s="21">
        <v>3</v>
      </c>
      <c r="D47" s="8">
        <v>5461500.761728866</v>
      </c>
      <c r="E47" s="8">
        <v>1820500.2539096221</v>
      </c>
      <c r="F47" s="8">
        <v>12.459376847982359</v>
      </c>
      <c r="G47" s="24" t="s">
        <v>66</v>
      </c>
    </row>
    <row r="48" spans="2:7" x14ac:dyDescent="0.25">
      <c r="B48" s="2" t="s">
        <v>64</v>
      </c>
      <c r="C48" s="22">
        <v>109</v>
      </c>
      <c r="D48" s="10">
        <v>15926521.052959627</v>
      </c>
      <c r="E48" s="10">
        <v>146114.87204550116</v>
      </c>
      <c r="F48" s="10"/>
      <c r="G48" s="10"/>
    </row>
    <row r="49" spans="2:20" ht="15.75" thickBot="1" x14ac:dyDescent="0.3">
      <c r="B49" s="16" t="s">
        <v>65</v>
      </c>
      <c r="C49" s="23">
        <v>112</v>
      </c>
      <c r="D49" s="17">
        <v>21388021.814688493</v>
      </c>
      <c r="E49" s="17"/>
      <c r="F49" s="17"/>
      <c r="G49" s="17"/>
    </row>
    <row r="50" spans="2:20" x14ac:dyDescent="0.25">
      <c r="B50" s="25" t="s">
        <v>67</v>
      </c>
    </row>
    <row r="53" spans="2:20" x14ac:dyDescent="0.25">
      <c r="B53" t="s">
        <v>68</v>
      </c>
    </row>
    <row r="54" spans="2:20" ht="15.75" thickBot="1" x14ac:dyDescent="0.3"/>
    <row r="55" spans="2:20" x14ac:dyDescent="0.25">
      <c r="B55" s="3" t="s">
        <v>58</v>
      </c>
      <c r="C55" s="4" t="s">
        <v>69</v>
      </c>
      <c r="D55" s="4" t="s">
        <v>70</v>
      </c>
      <c r="E55" s="4" t="s">
        <v>71</v>
      </c>
      <c r="F55" s="4" t="s">
        <v>72</v>
      </c>
      <c r="G55" s="4" t="s">
        <v>73</v>
      </c>
      <c r="H55" s="4" t="s">
        <v>74</v>
      </c>
    </row>
    <row r="56" spans="2:20" x14ac:dyDescent="0.25">
      <c r="B56" s="6" t="s">
        <v>75</v>
      </c>
      <c r="C56" s="8">
        <v>-295.04544816236887</v>
      </c>
      <c r="D56" s="8">
        <v>264.5580881589608</v>
      </c>
      <c r="E56" s="8">
        <v>-1.1152388128277129</v>
      </c>
      <c r="F56" s="8">
        <v>0.26720088773778389</v>
      </c>
      <c r="G56" s="8">
        <v>-819.39097804025869</v>
      </c>
      <c r="H56" s="8">
        <v>229.30008171552095</v>
      </c>
    </row>
    <row r="57" spans="2:20" x14ac:dyDescent="0.25">
      <c r="B57" s="2" t="s">
        <v>2</v>
      </c>
      <c r="C57" s="10">
        <v>-0.28298619680296239</v>
      </c>
      <c r="D57" s="10">
        <v>6.3784124238345521E-2</v>
      </c>
      <c r="E57" s="10">
        <v>-4.4366243196428137</v>
      </c>
      <c r="F57" s="26" t="s">
        <v>66</v>
      </c>
      <c r="G57" s="10">
        <v>-0.4094042574046739</v>
      </c>
      <c r="H57" s="10">
        <v>-0.1565681362012509</v>
      </c>
    </row>
    <row r="58" spans="2:20" x14ac:dyDescent="0.25">
      <c r="B58" s="2" t="s">
        <v>23</v>
      </c>
      <c r="C58" s="10">
        <v>-1.1921470339190441</v>
      </c>
      <c r="D58" s="10">
        <v>1.6747592976080459</v>
      </c>
      <c r="E58" s="10">
        <v>-0.71183186480690885</v>
      </c>
      <c r="F58" s="10">
        <v>0.4780896582789152</v>
      </c>
      <c r="G58" s="10">
        <v>-4.5114655149120413</v>
      </c>
      <c r="H58" s="10">
        <v>2.1271714470739536</v>
      </c>
    </row>
    <row r="59" spans="2:20" ht="15.75" thickBot="1" x14ac:dyDescent="0.3">
      <c r="B59" s="16" t="s">
        <v>22</v>
      </c>
      <c r="C59" s="17">
        <v>19.277380601778024</v>
      </c>
      <c r="D59" s="17">
        <v>4.3867766169612059</v>
      </c>
      <c r="E59" s="17">
        <v>4.3944295059938092</v>
      </c>
      <c r="F59" s="27" t="s">
        <v>66</v>
      </c>
      <c r="G59" s="17">
        <v>10.582931962224869</v>
      </c>
      <c r="H59" s="17">
        <v>27.971829241331179</v>
      </c>
    </row>
    <row r="62" spans="2:20" x14ac:dyDescent="0.25">
      <c r="B62" t="s">
        <v>76</v>
      </c>
      <c r="O62" t="s">
        <v>222</v>
      </c>
    </row>
    <row r="63" spans="2:20" x14ac:dyDescent="0.25">
      <c r="O63" t="s">
        <v>223</v>
      </c>
      <c r="P63" t="s">
        <v>0</v>
      </c>
      <c r="Q63" t="s">
        <v>224</v>
      </c>
      <c r="R63" t="s">
        <v>28</v>
      </c>
      <c r="S63" t="s">
        <v>225</v>
      </c>
      <c r="T63" t="s">
        <v>227</v>
      </c>
    </row>
    <row r="64" spans="2:20" x14ac:dyDescent="0.25">
      <c r="B64" s="28" t="s">
        <v>77</v>
      </c>
      <c r="O64" t="s">
        <v>226</v>
      </c>
      <c r="P64">
        <v>45</v>
      </c>
      <c r="Q64">
        <v>990</v>
      </c>
      <c r="R64">
        <v>0.28999999999999998</v>
      </c>
      <c r="S64">
        <v>69.45</v>
      </c>
      <c r="T64">
        <f t="shared" ref="T64:T80" si="0">-295-0.283*Q64-1.192*R64+19.277*S64</f>
        <v>763.27197000000024</v>
      </c>
    </row>
    <row r="65" spans="2:20" x14ac:dyDescent="0.25">
      <c r="O65" t="s">
        <v>226</v>
      </c>
      <c r="P65">
        <v>51</v>
      </c>
      <c r="Q65">
        <v>230</v>
      </c>
      <c r="R65">
        <v>3.32</v>
      </c>
      <c r="S65">
        <v>73.590000000000018</v>
      </c>
      <c r="T65">
        <f t="shared" si="0"/>
        <v>1054.5469900000003</v>
      </c>
    </row>
    <row r="66" spans="2:20" x14ac:dyDescent="0.25">
      <c r="O66" t="s">
        <v>226</v>
      </c>
      <c r="P66">
        <v>61</v>
      </c>
      <c r="Q66">
        <v>233.64</v>
      </c>
      <c r="R66">
        <v>1.23</v>
      </c>
      <c r="S66">
        <v>63.57</v>
      </c>
      <c r="T66">
        <f t="shared" si="0"/>
        <v>862.85261000000014</v>
      </c>
    </row>
    <row r="67" spans="2:20" x14ac:dyDescent="0.25">
      <c r="B67" t="s">
        <v>78</v>
      </c>
      <c r="O67" t="s">
        <v>229</v>
      </c>
      <c r="P67">
        <v>11</v>
      </c>
      <c r="Q67">
        <v>1420</v>
      </c>
      <c r="R67">
        <v>1.44</v>
      </c>
      <c r="S67">
        <v>67.015000000000001</v>
      </c>
      <c r="T67">
        <f t="shared" si="0"/>
        <v>593.27167500000019</v>
      </c>
    </row>
    <row r="68" spans="2:20" ht="15.75" thickBot="1" x14ac:dyDescent="0.3">
      <c r="O68" t="s">
        <v>229</v>
      </c>
      <c r="P68">
        <v>16</v>
      </c>
      <c r="Q68">
        <v>510</v>
      </c>
      <c r="R68">
        <v>16.77</v>
      </c>
      <c r="S68">
        <v>49.8</v>
      </c>
      <c r="T68">
        <f t="shared" si="0"/>
        <v>500.67475999999999</v>
      </c>
    </row>
    <row r="69" spans="2:20" x14ac:dyDescent="0.25">
      <c r="B69" s="3" t="s">
        <v>58</v>
      </c>
      <c r="C69" s="4" t="s">
        <v>69</v>
      </c>
      <c r="D69" s="4" t="s">
        <v>70</v>
      </c>
      <c r="E69" s="4" t="s">
        <v>71</v>
      </c>
      <c r="F69" s="4" t="s">
        <v>72</v>
      </c>
      <c r="G69" s="4" t="s">
        <v>73</v>
      </c>
      <c r="H69" s="4" t="s">
        <v>74</v>
      </c>
      <c r="O69" t="s">
        <v>229</v>
      </c>
      <c r="P69">
        <v>27</v>
      </c>
      <c r="Q69">
        <v>1185</v>
      </c>
      <c r="R69">
        <v>0</v>
      </c>
      <c r="S69">
        <v>63.95000000000001</v>
      </c>
      <c r="T69">
        <f t="shared" si="0"/>
        <v>602.40915000000018</v>
      </c>
    </row>
    <row r="70" spans="2:20" x14ac:dyDescent="0.25">
      <c r="B70" s="6" t="s">
        <v>2</v>
      </c>
      <c r="C70" s="8">
        <v>-0.37152919618897384</v>
      </c>
      <c r="D70" s="8">
        <v>8.3741414512844101E-2</v>
      </c>
      <c r="E70" s="8">
        <v>-4.4366243196428146</v>
      </c>
      <c r="F70" s="24" t="s">
        <v>66</v>
      </c>
      <c r="G70" s="8">
        <v>-0.5375019572979749</v>
      </c>
      <c r="H70" s="8">
        <v>-0.20555643507997276</v>
      </c>
      <c r="O70" t="s">
        <v>229</v>
      </c>
      <c r="P70">
        <v>28</v>
      </c>
      <c r="Q70">
        <v>1480</v>
      </c>
      <c r="R70">
        <v>0.77</v>
      </c>
      <c r="S70">
        <v>67.48</v>
      </c>
      <c r="T70">
        <f t="shared" si="0"/>
        <v>586.05412000000035</v>
      </c>
    </row>
    <row r="71" spans="2:20" x14ac:dyDescent="0.25">
      <c r="B71" s="2" t="s">
        <v>23</v>
      </c>
      <c r="C71" s="10">
        <v>-5.9368937567724732E-2</v>
      </c>
      <c r="D71" s="10">
        <v>8.3403034484595781E-2</v>
      </c>
      <c r="E71" s="10">
        <v>-0.71183186480690874</v>
      </c>
      <c r="F71" s="10">
        <v>0.4780896582789152</v>
      </c>
      <c r="G71" s="10">
        <v>-0.22467104046156156</v>
      </c>
      <c r="H71" s="10">
        <v>0.10593316532611208</v>
      </c>
      <c r="O71" t="s">
        <v>229</v>
      </c>
      <c r="P71">
        <v>29</v>
      </c>
      <c r="Q71">
        <v>1650</v>
      </c>
      <c r="R71">
        <v>0.97</v>
      </c>
      <c r="S71">
        <v>60.29999999999999</v>
      </c>
      <c r="T71">
        <f t="shared" si="0"/>
        <v>399.29685999999981</v>
      </c>
    </row>
    <row r="72" spans="2:20" ht="15.75" thickBot="1" x14ac:dyDescent="0.3">
      <c r="B72" s="16" t="s">
        <v>22</v>
      </c>
      <c r="C72" s="17">
        <v>0.36471844388145369</v>
      </c>
      <c r="D72" s="17">
        <v>8.2995629667968002E-2</v>
      </c>
      <c r="E72" s="17">
        <v>4.3944295059938083</v>
      </c>
      <c r="F72" s="27" t="s">
        <v>66</v>
      </c>
      <c r="G72" s="17">
        <v>0.20022380408933518</v>
      </c>
      <c r="H72" s="17">
        <v>0.52921308367357223</v>
      </c>
      <c r="O72" t="s">
        <v>229</v>
      </c>
      <c r="P72">
        <v>30</v>
      </c>
      <c r="Q72">
        <v>1145</v>
      </c>
      <c r="R72">
        <v>8.98</v>
      </c>
      <c r="S72">
        <v>52.914999999999999</v>
      </c>
      <c r="T72">
        <f t="shared" si="0"/>
        <v>390.30329500000005</v>
      </c>
    </row>
    <row r="73" spans="2:20" x14ac:dyDescent="0.25">
      <c r="O73" t="s">
        <v>229</v>
      </c>
      <c r="P73">
        <v>37</v>
      </c>
      <c r="Q73">
        <v>1105</v>
      </c>
      <c r="R73">
        <v>12.59</v>
      </c>
      <c r="S73">
        <v>52.11</v>
      </c>
      <c r="T73">
        <f t="shared" si="0"/>
        <v>381.80219000000011</v>
      </c>
    </row>
    <row r="74" spans="2:20" x14ac:dyDescent="0.25">
      <c r="O74" t="s">
        <v>229</v>
      </c>
      <c r="P74">
        <v>38</v>
      </c>
      <c r="Q74">
        <v>775</v>
      </c>
      <c r="R74">
        <v>8.85</v>
      </c>
      <c r="S74">
        <v>35.200000000000003</v>
      </c>
      <c r="T74">
        <f t="shared" si="0"/>
        <v>153.67619999999999</v>
      </c>
    </row>
    <row r="75" spans="2:20" x14ac:dyDescent="0.25">
      <c r="O75" t="s">
        <v>229</v>
      </c>
      <c r="P75">
        <v>41</v>
      </c>
      <c r="Q75">
        <v>175</v>
      </c>
      <c r="R75">
        <v>8.8800000000000008</v>
      </c>
      <c r="S75">
        <v>51.669999999999995</v>
      </c>
      <c r="T75">
        <f t="shared" si="0"/>
        <v>640.9326299999999</v>
      </c>
    </row>
    <row r="76" spans="2:20" x14ac:dyDescent="0.25">
      <c r="O76" t="s">
        <v>229</v>
      </c>
      <c r="P76">
        <v>45</v>
      </c>
      <c r="Q76">
        <v>910</v>
      </c>
      <c r="R76">
        <v>5.17</v>
      </c>
      <c r="S76">
        <v>55.779999999999994</v>
      </c>
      <c r="T76">
        <f t="shared" si="0"/>
        <v>516.57842000000005</v>
      </c>
    </row>
    <row r="77" spans="2:20" x14ac:dyDescent="0.25">
      <c r="O77" t="s">
        <v>229</v>
      </c>
      <c r="P77">
        <v>46</v>
      </c>
      <c r="Q77">
        <v>910</v>
      </c>
      <c r="R77">
        <v>1.35</v>
      </c>
      <c r="S77">
        <v>64.72</v>
      </c>
      <c r="T77">
        <f t="shared" si="0"/>
        <v>693.46824000000004</v>
      </c>
    </row>
    <row r="78" spans="2:20" x14ac:dyDescent="0.25">
      <c r="O78" t="s">
        <v>229</v>
      </c>
      <c r="P78">
        <v>52</v>
      </c>
      <c r="Q78">
        <v>390</v>
      </c>
      <c r="R78">
        <v>0.56999999999999995</v>
      </c>
      <c r="S78">
        <v>48.319999999999993</v>
      </c>
      <c r="T78">
        <f t="shared" si="0"/>
        <v>525.41519999999991</v>
      </c>
    </row>
    <row r="79" spans="2:20" x14ac:dyDescent="0.25">
      <c r="O79" t="s">
        <v>229</v>
      </c>
      <c r="P79">
        <v>59</v>
      </c>
      <c r="Q79">
        <v>251.3</v>
      </c>
      <c r="R79">
        <v>4.4000000000000004</v>
      </c>
      <c r="S79">
        <v>55.73</v>
      </c>
      <c r="T79">
        <f t="shared" si="0"/>
        <v>702.94451000000004</v>
      </c>
    </row>
    <row r="80" spans="2:20" x14ac:dyDescent="0.25">
      <c r="O80" t="s">
        <v>229</v>
      </c>
      <c r="P80">
        <v>62</v>
      </c>
      <c r="Q80">
        <v>283.7</v>
      </c>
      <c r="R80">
        <v>0</v>
      </c>
      <c r="S80">
        <v>65.419999999999987</v>
      </c>
      <c r="T80">
        <f t="shared" si="0"/>
        <v>885.81423999999993</v>
      </c>
    </row>
    <row r="94" spans="2:13" x14ac:dyDescent="0.25">
      <c r="B94" t="s">
        <v>79</v>
      </c>
    </row>
    <row r="95" spans="2:13" ht="15.75" thickBot="1" x14ac:dyDescent="0.3"/>
    <row r="96" spans="2:13" x14ac:dyDescent="0.25">
      <c r="B96" s="3" t="s">
        <v>80</v>
      </c>
      <c r="C96" s="4" t="s">
        <v>81</v>
      </c>
      <c r="D96" s="4" t="s">
        <v>1</v>
      </c>
      <c r="E96" s="4" t="s">
        <v>82</v>
      </c>
      <c r="F96" s="4" t="s">
        <v>83</v>
      </c>
      <c r="G96" s="4" t="s">
        <v>84</v>
      </c>
      <c r="H96" s="4" t="s">
        <v>85</v>
      </c>
      <c r="I96" s="4" t="s">
        <v>86</v>
      </c>
      <c r="J96" s="4" t="s">
        <v>87</v>
      </c>
      <c r="K96" s="4" t="s">
        <v>88</v>
      </c>
      <c r="L96" s="4" t="s">
        <v>89</v>
      </c>
      <c r="M96" s="4" t="s">
        <v>90</v>
      </c>
    </row>
    <row r="97" spans="2:13" x14ac:dyDescent="0.25">
      <c r="B97" s="6" t="s">
        <v>91</v>
      </c>
      <c r="C97" s="21">
        <v>1</v>
      </c>
      <c r="D97" s="8">
        <v>52.46</v>
      </c>
      <c r="E97" s="8">
        <v>487.38384313901167</v>
      </c>
      <c r="F97" s="8">
        <v>-434.92384313901169</v>
      </c>
      <c r="G97" s="8">
        <v>-1.1378002003695271</v>
      </c>
      <c r="H97" s="8">
        <v>95.774519382292056</v>
      </c>
      <c r="I97" s="8">
        <v>297.56185937817537</v>
      </c>
      <c r="J97" s="8">
        <v>677.20582689984792</v>
      </c>
      <c r="K97" s="8">
        <v>394.06551562958435</v>
      </c>
      <c r="L97" s="8">
        <v>-293.64119766505513</v>
      </c>
      <c r="M97" s="8">
        <v>1268.4088839430783</v>
      </c>
    </row>
    <row r="98" spans="2:13" x14ac:dyDescent="0.25">
      <c r="B98" s="2" t="s">
        <v>92</v>
      </c>
      <c r="C98" s="22">
        <v>1</v>
      </c>
      <c r="D98" s="10">
        <v>148.07</v>
      </c>
      <c r="E98" s="10">
        <v>709.06228340211419</v>
      </c>
      <c r="F98" s="10">
        <v>-560.99228340211425</v>
      </c>
      <c r="G98" s="10">
        <v>-1.4676066684545268</v>
      </c>
      <c r="H98" s="10">
        <v>47.461786640257948</v>
      </c>
      <c r="I98" s="10">
        <v>614.99456527631526</v>
      </c>
      <c r="J98" s="10">
        <v>803.13000152791312</v>
      </c>
      <c r="K98" s="10">
        <v>385.18501169773799</v>
      </c>
      <c r="L98" s="10">
        <v>-54.361887316556398</v>
      </c>
      <c r="M98" s="10">
        <v>1472.4864541207849</v>
      </c>
    </row>
    <row r="99" spans="2:13" x14ac:dyDescent="0.25">
      <c r="B99" s="2" t="s">
        <v>93</v>
      </c>
      <c r="C99" s="22">
        <v>1</v>
      </c>
      <c r="D99" s="10">
        <v>171.52</v>
      </c>
      <c r="E99" s="10">
        <v>-44.485292840357232</v>
      </c>
      <c r="F99" s="10">
        <v>216.00529284035724</v>
      </c>
      <c r="G99" s="10">
        <v>0.56508942738299772</v>
      </c>
      <c r="H99" s="10">
        <v>157.01053462475716</v>
      </c>
      <c r="I99" s="10">
        <v>-355.675068012765</v>
      </c>
      <c r="J99" s="10">
        <v>266.70448233205053</v>
      </c>
      <c r="K99" s="10">
        <v>413.23985774444998</v>
      </c>
      <c r="L99" s="10">
        <v>-863.5132563531721</v>
      </c>
      <c r="M99" s="10">
        <v>774.54267067245758</v>
      </c>
    </row>
    <row r="100" spans="2:13" x14ac:dyDescent="0.25">
      <c r="B100" s="2" t="s">
        <v>94</v>
      </c>
      <c r="C100" s="22">
        <v>1</v>
      </c>
      <c r="D100" s="10">
        <v>116.7</v>
      </c>
      <c r="E100" s="10">
        <v>332.85977754746239</v>
      </c>
      <c r="F100" s="10">
        <v>-216.1597775474624</v>
      </c>
      <c r="G100" s="10">
        <v>-0.56549357338113315</v>
      </c>
      <c r="H100" s="10">
        <v>70.388571775258654</v>
      </c>
      <c r="I100" s="10">
        <v>193.3519166399191</v>
      </c>
      <c r="J100" s="10">
        <v>472.36763845500565</v>
      </c>
      <c r="K100" s="10">
        <v>388.67650183933409</v>
      </c>
      <c r="L100" s="10">
        <v>-437.484413122587</v>
      </c>
      <c r="M100" s="10">
        <v>1103.2039682175118</v>
      </c>
    </row>
    <row r="101" spans="2:13" x14ac:dyDescent="0.25">
      <c r="B101" s="2" t="s">
        <v>95</v>
      </c>
      <c r="C101" s="22">
        <v>1</v>
      </c>
      <c r="D101" s="10">
        <v>165.13</v>
      </c>
      <c r="E101" s="10">
        <v>673.64967636322103</v>
      </c>
      <c r="F101" s="10">
        <v>-508.51967636322104</v>
      </c>
      <c r="G101" s="10">
        <v>-1.3303335716938105</v>
      </c>
      <c r="H101" s="10">
        <v>87.333448979247379</v>
      </c>
      <c r="I101" s="10">
        <v>500.55761971979587</v>
      </c>
      <c r="J101" s="10">
        <v>846.7417330066462</v>
      </c>
      <c r="K101" s="10">
        <v>392.09948145351069</v>
      </c>
      <c r="L101" s="10">
        <v>-103.47874862015698</v>
      </c>
      <c r="M101" s="10">
        <v>1450.778101346599</v>
      </c>
    </row>
    <row r="102" spans="2:13" x14ac:dyDescent="0.25">
      <c r="B102" s="2" t="s">
        <v>96</v>
      </c>
      <c r="C102" s="22">
        <v>1</v>
      </c>
      <c r="D102" s="10">
        <v>124.62</v>
      </c>
      <c r="E102" s="10">
        <v>486.14019118199121</v>
      </c>
      <c r="F102" s="10">
        <v>-361.52019118199121</v>
      </c>
      <c r="G102" s="10">
        <v>-0.94576959266182681</v>
      </c>
      <c r="H102" s="10">
        <v>45.631286430486377</v>
      </c>
      <c r="I102" s="10">
        <v>395.70046496191526</v>
      </c>
      <c r="J102" s="10">
        <v>576.57991740206717</v>
      </c>
      <c r="K102" s="10">
        <v>384.96374679546415</v>
      </c>
      <c r="L102" s="10">
        <v>-276.84543969375289</v>
      </c>
      <c r="M102" s="10">
        <v>1249.1258220577354</v>
      </c>
    </row>
    <row r="103" spans="2:13" x14ac:dyDescent="0.25">
      <c r="B103" s="2" t="s">
        <v>97</v>
      </c>
      <c r="C103" s="22">
        <v>1</v>
      </c>
      <c r="D103" s="10">
        <v>188.26</v>
      </c>
      <c r="E103" s="10">
        <v>365.93865077359817</v>
      </c>
      <c r="F103" s="10">
        <v>-177.67865077359818</v>
      </c>
      <c r="G103" s="10">
        <v>-0.46482345734945452</v>
      </c>
      <c r="H103" s="10">
        <v>50.992273761134804</v>
      </c>
      <c r="I103" s="10">
        <v>264.87362195128804</v>
      </c>
      <c r="J103" s="10">
        <v>467.0036795959083</v>
      </c>
      <c r="K103" s="10">
        <v>385.63594753190694</v>
      </c>
      <c r="L103" s="10">
        <v>-398.37926010835247</v>
      </c>
      <c r="M103" s="10">
        <v>1130.2565616555489</v>
      </c>
    </row>
    <row r="104" spans="2:13" x14ac:dyDescent="0.25">
      <c r="B104" s="2" t="s">
        <v>98</v>
      </c>
      <c r="C104" s="22">
        <v>1</v>
      </c>
      <c r="D104" s="10">
        <v>167.84</v>
      </c>
      <c r="E104" s="10">
        <v>256.94708038263053</v>
      </c>
      <c r="F104" s="10">
        <v>-89.107080382630528</v>
      </c>
      <c r="G104" s="10">
        <v>-0.23311220001634919</v>
      </c>
      <c r="H104" s="10">
        <v>84.688279276238831</v>
      </c>
      <c r="I104" s="10">
        <v>89.097664095404099</v>
      </c>
      <c r="J104" s="10">
        <v>424.79649666985694</v>
      </c>
      <c r="K104" s="10">
        <v>391.51880758435016</v>
      </c>
      <c r="L104" s="10">
        <v>-519.03046786993184</v>
      </c>
      <c r="M104" s="10">
        <v>1032.9246286351929</v>
      </c>
    </row>
    <row r="105" spans="2:13" x14ac:dyDescent="0.25">
      <c r="B105" s="2" t="s">
        <v>99</v>
      </c>
      <c r="C105" s="22">
        <v>1</v>
      </c>
      <c r="D105" s="10">
        <v>108.58</v>
      </c>
      <c r="E105" s="10">
        <v>490.5924734109513</v>
      </c>
      <c r="F105" s="10">
        <v>-382.01247341095132</v>
      </c>
      <c r="G105" s="10">
        <v>-0.99937926063923255</v>
      </c>
      <c r="H105" s="10">
        <v>44.425102147843269</v>
      </c>
      <c r="I105" s="10">
        <v>402.54336522570503</v>
      </c>
      <c r="J105" s="10">
        <v>578.64158159619751</v>
      </c>
      <c r="K105" s="10">
        <v>384.82263673846876</v>
      </c>
      <c r="L105" s="10">
        <v>-272.11348191935309</v>
      </c>
      <c r="M105" s="10">
        <v>1253.2984287412557</v>
      </c>
    </row>
    <row r="106" spans="2:13" x14ac:dyDescent="0.25">
      <c r="B106" s="2" t="s">
        <v>100</v>
      </c>
      <c r="C106" s="22">
        <v>1</v>
      </c>
      <c r="D106" s="10">
        <v>191.8</v>
      </c>
      <c r="E106" s="10">
        <v>509.47676796138728</v>
      </c>
      <c r="F106" s="10">
        <v>-317.67676796138727</v>
      </c>
      <c r="G106" s="10">
        <v>-0.83107122302255942</v>
      </c>
      <c r="H106" s="10">
        <v>41.617617663633766</v>
      </c>
      <c r="I106" s="10">
        <v>426.99200275178379</v>
      </c>
      <c r="J106" s="10">
        <v>591.96153317099083</v>
      </c>
      <c r="K106" s="10">
        <v>384.50864508551376</v>
      </c>
      <c r="L106" s="10">
        <v>-252.60686612071171</v>
      </c>
      <c r="M106" s="10">
        <v>1271.5604020434862</v>
      </c>
    </row>
    <row r="107" spans="2:13" x14ac:dyDescent="0.25">
      <c r="B107" s="2" t="s">
        <v>101</v>
      </c>
      <c r="C107" s="22">
        <v>1</v>
      </c>
      <c r="D107" s="10">
        <v>111.74</v>
      </c>
      <c r="E107" s="10">
        <v>298.18283142527753</v>
      </c>
      <c r="F107" s="10">
        <v>-186.44283142527752</v>
      </c>
      <c r="G107" s="10">
        <v>-0.48775134842478524</v>
      </c>
      <c r="H107" s="10">
        <v>61.798590657189315</v>
      </c>
      <c r="I107" s="10">
        <v>175.70003383119763</v>
      </c>
      <c r="J107" s="10">
        <v>420.66562901935743</v>
      </c>
      <c r="K107" s="10">
        <v>387.21303936297909</v>
      </c>
      <c r="L107" s="10">
        <v>-469.26082419418702</v>
      </c>
      <c r="M107" s="10">
        <v>1065.6264870447421</v>
      </c>
    </row>
    <row r="108" spans="2:13" x14ac:dyDescent="0.25">
      <c r="B108" s="2" t="s">
        <v>102</v>
      </c>
      <c r="C108" s="22">
        <v>1</v>
      </c>
      <c r="D108" s="10">
        <v>259.02</v>
      </c>
      <c r="E108" s="10">
        <v>73.376436842750522</v>
      </c>
      <c r="F108" s="10">
        <v>185.64356315724945</v>
      </c>
      <c r="G108" s="10">
        <v>0.48566039018035373</v>
      </c>
      <c r="H108" s="10">
        <v>94.574203300913553</v>
      </c>
      <c r="I108" s="10">
        <v>-114.06655946738572</v>
      </c>
      <c r="J108" s="10">
        <v>260.81943315288675</v>
      </c>
      <c r="K108" s="10">
        <v>393.7755096187467</v>
      </c>
      <c r="L108" s="10">
        <v>-707.07382147600788</v>
      </c>
      <c r="M108" s="10">
        <v>853.82669516150895</v>
      </c>
    </row>
    <row r="109" spans="2:13" x14ac:dyDescent="0.25">
      <c r="B109" s="2" t="s">
        <v>103</v>
      </c>
      <c r="C109" s="22">
        <v>1</v>
      </c>
      <c r="D109" s="10">
        <v>235.61</v>
      </c>
      <c r="E109" s="10">
        <v>222.32020257851033</v>
      </c>
      <c r="F109" s="10">
        <v>13.289797421489681</v>
      </c>
      <c r="G109" s="10">
        <v>3.4767314801383099E-2</v>
      </c>
      <c r="H109" s="10">
        <v>70.610251303852493</v>
      </c>
      <c r="I109" s="10">
        <v>82.372980052153963</v>
      </c>
      <c r="J109" s="10">
        <v>362.26742510486667</v>
      </c>
      <c r="K109" s="10">
        <v>388.71670871560741</v>
      </c>
      <c r="L109" s="10">
        <v>-548.10367681317666</v>
      </c>
      <c r="M109" s="10">
        <v>992.74408197019727</v>
      </c>
    </row>
    <row r="110" spans="2:13" x14ac:dyDescent="0.25">
      <c r="B110" s="2" t="s">
        <v>104</v>
      </c>
      <c r="C110" s="22">
        <v>1</v>
      </c>
      <c r="D110" s="10">
        <v>251.78</v>
      </c>
      <c r="E110" s="10">
        <v>296.41885504029938</v>
      </c>
      <c r="F110" s="10">
        <v>-44.638855040299376</v>
      </c>
      <c r="G110" s="10">
        <v>-0.11677929138707904</v>
      </c>
      <c r="H110" s="10">
        <v>63.143902253536588</v>
      </c>
      <c r="I110" s="10">
        <v>171.26969359869375</v>
      </c>
      <c r="J110" s="10">
        <v>421.56801648190503</v>
      </c>
      <c r="K110" s="10">
        <v>387.43002521398023</v>
      </c>
      <c r="L110" s="10">
        <v>-471.45485948158222</v>
      </c>
      <c r="M110" s="10">
        <v>1064.2925695621811</v>
      </c>
    </row>
    <row r="111" spans="2:13" x14ac:dyDescent="0.25">
      <c r="B111" s="2" t="s">
        <v>105</v>
      </c>
      <c r="C111" s="22">
        <v>1</v>
      </c>
      <c r="D111" s="10">
        <v>392.83</v>
      </c>
      <c r="E111" s="10">
        <v>498.68975886039107</v>
      </c>
      <c r="F111" s="10">
        <v>-105.85975886039108</v>
      </c>
      <c r="G111" s="10">
        <v>-0.2769387255780435</v>
      </c>
      <c r="H111" s="10">
        <v>54.856508929871879</v>
      </c>
      <c r="I111" s="10">
        <v>389.96594156094778</v>
      </c>
      <c r="J111" s="10">
        <v>607.41357615983429</v>
      </c>
      <c r="K111" s="10">
        <v>386.1659081502072</v>
      </c>
      <c r="L111" s="10">
        <v>-266.67851673787129</v>
      </c>
      <c r="M111" s="10">
        <v>1264.0580344586533</v>
      </c>
    </row>
    <row r="112" spans="2:13" x14ac:dyDescent="0.25">
      <c r="B112" s="2" t="s">
        <v>106</v>
      </c>
      <c r="C112" s="22">
        <v>1</v>
      </c>
      <c r="D112" s="10">
        <v>452.52</v>
      </c>
      <c r="E112" s="10">
        <v>359.41468710815917</v>
      </c>
      <c r="F112" s="10">
        <v>93.105312891840811</v>
      </c>
      <c r="G112" s="10">
        <v>0.24357193870823185</v>
      </c>
      <c r="H112" s="10">
        <v>342.88410220910799</v>
      </c>
      <c r="I112" s="10">
        <v>-320.17045621776265</v>
      </c>
      <c r="J112" s="10">
        <v>1038.9998304340811</v>
      </c>
      <c r="K112" s="10">
        <v>513.50207360170145</v>
      </c>
      <c r="L112" s="10">
        <v>-658.32972868266643</v>
      </c>
      <c r="M112" s="10">
        <v>1377.1591028989849</v>
      </c>
    </row>
    <row r="113" spans="2:13" x14ac:dyDescent="0.25">
      <c r="B113" s="2" t="s">
        <v>107</v>
      </c>
      <c r="C113" s="22">
        <v>1</v>
      </c>
      <c r="D113" s="10">
        <v>244.48</v>
      </c>
      <c r="E113" s="10">
        <v>249.16343103541135</v>
      </c>
      <c r="F113" s="10">
        <v>-4.6834310354113597</v>
      </c>
      <c r="G113" s="10">
        <v>-1.2252280151044046E-2</v>
      </c>
      <c r="H113" s="10">
        <v>93.43239815795053</v>
      </c>
      <c r="I113" s="10">
        <v>63.983455398241695</v>
      </c>
      <c r="J113" s="10">
        <v>434.34340667258101</v>
      </c>
      <c r="K113" s="10">
        <v>393.50283997837545</v>
      </c>
      <c r="L113" s="10">
        <v>-530.74640492069307</v>
      </c>
      <c r="M113" s="10">
        <v>1029.0732669915158</v>
      </c>
    </row>
    <row r="114" spans="2:13" x14ac:dyDescent="0.25">
      <c r="B114" s="2" t="s">
        <v>108</v>
      </c>
      <c r="C114" s="22">
        <v>1</v>
      </c>
      <c r="D114" s="10">
        <v>405.93</v>
      </c>
      <c r="E114" s="10">
        <v>706.57974309414465</v>
      </c>
      <c r="F114" s="10">
        <v>-300.64974309414464</v>
      </c>
      <c r="G114" s="10">
        <v>-0.78652698243593</v>
      </c>
      <c r="H114" s="10">
        <v>55.19036749346516</v>
      </c>
      <c r="I114" s="10">
        <v>597.19422897548941</v>
      </c>
      <c r="J114" s="10">
        <v>815.96525721279988</v>
      </c>
      <c r="K114" s="10">
        <v>386.21347556703</v>
      </c>
      <c r="L114" s="10">
        <v>-58.882809577831267</v>
      </c>
      <c r="M114" s="10">
        <v>1472.0422957661206</v>
      </c>
    </row>
    <row r="115" spans="2:13" x14ac:dyDescent="0.25">
      <c r="B115" s="2" t="s">
        <v>109</v>
      </c>
      <c r="C115" s="22">
        <v>1</v>
      </c>
      <c r="D115" s="10">
        <v>550</v>
      </c>
      <c r="E115" s="10">
        <v>531.15583395665215</v>
      </c>
      <c r="F115" s="10">
        <v>18.844166043347855</v>
      </c>
      <c r="G115" s="10">
        <v>4.9298046630809396E-2</v>
      </c>
      <c r="H115" s="10">
        <v>66.151114729603364</v>
      </c>
      <c r="I115" s="10">
        <v>400.04647515275229</v>
      </c>
      <c r="J115" s="10">
        <v>662.26519276055194</v>
      </c>
      <c r="K115" s="10">
        <v>387.93149140727195</v>
      </c>
      <c r="L115" s="10">
        <v>-237.71177025753556</v>
      </c>
      <c r="M115" s="10">
        <v>1300.0234381708399</v>
      </c>
    </row>
    <row r="116" spans="2:13" x14ac:dyDescent="0.25">
      <c r="B116" s="2" t="s">
        <v>110</v>
      </c>
      <c r="C116" s="22">
        <v>1</v>
      </c>
      <c r="D116" s="10">
        <v>420</v>
      </c>
      <c r="E116" s="10">
        <v>409.19965148619235</v>
      </c>
      <c r="F116" s="10">
        <v>10.800348513807648</v>
      </c>
      <c r="G116" s="10">
        <v>2.8254690785355117E-2</v>
      </c>
      <c r="H116" s="10">
        <v>52.050260877972939</v>
      </c>
      <c r="I116" s="10">
        <v>306.03772659374903</v>
      </c>
      <c r="J116" s="10">
        <v>512.36157637863573</v>
      </c>
      <c r="K116" s="10">
        <v>385.77726955196079</v>
      </c>
      <c r="L116" s="10">
        <v>-355.39835504508886</v>
      </c>
      <c r="M116" s="10">
        <v>1173.7976580174736</v>
      </c>
    </row>
    <row r="117" spans="2:13" x14ac:dyDescent="0.25">
      <c r="B117" s="2" t="s">
        <v>111</v>
      </c>
      <c r="C117" s="22">
        <v>1</v>
      </c>
      <c r="D117" s="10">
        <v>455</v>
      </c>
      <c r="E117" s="10">
        <v>443.50548365674018</v>
      </c>
      <c r="F117" s="10">
        <v>11.494516343259818</v>
      </c>
      <c r="G117" s="10">
        <v>3.007069675490669E-2</v>
      </c>
      <c r="H117" s="10">
        <v>73.496022347076945</v>
      </c>
      <c r="I117" s="10">
        <v>297.83875673989013</v>
      </c>
      <c r="J117" s="10">
        <v>589.17221057359029</v>
      </c>
      <c r="K117" s="10">
        <v>389.25125220908819</v>
      </c>
      <c r="L117" s="10">
        <v>-327.97784356087584</v>
      </c>
      <c r="M117" s="10">
        <v>1214.9888108743562</v>
      </c>
    </row>
    <row r="118" spans="2:13" x14ac:dyDescent="0.25">
      <c r="B118" s="2" t="s">
        <v>112</v>
      </c>
      <c r="C118" s="22">
        <v>1</v>
      </c>
      <c r="D118" s="10">
        <v>485</v>
      </c>
      <c r="E118" s="10">
        <v>559.33765024633487</v>
      </c>
      <c r="F118" s="10">
        <v>-74.337650246334874</v>
      </c>
      <c r="G118" s="10">
        <v>-0.19447403190136323</v>
      </c>
      <c r="H118" s="10">
        <v>61.20728397662544</v>
      </c>
      <c r="I118" s="10">
        <v>438.02680326959654</v>
      </c>
      <c r="J118" s="10">
        <v>680.64849722307315</v>
      </c>
      <c r="K118" s="10">
        <v>387.11910784317587</v>
      </c>
      <c r="L118" s="10">
        <v>-207.91983615461817</v>
      </c>
      <c r="M118" s="10">
        <v>1326.5951366472877</v>
      </c>
    </row>
    <row r="119" spans="2:13" x14ac:dyDescent="0.25">
      <c r="B119" s="2" t="s">
        <v>113</v>
      </c>
      <c r="C119" s="22">
        <v>1</v>
      </c>
      <c r="D119" s="10">
        <v>485</v>
      </c>
      <c r="E119" s="10">
        <v>769.06964424128307</v>
      </c>
      <c r="F119" s="10">
        <v>-284.06964424128307</v>
      </c>
      <c r="G119" s="10">
        <v>-0.74315194081766023</v>
      </c>
      <c r="H119" s="10">
        <v>51.83790614640187</v>
      </c>
      <c r="I119" s="10">
        <v>666.32859952310525</v>
      </c>
      <c r="J119" s="10">
        <v>871.81068895946089</v>
      </c>
      <c r="K119" s="10">
        <v>385.74867538222907</v>
      </c>
      <c r="L119" s="10">
        <v>4.5283104248061079</v>
      </c>
      <c r="M119" s="10">
        <v>1533.6109780577599</v>
      </c>
    </row>
    <row r="120" spans="2:13" x14ac:dyDescent="0.25">
      <c r="B120" s="2" t="s">
        <v>114</v>
      </c>
      <c r="C120" s="22">
        <v>1</v>
      </c>
      <c r="D120" s="10">
        <v>446.6</v>
      </c>
      <c r="E120" s="10">
        <v>195.60160500300805</v>
      </c>
      <c r="F120" s="10">
        <v>250.99839499699198</v>
      </c>
      <c r="G120" s="10">
        <v>0.65663455481958322</v>
      </c>
      <c r="H120" s="10">
        <v>82.739914122407143</v>
      </c>
      <c r="I120" s="10">
        <v>31.613785108811378</v>
      </c>
      <c r="J120" s="10">
        <v>359.58942489720471</v>
      </c>
      <c r="K120" s="10">
        <v>391.10198853302251</v>
      </c>
      <c r="L120" s="10">
        <v>-579.54982144072017</v>
      </c>
      <c r="M120" s="10">
        <v>970.75303144673626</v>
      </c>
    </row>
    <row r="121" spans="2:13" x14ac:dyDescent="0.25">
      <c r="B121" s="2" t="s">
        <v>115</v>
      </c>
      <c r="C121" s="22">
        <v>1</v>
      </c>
      <c r="D121" s="10">
        <v>570</v>
      </c>
      <c r="E121" s="10">
        <v>411.34138256372023</v>
      </c>
      <c r="F121" s="10">
        <v>158.65861743627977</v>
      </c>
      <c r="G121" s="10">
        <v>0.41506532593489553</v>
      </c>
      <c r="H121" s="10">
        <v>67.125218838076378</v>
      </c>
      <c r="I121" s="10">
        <v>278.30138108520816</v>
      </c>
      <c r="J121" s="10">
        <v>544.3813840422323</v>
      </c>
      <c r="K121" s="10">
        <v>388.09878516888045</v>
      </c>
      <c r="L121" s="10">
        <v>-357.85779244721124</v>
      </c>
      <c r="M121" s="10">
        <v>1180.5405575746518</v>
      </c>
    </row>
    <row r="122" spans="2:13" x14ac:dyDescent="0.25">
      <c r="B122" s="2" t="s">
        <v>116</v>
      </c>
      <c r="C122" s="22">
        <v>1</v>
      </c>
      <c r="D122" s="10">
        <v>720</v>
      </c>
      <c r="E122" s="10">
        <v>527.16077733219959</v>
      </c>
      <c r="F122" s="10">
        <v>192.83922266780041</v>
      </c>
      <c r="G122" s="10">
        <v>0.50448488776090827</v>
      </c>
      <c r="H122" s="10">
        <v>39.085890539867009</v>
      </c>
      <c r="I122" s="10">
        <v>449.69381297478577</v>
      </c>
      <c r="J122" s="10">
        <v>604.62774168961346</v>
      </c>
      <c r="K122" s="10">
        <v>384.24286445527605</v>
      </c>
      <c r="L122" s="10">
        <v>-234.39608818136659</v>
      </c>
      <c r="M122" s="10">
        <v>1288.7176428457658</v>
      </c>
    </row>
    <row r="123" spans="2:13" x14ac:dyDescent="0.25">
      <c r="B123" s="2" t="s">
        <v>117</v>
      </c>
      <c r="C123" s="22">
        <v>1</v>
      </c>
      <c r="D123" s="10">
        <v>1050</v>
      </c>
      <c r="E123" s="10">
        <v>465.13424595361761</v>
      </c>
      <c r="F123" s="10">
        <v>584.86575404638234</v>
      </c>
      <c r="G123" s="10">
        <v>1.5300618318378831</v>
      </c>
      <c r="H123" s="10">
        <v>57.682952086160817</v>
      </c>
      <c r="I123" s="10">
        <v>350.80851020682155</v>
      </c>
      <c r="J123" s="10">
        <v>579.45998170041366</v>
      </c>
      <c r="K123" s="10">
        <v>386.57754074296076</v>
      </c>
      <c r="L123" s="10">
        <v>-301.04987206119824</v>
      </c>
      <c r="M123" s="10">
        <v>1231.3183639684335</v>
      </c>
    </row>
    <row r="124" spans="2:13" x14ac:dyDescent="0.25">
      <c r="B124" s="2" t="s">
        <v>118</v>
      </c>
      <c r="C124" s="22">
        <v>1</v>
      </c>
      <c r="D124" s="10">
        <v>500</v>
      </c>
      <c r="E124" s="10">
        <v>225.89626436956812</v>
      </c>
      <c r="F124" s="10">
        <v>274.10373563043186</v>
      </c>
      <c r="G124" s="10">
        <v>0.71708022046208841</v>
      </c>
      <c r="H124" s="10">
        <v>70.157089817360799</v>
      </c>
      <c r="I124" s="10">
        <v>86.847193177038932</v>
      </c>
      <c r="J124" s="10">
        <v>364.94533556209728</v>
      </c>
      <c r="K124" s="10">
        <v>388.6346475767985</v>
      </c>
      <c r="L124" s="10">
        <v>-544.36497251282879</v>
      </c>
      <c r="M124" s="10">
        <v>996.15750125196507</v>
      </c>
    </row>
    <row r="125" spans="2:13" x14ac:dyDescent="0.25">
      <c r="B125" s="2" t="s">
        <v>119</v>
      </c>
      <c r="C125" s="22">
        <v>1</v>
      </c>
      <c r="D125" s="10">
        <v>492.46</v>
      </c>
      <c r="E125" s="10">
        <v>390.32350591305573</v>
      </c>
      <c r="F125" s="10">
        <v>102.13649408694425</v>
      </c>
      <c r="G125" s="10">
        <v>0.26719832740929428</v>
      </c>
      <c r="H125" s="10">
        <v>57.045789362718693</v>
      </c>
      <c r="I125" s="10">
        <v>277.26060596979391</v>
      </c>
      <c r="J125" s="10">
        <v>503.38640585631754</v>
      </c>
      <c r="K125" s="10">
        <v>386.48298038790381</v>
      </c>
      <c r="L125" s="10">
        <v>-375.67319655221934</v>
      </c>
      <c r="M125" s="10">
        <v>1156.3202083783308</v>
      </c>
    </row>
    <row r="126" spans="2:13" x14ac:dyDescent="0.25">
      <c r="B126" s="2" t="s">
        <v>120</v>
      </c>
      <c r="C126" s="22">
        <v>1</v>
      </c>
      <c r="D126" s="10">
        <v>880</v>
      </c>
      <c r="E126" s="10">
        <v>784.77375026060395</v>
      </c>
      <c r="F126" s="10">
        <v>95.226249739396053</v>
      </c>
      <c r="G126" s="10">
        <v>0.24912050176861147</v>
      </c>
      <c r="H126" s="10">
        <v>136.7792238092338</v>
      </c>
      <c r="I126" s="10">
        <v>513.68177539931685</v>
      </c>
      <c r="J126" s="10">
        <v>1055.865725121891</v>
      </c>
      <c r="K126" s="10">
        <v>405.98451708329674</v>
      </c>
      <c r="L126" s="10">
        <v>-19.874363934842265</v>
      </c>
      <c r="M126" s="10">
        <v>1589.4218644560501</v>
      </c>
    </row>
    <row r="127" spans="2:13" x14ac:dyDescent="0.25">
      <c r="B127" s="2" t="s">
        <v>121</v>
      </c>
      <c r="C127" s="22">
        <v>1</v>
      </c>
      <c r="D127" s="10">
        <v>425</v>
      </c>
      <c r="E127" s="10">
        <v>505.12137072640144</v>
      </c>
      <c r="F127" s="10">
        <v>-80.121370726401437</v>
      </c>
      <c r="G127" s="10">
        <v>-0.20960476898306818</v>
      </c>
      <c r="H127" s="10">
        <v>40.451264033353411</v>
      </c>
      <c r="I127" s="10">
        <v>424.94828049354965</v>
      </c>
      <c r="J127" s="10">
        <v>585.29446095925323</v>
      </c>
      <c r="K127" s="10">
        <v>384.38415264861953</v>
      </c>
      <c r="L127" s="10">
        <v>-256.71552339305515</v>
      </c>
      <c r="M127" s="10">
        <v>1266.9582648458581</v>
      </c>
    </row>
    <row r="128" spans="2:13" x14ac:dyDescent="0.25">
      <c r="B128" s="2" t="s">
        <v>122</v>
      </c>
      <c r="C128" s="22">
        <v>1</v>
      </c>
      <c r="D128" s="10">
        <v>845</v>
      </c>
      <c r="E128" s="10">
        <v>678.04556926043131</v>
      </c>
      <c r="F128" s="10">
        <v>166.95443073956869</v>
      </c>
      <c r="G128" s="10">
        <v>0.43676792556839833</v>
      </c>
      <c r="H128" s="10">
        <v>46.948632172804402</v>
      </c>
      <c r="I128" s="10">
        <v>584.9949066063383</v>
      </c>
      <c r="J128" s="10">
        <v>771.09623191452431</v>
      </c>
      <c r="K128" s="10">
        <v>385.12211843569622</v>
      </c>
      <c r="L128" s="10">
        <v>-85.253949057549022</v>
      </c>
      <c r="M128" s="10">
        <v>1441.3450875784115</v>
      </c>
    </row>
    <row r="129" spans="2:13" x14ac:dyDescent="0.25">
      <c r="B129" s="2" t="s">
        <v>123</v>
      </c>
      <c r="C129" s="22">
        <v>1</v>
      </c>
      <c r="D129" s="10">
        <v>635</v>
      </c>
      <c r="E129" s="10">
        <v>563.78675150213451</v>
      </c>
      <c r="F129" s="10">
        <v>71.213248497865493</v>
      </c>
      <c r="G129" s="10">
        <v>0.1863003136940882</v>
      </c>
      <c r="H129" s="10">
        <v>87.54923753712275</v>
      </c>
      <c r="I129" s="10">
        <v>390.26700895234325</v>
      </c>
      <c r="J129" s="10">
        <v>737.30649405192582</v>
      </c>
      <c r="K129" s="10">
        <v>392.14760108769337</v>
      </c>
      <c r="L129" s="10">
        <v>-213.43704503181158</v>
      </c>
      <c r="M129" s="10">
        <v>1341.0105480360808</v>
      </c>
    </row>
    <row r="130" spans="2:13" x14ac:dyDescent="0.25">
      <c r="B130" s="2" t="s">
        <v>124</v>
      </c>
      <c r="C130" s="22">
        <v>1</v>
      </c>
      <c r="D130" s="10">
        <v>505</v>
      </c>
      <c r="E130" s="10">
        <v>414.74674793010854</v>
      </c>
      <c r="F130" s="10">
        <v>90.25325206989146</v>
      </c>
      <c r="G130" s="10">
        <v>0.23611068905298394</v>
      </c>
      <c r="H130" s="10">
        <v>47.930477319067343</v>
      </c>
      <c r="I130" s="10">
        <v>319.75010011616683</v>
      </c>
      <c r="J130" s="10">
        <v>509.74339574405025</v>
      </c>
      <c r="K130" s="10">
        <v>385.24304367702058</v>
      </c>
      <c r="L130" s="10">
        <v>-348.79244028486522</v>
      </c>
      <c r="M130" s="10">
        <v>1178.2859361450824</v>
      </c>
    </row>
    <row r="131" spans="2:13" x14ac:dyDescent="0.25">
      <c r="B131" s="2" t="s">
        <v>125</v>
      </c>
      <c r="C131" s="22">
        <v>1</v>
      </c>
      <c r="D131" s="10">
        <v>387.84</v>
      </c>
      <c r="E131" s="10">
        <v>431.40779191821099</v>
      </c>
      <c r="F131" s="10">
        <v>-43.567791918211014</v>
      </c>
      <c r="G131" s="10">
        <v>-0.1139772931656777</v>
      </c>
      <c r="H131" s="10">
        <v>77.625007611748629</v>
      </c>
      <c r="I131" s="10">
        <v>277.55755044118081</v>
      </c>
      <c r="J131" s="10">
        <v>585.25803339524123</v>
      </c>
      <c r="K131" s="10">
        <v>390.05193737786408</v>
      </c>
      <c r="L131" s="10">
        <v>-341.66246727343298</v>
      </c>
      <c r="M131" s="10">
        <v>1204.478051109855</v>
      </c>
    </row>
    <row r="132" spans="2:13" x14ac:dyDescent="0.25">
      <c r="B132" s="2" t="s">
        <v>126</v>
      </c>
      <c r="C132" s="22">
        <v>1</v>
      </c>
      <c r="D132" s="10">
        <v>355.2</v>
      </c>
      <c r="E132" s="10">
        <v>824.00919125006897</v>
      </c>
      <c r="F132" s="10">
        <v>-468.80919125006898</v>
      </c>
      <c r="G132" s="10">
        <v>-1.226447342802758</v>
      </c>
      <c r="H132" s="10">
        <v>58.36099445676053</v>
      </c>
      <c r="I132" s="10">
        <v>708.33959756808042</v>
      </c>
      <c r="J132" s="10">
        <v>939.67878493205751</v>
      </c>
      <c r="K132" s="10">
        <v>386.67929569539041</v>
      </c>
      <c r="L132" s="10">
        <v>57.623398227617869</v>
      </c>
      <c r="M132" s="10">
        <v>1590.3949842725201</v>
      </c>
    </row>
    <row r="133" spans="2:13" x14ac:dyDescent="0.25">
      <c r="B133" s="2" t="s">
        <v>127</v>
      </c>
      <c r="C133" s="22">
        <v>1</v>
      </c>
      <c r="D133" s="10">
        <v>505</v>
      </c>
      <c r="E133" s="10">
        <v>778.26112196753002</v>
      </c>
      <c r="F133" s="10">
        <v>-273.26112196753002</v>
      </c>
      <c r="G133" s="10">
        <v>-0.71487586673532022</v>
      </c>
      <c r="H133" s="10">
        <v>48.861800043345404</v>
      </c>
      <c r="I133" s="10">
        <v>681.41862279161637</v>
      </c>
      <c r="J133" s="10">
        <v>875.10362114344366</v>
      </c>
      <c r="K133" s="10">
        <v>385.36002328858274</v>
      </c>
      <c r="L133" s="10">
        <v>14.490083965478082</v>
      </c>
      <c r="M133" s="10">
        <v>1542.0321599695819</v>
      </c>
    </row>
    <row r="134" spans="2:13" x14ac:dyDescent="0.25">
      <c r="B134" s="2" t="s">
        <v>128</v>
      </c>
      <c r="C134" s="22">
        <v>1</v>
      </c>
      <c r="D134" s="10">
        <v>950</v>
      </c>
      <c r="E134" s="10">
        <v>754.68323718870033</v>
      </c>
      <c r="F134" s="10">
        <v>195.31676281129967</v>
      </c>
      <c r="G134" s="10">
        <v>0.51096635737028073</v>
      </c>
      <c r="H134" s="10">
        <v>53.118423998118018</v>
      </c>
      <c r="I134" s="10">
        <v>649.404247718394</v>
      </c>
      <c r="J134" s="10">
        <v>859.96222665900666</v>
      </c>
      <c r="K134" s="10">
        <v>385.9228407512893</v>
      </c>
      <c r="L134" s="10">
        <v>-10.203286727091966</v>
      </c>
      <c r="M134" s="10">
        <v>1519.5697611044925</v>
      </c>
    </row>
    <row r="135" spans="2:13" x14ac:dyDescent="0.25">
      <c r="B135" s="2" t="s">
        <v>129</v>
      </c>
      <c r="C135" s="22">
        <v>1</v>
      </c>
      <c r="D135" s="10">
        <v>655</v>
      </c>
      <c r="E135" s="10">
        <v>417.80028162277381</v>
      </c>
      <c r="F135" s="10">
        <v>237.19971837722619</v>
      </c>
      <c r="G135" s="10">
        <v>0.62053596590459081</v>
      </c>
      <c r="H135" s="10">
        <v>45.339297231698765</v>
      </c>
      <c r="I135" s="10">
        <v>327.93926850204906</v>
      </c>
      <c r="J135" s="10">
        <v>507.66129474349856</v>
      </c>
      <c r="K135" s="10">
        <v>384.92924534122562</v>
      </c>
      <c r="L135" s="10">
        <v>-345.11696849232095</v>
      </c>
      <c r="M135" s="10">
        <v>1180.7175317378685</v>
      </c>
    </row>
    <row r="136" spans="2:13" x14ac:dyDescent="0.25">
      <c r="B136" s="2" t="s">
        <v>130</v>
      </c>
      <c r="C136" s="22">
        <v>1</v>
      </c>
      <c r="D136" s="10">
        <v>645</v>
      </c>
      <c r="E136" s="10">
        <v>253.3417704081773</v>
      </c>
      <c r="F136" s="10">
        <v>391.6582295918227</v>
      </c>
      <c r="G136" s="10">
        <v>1.0246134332155179</v>
      </c>
      <c r="H136" s="10">
        <v>69.506994743199215</v>
      </c>
      <c r="I136" s="10">
        <v>115.58116651787418</v>
      </c>
      <c r="J136" s="10">
        <v>391.10237429848041</v>
      </c>
      <c r="K136" s="10">
        <v>388.51781730537442</v>
      </c>
      <c r="L136" s="10">
        <v>-516.68791267443999</v>
      </c>
      <c r="M136" s="10">
        <v>1023.3714534907947</v>
      </c>
    </row>
    <row r="137" spans="2:13" x14ac:dyDescent="0.25">
      <c r="B137" s="2" t="s">
        <v>131</v>
      </c>
      <c r="C137" s="22">
        <v>1</v>
      </c>
      <c r="D137" s="10">
        <v>1100</v>
      </c>
      <c r="E137" s="10">
        <v>351.20870330907496</v>
      </c>
      <c r="F137" s="10">
        <v>748.79129669092504</v>
      </c>
      <c r="G137" s="10">
        <v>1.9589059115749186</v>
      </c>
      <c r="H137" s="10">
        <v>54.779779848158711</v>
      </c>
      <c r="I137" s="10">
        <v>242.63696055510451</v>
      </c>
      <c r="J137" s="10">
        <v>459.78044606304542</v>
      </c>
      <c r="K137" s="10">
        <v>386.15501592717123</v>
      </c>
      <c r="L137" s="10">
        <v>-414.13798425723917</v>
      </c>
      <c r="M137" s="10">
        <v>1116.5553908753891</v>
      </c>
    </row>
    <row r="138" spans="2:13" x14ac:dyDescent="0.25">
      <c r="B138" s="2" t="s">
        <v>132</v>
      </c>
      <c r="C138" s="22">
        <v>1</v>
      </c>
      <c r="D138" s="10">
        <v>1030</v>
      </c>
      <c r="E138" s="10">
        <v>731.57695469243754</v>
      </c>
      <c r="F138" s="10">
        <v>298.42304530756246</v>
      </c>
      <c r="G138" s="10">
        <v>0.78070173917161489</v>
      </c>
      <c r="H138" s="10">
        <v>51.058121966734006</v>
      </c>
      <c r="I138" s="10">
        <v>630.38141686737231</v>
      </c>
      <c r="J138" s="10">
        <v>832.77249251750277</v>
      </c>
      <c r="K138" s="10">
        <v>385.6446601008123</v>
      </c>
      <c r="L138" s="10">
        <v>-32.758224217835611</v>
      </c>
      <c r="M138" s="10">
        <v>1495.9121336027106</v>
      </c>
    </row>
    <row r="139" spans="2:13" x14ac:dyDescent="0.25">
      <c r="B139" s="2" t="s">
        <v>133</v>
      </c>
      <c r="C139" s="22">
        <v>1</v>
      </c>
      <c r="D139" s="10">
        <v>288.20999999999998</v>
      </c>
      <c r="E139" s="10">
        <v>690.37770842419638</v>
      </c>
      <c r="F139" s="10">
        <v>-402.16770842419641</v>
      </c>
      <c r="G139" s="10">
        <v>-1.0521071825463224</v>
      </c>
      <c r="H139" s="10">
        <v>53.556123026224761</v>
      </c>
      <c r="I139" s="10">
        <v>584.23121370989327</v>
      </c>
      <c r="J139" s="10">
        <v>796.5242031384995</v>
      </c>
      <c r="K139" s="10">
        <v>385.98332912070344</v>
      </c>
      <c r="L139" s="10">
        <v>-74.628701473281922</v>
      </c>
      <c r="M139" s="10">
        <v>1455.3841183216746</v>
      </c>
    </row>
    <row r="140" spans="2:13" x14ac:dyDescent="0.25">
      <c r="B140" s="2" t="s">
        <v>134</v>
      </c>
      <c r="C140" s="22">
        <v>1</v>
      </c>
      <c r="D140" s="10">
        <v>405</v>
      </c>
      <c r="E140" s="10">
        <v>621.66736587254888</v>
      </c>
      <c r="F140" s="10">
        <v>-216.66736587254888</v>
      </c>
      <c r="G140" s="10">
        <v>-0.5668214704534581</v>
      </c>
      <c r="H140" s="10">
        <v>46.490496621106573</v>
      </c>
      <c r="I140" s="10">
        <v>529.52471298781347</v>
      </c>
      <c r="J140" s="10">
        <v>713.8100187572843</v>
      </c>
      <c r="K140" s="10">
        <v>385.0665375251117</v>
      </c>
      <c r="L140" s="10">
        <v>-141.52199288760298</v>
      </c>
      <c r="M140" s="10">
        <v>1384.8567246327007</v>
      </c>
    </row>
    <row r="141" spans="2:13" x14ac:dyDescent="0.25">
      <c r="B141" s="2" t="s">
        <v>135</v>
      </c>
      <c r="C141" s="22">
        <v>1</v>
      </c>
      <c r="D141" s="10">
        <v>455</v>
      </c>
      <c r="E141" s="10">
        <v>610.05170653239031</v>
      </c>
      <c r="F141" s="10">
        <v>-155.05170653239031</v>
      </c>
      <c r="G141" s="10">
        <v>-0.40562932003661983</v>
      </c>
      <c r="H141" s="10">
        <v>38.969730006791096</v>
      </c>
      <c r="I141" s="10">
        <v>532.81496857512343</v>
      </c>
      <c r="J141" s="10">
        <v>687.28844448965719</v>
      </c>
      <c r="K141" s="10">
        <v>384.23106576941871</v>
      </c>
      <c r="L141" s="10">
        <v>-151.48177436938499</v>
      </c>
      <c r="M141" s="10">
        <v>1371.5851874341656</v>
      </c>
    </row>
    <row r="142" spans="2:13" x14ac:dyDescent="0.25">
      <c r="B142" s="2" t="s">
        <v>136</v>
      </c>
      <c r="C142" s="22">
        <v>1</v>
      </c>
      <c r="D142" s="10">
        <v>800</v>
      </c>
      <c r="E142" s="10">
        <v>782.80120712972575</v>
      </c>
      <c r="F142" s="10">
        <v>17.198792870274247</v>
      </c>
      <c r="G142" s="10">
        <v>4.4993601253673729E-2</v>
      </c>
      <c r="H142" s="10">
        <v>52.764554004668838</v>
      </c>
      <c r="I142" s="10">
        <v>678.22357648202899</v>
      </c>
      <c r="J142" s="10">
        <v>887.37883777742252</v>
      </c>
      <c r="K142" s="10">
        <v>385.87429326765573</v>
      </c>
      <c r="L142" s="10">
        <v>18.010902748203705</v>
      </c>
      <c r="M142" s="10">
        <v>1547.591511511248</v>
      </c>
    </row>
    <row r="143" spans="2:13" x14ac:dyDescent="0.25">
      <c r="B143" s="2" t="s">
        <v>137</v>
      </c>
      <c r="C143" s="22">
        <v>1</v>
      </c>
      <c r="D143" s="10">
        <v>580</v>
      </c>
      <c r="E143" s="10">
        <v>898.3091092617542</v>
      </c>
      <c r="F143" s="10">
        <v>-318.3091092617542</v>
      </c>
      <c r="G143" s="10">
        <v>-0.83272548518732525</v>
      </c>
      <c r="H143" s="10">
        <v>72.976698181251308</v>
      </c>
      <c r="I143" s="10">
        <v>753.67166595820504</v>
      </c>
      <c r="J143" s="10">
        <v>1042.9465525653034</v>
      </c>
      <c r="K143" s="10">
        <v>389.15353078565101</v>
      </c>
      <c r="L143" s="10">
        <v>127.01946272844145</v>
      </c>
      <c r="M143" s="10">
        <v>1669.5987557950671</v>
      </c>
    </row>
    <row r="144" spans="2:13" x14ac:dyDescent="0.25">
      <c r="B144" s="2" t="s">
        <v>138</v>
      </c>
      <c r="C144" s="22">
        <v>1</v>
      </c>
      <c r="D144" s="10">
        <v>645</v>
      </c>
      <c r="E144" s="10">
        <v>826.41668831375796</v>
      </c>
      <c r="F144" s="10">
        <v>-181.41668831375796</v>
      </c>
      <c r="G144" s="10">
        <v>-0.47460250241510571</v>
      </c>
      <c r="H144" s="10">
        <v>54.735312329494022</v>
      </c>
      <c r="I144" s="10">
        <v>717.93307873613014</v>
      </c>
      <c r="J144" s="10">
        <v>934.90029789138578</v>
      </c>
      <c r="K144" s="10">
        <v>386.14871029346767</v>
      </c>
      <c r="L144" s="10">
        <v>61.082498308446475</v>
      </c>
      <c r="M144" s="10">
        <v>1591.7508783190694</v>
      </c>
    </row>
    <row r="145" spans="2:13" x14ac:dyDescent="0.25">
      <c r="B145" s="2" t="s">
        <v>139</v>
      </c>
      <c r="C145" s="22">
        <v>1</v>
      </c>
      <c r="D145" s="10">
        <v>1075</v>
      </c>
      <c r="E145" s="10">
        <v>956.97975317501027</v>
      </c>
      <c r="F145" s="10">
        <v>118.02024682498973</v>
      </c>
      <c r="G145" s="10">
        <v>0.30875166446603453</v>
      </c>
      <c r="H145" s="10">
        <v>71.903953052138107</v>
      </c>
      <c r="I145" s="10">
        <v>814.46845584213656</v>
      </c>
      <c r="J145" s="10">
        <v>1099.491050507884</v>
      </c>
      <c r="K145" s="10">
        <v>388.95378968461694</v>
      </c>
      <c r="L145" s="10">
        <v>186.08598701031124</v>
      </c>
      <c r="M145" s="10">
        <v>1727.8735193397092</v>
      </c>
    </row>
    <row r="146" spans="2:13" x14ac:dyDescent="0.25">
      <c r="B146" s="2" t="s">
        <v>140</v>
      </c>
      <c r="C146" s="22">
        <v>1</v>
      </c>
      <c r="D146" s="10">
        <v>1050</v>
      </c>
      <c r="E146" s="10">
        <v>1216.9769144783861</v>
      </c>
      <c r="F146" s="10">
        <v>-166.97691447838611</v>
      </c>
      <c r="G146" s="10">
        <v>-0.43682674506734065</v>
      </c>
      <c r="H146" s="10">
        <v>111.76841390260378</v>
      </c>
      <c r="I146" s="10">
        <v>995.45555174401807</v>
      </c>
      <c r="J146" s="10">
        <v>1438.4982772127541</v>
      </c>
      <c r="K146" s="10">
        <v>398.2550067379002</v>
      </c>
      <c r="L146" s="10">
        <v>427.64843849909738</v>
      </c>
      <c r="M146" s="10">
        <v>2006.305390457675</v>
      </c>
    </row>
    <row r="147" spans="2:13" x14ac:dyDescent="0.25">
      <c r="B147" s="2" t="s">
        <v>141</v>
      </c>
      <c r="C147" s="22">
        <v>1</v>
      </c>
      <c r="D147" s="10">
        <v>1680</v>
      </c>
      <c r="E147" s="10">
        <v>959.33483346116213</v>
      </c>
      <c r="F147" s="10">
        <v>720.66516653883787</v>
      </c>
      <c r="G147" s="10">
        <v>1.8853254054070017</v>
      </c>
      <c r="H147" s="10">
        <v>79.660453435474111</v>
      </c>
      <c r="I147" s="10">
        <v>801.45040453438821</v>
      </c>
      <c r="J147" s="10">
        <v>1117.2192623879362</v>
      </c>
      <c r="K147" s="10">
        <v>390.46211069327393</v>
      </c>
      <c r="L147" s="10">
        <v>185.45162409321844</v>
      </c>
      <c r="M147" s="10">
        <v>1733.2180428291058</v>
      </c>
    </row>
    <row r="148" spans="2:13" x14ac:dyDescent="0.25">
      <c r="B148" s="2" t="s">
        <v>142</v>
      </c>
      <c r="C148" s="22">
        <v>1</v>
      </c>
      <c r="D148" s="10">
        <v>1395</v>
      </c>
      <c r="E148" s="10">
        <v>592.34136243126136</v>
      </c>
      <c r="F148" s="10">
        <v>802.65863756873864</v>
      </c>
      <c r="G148" s="10">
        <v>2.0998277584936678</v>
      </c>
      <c r="H148" s="10">
        <v>41.876035377197731</v>
      </c>
      <c r="I148" s="10">
        <v>509.34442171460205</v>
      </c>
      <c r="J148" s="10">
        <v>675.33830314792067</v>
      </c>
      <c r="K148" s="10">
        <v>384.53670095897672</v>
      </c>
      <c r="L148" s="10">
        <v>-169.79787747993737</v>
      </c>
      <c r="M148" s="10">
        <v>1354.4806023424601</v>
      </c>
    </row>
    <row r="149" spans="2:13" x14ac:dyDescent="0.25">
      <c r="B149" s="2" t="s">
        <v>143</v>
      </c>
      <c r="C149" s="22">
        <v>1</v>
      </c>
      <c r="D149" s="10">
        <v>1160</v>
      </c>
      <c r="E149" s="10">
        <v>665.08897429412582</v>
      </c>
      <c r="F149" s="10">
        <v>494.91102570587418</v>
      </c>
      <c r="G149" s="10">
        <v>1.2947321079227403</v>
      </c>
      <c r="H149" s="10">
        <v>48.125723913536426</v>
      </c>
      <c r="I149" s="10">
        <v>569.70535407746468</v>
      </c>
      <c r="J149" s="10">
        <v>760.47259451078696</v>
      </c>
      <c r="K149" s="10">
        <v>385.26738422516786</v>
      </c>
      <c r="L149" s="10">
        <v>-98.49845609595819</v>
      </c>
      <c r="M149" s="10">
        <v>1428.67640468421</v>
      </c>
    </row>
    <row r="150" spans="2:13" x14ac:dyDescent="0.25">
      <c r="B150" s="2" t="s">
        <v>144</v>
      </c>
      <c r="C150" s="22">
        <v>1</v>
      </c>
      <c r="D150" s="10">
        <v>1310</v>
      </c>
      <c r="E150" s="10">
        <v>818.09516132693841</v>
      </c>
      <c r="F150" s="10">
        <v>491.90483867306159</v>
      </c>
      <c r="G150" s="10">
        <v>1.2868676501280243</v>
      </c>
      <c r="H150" s="10">
        <v>55.397536283787304</v>
      </c>
      <c r="I150" s="10">
        <v>708.29904540097664</v>
      </c>
      <c r="J150" s="10">
        <v>927.89127725290018</v>
      </c>
      <c r="K150" s="10">
        <v>386.24313465978224</v>
      </c>
      <c r="L150" s="10">
        <v>52.573825297352478</v>
      </c>
      <c r="M150" s="10">
        <v>1583.6164973565242</v>
      </c>
    </row>
    <row r="151" spans="2:13" x14ac:dyDescent="0.25">
      <c r="B151" s="2" t="s">
        <v>145</v>
      </c>
      <c r="C151" s="22">
        <v>1</v>
      </c>
      <c r="D151" s="10">
        <v>945</v>
      </c>
      <c r="E151" s="10">
        <v>849.94533539713257</v>
      </c>
      <c r="F151" s="10">
        <v>95.054664602867433</v>
      </c>
      <c r="G151" s="10">
        <v>0.24867161949691616</v>
      </c>
      <c r="H151" s="10">
        <v>63.383442901018228</v>
      </c>
      <c r="I151" s="10">
        <v>724.32141217974788</v>
      </c>
      <c r="J151" s="10">
        <v>975.56925861451725</v>
      </c>
      <c r="K151" s="10">
        <v>387.46913797035216</v>
      </c>
      <c r="L151" s="10">
        <v>81.994100663687789</v>
      </c>
      <c r="M151" s="10">
        <v>1617.8965701305774</v>
      </c>
    </row>
    <row r="152" spans="2:13" x14ac:dyDescent="0.25">
      <c r="B152" s="2" t="s">
        <v>146</v>
      </c>
      <c r="C152" s="22">
        <v>1</v>
      </c>
      <c r="D152" s="10">
        <v>920</v>
      </c>
      <c r="E152" s="10">
        <v>758.94605504373692</v>
      </c>
      <c r="F152" s="10">
        <v>161.05394495626308</v>
      </c>
      <c r="G152" s="10">
        <v>0.42133171986841128</v>
      </c>
      <c r="H152" s="10">
        <v>62.553904340631547</v>
      </c>
      <c r="I152" s="10">
        <v>634.96625028452149</v>
      </c>
      <c r="J152" s="10">
        <v>882.92585980295235</v>
      </c>
      <c r="K152" s="10">
        <v>387.33430392073211</v>
      </c>
      <c r="L152" s="10">
        <v>-8.7379429868513991</v>
      </c>
      <c r="M152" s="10">
        <v>1526.6300530743251</v>
      </c>
    </row>
    <row r="153" spans="2:13" x14ac:dyDescent="0.25">
      <c r="B153" s="2" t="s">
        <v>147</v>
      </c>
      <c r="C153" s="22">
        <v>1</v>
      </c>
      <c r="D153" s="10">
        <v>1060</v>
      </c>
      <c r="E153" s="10">
        <v>884.31401615305617</v>
      </c>
      <c r="F153" s="10">
        <v>175.68598384694383</v>
      </c>
      <c r="G153" s="10">
        <v>0.45961046003007699</v>
      </c>
      <c r="H153" s="10">
        <v>64.347719613929399</v>
      </c>
      <c r="I153" s="10">
        <v>756.77892783957168</v>
      </c>
      <c r="J153" s="10">
        <v>1011.8491044665407</v>
      </c>
      <c r="K153" s="10">
        <v>387.62804473491599</v>
      </c>
      <c r="L153" s="10">
        <v>116.0478333783467</v>
      </c>
      <c r="M153" s="10">
        <v>1652.5801989277657</v>
      </c>
    </row>
    <row r="154" spans="2:13" x14ac:dyDescent="0.25">
      <c r="B154" s="2" t="s">
        <v>148</v>
      </c>
      <c r="C154" s="22">
        <v>1</v>
      </c>
      <c r="D154" s="10">
        <v>165</v>
      </c>
      <c r="E154" s="10">
        <v>817.17736582895031</v>
      </c>
      <c r="F154" s="10">
        <v>-652.17736582895031</v>
      </c>
      <c r="G154" s="10">
        <v>-1.7061551101935668</v>
      </c>
      <c r="H154" s="10">
        <v>60.395410096300552</v>
      </c>
      <c r="I154" s="10">
        <v>697.47562648878215</v>
      </c>
      <c r="J154" s="10">
        <v>936.87910516911847</v>
      </c>
      <c r="K154" s="10">
        <v>386.99157304287837</v>
      </c>
      <c r="L154" s="10">
        <v>50.172649255996944</v>
      </c>
      <c r="M154" s="10">
        <v>1584.1820824019037</v>
      </c>
    </row>
    <row r="155" spans="2:13" x14ac:dyDescent="0.25">
      <c r="B155" s="2" t="s">
        <v>149</v>
      </c>
      <c r="C155" s="22">
        <v>1</v>
      </c>
      <c r="D155" s="10">
        <v>1905</v>
      </c>
      <c r="E155" s="10">
        <v>1003.4759248692578</v>
      </c>
      <c r="F155" s="10">
        <v>901.52407513074218</v>
      </c>
      <c r="G155" s="10">
        <v>2.3584687055058886</v>
      </c>
      <c r="H155" s="10">
        <v>77.926600496701951</v>
      </c>
      <c r="I155" s="10">
        <v>849.0279360991143</v>
      </c>
      <c r="J155" s="10">
        <v>1157.9239136394012</v>
      </c>
      <c r="K155" s="10">
        <v>390.1120699369269</v>
      </c>
      <c r="L155" s="10">
        <v>230.28648490047669</v>
      </c>
      <c r="M155" s="10">
        <v>1776.6653648380388</v>
      </c>
    </row>
    <row r="156" spans="2:13" x14ac:dyDescent="0.25">
      <c r="B156" s="2" t="s">
        <v>150</v>
      </c>
      <c r="C156" s="22">
        <v>1</v>
      </c>
      <c r="D156" s="10">
        <v>2730</v>
      </c>
      <c r="E156" s="10">
        <v>801.34434207901097</v>
      </c>
      <c r="F156" s="10">
        <v>1928.6556579209891</v>
      </c>
      <c r="G156" s="10">
        <v>5.0455380376213013</v>
      </c>
      <c r="H156" s="10">
        <v>68.085105048684156</v>
      </c>
      <c r="I156" s="10">
        <v>666.40187733722803</v>
      </c>
      <c r="J156" s="10">
        <v>936.28680682079391</v>
      </c>
      <c r="K156" s="10">
        <v>388.26595727026023</v>
      </c>
      <c r="L156" s="10">
        <v>31.813837397953851</v>
      </c>
      <c r="M156" s="10">
        <v>1570.8748467600681</v>
      </c>
    </row>
    <row r="157" spans="2:13" x14ac:dyDescent="0.25">
      <c r="B157" s="2" t="s">
        <v>151</v>
      </c>
      <c r="C157" s="22">
        <v>1</v>
      </c>
      <c r="D157" s="10">
        <v>1420</v>
      </c>
      <c r="E157" s="10">
        <v>794.65780032444195</v>
      </c>
      <c r="F157" s="10">
        <v>625.34219967555805</v>
      </c>
      <c r="G157" s="10">
        <v>1.6359518828747091</v>
      </c>
      <c r="H157" s="10">
        <v>53.832343836822005</v>
      </c>
      <c r="I157" s="10">
        <v>687.96384494354641</v>
      </c>
      <c r="J157" s="10">
        <v>901.3517557053375</v>
      </c>
      <c r="K157" s="10">
        <v>386.02175235142772</v>
      </c>
      <c r="L157" s="10">
        <v>29.575236832817492</v>
      </c>
      <c r="M157" s="10">
        <v>1559.7403638160663</v>
      </c>
    </row>
    <row r="158" spans="2:13" x14ac:dyDescent="0.25">
      <c r="B158" s="2" t="s">
        <v>152</v>
      </c>
      <c r="C158" s="22">
        <v>1</v>
      </c>
      <c r="D158" s="10">
        <v>232.94</v>
      </c>
      <c r="E158" s="10">
        <v>553.31253465541079</v>
      </c>
      <c r="F158" s="10">
        <v>-320.37253465541079</v>
      </c>
      <c r="G158" s="10">
        <v>-0.83812359307077744</v>
      </c>
      <c r="H158" s="10">
        <v>39.944167493650475</v>
      </c>
      <c r="I158" s="10">
        <v>474.14449327840811</v>
      </c>
      <c r="J158" s="10">
        <v>632.48057603241352</v>
      </c>
      <c r="K158" s="10">
        <v>384.33111838915926</v>
      </c>
      <c r="L158" s="10">
        <v>-208.41924728595325</v>
      </c>
      <c r="M158" s="10">
        <v>1315.0443165967749</v>
      </c>
    </row>
    <row r="159" spans="2:13" x14ac:dyDescent="0.25">
      <c r="B159" s="2" t="s">
        <v>153</v>
      </c>
      <c r="C159" s="22">
        <v>1</v>
      </c>
      <c r="D159" s="10">
        <v>147.99</v>
      </c>
      <c r="E159" s="10">
        <v>406.39275516086991</v>
      </c>
      <c r="F159" s="10">
        <v>-258.4027551608699</v>
      </c>
      <c r="G159" s="10">
        <v>-0.67600503222837349</v>
      </c>
      <c r="H159" s="10">
        <v>56.34450353536193</v>
      </c>
      <c r="I159" s="10">
        <v>294.71978092844216</v>
      </c>
      <c r="J159" s="10">
        <v>518.06572939329772</v>
      </c>
      <c r="K159" s="10">
        <v>386.38009152148044</v>
      </c>
      <c r="L159" s="10">
        <v>-359.40002491609818</v>
      </c>
      <c r="M159" s="10">
        <v>1172.1855352378379</v>
      </c>
    </row>
    <row r="160" spans="2:13" x14ac:dyDescent="0.25">
      <c r="B160" s="2" t="s">
        <v>154</v>
      </c>
      <c r="C160" s="22">
        <v>1</v>
      </c>
      <c r="D160" s="10">
        <v>143</v>
      </c>
      <c r="E160" s="10">
        <v>301.0172009376318</v>
      </c>
      <c r="F160" s="10">
        <v>-158.0172009376318</v>
      </c>
      <c r="G160" s="10">
        <v>-0.41338732222874158</v>
      </c>
      <c r="H160" s="10">
        <v>62.271293243053293</v>
      </c>
      <c r="I160" s="10">
        <v>177.59752218605516</v>
      </c>
      <c r="J160" s="10">
        <v>424.43687968920847</v>
      </c>
      <c r="K160" s="10">
        <v>387.28876307951862</v>
      </c>
      <c r="L160" s="10">
        <v>-466.57653662621613</v>
      </c>
      <c r="M160" s="10">
        <v>1068.6109385014797</v>
      </c>
    </row>
    <row r="161" spans="2:13" x14ac:dyDescent="0.25">
      <c r="B161" s="2" t="s">
        <v>155</v>
      </c>
      <c r="C161" s="22">
        <v>1</v>
      </c>
      <c r="D161" s="10">
        <v>132.80000000000001</v>
      </c>
      <c r="E161" s="10">
        <v>699.64681997899777</v>
      </c>
      <c r="F161" s="10">
        <v>-566.8468199789977</v>
      </c>
      <c r="G161" s="10">
        <v>-1.4829226668651259</v>
      </c>
      <c r="H161" s="10">
        <v>52.451691193588807</v>
      </c>
      <c r="I161" s="10">
        <v>595.68927325160917</v>
      </c>
      <c r="J161" s="10">
        <v>803.60436670638637</v>
      </c>
      <c r="K161" s="10">
        <v>385.83163679844705</v>
      </c>
      <c r="L161" s="10">
        <v>-65.058940667325729</v>
      </c>
      <c r="M161" s="10">
        <v>1464.3525806253213</v>
      </c>
    </row>
    <row r="162" spans="2:13" x14ac:dyDescent="0.25">
      <c r="B162" s="2" t="s">
        <v>156</v>
      </c>
      <c r="C162" s="22">
        <v>1</v>
      </c>
      <c r="D162" s="10">
        <v>900</v>
      </c>
      <c r="E162" s="10">
        <v>456.12026456898633</v>
      </c>
      <c r="F162" s="10">
        <v>443.87973543101367</v>
      </c>
      <c r="G162" s="10">
        <v>1.1612296264749862</v>
      </c>
      <c r="H162" s="10">
        <v>77.534672776630586</v>
      </c>
      <c r="I162" s="10">
        <v>302.44906379835078</v>
      </c>
      <c r="J162" s="10">
        <v>609.79146533962182</v>
      </c>
      <c r="K162" s="10">
        <v>390.03396971043475</v>
      </c>
      <c r="L162" s="10">
        <v>-316.91438328994627</v>
      </c>
      <c r="M162" s="10">
        <v>1229.154912427919</v>
      </c>
    </row>
    <row r="163" spans="2:13" x14ac:dyDescent="0.25">
      <c r="B163" s="2" t="s">
        <v>157</v>
      </c>
      <c r="C163" s="22">
        <v>1</v>
      </c>
      <c r="D163" s="10">
        <v>251.97</v>
      </c>
      <c r="E163" s="10">
        <v>563.21757918895241</v>
      </c>
      <c r="F163" s="10">
        <v>-311.24757918895239</v>
      </c>
      <c r="G163" s="10">
        <v>-0.81425188237502488</v>
      </c>
      <c r="H163" s="10">
        <v>78.890168140637272</v>
      </c>
      <c r="I163" s="10">
        <v>406.85983067436717</v>
      </c>
      <c r="J163" s="10">
        <v>719.57532770353771</v>
      </c>
      <c r="K163" s="10">
        <v>390.30568875531287</v>
      </c>
      <c r="L163" s="10">
        <v>-210.35560698327089</v>
      </c>
      <c r="M163" s="10">
        <v>1336.7907653611758</v>
      </c>
    </row>
    <row r="164" spans="2:13" x14ac:dyDescent="0.25">
      <c r="B164" s="2" t="s">
        <v>158</v>
      </c>
      <c r="C164" s="22">
        <v>1</v>
      </c>
      <c r="D164" s="10">
        <v>246.63</v>
      </c>
      <c r="E164" s="10">
        <v>400.08976426617528</v>
      </c>
      <c r="F164" s="10">
        <v>-153.45976426617528</v>
      </c>
      <c r="G164" s="10">
        <v>-0.40146465475544502</v>
      </c>
      <c r="H164" s="10">
        <v>89.853525612290383</v>
      </c>
      <c r="I164" s="10">
        <v>222.00299766441435</v>
      </c>
      <c r="J164" s="10">
        <v>578.17653086793621</v>
      </c>
      <c r="K164" s="10">
        <v>392.66847099106349</v>
      </c>
      <c r="L164" s="10">
        <v>-378.16637948263252</v>
      </c>
      <c r="M164" s="10">
        <v>1178.3459080149833</v>
      </c>
    </row>
    <row r="165" spans="2:13" x14ac:dyDescent="0.25">
      <c r="B165" s="2" t="s">
        <v>159</v>
      </c>
      <c r="C165" s="22">
        <v>1</v>
      </c>
      <c r="D165" s="10">
        <v>358.08</v>
      </c>
      <c r="E165" s="10">
        <v>432.61456012061871</v>
      </c>
      <c r="F165" s="10">
        <v>-74.534560120618721</v>
      </c>
      <c r="G165" s="10">
        <v>-0.19498916598276442</v>
      </c>
      <c r="H165" s="10">
        <v>47.388469134745257</v>
      </c>
      <c r="I165" s="10">
        <v>338.69215490717443</v>
      </c>
      <c r="J165" s="10">
        <v>526.53696533406298</v>
      </c>
      <c r="K165" s="10">
        <v>385.17598452192715</v>
      </c>
      <c r="L165" s="10">
        <v>-330.79171902907063</v>
      </c>
      <c r="M165" s="10">
        <v>1196.020839270308</v>
      </c>
    </row>
    <row r="166" spans="2:13" x14ac:dyDescent="0.25">
      <c r="B166" s="2" t="s">
        <v>160</v>
      </c>
      <c r="C166" s="22">
        <v>1</v>
      </c>
      <c r="D166" s="10">
        <v>231.56</v>
      </c>
      <c r="E166" s="10">
        <v>652.06268226740269</v>
      </c>
      <c r="F166" s="10">
        <v>-420.50268226740269</v>
      </c>
      <c r="G166" s="10">
        <v>-1.1000731362222682</v>
      </c>
      <c r="H166" s="10">
        <v>37.810739603537769</v>
      </c>
      <c r="I166" s="10">
        <v>577.12302561030037</v>
      </c>
      <c r="J166" s="10">
        <v>727.00233892450501</v>
      </c>
      <c r="K166" s="10">
        <v>384.11524842795257</v>
      </c>
      <c r="L166" s="10">
        <v>-109.24125242883902</v>
      </c>
      <c r="M166" s="10">
        <v>1413.3666169636444</v>
      </c>
    </row>
    <row r="167" spans="2:13" x14ac:dyDescent="0.25">
      <c r="B167" s="2" t="s">
        <v>161</v>
      </c>
      <c r="C167" s="22">
        <v>1</v>
      </c>
      <c r="D167" s="10">
        <v>340.97</v>
      </c>
      <c r="E167" s="10">
        <v>394.13285831092878</v>
      </c>
      <c r="F167" s="10">
        <v>-53.162858310928755</v>
      </c>
      <c r="G167" s="10">
        <v>-0.13907885666102221</v>
      </c>
      <c r="H167" s="10">
        <v>49.095450658486634</v>
      </c>
      <c r="I167" s="10">
        <v>296.82727121184831</v>
      </c>
      <c r="J167" s="10">
        <v>491.43844541000925</v>
      </c>
      <c r="K167" s="10">
        <v>385.38971875344714</v>
      </c>
      <c r="L167" s="10">
        <v>-369.69703513707702</v>
      </c>
      <c r="M167" s="10">
        <v>1157.9627517589347</v>
      </c>
    </row>
    <row r="168" spans="2:13" x14ac:dyDescent="0.25">
      <c r="B168" s="2" t="s">
        <v>162</v>
      </c>
      <c r="C168" s="22">
        <v>1</v>
      </c>
      <c r="D168" s="10">
        <v>399.4</v>
      </c>
      <c r="E168" s="10">
        <v>772.0996897883158</v>
      </c>
      <c r="F168" s="10">
        <v>-372.69968978831582</v>
      </c>
      <c r="G168" s="10">
        <v>-0.97501617445992195</v>
      </c>
      <c r="H168" s="10">
        <v>70.137169827863445</v>
      </c>
      <c r="I168" s="10">
        <v>633.09009936736629</v>
      </c>
      <c r="J168" s="10">
        <v>911.10928020926531</v>
      </c>
      <c r="K168" s="10">
        <v>388.63105207505447</v>
      </c>
      <c r="L168" s="10">
        <v>1.8455790734848232</v>
      </c>
      <c r="M168" s="10">
        <v>1542.3538005031469</v>
      </c>
    </row>
    <row r="169" spans="2:13" x14ac:dyDescent="0.25">
      <c r="B169" s="2" t="s">
        <v>163</v>
      </c>
      <c r="C169" s="22">
        <v>1</v>
      </c>
      <c r="D169" s="10">
        <v>151.13</v>
      </c>
      <c r="E169" s="10">
        <v>388.2484080474581</v>
      </c>
      <c r="F169" s="10">
        <v>-237.1184080474581</v>
      </c>
      <c r="G169" s="10">
        <v>-0.62032325071097316</v>
      </c>
      <c r="H169" s="10">
        <v>60.401735703748415</v>
      </c>
      <c r="I169" s="10">
        <v>268.53413155897539</v>
      </c>
      <c r="J169" s="10">
        <v>507.96268453594081</v>
      </c>
      <c r="K169" s="10">
        <v>386.99256029221885</v>
      </c>
      <c r="L169" s="10">
        <v>-378.75826522159235</v>
      </c>
      <c r="M169" s="10">
        <v>1155.2550813165085</v>
      </c>
    </row>
    <row r="170" spans="2:13" x14ac:dyDescent="0.25">
      <c r="B170" s="2" t="s">
        <v>164</v>
      </c>
      <c r="C170" s="22">
        <v>1</v>
      </c>
      <c r="D170" s="10">
        <v>313.57</v>
      </c>
      <c r="E170" s="10">
        <v>498.23661506903073</v>
      </c>
      <c r="F170" s="10">
        <v>-184.66661506903074</v>
      </c>
      <c r="G170" s="10">
        <v>-0.48310460541927186</v>
      </c>
      <c r="H170" s="10">
        <v>53.372551029197631</v>
      </c>
      <c r="I170" s="10">
        <v>392.45395408486138</v>
      </c>
      <c r="J170" s="10">
        <v>604.01927605320009</v>
      </c>
      <c r="K170" s="10">
        <v>385.95790087633327</v>
      </c>
      <c r="L170" s="10">
        <v>-266.71939687478482</v>
      </c>
      <c r="M170" s="10">
        <v>1263.1926270128463</v>
      </c>
    </row>
    <row r="171" spans="2:13" x14ac:dyDescent="0.25">
      <c r="B171" s="2" t="s">
        <v>165</v>
      </c>
      <c r="C171" s="22">
        <v>1</v>
      </c>
      <c r="D171" s="10">
        <v>0</v>
      </c>
      <c r="E171" s="10">
        <v>500.65283967784342</v>
      </c>
      <c r="F171" s="10">
        <v>-500.65283967784342</v>
      </c>
      <c r="G171" s="10">
        <v>-1.3097532137803538</v>
      </c>
      <c r="H171" s="10">
        <v>61.219954317590251</v>
      </c>
      <c r="I171" s="10">
        <v>379.31688049722896</v>
      </c>
      <c r="J171" s="10">
        <v>621.98879885845781</v>
      </c>
      <c r="K171" s="10">
        <v>387.12111134908287</v>
      </c>
      <c r="L171" s="10">
        <v>-266.6086176066828</v>
      </c>
      <c r="M171" s="10">
        <v>1267.9142969623695</v>
      </c>
    </row>
    <row r="172" spans="2:13" x14ac:dyDescent="0.25">
      <c r="B172" s="2" t="s">
        <v>166</v>
      </c>
      <c r="C172" s="22">
        <v>1</v>
      </c>
      <c r="D172" s="10">
        <v>388.41</v>
      </c>
      <c r="E172" s="10">
        <v>647.65773355629392</v>
      </c>
      <c r="F172" s="10">
        <v>-259.24773355629389</v>
      </c>
      <c r="G172" s="10">
        <v>-0.67821557230978735</v>
      </c>
      <c r="H172" s="10">
        <v>53.108279191240186</v>
      </c>
      <c r="I172" s="10">
        <v>542.39885076340909</v>
      </c>
      <c r="J172" s="10">
        <v>752.91661634917875</v>
      </c>
      <c r="K172" s="10">
        <v>385.92144455077369</v>
      </c>
      <c r="L172" s="10">
        <v>-117.22602313546727</v>
      </c>
      <c r="M172" s="10">
        <v>1412.5414902480552</v>
      </c>
    </row>
    <row r="173" spans="2:13" x14ac:dyDescent="0.25">
      <c r="B173" s="2" t="s">
        <v>167</v>
      </c>
      <c r="C173" s="22">
        <v>1</v>
      </c>
      <c r="D173" s="10">
        <v>690</v>
      </c>
      <c r="E173" s="10">
        <v>550.52117872836686</v>
      </c>
      <c r="F173" s="10">
        <v>139.47882127163314</v>
      </c>
      <c r="G173" s="10">
        <v>0.36488924048122556</v>
      </c>
      <c r="H173" s="10">
        <v>45.290670972259349</v>
      </c>
      <c r="I173" s="10">
        <v>460.75654127299856</v>
      </c>
      <c r="J173" s="10">
        <v>640.28581618373516</v>
      </c>
      <c r="K173" s="10">
        <v>384.92352087475587</v>
      </c>
      <c r="L173" s="10">
        <v>-212.38472568028874</v>
      </c>
      <c r="M173" s="10">
        <v>1313.4270831370225</v>
      </c>
    </row>
    <row r="174" spans="2:13" x14ac:dyDescent="0.25">
      <c r="B174" s="2" t="s">
        <v>168</v>
      </c>
      <c r="C174" s="22">
        <v>1</v>
      </c>
      <c r="D174" s="10">
        <v>630.98</v>
      </c>
      <c r="E174" s="10">
        <v>506.06013462175326</v>
      </c>
      <c r="F174" s="10">
        <v>124.91986537824675</v>
      </c>
      <c r="G174" s="10">
        <v>0.32680169206560206</v>
      </c>
      <c r="H174" s="10">
        <v>48.682324537936715</v>
      </c>
      <c r="I174" s="10">
        <v>409.57335006276367</v>
      </c>
      <c r="J174" s="10">
        <v>602.54691918074286</v>
      </c>
      <c r="K174" s="10">
        <v>385.3373077810117</v>
      </c>
      <c r="L174" s="10">
        <v>-257.66588198278004</v>
      </c>
      <c r="M174" s="10">
        <v>1269.7861512262866</v>
      </c>
    </row>
    <row r="175" spans="2:13" x14ac:dyDescent="0.25">
      <c r="B175" s="2" t="s">
        <v>169</v>
      </c>
      <c r="C175" s="22">
        <v>1</v>
      </c>
      <c r="D175" s="10">
        <v>560</v>
      </c>
      <c r="E175" s="10">
        <v>752.9257821299127</v>
      </c>
      <c r="F175" s="10">
        <v>-192.9257821299127</v>
      </c>
      <c r="G175" s="10">
        <v>-0.50471133516058264</v>
      </c>
      <c r="H175" s="10">
        <v>59.08353594467853</v>
      </c>
      <c r="I175" s="10">
        <v>635.82413470888491</v>
      </c>
      <c r="J175" s="10">
        <v>870.0274295509405</v>
      </c>
      <c r="K175" s="10">
        <v>386.78900742553077</v>
      </c>
      <c r="L175" s="10">
        <v>-13.677455974919326</v>
      </c>
      <c r="M175" s="10">
        <v>1519.5290202347446</v>
      </c>
    </row>
    <row r="176" spans="2:13" x14ac:dyDescent="0.25">
      <c r="B176" s="2" t="s">
        <v>170</v>
      </c>
      <c r="C176" s="22">
        <v>1</v>
      </c>
      <c r="D176" s="10">
        <v>396.95</v>
      </c>
      <c r="E176" s="10">
        <v>463.30708652138895</v>
      </c>
      <c r="F176" s="10">
        <v>-66.357086521388965</v>
      </c>
      <c r="G176" s="10">
        <v>-0.17359615374281176</v>
      </c>
      <c r="H176" s="10">
        <v>40.918080023940576</v>
      </c>
      <c r="I176" s="10">
        <v>382.20878217150431</v>
      </c>
      <c r="J176" s="10">
        <v>544.40539087127365</v>
      </c>
      <c r="K176" s="10">
        <v>384.4335590428426</v>
      </c>
      <c r="L176" s="10">
        <v>-298.62772946520283</v>
      </c>
      <c r="M176" s="10">
        <v>1225.2419025079807</v>
      </c>
    </row>
    <row r="177" spans="2:13" x14ac:dyDescent="0.25">
      <c r="B177" s="2" t="s">
        <v>171</v>
      </c>
      <c r="C177" s="22">
        <v>1</v>
      </c>
      <c r="D177" s="10">
        <v>268.89</v>
      </c>
      <c r="E177" s="10">
        <v>421.1480367791155</v>
      </c>
      <c r="F177" s="10">
        <v>-152.25803677911551</v>
      </c>
      <c r="G177" s="10">
        <v>-0.39832082671029195</v>
      </c>
      <c r="H177" s="10">
        <v>46.728843844713488</v>
      </c>
      <c r="I177" s="10">
        <v>328.53298744592217</v>
      </c>
      <c r="J177" s="10">
        <v>513.76308611230877</v>
      </c>
      <c r="K177" s="10">
        <v>385.09538674536827</v>
      </c>
      <c r="L177" s="10">
        <v>-342.09850019768913</v>
      </c>
      <c r="M177" s="10">
        <v>1184.3945737559202</v>
      </c>
    </row>
    <row r="178" spans="2:13" x14ac:dyDescent="0.25">
      <c r="B178" s="2" t="s">
        <v>172</v>
      </c>
      <c r="C178" s="22">
        <v>1</v>
      </c>
      <c r="D178" s="10">
        <v>420.31</v>
      </c>
      <c r="E178" s="10">
        <v>631.12107638008331</v>
      </c>
      <c r="F178" s="10">
        <v>-210.81107638008331</v>
      </c>
      <c r="G178" s="10">
        <v>-0.55150088625679095</v>
      </c>
      <c r="H178" s="10">
        <v>45.768545662612837</v>
      </c>
      <c r="I178" s="10">
        <v>540.40930682426654</v>
      </c>
      <c r="J178" s="10">
        <v>721.83284593590008</v>
      </c>
      <c r="K178" s="10">
        <v>384.98004080415888</v>
      </c>
      <c r="L178" s="10">
        <v>-131.89684869117124</v>
      </c>
      <c r="M178" s="10">
        <v>1394.1390014513379</v>
      </c>
    </row>
    <row r="179" spans="2:13" x14ac:dyDescent="0.25">
      <c r="B179" s="2" t="s">
        <v>173</v>
      </c>
      <c r="C179" s="22">
        <v>1</v>
      </c>
      <c r="D179" s="10">
        <v>286.51</v>
      </c>
      <c r="E179" s="10">
        <v>346.11090420529416</v>
      </c>
      <c r="F179" s="10">
        <v>-59.600904205294171</v>
      </c>
      <c r="G179" s="10">
        <v>-0.15592136834244291</v>
      </c>
      <c r="H179" s="10">
        <v>62.989231905597229</v>
      </c>
      <c r="I179" s="10">
        <v>221.26829436493057</v>
      </c>
      <c r="J179" s="10">
        <v>470.95351404565776</v>
      </c>
      <c r="K179" s="10">
        <v>387.40484687411731</v>
      </c>
      <c r="L179" s="10">
        <v>-421.71290766553363</v>
      </c>
      <c r="M179" s="10">
        <v>1113.934716076122</v>
      </c>
    </row>
    <row r="180" spans="2:13" x14ac:dyDescent="0.25">
      <c r="B180" s="2" t="s">
        <v>174</v>
      </c>
      <c r="C180" s="22">
        <v>1</v>
      </c>
      <c r="D180" s="10">
        <v>790</v>
      </c>
      <c r="E180" s="10">
        <v>473.31298669619304</v>
      </c>
      <c r="F180" s="10">
        <v>316.68701330380696</v>
      </c>
      <c r="G180" s="10">
        <v>0.82848193511508639</v>
      </c>
      <c r="H180" s="10">
        <v>64.825561006681042</v>
      </c>
      <c r="I180" s="10">
        <v>344.83083227702434</v>
      </c>
      <c r="J180" s="10">
        <v>601.79514111536173</v>
      </c>
      <c r="K180" s="10">
        <v>387.70765456118102</v>
      </c>
      <c r="L180" s="10">
        <v>-295.11098016603728</v>
      </c>
      <c r="M180" s="10">
        <v>1241.7369535584235</v>
      </c>
    </row>
    <row r="181" spans="2:13" x14ac:dyDescent="0.25">
      <c r="B181" s="2" t="s">
        <v>175</v>
      </c>
      <c r="C181" s="22">
        <v>1</v>
      </c>
      <c r="D181" s="10">
        <v>381.45</v>
      </c>
      <c r="E181" s="10">
        <v>316.31862197483099</v>
      </c>
      <c r="F181" s="10">
        <v>65.131378025168999</v>
      </c>
      <c r="G181" s="10">
        <v>0.17038958920376909</v>
      </c>
      <c r="H181" s="10">
        <v>61.755679545096747</v>
      </c>
      <c r="I181" s="10">
        <v>193.92087280986701</v>
      </c>
      <c r="J181" s="10">
        <v>438.716371139795</v>
      </c>
      <c r="K181" s="10">
        <v>387.20619313432712</v>
      </c>
      <c r="L181" s="10">
        <v>-451.11146464201806</v>
      </c>
      <c r="M181" s="10">
        <v>1083.74870859168</v>
      </c>
    </row>
    <row r="182" spans="2:13" x14ac:dyDescent="0.25">
      <c r="B182" s="2" t="s">
        <v>176</v>
      </c>
      <c r="C182" s="22">
        <v>1</v>
      </c>
      <c r="D182" s="10">
        <v>885</v>
      </c>
      <c r="E182" s="10">
        <v>587.78861321733154</v>
      </c>
      <c r="F182" s="10">
        <v>297.21138678266846</v>
      </c>
      <c r="G182" s="10">
        <v>0.77753193063121895</v>
      </c>
      <c r="H182" s="10">
        <v>42.710074649751</v>
      </c>
      <c r="I182" s="10">
        <v>503.1386337773082</v>
      </c>
      <c r="J182" s="10">
        <v>672.43859265735489</v>
      </c>
      <c r="K182" s="10">
        <v>384.6284213654634</v>
      </c>
      <c r="L182" s="10">
        <v>-174.5324135576692</v>
      </c>
      <c r="M182" s="10">
        <v>1350.1096399923322</v>
      </c>
    </row>
    <row r="183" spans="2:13" x14ac:dyDescent="0.25">
      <c r="B183" s="2" t="s">
        <v>177</v>
      </c>
      <c r="C183" s="22">
        <v>1</v>
      </c>
      <c r="D183" s="10">
        <v>660</v>
      </c>
      <c r="E183" s="10">
        <v>712.85506521089223</v>
      </c>
      <c r="F183" s="10">
        <v>-52.855065210892235</v>
      </c>
      <c r="G183" s="10">
        <v>-0.13827364200926542</v>
      </c>
      <c r="H183" s="10">
        <v>51.434365448593162</v>
      </c>
      <c r="I183" s="10">
        <v>610.91382503655689</v>
      </c>
      <c r="J183" s="10">
        <v>814.79630538522758</v>
      </c>
      <c r="K183" s="10">
        <v>385.69465383201856</v>
      </c>
      <c r="L183" s="10">
        <v>-51.579199649322341</v>
      </c>
      <c r="M183" s="10">
        <v>1477.2893300711069</v>
      </c>
    </row>
    <row r="184" spans="2:13" x14ac:dyDescent="0.25">
      <c r="B184" s="2" t="s">
        <v>178</v>
      </c>
      <c r="C184" s="22">
        <v>1</v>
      </c>
      <c r="D184" s="10">
        <v>455</v>
      </c>
      <c r="E184" s="10">
        <v>383.40456555149996</v>
      </c>
      <c r="F184" s="10">
        <v>71.595434448500043</v>
      </c>
      <c r="G184" s="10">
        <v>0.18730014678687043</v>
      </c>
      <c r="H184" s="10">
        <v>57.706192737647036</v>
      </c>
      <c r="I184" s="10">
        <v>269.03276758901796</v>
      </c>
      <c r="J184" s="10">
        <v>497.77636351398195</v>
      </c>
      <c r="K184" s="10">
        <v>386.58100926684904</v>
      </c>
      <c r="L184" s="10">
        <v>-382.78642696489982</v>
      </c>
      <c r="M184" s="10">
        <v>1149.5955580678997</v>
      </c>
    </row>
    <row r="185" spans="2:13" x14ac:dyDescent="0.25">
      <c r="B185" s="2" t="s">
        <v>179</v>
      </c>
      <c r="C185" s="22">
        <v>1</v>
      </c>
      <c r="D185" s="10">
        <v>790</v>
      </c>
      <c r="E185" s="10">
        <v>426.14393378758001</v>
      </c>
      <c r="F185" s="10">
        <v>363.85606621241999</v>
      </c>
      <c r="G185" s="10">
        <v>0.95188045349318062</v>
      </c>
      <c r="H185" s="10">
        <v>44.600067333314712</v>
      </c>
      <c r="I185" s="10">
        <v>337.74805029289365</v>
      </c>
      <c r="J185" s="10">
        <v>514.53981728226643</v>
      </c>
      <c r="K185" s="10">
        <v>384.84287449768038</v>
      </c>
      <c r="L185" s="10">
        <v>-336.60213212354694</v>
      </c>
      <c r="M185" s="10">
        <v>1188.889999698707</v>
      </c>
    </row>
    <row r="186" spans="2:13" x14ac:dyDescent="0.25">
      <c r="B186" s="2" t="s">
        <v>180</v>
      </c>
      <c r="C186" s="22">
        <v>1</v>
      </c>
      <c r="D186" s="10">
        <v>424.89</v>
      </c>
      <c r="E186" s="10">
        <v>746.72419223946713</v>
      </c>
      <c r="F186" s="10">
        <v>-321.83419223946714</v>
      </c>
      <c r="G186" s="10">
        <v>-0.84194742181285775</v>
      </c>
      <c r="H186" s="10">
        <v>45.795206551120081</v>
      </c>
      <c r="I186" s="10">
        <v>655.95958166938146</v>
      </c>
      <c r="J186" s="10">
        <v>837.48880280955279</v>
      </c>
      <c r="K186" s="10">
        <v>384.98321130740351</v>
      </c>
      <c r="L186" s="10">
        <v>-16.300016666144387</v>
      </c>
      <c r="M186" s="10">
        <v>1509.7484011450788</v>
      </c>
    </row>
    <row r="187" spans="2:13" x14ac:dyDescent="0.25">
      <c r="B187" s="2" t="s">
        <v>181</v>
      </c>
      <c r="C187" s="22">
        <v>1</v>
      </c>
      <c r="D187" s="10">
        <v>600</v>
      </c>
      <c r="E187" s="10">
        <v>481.9961208919666</v>
      </c>
      <c r="F187" s="10">
        <v>118.0038791080334</v>
      </c>
      <c r="G187" s="10">
        <v>0.30870884503471041</v>
      </c>
      <c r="H187" s="10">
        <v>41.359130010851587</v>
      </c>
      <c r="I187" s="10">
        <v>400.02366980667563</v>
      </c>
      <c r="J187" s="10">
        <v>563.96857197725751</v>
      </c>
      <c r="K187" s="10">
        <v>384.48075332941659</v>
      </c>
      <c r="L187" s="10">
        <v>-280.03223263631611</v>
      </c>
      <c r="M187" s="10">
        <v>1244.0244744202494</v>
      </c>
    </row>
    <row r="188" spans="2:13" x14ac:dyDescent="0.25">
      <c r="B188" s="2" t="s">
        <v>182</v>
      </c>
      <c r="C188" s="22">
        <v>1</v>
      </c>
      <c r="D188" s="10">
        <v>306.77999999999997</v>
      </c>
      <c r="E188" s="10">
        <v>362.84700371747647</v>
      </c>
      <c r="F188" s="10">
        <v>-56.067003717476496</v>
      </c>
      <c r="G188" s="10">
        <v>-0.1466763643111515</v>
      </c>
      <c r="H188" s="10">
        <v>65.523653151887189</v>
      </c>
      <c r="I188" s="10">
        <v>232.98125336166885</v>
      </c>
      <c r="J188" s="10">
        <v>492.71275407328409</v>
      </c>
      <c r="K188" s="10">
        <v>387.82498780747738</v>
      </c>
      <c r="L188" s="10">
        <v>-405.80951382437848</v>
      </c>
      <c r="M188" s="10">
        <v>1131.5035212593316</v>
      </c>
    </row>
    <row r="189" spans="2:13" x14ac:dyDescent="0.25">
      <c r="B189" s="2" t="s">
        <v>183</v>
      </c>
      <c r="C189" s="22">
        <v>1</v>
      </c>
      <c r="D189" s="10">
        <v>126.57</v>
      </c>
      <c r="E189" s="10">
        <v>538.63971481920976</v>
      </c>
      <c r="F189" s="10">
        <v>-412.06971481920976</v>
      </c>
      <c r="G189" s="10">
        <v>-1.0780117289123985</v>
      </c>
      <c r="H189" s="10">
        <v>67.392075027418073</v>
      </c>
      <c r="I189" s="10">
        <v>405.07081304898753</v>
      </c>
      <c r="J189" s="10">
        <v>672.20861658943204</v>
      </c>
      <c r="K189" s="10">
        <v>388.14502936660455</v>
      </c>
      <c r="L189" s="10">
        <v>-230.65111468819981</v>
      </c>
      <c r="M189" s="10">
        <v>1307.9305443266194</v>
      </c>
    </row>
    <row r="190" spans="2:13" x14ac:dyDescent="0.25">
      <c r="B190" s="2" t="s">
        <v>184</v>
      </c>
      <c r="C190" s="22">
        <v>1</v>
      </c>
      <c r="D190" s="10">
        <v>293.61</v>
      </c>
      <c r="E190" s="10">
        <v>658.82834063518476</v>
      </c>
      <c r="F190" s="10">
        <v>-365.21834063518475</v>
      </c>
      <c r="G190" s="10">
        <v>-0.95544428687603933</v>
      </c>
      <c r="H190" s="10">
        <v>56.013208286977942</v>
      </c>
      <c r="I190" s="10">
        <v>547.81198281455818</v>
      </c>
      <c r="J190" s="10">
        <v>769.84469845581134</v>
      </c>
      <c r="K190" s="10">
        <v>386.33191888336324</v>
      </c>
      <c r="L190" s="10">
        <v>-106.86896283914021</v>
      </c>
      <c r="M190" s="10">
        <v>1424.5256441095098</v>
      </c>
    </row>
    <row r="191" spans="2:13" x14ac:dyDescent="0.25">
      <c r="B191" s="2" t="s">
        <v>185</v>
      </c>
      <c r="C191" s="22">
        <v>1</v>
      </c>
      <c r="D191" s="10">
        <v>226.88</v>
      </c>
      <c r="E191" s="10">
        <v>533.27370686724373</v>
      </c>
      <c r="F191" s="10">
        <v>-306.39370686724374</v>
      </c>
      <c r="G191" s="10">
        <v>-0.80155371236818296</v>
      </c>
      <c r="H191" s="10">
        <v>67.263946264168553</v>
      </c>
      <c r="I191" s="10">
        <v>399.95875214028217</v>
      </c>
      <c r="J191" s="10">
        <v>666.58866159420529</v>
      </c>
      <c r="K191" s="10">
        <v>388.12280339156848</v>
      </c>
      <c r="L191" s="10">
        <v>-235.97307148021667</v>
      </c>
      <c r="M191" s="10">
        <v>1302.520485214704</v>
      </c>
    </row>
    <row r="192" spans="2:13" x14ac:dyDescent="0.25">
      <c r="B192" s="2" t="s">
        <v>186</v>
      </c>
      <c r="C192" s="22">
        <v>1</v>
      </c>
      <c r="D192" s="10">
        <v>740</v>
      </c>
      <c r="E192" s="10">
        <v>686.57261665837655</v>
      </c>
      <c r="F192" s="10">
        <v>53.427383341623454</v>
      </c>
      <c r="G192" s="10">
        <v>0.13977087812104363</v>
      </c>
      <c r="H192" s="10">
        <v>43.12142731013936</v>
      </c>
      <c r="I192" s="10">
        <v>601.10734961864682</v>
      </c>
      <c r="J192" s="10">
        <v>772.03788369810627</v>
      </c>
      <c r="K192" s="10">
        <v>384.67431619327641</v>
      </c>
      <c r="L192" s="10">
        <v>-75.839372173296638</v>
      </c>
      <c r="M192" s="10">
        <v>1448.9846054900497</v>
      </c>
    </row>
    <row r="193" spans="2:13" x14ac:dyDescent="0.25">
      <c r="B193" s="2" t="s">
        <v>187</v>
      </c>
      <c r="C193" s="22">
        <v>1</v>
      </c>
      <c r="D193" s="10">
        <v>735</v>
      </c>
      <c r="E193" s="10">
        <v>317.95780948085002</v>
      </c>
      <c r="F193" s="10">
        <v>417.04219051914998</v>
      </c>
      <c r="G193" s="10">
        <v>1.091020176108328</v>
      </c>
      <c r="H193" s="10">
        <v>76.18793403552408</v>
      </c>
      <c r="I193" s="10">
        <v>166.95580111225618</v>
      </c>
      <c r="J193" s="10">
        <v>468.95981784944388</v>
      </c>
      <c r="K193" s="10">
        <v>389.76848684584871</v>
      </c>
      <c r="L193" s="10">
        <v>-454.55065997139098</v>
      </c>
      <c r="M193" s="10">
        <v>1090.466278933091</v>
      </c>
    </row>
    <row r="194" spans="2:13" x14ac:dyDescent="0.25">
      <c r="B194" s="2" t="s">
        <v>188</v>
      </c>
      <c r="C194" s="22">
        <v>1</v>
      </c>
      <c r="D194" s="10">
        <v>340.96</v>
      </c>
      <c r="E194" s="10">
        <v>449.84831399334024</v>
      </c>
      <c r="F194" s="10">
        <v>-108.88831399334026</v>
      </c>
      <c r="G194" s="10">
        <v>-0.2848617003504299</v>
      </c>
      <c r="H194" s="10">
        <v>64.788327997215262</v>
      </c>
      <c r="I194" s="10">
        <v>321.43995418847777</v>
      </c>
      <c r="J194" s="10">
        <v>578.25667379820266</v>
      </c>
      <c r="K194" s="10">
        <v>387.70143085907733</v>
      </c>
      <c r="L194" s="10">
        <v>-318.56331769365477</v>
      </c>
      <c r="M194" s="10">
        <v>1218.2599456803352</v>
      </c>
    </row>
    <row r="195" spans="2:13" x14ac:dyDescent="0.25">
      <c r="B195" s="2" t="s">
        <v>189</v>
      </c>
      <c r="C195" s="22">
        <v>1</v>
      </c>
      <c r="D195" s="10">
        <v>400</v>
      </c>
      <c r="E195" s="10">
        <v>571.38076152042402</v>
      </c>
      <c r="F195" s="10">
        <v>-171.38076152042402</v>
      </c>
      <c r="G195" s="10">
        <v>-0.44834760814687052</v>
      </c>
      <c r="H195" s="10">
        <v>40.722737704701338</v>
      </c>
      <c r="I195" s="10">
        <v>490.66961929664126</v>
      </c>
      <c r="J195" s="10">
        <v>652.09190374420677</v>
      </c>
      <c r="K195" s="10">
        <v>384.41281639881242</v>
      </c>
      <c r="L195" s="10">
        <v>-190.51294322004878</v>
      </c>
      <c r="M195" s="10">
        <v>1333.2744662608968</v>
      </c>
    </row>
    <row r="196" spans="2:13" x14ac:dyDescent="0.25">
      <c r="B196" s="2" t="s">
        <v>190</v>
      </c>
      <c r="C196" s="22">
        <v>1</v>
      </c>
      <c r="D196" s="10">
        <v>339.96</v>
      </c>
      <c r="E196" s="10">
        <v>888.94884308644464</v>
      </c>
      <c r="F196" s="10">
        <v>-548.9888430864446</v>
      </c>
      <c r="G196" s="10">
        <v>-1.4362045804528181</v>
      </c>
      <c r="H196" s="10">
        <v>73.054426865100737</v>
      </c>
      <c r="I196" s="10">
        <v>744.15734405848593</v>
      </c>
      <c r="J196" s="10">
        <v>1033.7403421144033</v>
      </c>
      <c r="K196" s="10">
        <v>389.16811448278946</v>
      </c>
      <c r="L196" s="10">
        <v>117.63029213952332</v>
      </c>
      <c r="M196" s="10">
        <v>1660.2673940333659</v>
      </c>
    </row>
    <row r="197" spans="2:13" x14ac:dyDescent="0.25">
      <c r="B197" s="2" t="s">
        <v>191</v>
      </c>
      <c r="C197" s="22">
        <v>1</v>
      </c>
      <c r="D197" s="10">
        <v>290</v>
      </c>
      <c r="E197" s="10">
        <v>607.19474871520731</v>
      </c>
      <c r="F197" s="10">
        <v>-317.19474871520731</v>
      </c>
      <c r="G197" s="10">
        <v>-0.82981021697854207</v>
      </c>
      <c r="H197" s="10">
        <v>43.419368483986148</v>
      </c>
      <c r="I197" s="10">
        <v>521.13897195505945</v>
      </c>
      <c r="J197" s="10">
        <v>693.25052547535518</v>
      </c>
      <c r="K197" s="10">
        <v>384.70782888453067</v>
      </c>
      <c r="L197" s="10">
        <v>-155.28366118102539</v>
      </c>
      <c r="M197" s="10">
        <v>1369.6731586114402</v>
      </c>
    </row>
    <row r="198" spans="2:13" x14ac:dyDescent="0.25">
      <c r="B198" s="2" t="s">
        <v>192</v>
      </c>
      <c r="C198" s="22">
        <v>1</v>
      </c>
      <c r="D198" s="10">
        <v>425.49</v>
      </c>
      <c r="E198" s="10">
        <v>849.93204768576118</v>
      </c>
      <c r="F198" s="10">
        <v>-424.44204768576117</v>
      </c>
      <c r="G198" s="10">
        <v>-1.1103788732680628</v>
      </c>
      <c r="H198" s="10">
        <v>68.170662622980814</v>
      </c>
      <c r="I198" s="10">
        <v>714.82001061322148</v>
      </c>
      <c r="J198" s="10">
        <v>985.04408475830087</v>
      </c>
      <c r="K198" s="10">
        <v>388.28096951557831</v>
      </c>
      <c r="L198" s="10">
        <v>80.371789222535682</v>
      </c>
      <c r="M198" s="10">
        <v>1619.4923061489867</v>
      </c>
    </row>
    <row r="199" spans="2:13" x14ac:dyDescent="0.25">
      <c r="B199" s="2" t="s">
        <v>193</v>
      </c>
      <c r="C199" s="22">
        <v>1</v>
      </c>
      <c r="D199" s="10">
        <v>610</v>
      </c>
      <c r="E199" s="10">
        <v>631.90175464593995</v>
      </c>
      <c r="F199" s="10">
        <v>-21.901754645939945</v>
      </c>
      <c r="G199" s="10">
        <v>-5.7296975591723864E-2</v>
      </c>
      <c r="H199" s="10">
        <v>63.579419642561767</v>
      </c>
      <c r="I199" s="10">
        <v>505.8894118980715</v>
      </c>
      <c r="J199" s="10">
        <v>757.91409739380833</v>
      </c>
      <c r="K199" s="10">
        <v>387.50124470456365</v>
      </c>
      <c r="L199" s="10">
        <v>-136.1131145909136</v>
      </c>
      <c r="M199" s="10">
        <v>1399.9166238827934</v>
      </c>
    </row>
    <row r="200" spans="2:13" x14ac:dyDescent="0.25">
      <c r="B200" s="2" t="s">
        <v>194</v>
      </c>
      <c r="C200" s="22">
        <v>1</v>
      </c>
      <c r="D200" s="10">
        <v>261.73</v>
      </c>
      <c r="E200" s="10">
        <v>680.22389034246612</v>
      </c>
      <c r="F200" s="10">
        <v>-418.4938903424661</v>
      </c>
      <c r="G200" s="10">
        <v>-1.0948179544456209</v>
      </c>
      <c r="H200" s="10">
        <v>75.318694565609675</v>
      </c>
      <c r="I200" s="10">
        <v>530.94468634403836</v>
      </c>
      <c r="J200" s="10">
        <v>829.50309434089388</v>
      </c>
      <c r="K200" s="10">
        <v>389.59950949220757</v>
      </c>
      <c r="L200" s="10">
        <v>-91.949671488356444</v>
      </c>
      <c r="M200" s="10">
        <v>1452.3974521732887</v>
      </c>
    </row>
    <row r="201" spans="2:13" x14ac:dyDescent="0.25">
      <c r="B201" s="2" t="s">
        <v>195</v>
      </c>
      <c r="C201" s="22">
        <v>1</v>
      </c>
      <c r="D201" s="10">
        <v>785</v>
      </c>
      <c r="E201" s="10">
        <v>1062.2068159183725</v>
      </c>
      <c r="F201" s="10">
        <v>-277.20681591837251</v>
      </c>
      <c r="G201" s="10">
        <v>-0.72519815979578717</v>
      </c>
      <c r="H201" s="10">
        <v>86.603065488967673</v>
      </c>
      <c r="I201" s="10">
        <v>890.56235560772188</v>
      </c>
      <c r="J201" s="10">
        <v>1233.8512762290231</v>
      </c>
      <c r="K201" s="10">
        <v>391.93744781225945</v>
      </c>
      <c r="L201" s="10">
        <v>285.39953634419811</v>
      </c>
      <c r="M201" s="10">
        <v>1839.0140954925469</v>
      </c>
    </row>
    <row r="202" spans="2:13" x14ac:dyDescent="0.25">
      <c r="B202" s="2" t="s">
        <v>196</v>
      </c>
      <c r="C202" s="22">
        <v>1</v>
      </c>
      <c r="D202" s="10">
        <v>770</v>
      </c>
      <c r="E202" s="10">
        <v>720.00123618638338</v>
      </c>
      <c r="F202" s="10">
        <v>49.99876381361662</v>
      </c>
      <c r="G202" s="10">
        <v>0.13080129862454734</v>
      </c>
      <c r="H202" s="10">
        <v>64.867384097106537</v>
      </c>
      <c r="I202" s="10">
        <v>591.43618976167102</v>
      </c>
      <c r="J202" s="10">
        <v>848.56628261109574</v>
      </c>
      <c r="K202" s="10">
        <v>387.71464966532113</v>
      </c>
      <c r="L202" s="10">
        <v>-48.436594744839979</v>
      </c>
      <c r="M202" s="10">
        <v>1488.4390671176068</v>
      </c>
    </row>
    <row r="203" spans="2:13" x14ac:dyDescent="0.25">
      <c r="B203" s="2" t="s">
        <v>197</v>
      </c>
      <c r="C203" s="22">
        <v>1</v>
      </c>
      <c r="D203" s="10">
        <v>755</v>
      </c>
      <c r="E203" s="10">
        <v>739.7756873749745</v>
      </c>
      <c r="F203" s="10">
        <v>15.224312625025505</v>
      </c>
      <c r="G203" s="10">
        <v>3.9828181941512365E-2</v>
      </c>
      <c r="H203" s="10">
        <v>52.160200457984345</v>
      </c>
      <c r="I203" s="10">
        <v>636.39586580911327</v>
      </c>
      <c r="J203" s="10">
        <v>843.15550894083572</v>
      </c>
      <c r="K203" s="10">
        <v>385.79211831933304</v>
      </c>
      <c r="L203" s="10">
        <v>-24.851748930501213</v>
      </c>
      <c r="M203" s="10">
        <v>1504.4031236804503</v>
      </c>
    </row>
    <row r="204" spans="2:13" x14ac:dyDescent="0.25">
      <c r="B204" s="2" t="s">
        <v>198</v>
      </c>
      <c r="C204" s="22">
        <v>1</v>
      </c>
      <c r="D204" s="10">
        <v>850</v>
      </c>
      <c r="E204" s="10">
        <v>769.05385860143417</v>
      </c>
      <c r="F204" s="10">
        <v>80.946141398565828</v>
      </c>
      <c r="G204" s="10">
        <v>0.2117624438285643</v>
      </c>
      <c r="H204" s="10">
        <v>59.563670177142953</v>
      </c>
      <c r="I204" s="10">
        <v>651.00060074095234</v>
      </c>
      <c r="J204" s="10">
        <v>887.10711646191601</v>
      </c>
      <c r="K204" s="10">
        <v>386.86264080481158</v>
      </c>
      <c r="L204" s="10">
        <v>2.3046815327081478</v>
      </c>
      <c r="M204" s="10">
        <v>1535.8030356701602</v>
      </c>
    </row>
    <row r="205" spans="2:13" x14ac:dyDescent="0.25">
      <c r="B205" s="2" t="s">
        <v>199</v>
      </c>
      <c r="C205" s="22">
        <v>1</v>
      </c>
      <c r="D205" s="10">
        <v>1585</v>
      </c>
      <c r="E205" s="10">
        <v>718.15664847023197</v>
      </c>
      <c r="F205" s="10">
        <v>866.84335152976803</v>
      </c>
      <c r="G205" s="10">
        <v>2.2677407886886534</v>
      </c>
      <c r="H205" s="10">
        <v>49.880952376144279</v>
      </c>
      <c r="I205" s="10">
        <v>619.29422250362188</v>
      </c>
      <c r="J205" s="10">
        <v>817.01907443684206</v>
      </c>
      <c r="K205" s="10">
        <v>385.4905724598882</v>
      </c>
      <c r="L205" s="10">
        <v>-45.873133745159421</v>
      </c>
      <c r="M205" s="10">
        <v>1482.1864306856232</v>
      </c>
    </row>
    <row r="206" spans="2:13" x14ac:dyDescent="0.25">
      <c r="B206" s="2" t="s">
        <v>200</v>
      </c>
      <c r="C206" s="22">
        <v>1</v>
      </c>
      <c r="D206" s="10">
        <v>1000</v>
      </c>
      <c r="E206" s="10">
        <v>885.15345481243571</v>
      </c>
      <c r="F206" s="10">
        <v>114.84654518756429</v>
      </c>
      <c r="G206" s="10">
        <v>0.30044897328011672</v>
      </c>
      <c r="H206" s="10">
        <v>61.631529371751199</v>
      </c>
      <c r="I206" s="10">
        <v>763.0017672548878</v>
      </c>
      <c r="J206" s="10">
        <v>1007.3051423699836</v>
      </c>
      <c r="K206" s="10">
        <v>387.18641176854618</v>
      </c>
      <c r="L206" s="10">
        <v>117.76257421946707</v>
      </c>
      <c r="M206" s="10">
        <v>1652.5443354054044</v>
      </c>
    </row>
    <row r="207" spans="2:13" x14ac:dyDescent="0.25">
      <c r="B207" s="2" t="s">
        <v>201</v>
      </c>
      <c r="C207" s="22">
        <v>1</v>
      </c>
      <c r="D207" s="10">
        <v>555</v>
      </c>
      <c r="E207" s="10">
        <v>786.12979017614475</v>
      </c>
      <c r="F207" s="10">
        <v>-231.12979017614475</v>
      </c>
      <c r="G207" s="10">
        <v>-0.60465648347940759</v>
      </c>
      <c r="H207" s="10">
        <v>69.431955225766259</v>
      </c>
      <c r="I207" s="10">
        <v>648.51791216983929</v>
      </c>
      <c r="J207" s="10">
        <v>923.74166818245021</v>
      </c>
      <c r="K207" s="10">
        <v>388.50439952717903</v>
      </c>
      <c r="L207" s="10">
        <v>16.126700693695181</v>
      </c>
      <c r="M207" s="10">
        <v>1556.1328796585944</v>
      </c>
    </row>
    <row r="208" spans="2:13" x14ac:dyDescent="0.25">
      <c r="B208" s="2" t="s">
        <v>202</v>
      </c>
      <c r="C208" s="22">
        <v>1</v>
      </c>
      <c r="D208" s="10">
        <v>1625</v>
      </c>
      <c r="E208" s="10">
        <v>923.47268839624235</v>
      </c>
      <c r="F208" s="10">
        <v>701.52731160375765</v>
      </c>
      <c r="G208" s="10">
        <v>1.8352590420119339</v>
      </c>
      <c r="H208" s="10">
        <v>66.586429324086836</v>
      </c>
      <c r="I208" s="10">
        <v>791.50055021826847</v>
      </c>
      <c r="J208" s="10">
        <v>1055.4448265742162</v>
      </c>
      <c r="K208" s="10">
        <v>388.00595951046006</v>
      </c>
      <c r="L208" s="10">
        <v>154.45749082251348</v>
      </c>
      <c r="M208" s="10">
        <v>1692.4878859699711</v>
      </c>
    </row>
    <row r="209" spans="2:13" ht="15.75" thickBot="1" x14ac:dyDescent="0.3">
      <c r="B209" s="16" t="s">
        <v>203</v>
      </c>
      <c r="C209" s="23">
        <v>1</v>
      </c>
      <c r="D209" s="17">
        <v>1335</v>
      </c>
      <c r="E209" s="17">
        <v>921.36735490244052</v>
      </c>
      <c r="F209" s="17">
        <v>413.63264509755948</v>
      </c>
      <c r="G209" s="17">
        <v>1.0821004962033227</v>
      </c>
      <c r="H209" s="17">
        <v>68.786665463773389</v>
      </c>
      <c r="I209" s="17">
        <v>785.03442022586466</v>
      </c>
      <c r="J209" s="17">
        <v>1057.7002895790163</v>
      </c>
      <c r="K209" s="17">
        <v>388.38959485435015</v>
      </c>
      <c r="L209" s="17">
        <v>151.59180454920764</v>
      </c>
      <c r="M209" s="17">
        <v>1691.1429052556734</v>
      </c>
    </row>
  </sheetData>
  <pageMargins left="0.7" right="0.7" top="0.75" bottom="0.75" header="0.3" footer="0.3"/>
  <pageSetup paperSize="9" orientation="portrait" horizontalDpi="0" verticalDpi="0" r:id="rId1"/>
  <ignoredErrors>
    <ignoredError sqref="A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Talimbue_B</vt:lpstr>
      <vt:lpstr>Talimbue_B_densities</vt:lpstr>
      <vt:lpstr>Talimbue_E</vt:lpstr>
      <vt:lpstr>Talimbue_E_densities</vt:lpstr>
      <vt:lpstr>Densities_for_regress_analysis</vt:lpstr>
      <vt:lpstr>Regression_analysis</vt:lpstr>
      <vt:lpstr>For_predicting_lithics</vt:lpstr>
      <vt:lpstr>Lithics_linear regression</vt:lpstr>
      <vt:lpstr>For_predicting_vertebrate</vt:lpstr>
      <vt:lpstr>Vertebrate_linear regression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Benjamin Marwick</cp:lastModifiedBy>
  <dcterms:created xsi:type="dcterms:W3CDTF">2014-05-03T05:59:43Z</dcterms:created>
  <dcterms:modified xsi:type="dcterms:W3CDTF">2018-05-21T07:56:09Z</dcterms:modified>
</cp:coreProperties>
</file>