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scle Selector" sheetId="1" r:id="rId5"/>
    <sheet state="visible" name="Joint Actions" sheetId="2" r:id="rId6"/>
    <sheet state="visible" name="Muscles" sheetId="3" r:id="rId7"/>
    <sheet state="visible" name="Helper" sheetId="4" r:id="rId8"/>
    <sheet state="visible" name="Action Mapping" sheetId="5" r:id="rId9"/>
  </sheets>
  <definedNames/>
  <calcPr/>
</workbook>
</file>

<file path=xl/sharedStrings.xml><?xml version="1.0" encoding="utf-8"?>
<sst xmlns="http://schemas.openxmlformats.org/spreadsheetml/2006/main" count="680" uniqueCount="190">
  <si>
    <t>Scapulothoracic</t>
  </si>
  <si>
    <t>Joint</t>
  </si>
  <si>
    <t>Trapezius</t>
  </si>
  <si>
    <t>Muscle</t>
  </si>
  <si>
    <t>Upper</t>
  </si>
  <si>
    <t>Subdivision</t>
  </si>
  <si>
    <t>Actions:</t>
  </si>
  <si>
    <t>Synergists</t>
  </si>
  <si>
    <t>Antagonists</t>
  </si>
  <si>
    <t>Glenohumeral</t>
  </si>
  <si>
    <t>Group</t>
  </si>
  <si>
    <t>Action</t>
  </si>
  <si>
    <t>Origin</t>
  </si>
  <si>
    <t>Insertion</t>
  </si>
  <si>
    <t>Depth</t>
  </si>
  <si>
    <t>Scapular Stabilizer</t>
  </si>
  <si>
    <t>Elevation</t>
  </si>
  <si>
    <t>External Occipital Protuberance</t>
  </si>
  <si>
    <t>Lateral clavicle</t>
  </si>
  <si>
    <t>Superficial</t>
  </si>
  <si>
    <t>Upward Rotation</t>
  </si>
  <si>
    <t>Middle</t>
  </si>
  <si>
    <t>Retraction</t>
  </si>
  <si>
    <t>C7-T4</t>
  </si>
  <si>
    <t>Spine of scapula</t>
  </si>
  <si>
    <t>Lower</t>
  </si>
  <si>
    <t>Depression</t>
  </si>
  <si>
    <t>T4-T12, 12th rib</t>
  </si>
  <si>
    <t>Root of spine of scapula</t>
  </si>
  <si>
    <t>Rhomboid</t>
  </si>
  <si>
    <t>Minor</t>
  </si>
  <si>
    <t>C7–T1</t>
  </si>
  <si>
    <t>Downward Rotation</t>
  </si>
  <si>
    <t>Major</t>
  </si>
  <si>
    <t>T2–T5</t>
  </si>
  <si>
    <t>Medial border of scapula, from the spine down to the inferior angle</t>
  </si>
  <si>
    <t>Levator scapulae</t>
  </si>
  <si>
    <t/>
  </si>
  <si>
    <t>C1–C4 transverse processes</t>
  </si>
  <si>
    <t>Superior medial scapula, from superior angle down to spine</t>
  </si>
  <si>
    <t>Teres Major</t>
  </si>
  <si>
    <t>Shoulder Extensor</t>
  </si>
  <si>
    <t>Extension</t>
  </si>
  <si>
    <t>Inferior angle of scapula</t>
  </si>
  <si>
    <t>Bicipital groove</t>
  </si>
  <si>
    <t>Adduction</t>
  </si>
  <si>
    <t>Internal Rotation</t>
  </si>
  <si>
    <t>Latissimus dorsi</t>
  </si>
  <si>
    <t>Thoracolumbar aponeurosis, T7-T12, sacrum, iliac crest, lower 3-4 ribs, inferior angle of the scapula</t>
  </si>
  <si>
    <t>Quadratus lumborum</t>
  </si>
  <si>
    <t>Trunk Stabilizer</t>
  </si>
  <si>
    <t>Spine</t>
  </si>
  <si>
    <t>Lateral Flexion</t>
  </si>
  <si>
    <t>Posterior iliac crest</t>
  </si>
  <si>
    <t>12th rib, L1-L4 lumbar transverse processes</t>
  </si>
  <si>
    <t>Deep</t>
  </si>
  <si>
    <t>Iliocostalis</t>
  </si>
  <si>
    <t>Spinal Extensor</t>
  </si>
  <si>
    <t>Thoracolumbar aponeurosis, sacrum, iliac crest, posterior ribs</t>
  </si>
  <si>
    <t>Posterior ribs, transverse processes</t>
  </si>
  <si>
    <t>Longissimus</t>
  </si>
  <si>
    <t>Thoracolumbar aponeurosis, transverse processes</t>
  </si>
  <si>
    <t>Cervical thoracic transverse processes, mastoid process</t>
  </si>
  <si>
    <t>Spinalis</t>
  </si>
  <si>
    <t>Ligamentum nuchae, cervical thoracic sinous processes</t>
  </si>
  <si>
    <t>Cervical thoracic vertebrae, occipital bone</t>
  </si>
  <si>
    <t>Supraspinatus</t>
  </si>
  <si>
    <t>Rotator Cuff</t>
  </si>
  <si>
    <t>Abduction</t>
  </si>
  <si>
    <t>Supraspinous fossa</t>
  </si>
  <si>
    <t>Greater tubercle</t>
  </si>
  <si>
    <t>Infraspinatus</t>
  </si>
  <si>
    <t>External Rotation</t>
  </si>
  <si>
    <t>Infraspinous fossa</t>
  </si>
  <si>
    <t>Teres minor</t>
  </si>
  <si>
    <t>Upper 2/3 of lateral scapula</t>
  </si>
  <si>
    <t>Subscapularis</t>
  </si>
  <si>
    <t>Subscapular fossa</t>
  </si>
  <si>
    <t>Lesser tubercle</t>
  </si>
  <si>
    <t>Coracobrachialis</t>
  </si>
  <si>
    <t>Shoulder Flexor</t>
  </si>
  <si>
    <t>Flexion</t>
  </si>
  <si>
    <t>Coracoid process of scapula</t>
  </si>
  <si>
    <t>Middle 1/3 of medial surface of humerus</t>
  </si>
  <si>
    <t>Deltoid</t>
  </si>
  <si>
    <t>Anterior</t>
  </si>
  <si>
    <t>Shoulder</t>
  </si>
  <si>
    <t>Lateral 1/3 of clavicle</t>
  </si>
  <si>
    <t>Deltoid tuberosity</t>
  </si>
  <si>
    <t>Horizontal Adduction</t>
  </si>
  <si>
    <t>Acromion process of scapula</t>
  </si>
  <si>
    <t>Posterior</t>
  </si>
  <si>
    <t>Horizontal Abduction</t>
  </si>
  <si>
    <t>Biceps Brachii</t>
  </si>
  <si>
    <t>Long Head</t>
  </si>
  <si>
    <t>Elbow Flexors</t>
  </si>
  <si>
    <t>Elbow</t>
  </si>
  <si>
    <t>Supraglenoid tubercle of scapula</t>
  </si>
  <si>
    <t>Radial tuberosity, bicipial aponeurosis</t>
  </si>
  <si>
    <t>Short Head</t>
  </si>
  <si>
    <t>Forearm Flexors</t>
  </si>
  <si>
    <t>Forearm</t>
  </si>
  <si>
    <t>Supination</t>
  </si>
  <si>
    <t>Radial tuberosity</t>
  </si>
  <si>
    <t>Brachialis</t>
  </si>
  <si>
    <t>Lower half of anterior shaft of humerus, coronoid process</t>
  </si>
  <si>
    <t>Ulnar tuberosity, coronoid process</t>
  </si>
  <si>
    <t>Brachioradialis</t>
  </si>
  <si>
    <t>Lateral supracondylar ridge of humerus</t>
  </si>
  <si>
    <t>Styloid process of radius</t>
  </si>
  <si>
    <t>Triceps Brachii</t>
  </si>
  <si>
    <t>Elbow Extensors</t>
  </si>
  <si>
    <t>Infraglenoid tubercle of scapula</t>
  </si>
  <si>
    <t>Olecranon process of ulna</t>
  </si>
  <si>
    <t>Lateral Head</t>
  </si>
  <si>
    <t>Posterior humerus (above spiral groove)</t>
  </si>
  <si>
    <t>Medial Head</t>
  </si>
  <si>
    <t>Posterior humerus (below spiral groove)</t>
  </si>
  <si>
    <t>Anconeus</t>
  </si>
  <si>
    <t>Lateral epicondyle of humerus</t>
  </si>
  <si>
    <t>Flexor Carpi Radialis</t>
  </si>
  <si>
    <t>Wrist Flexors</t>
  </si>
  <si>
    <t>Wrist</t>
  </si>
  <si>
    <t>Medial epicondyle of humerus</t>
  </si>
  <si>
    <t>Base of 2nd, 3rd metacarpal</t>
  </si>
  <si>
    <t>Radial Deviation</t>
  </si>
  <si>
    <t>Flexor Carpi Ulnaris</t>
  </si>
  <si>
    <t>Humeral</t>
  </si>
  <si>
    <t>Pisiform, hamate, 5th metacarpal</t>
  </si>
  <si>
    <t>Ulnar Deviation</t>
  </si>
  <si>
    <t>Ulnar</t>
  </si>
  <si>
    <t>Proximal ulna and olecranon process of ulna</t>
  </si>
  <si>
    <t>Palmaris Longus</t>
  </si>
  <si>
    <t>Palmar aponeurosis, flexor retinaculum</t>
  </si>
  <si>
    <t>Flexor Digitorum Superficialis</t>
  </si>
  <si>
    <t>Humeral Head</t>
  </si>
  <si>
    <t>Sides of shafts of middle phalanges 2-5</t>
  </si>
  <si>
    <t>Intermediate</t>
  </si>
  <si>
    <t>Finger Flexors</t>
  </si>
  <si>
    <t>Fingers</t>
  </si>
  <si>
    <t>Sides of shafts of middle phalanges 2-6</t>
  </si>
  <si>
    <t>Ulnar Head</t>
  </si>
  <si>
    <t>Coronoid process of ulna</t>
  </si>
  <si>
    <t>Sides of shafts of middle phalanges 2-7</t>
  </si>
  <si>
    <t>Sides of shafts of middle phalanges 2-8</t>
  </si>
  <si>
    <t>Radial Head</t>
  </si>
  <si>
    <t>Anterior oblique line of the radius</t>
  </si>
  <si>
    <t>Sides of shafts of middle phalanges 2-9</t>
  </si>
  <si>
    <t>Sides of shafts of middle phalanges 2-10</t>
  </si>
  <si>
    <t>Flexor Digitorum Profundus</t>
  </si>
  <si>
    <t>Middle of anterior ulna, interosseous membrane</t>
  </si>
  <si>
    <t>Distal phalanges (2–5)</t>
  </si>
  <si>
    <t>Flexion (DIP joint)</t>
  </si>
  <si>
    <t>Extensor Carpi Radialis Longus</t>
  </si>
  <si>
    <t>Wrist Extensors</t>
  </si>
  <si>
    <t>Lateral supracondylar ridge, lateral epicondyle of humerus</t>
  </si>
  <si>
    <t>Base of 2nd metacarpal</t>
  </si>
  <si>
    <t>Extensor Carpi Radialis Brevis</t>
  </si>
  <si>
    <t>Base of 3rd metacarpal</t>
  </si>
  <si>
    <t>Extensor Carpi Ulnaris</t>
  </si>
  <si>
    <t>Lateral epicondyle, posterior ulna</t>
  </si>
  <si>
    <t>Base of 5th metacarpal</t>
  </si>
  <si>
    <t>Extensor Digitorum</t>
  </si>
  <si>
    <t>Extensor expansions (2–5)</t>
  </si>
  <si>
    <t>Finger Extensors</t>
  </si>
  <si>
    <t>Extension (MP joint)</t>
  </si>
  <si>
    <t>Supinator</t>
  </si>
  <si>
    <t>Forearm Supinators</t>
  </si>
  <si>
    <t>Lateral epicondyle, radial collateral &amp; annular ligaments</t>
  </si>
  <si>
    <t>Proximal third of radius (lateral, posterior, anterior surfaces)</t>
  </si>
  <si>
    <t>Pronator Teres</t>
  </si>
  <si>
    <t>Forearm Pronators</t>
  </si>
  <si>
    <t>Pronation</t>
  </si>
  <si>
    <t>Lateral surface of radius (midshaft)</t>
  </si>
  <si>
    <t>Pronator Quadratus</t>
  </si>
  <si>
    <t>Distal anterior ulna</t>
  </si>
  <si>
    <t>Distal anterior radius</t>
  </si>
  <si>
    <t>Opposite</t>
  </si>
  <si>
    <t>Protraction</t>
  </si>
  <si>
    <t>Anterior Tilt</t>
  </si>
  <si>
    <t>Posterior Tilt</t>
  </si>
  <si>
    <t>Medial Rotation</t>
  </si>
  <si>
    <t>Lateral Rotation</t>
  </si>
  <si>
    <t>Hyperextension</t>
  </si>
  <si>
    <t>Dorsiflexion</t>
  </si>
  <si>
    <t>Plantarflexion</t>
  </si>
  <si>
    <t>Inversion</t>
  </si>
  <si>
    <t>Eversion</t>
  </si>
  <si>
    <t>Opposition</t>
  </si>
  <si>
    <t>Reposition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</si>
</sst>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sz val="17.0"/>
      <color theme="1"/>
      <name val="Arial"/>
      <scheme val="minor"/>
    </font>
    <font>
      <sz val="17.0"/>
      <color rgb="FF999999"/>
      <name val="Arial"/>
      <scheme val="minor"/>
    </font>
    <font>
      <sz val="8.0"/>
      <color theme="1"/>
      <name val="Arial"/>
      <scheme val="minor"/>
    </font>
    <font>
      <sz val="14.0"/>
      <color theme="1"/>
      <name val="Arial"/>
      <scheme val="minor"/>
    </font>
    <font>
      <sz val="14.0"/>
      <color rgb="FF999999"/>
      <name val="Arial"/>
      <scheme val="minor"/>
    </font>
    <font>
      <sz val="10.0"/>
      <color theme="1"/>
      <name val="Arial"/>
      <scheme val="minor"/>
    </font>
    <font>
      <sz val="11.0"/>
      <color rgb="FF999999"/>
      <name val="Arial"/>
      <scheme val="minor"/>
    </font>
    <font>
      <b/>
      <sz val="10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>
      <color rgb="FFCCCCCC"/>
      <name val="Arial"/>
      <scheme val="minor"/>
    </font>
    <font>
      <b/>
      <sz val="8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left" readingOrder="0"/>
    </xf>
    <xf borderId="0" fillId="0" fontId="8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/>
    </xf>
    <xf borderId="0" fillId="0" fontId="8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readingOrder="0"/>
    </xf>
    <xf borderId="0" fillId="0" fontId="6" numFmtId="0" xfId="0" applyAlignment="1" applyFont="1">
      <alignment readingOrder="0" vertical="top"/>
    </xf>
    <xf borderId="0" fillId="0" fontId="9" numFmtId="0" xfId="0" applyAlignment="1" applyFont="1">
      <alignment readingOrder="0" vertical="top"/>
    </xf>
    <xf borderId="0" fillId="0" fontId="3" numFmtId="0" xfId="0" applyAlignment="1" applyFont="1">
      <alignment vertical="top"/>
    </xf>
    <xf borderId="0" fillId="2" fontId="9" numFmtId="0" xfId="0" applyAlignment="1" applyFill="1" applyFont="1">
      <alignment readingOrder="0"/>
    </xf>
    <xf borderId="0" fillId="2" fontId="10" numFmtId="0" xfId="0" applyAlignment="1" applyFont="1">
      <alignment readingOrder="0" shrinkToFit="0" vertical="center" wrapText="0"/>
    </xf>
    <xf borderId="0" fillId="0" fontId="11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0" fillId="0" fontId="13" numFmtId="0" xfId="0" applyAlignment="1" applyFont="1">
      <alignment horizontal="right" vertical="center"/>
    </xf>
    <xf borderId="0" fillId="0" fontId="13" numFmtId="0" xfId="0" applyAlignment="1" applyFont="1">
      <alignment vertical="center"/>
    </xf>
    <xf borderId="0" fillId="0" fontId="14" numFmtId="0" xfId="0" applyAlignment="1" applyFont="1">
      <alignment horizontal="center" vertical="center"/>
    </xf>
    <xf borderId="0" fillId="3" fontId="15" numFmtId="0" xfId="0" applyAlignment="1" applyFill="1" applyFont="1">
      <alignment readingOrder="0" shrinkToFit="0" wrapText="1"/>
    </xf>
    <xf borderId="0" fillId="3" fontId="15" numFmtId="0" xfId="0" applyFont="1"/>
    <xf borderId="0" fillId="0" fontId="12" numFmtId="0" xfId="0" applyFont="1"/>
    <xf borderId="0" fillId="0" fontId="15" numFmtId="0" xfId="0" applyAlignment="1" applyFont="1">
      <alignment horizontal="left" readingOrder="0"/>
    </xf>
    <xf borderId="0" fillId="0" fontId="13" numFmtId="0" xfId="0" applyFont="1"/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20" Type="http://schemas.openxmlformats.org/officeDocument/2006/relationships/image" Target="../media/image27.jpg"/><Relationship Id="rId22" Type="http://schemas.openxmlformats.org/officeDocument/2006/relationships/image" Target="../media/image26.jpg"/><Relationship Id="rId21" Type="http://schemas.openxmlformats.org/officeDocument/2006/relationships/image" Target="../media/image25.jpg"/><Relationship Id="rId24" Type="http://schemas.openxmlformats.org/officeDocument/2006/relationships/image" Target="../media/image21.jpg"/><Relationship Id="rId23" Type="http://schemas.openxmlformats.org/officeDocument/2006/relationships/image" Target="../media/image17.jpg"/><Relationship Id="rId1" Type="http://schemas.openxmlformats.org/officeDocument/2006/relationships/image" Target="../media/image2.jpg"/><Relationship Id="rId2" Type="http://schemas.openxmlformats.org/officeDocument/2006/relationships/image" Target="../media/image8.jpg"/><Relationship Id="rId3" Type="http://schemas.openxmlformats.org/officeDocument/2006/relationships/image" Target="../media/image10.jpg"/><Relationship Id="rId4" Type="http://schemas.openxmlformats.org/officeDocument/2006/relationships/image" Target="../media/image5.jpg"/><Relationship Id="rId9" Type="http://schemas.openxmlformats.org/officeDocument/2006/relationships/image" Target="../media/image3.jpg"/><Relationship Id="rId26" Type="http://schemas.openxmlformats.org/officeDocument/2006/relationships/image" Target="../media/image22.jpg"/><Relationship Id="rId25" Type="http://schemas.openxmlformats.org/officeDocument/2006/relationships/image" Target="../media/image18.jpg"/><Relationship Id="rId28" Type="http://schemas.openxmlformats.org/officeDocument/2006/relationships/image" Target="../media/image29.jpg"/><Relationship Id="rId27" Type="http://schemas.openxmlformats.org/officeDocument/2006/relationships/image" Target="../media/image20.jpg"/><Relationship Id="rId5" Type="http://schemas.openxmlformats.org/officeDocument/2006/relationships/image" Target="../media/image9.jpg"/><Relationship Id="rId6" Type="http://schemas.openxmlformats.org/officeDocument/2006/relationships/image" Target="../media/image4.jpg"/><Relationship Id="rId29" Type="http://schemas.openxmlformats.org/officeDocument/2006/relationships/image" Target="../media/image28.jpg"/><Relationship Id="rId7" Type="http://schemas.openxmlformats.org/officeDocument/2006/relationships/image" Target="../media/image6.jpg"/><Relationship Id="rId8" Type="http://schemas.openxmlformats.org/officeDocument/2006/relationships/image" Target="../media/image7.jpg"/><Relationship Id="rId11" Type="http://schemas.openxmlformats.org/officeDocument/2006/relationships/image" Target="../media/image13.jpg"/><Relationship Id="rId10" Type="http://schemas.openxmlformats.org/officeDocument/2006/relationships/image" Target="../media/image1.jpg"/><Relationship Id="rId13" Type="http://schemas.openxmlformats.org/officeDocument/2006/relationships/image" Target="../media/image12.jpg"/><Relationship Id="rId12" Type="http://schemas.openxmlformats.org/officeDocument/2006/relationships/image" Target="../media/image14.jpg"/><Relationship Id="rId15" Type="http://schemas.openxmlformats.org/officeDocument/2006/relationships/image" Target="../media/image19.jpg"/><Relationship Id="rId14" Type="http://schemas.openxmlformats.org/officeDocument/2006/relationships/image" Target="../media/image11.jpg"/><Relationship Id="rId17" Type="http://schemas.openxmlformats.org/officeDocument/2006/relationships/image" Target="../media/image16.jpg"/><Relationship Id="rId16" Type="http://schemas.openxmlformats.org/officeDocument/2006/relationships/image" Target="../media/image15.jpg"/><Relationship Id="rId19" Type="http://schemas.openxmlformats.org/officeDocument/2006/relationships/image" Target="../media/image24.jpg"/><Relationship Id="rId18" Type="http://schemas.openxmlformats.org/officeDocument/2006/relationships/image" Target="../media/image2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209550" cy="2000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209550" cy="2000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</xdr:row>
      <xdr:rowOff>0</xdr:rowOff>
    </xdr:from>
    <xdr:ext cx="209550" cy="2000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</xdr:row>
      <xdr:rowOff>0</xdr:rowOff>
    </xdr:from>
    <xdr:ext cx="209550" cy="2000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</xdr:row>
      <xdr:rowOff>0</xdr:rowOff>
    </xdr:from>
    <xdr:ext cx="209550" cy="2000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</xdr:row>
      <xdr:rowOff>0</xdr:rowOff>
    </xdr:from>
    <xdr:ext cx="209550" cy="200025"/>
    <xdr:pic>
      <xdr:nvPicPr>
        <xdr:cNvPr id="0" name="image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209550" cy="200025"/>
    <xdr:pic>
      <xdr:nvPicPr>
        <xdr:cNvPr id="0" name="image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</xdr:row>
      <xdr:rowOff>0</xdr:rowOff>
    </xdr:from>
    <xdr:ext cx="209550" cy="200025"/>
    <xdr:pic>
      <xdr:nvPicPr>
        <xdr:cNvPr id="0" name="image10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</xdr:row>
      <xdr:rowOff>0</xdr:rowOff>
    </xdr:from>
    <xdr:ext cx="209550" cy="200025"/>
    <xdr:pic>
      <xdr:nvPicPr>
        <xdr:cNvPr id="0" name="image10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</xdr:row>
      <xdr:rowOff>0</xdr:rowOff>
    </xdr:from>
    <xdr:ext cx="209550" cy="200025"/>
    <xdr:pic>
      <xdr:nvPicPr>
        <xdr:cNvPr id="0" name="image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</xdr:row>
      <xdr:rowOff>0</xdr:rowOff>
    </xdr:from>
    <xdr:ext cx="209550" cy="200025"/>
    <xdr:pic>
      <xdr:nvPicPr>
        <xdr:cNvPr id="0" name="image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209550" cy="200025"/>
    <xdr:pic>
      <xdr:nvPicPr>
        <xdr:cNvPr id="0" name="image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209550" cy="200025"/>
    <xdr:pic>
      <xdr:nvPicPr>
        <xdr:cNvPr id="0" name="image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209550" cy="200025"/>
    <xdr:pic>
      <xdr:nvPicPr>
        <xdr:cNvPr id="0" name="image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209550" cy="200025"/>
    <xdr:pic>
      <xdr:nvPicPr>
        <xdr:cNvPr id="0" name="image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209550" cy="200025"/>
    <xdr:pic>
      <xdr:nvPicPr>
        <xdr:cNvPr id="0" name="image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</xdr:row>
      <xdr:rowOff>0</xdr:rowOff>
    </xdr:from>
    <xdr:ext cx="209550" cy="200025"/>
    <xdr:pic>
      <xdr:nvPicPr>
        <xdr:cNvPr id="0" name="image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</xdr:row>
      <xdr:rowOff>0</xdr:rowOff>
    </xdr:from>
    <xdr:ext cx="209550" cy="200025"/>
    <xdr:pic>
      <xdr:nvPicPr>
        <xdr:cNvPr id="0" name="image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</xdr:row>
      <xdr:rowOff>0</xdr:rowOff>
    </xdr:from>
    <xdr:ext cx="209550" cy="200025"/>
    <xdr:pic>
      <xdr:nvPicPr>
        <xdr:cNvPr id="0" name="image7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209550" cy="200025"/>
    <xdr:pic>
      <xdr:nvPicPr>
        <xdr:cNvPr id="0" name="image7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</xdr:row>
      <xdr:rowOff>0</xdr:rowOff>
    </xdr:from>
    <xdr:ext cx="209550" cy="200025"/>
    <xdr:pic>
      <xdr:nvPicPr>
        <xdr:cNvPr id="0" name="image3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</xdr:row>
      <xdr:rowOff>0</xdr:rowOff>
    </xdr:from>
    <xdr:ext cx="209550" cy="200025"/>
    <xdr:pic>
      <xdr:nvPicPr>
        <xdr:cNvPr id="0" name="image3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</xdr:row>
      <xdr:rowOff>0</xdr:rowOff>
    </xdr:from>
    <xdr:ext cx="209550" cy="200025"/>
    <xdr:pic>
      <xdr:nvPicPr>
        <xdr:cNvPr id="0" name="image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</xdr:row>
      <xdr:rowOff>0</xdr:rowOff>
    </xdr:from>
    <xdr:ext cx="209550" cy="200025"/>
    <xdr:pic>
      <xdr:nvPicPr>
        <xdr:cNvPr id="0" name="image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</xdr:row>
      <xdr:rowOff>0</xdr:rowOff>
    </xdr:from>
    <xdr:ext cx="209550" cy="200025"/>
    <xdr:pic>
      <xdr:nvPicPr>
        <xdr:cNvPr id="0" name="image1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</xdr:row>
      <xdr:rowOff>0</xdr:rowOff>
    </xdr:from>
    <xdr:ext cx="209550" cy="200025"/>
    <xdr:pic>
      <xdr:nvPicPr>
        <xdr:cNvPr id="0" name="image14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</xdr:row>
      <xdr:rowOff>0</xdr:rowOff>
    </xdr:from>
    <xdr:ext cx="209550" cy="200025"/>
    <xdr:pic>
      <xdr:nvPicPr>
        <xdr:cNvPr id="0" name="image14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</xdr:row>
      <xdr:rowOff>0</xdr:rowOff>
    </xdr:from>
    <xdr:ext cx="209550" cy="200025"/>
    <xdr:pic>
      <xdr:nvPicPr>
        <xdr:cNvPr id="0" name="image1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</xdr:row>
      <xdr:rowOff>0</xdr:rowOff>
    </xdr:from>
    <xdr:ext cx="209550" cy="200025"/>
    <xdr:pic>
      <xdr:nvPicPr>
        <xdr:cNvPr id="0" name="image1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1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9550" cy="200025"/>
    <xdr:pic>
      <xdr:nvPicPr>
        <xdr:cNvPr id="0" name="image11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</xdr:row>
      <xdr:rowOff>0</xdr:rowOff>
    </xdr:from>
    <xdr:ext cx="209550" cy="200025"/>
    <xdr:pic>
      <xdr:nvPicPr>
        <xdr:cNvPr id="0" name="image19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33</xdr:row>
      <xdr:rowOff>0</xdr:rowOff>
    </xdr:from>
    <xdr:ext cx="209550" cy="200025"/>
    <xdr:pic>
      <xdr:nvPicPr>
        <xdr:cNvPr id="0" name="image19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</xdr:row>
      <xdr:rowOff>0</xdr:rowOff>
    </xdr:from>
    <xdr:ext cx="209550" cy="200025"/>
    <xdr:pic>
      <xdr:nvPicPr>
        <xdr:cNvPr id="0" name="image1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</xdr:row>
      <xdr:rowOff>0</xdr:rowOff>
    </xdr:from>
    <xdr:ext cx="209550" cy="200025"/>
    <xdr:pic>
      <xdr:nvPicPr>
        <xdr:cNvPr id="0" name="image1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36</xdr:row>
      <xdr:rowOff>0</xdr:rowOff>
    </xdr:from>
    <xdr:ext cx="209550" cy="200025"/>
    <xdr:pic>
      <xdr:nvPicPr>
        <xdr:cNvPr id="0" name="image1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</xdr:row>
      <xdr:rowOff>0</xdr:rowOff>
    </xdr:from>
    <xdr:ext cx="209550" cy="200025"/>
    <xdr:pic>
      <xdr:nvPicPr>
        <xdr:cNvPr id="0" name="image1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38</xdr:row>
      <xdr:rowOff>0</xdr:rowOff>
    </xdr:from>
    <xdr:ext cx="209550" cy="200025"/>
    <xdr:pic>
      <xdr:nvPicPr>
        <xdr:cNvPr id="0" name="image1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</xdr:row>
      <xdr:rowOff>0</xdr:rowOff>
    </xdr:from>
    <xdr:ext cx="209550" cy="200025"/>
    <xdr:pic>
      <xdr:nvPicPr>
        <xdr:cNvPr id="0" name="image1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40</xdr:row>
      <xdr:rowOff>0</xdr:rowOff>
    </xdr:from>
    <xdr:ext cx="209550" cy="200025"/>
    <xdr:pic>
      <xdr:nvPicPr>
        <xdr:cNvPr id="0" name="image1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</xdr:row>
      <xdr:rowOff>0</xdr:rowOff>
    </xdr:from>
    <xdr:ext cx="209550" cy="200025"/>
    <xdr:pic>
      <xdr:nvPicPr>
        <xdr:cNvPr id="0" name="image1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</xdr:row>
      <xdr:rowOff>0</xdr:rowOff>
    </xdr:from>
    <xdr:ext cx="209550" cy="200025"/>
    <xdr:pic>
      <xdr:nvPicPr>
        <xdr:cNvPr id="0" name="image1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43</xdr:row>
      <xdr:rowOff>0</xdr:rowOff>
    </xdr:from>
    <xdr:ext cx="209550" cy="200025"/>
    <xdr:pic>
      <xdr:nvPicPr>
        <xdr:cNvPr id="0" name="image1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44</xdr:row>
      <xdr:rowOff>0</xdr:rowOff>
    </xdr:from>
    <xdr:ext cx="209550" cy="200025"/>
    <xdr:pic>
      <xdr:nvPicPr>
        <xdr:cNvPr id="0" name="image1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45</xdr:row>
      <xdr:rowOff>0</xdr:rowOff>
    </xdr:from>
    <xdr:ext cx="209550" cy="200025"/>
    <xdr:pic>
      <xdr:nvPicPr>
        <xdr:cNvPr id="0" name="image23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</xdr:row>
      <xdr:rowOff>0</xdr:rowOff>
    </xdr:from>
    <xdr:ext cx="209550" cy="200025"/>
    <xdr:pic>
      <xdr:nvPicPr>
        <xdr:cNvPr id="0" name="image24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47</xdr:row>
      <xdr:rowOff>0</xdr:rowOff>
    </xdr:from>
    <xdr:ext cx="209550" cy="200025"/>
    <xdr:pic>
      <xdr:nvPicPr>
        <xdr:cNvPr id="0" name="image27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</xdr:row>
      <xdr:rowOff>0</xdr:rowOff>
    </xdr:from>
    <xdr:ext cx="209550" cy="200025"/>
    <xdr:pic>
      <xdr:nvPicPr>
        <xdr:cNvPr id="0" name="image27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</xdr:row>
      <xdr:rowOff>0</xdr:rowOff>
    </xdr:from>
    <xdr:ext cx="209550" cy="200025"/>
    <xdr:pic>
      <xdr:nvPicPr>
        <xdr:cNvPr id="0" name="image27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50</xdr:row>
      <xdr:rowOff>0</xdr:rowOff>
    </xdr:from>
    <xdr:ext cx="209550" cy="200025"/>
    <xdr:pic>
      <xdr:nvPicPr>
        <xdr:cNvPr id="0" name="image27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51</xdr:row>
      <xdr:rowOff>0</xdr:rowOff>
    </xdr:from>
    <xdr:ext cx="209550" cy="200025"/>
    <xdr:pic>
      <xdr:nvPicPr>
        <xdr:cNvPr id="0" name="image25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52</xdr:row>
      <xdr:rowOff>0</xdr:rowOff>
    </xdr:from>
    <xdr:ext cx="209550" cy="200025"/>
    <xdr:pic>
      <xdr:nvPicPr>
        <xdr:cNvPr id="0" name="image26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53</xdr:row>
      <xdr:rowOff>0</xdr:rowOff>
    </xdr:from>
    <xdr:ext cx="209550" cy="200025"/>
    <xdr:pic>
      <xdr:nvPicPr>
        <xdr:cNvPr id="0" name="image26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54</xdr:row>
      <xdr:rowOff>0</xdr:rowOff>
    </xdr:from>
    <xdr:ext cx="209550" cy="200025"/>
    <xdr:pic>
      <xdr:nvPicPr>
        <xdr:cNvPr id="0" name="image17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55</xdr:row>
      <xdr:rowOff>0</xdr:rowOff>
    </xdr:from>
    <xdr:ext cx="209550" cy="200025"/>
    <xdr:pic>
      <xdr:nvPicPr>
        <xdr:cNvPr id="0" name="image17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56</xdr:row>
      <xdr:rowOff>0</xdr:rowOff>
    </xdr:from>
    <xdr:ext cx="209550" cy="200025"/>
    <xdr:pic>
      <xdr:nvPicPr>
        <xdr:cNvPr id="0" name="image17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57</xdr:row>
      <xdr:rowOff>0</xdr:rowOff>
    </xdr:from>
    <xdr:ext cx="209550" cy="200025"/>
    <xdr:pic>
      <xdr:nvPicPr>
        <xdr:cNvPr id="0" name="image17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58</xdr:row>
      <xdr:rowOff>0</xdr:rowOff>
    </xdr:from>
    <xdr:ext cx="209550" cy="200025"/>
    <xdr:pic>
      <xdr:nvPicPr>
        <xdr:cNvPr id="0" name="image21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59</xdr:row>
      <xdr:rowOff>0</xdr:rowOff>
    </xdr:from>
    <xdr:ext cx="209550" cy="200025"/>
    <xdr:pic>
      <xdr:nvPicPr>
        <xdr:cNvPr id="0" name="image18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60</xdr:row>
      <xdr:rowOff>0</xdr:rowOff>
    </xdr:from>
    <xdr:ext cx="209550" cy="200025"/>
    <xdr:pic>
      <xdr:nvPicPr>
        <xdr:cNvPr id="0" name="image18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61</xdr:row>
      <xdr:rowOff>0</xdr:rowOff>
    </xdr:from>
    <xdr:ext cx="209550" cy="200025"/>
    <xdr:pic>
      <xdr:nvPicPr>
        <xdr:cNvPr id="0" name="image18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62</xdr:row>
      <xdr:rowOff>0</xdr:rowOff>
    </xdr:from>
    <xdr:ext cx="209550" cy="200025"/>
    <xdr:pic>
      <xdr:nvPicPr>
        <xdr:cNvPr id="0" name="image18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63</xdr:row>
      <xdr:rowOff>0</xdr:rowOff>
    </xdr:from>
    <xdr:ext cx="209550" cy="200025"/>
    <xdr:pic>
      <xdr:nvPicPr>
        <xdr:cNvPr id="0" name="image18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64</xdr:row>
      <xdr:rowOff>0</xdr:rowOff>
    </xdr:from>
    <xdr:ext cx="209550" cy="200025"/>
    <xdr:pic>
      <xdr:nvPicPr>
        <xdr:cNvPr id="0" name="image18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65</xdr:row>
      <xdr:rowOff>0</xdr:rowOff>
    </xdr:from>
    <xdr:ext cx="209550" cy="200025"/>
    <xdr:pic>
      <xdr:nvPicPr>
        <xdr:cNvPr id="0" name="image22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66</xdr:row>
      <xdr:rowOff>0</xdr:rowOff>
    </xdr:from>
    <xdr:ext cx="209550" cy="200025"/>
    <xdr:pic>
      <xdr:nvPicPr>
        <xdr:cNvPr id="0" name="image22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67</xdr:row>
      <xdr:rowOff>0</xdr:rowOff>
    </xdr:from>
    <xdr:ext cx="209550" cy="200025"/>
    <xdr:pic>
      <xdr:nvPicPr>
        <xdr:cNvPr id="0" name="image20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68</xdr:row>
      <xdr:rowOff>0</xdr:rowOff>
    </xdr:from>
    <xdr:ext cx="209550" cy="200025"/>
    <xdr:pic>
      <xdr:nvPicPr>
        <xdr:cNvPr id="0" name="image20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69</xdr:row>
      <xdr:rowOff>0</xdr:rowOff>
    </xdr:from>
    <xdr:ext cx="209550" cy="200025"/>
    <xdr:pic>
      <xdr:nvPicPr>
        <xdr:cNvPr id="0" name="image29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70</xdr:row>
      <xdr:rowOff>0</xdr:rowOff>
    </xdr:from>
    <xdr:ext cx="209550" cy="200025"/>
    <xdr:pic>
      <xdr:nvPicPr>
        <xdr:cNvPr id="0" name="image29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71</xdr:row>
      <xdr:rowOff>0</xdr:rowOff>
    </xdr:from>
    <xdr:ext cx="209550" cy="200025"/>
    <xdr:pic>
      <xdr:nvPicPr>
        <xdr:cNvPr id="0" name="image28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72</xdr:row>
      <xdr:rowOff>0</xdr:rowOff>
    </xdr:from>
    <xdr:ext cx="209550" cy="200025"/>
    <xdr:pic>
      <xdr:nvPicPr>
        <xdr:cNvPr id="0" name="image28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63"/>
    <col customWidth="1" min="2" max="2" width="36.5"/>
    <col customWidth="1" min="3" max="3" width="23.63"/>
    <col customWidth="1" min="4" max="4" width="23.38"/>
    <col customWidth="1" min="5" max="5" width="25.63"/>
  </cols>
  <sheetData>
    <row r="1">
      <c r="A1" s="1" t="s">
        <v>0</v>
      </c>
      <c r="B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5" t="s">
        <v>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 t="s">
        <v>4</v>
      </c>
      <c r="B3" s="7" t="s">
        <v>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91.25" customHeight="1">
      <c r="A4" s="8" t="str">
        <f>IFERROR(__xludf.DUMMYFUNCTION("IF(A2="""",""Select a muscle"",
  IFERROR(
    ""🧷 ORIGIN"" &amp; CHAR(10) &amp;
    TEXTJOIN(""; "", TRUE,
      UNIQUE(
        FILTER(Muscles!F:F,
          (Muscles!A:A=A2) *
          IF(A3="""", TRUE, Muscles!B:B=A3)
        )
      )
    )
    &amp; CHAR(10) "&amp;"&amp; "" "" &amp; CHAR(10) &amp;
    ""📍 INSERTION"" &amp; CHAR(10) &amp;
    TEXTJOIN(""; "", TRUE,
      UNIQUE(
        FILTER(Muscles!G:G,
          (Muscles!A:A=A2) *
          IF(A3="""", TRUE, Muscles!B:B=A3)
        )
      )
    ),
    ""No attachment data found""
"&amp;"  )
)"),"🧷 ORIGIN
External Occipital Protuberance
📍 INSERTION
Lateral clavicle")</f>
        <v>🧷 ORIGIN
External Occipital Protuberance
📍 INSERTION
Lateral clavicle</v>
      </c>
      <c r="B4" s="9" t="str">
        <f>IFERROR(__xludf.DUMMYFUNCTION("IF(A2="""", ""Select a muscle"",
  UNIQUE(
    FILTER(Muscles!I:I,
      (Muscles!A:A = A2) *
      IF(A3="""", TRUE, Muscles!B:B = A3)
    )
  )
)"),"")</f>
        <v/>
      </c>
      <c r="C4" s="10" t="str">
        <f>IFERROR(__xludf.DUMMYFUNCTION("IF(A2="""",""Select a muscle"",
  LET(
    rawActions,
    FILTER(Muscles!E:E,
      (Muscles!A:A=A2) *
      ((A3="""") + (Muscles!B:B=A3))
    ),
    actions,
    UNIQUE(rawActions),
    order,
    SWITCH(actions,
      ""Elevation"",1,
      "&amp;"""Depression"",2,
      ""Upward Rotation"",3,
      ""Downward Rotation"",4,
      ""Retraction"",5,
      ""Protraction"",6,
      ""Flexion"",7,
      ""Extension"",8,
      ""Abduction"",9,
      ""Adduction"",10,
      ""Internal Rotation"",11,
     "&amp;" ""External Rotation"",12,
      99
    ),
    sorted,
    SORT(actions, order, TRUE),
    mapped,
    SWITCH(sorted,
      ""Elevation"",""⬆️ Elevation"",
      ""Depression"",""⬇️ Depression"",
      ""Upward Rotation"",""🔄⬆️ Upward Rotation"&amp;""",
      ""Downward Rotation"",""🔄⬇️ Downward Rotation"",
      ""Protraction"",""➡️ Protraction"",
      ""Retraction"",""⬅️ Retraction"",
      ""Flexion"",""↗️ Flexion"",
      ""Extension"",""↘️ Extension"",
      ""Abduction"",""⬆️➡️ Abduction"",
 "&amp;"     ""Adduction"",""⬇️⬅️ Adduction"",
      ""Internal Rotation"",""🔄➡️ Internal Rotation"",
      ""External Rotation"",""🔄⬅️ External Rotation"",
  ""Lateral Flexion"",""↔️ Lateral Flexion"",
  ""Horizontal Abduction"",""⬅️➡️⬆️ Horizontal Abduction"""&amp;",
  ""Horizontal Adduction"",""➡️⬅️⬇️ Horizontal Adduction"",
      sorted
    ),
    ""⚡ ACTIONS"" &amp; CHAR(10) &amp; CHAR(10) &amp;
    TEXTJOIN(CHAR(10)&amp;"" ""&amp;CHAR(10), TRUE, mapped)
  )
)"),"⚡ ACTIONS
⬆️ Elevation
🔄⬆️ Upward Rotation")</f>
        <v>⚡ ACTIONS
⬆️ Elevation
🔄⬆️ Upward Rotation</v>
      </c>
      <c r="D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1"/>
      <c r="B5" s="11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2" t="str">
        <f>IF(B2="","Select a muscle",
  IFERROR(
    "🟢 SYNERGISTS" &amp; CHAR(10) &amp;
    TEXTJOIN(CHAR(10), TRUE, A18:A1008),
    "🟢 SYNERGISTS" &amp; CHAR(10) &amp; "None"
  )
)</f>
        <v>🟢 SYNERGISTS
Trapezius - Lower (1: 🔄⬆️ Upward Rotation)
Levator scapulae (1: ⬆️ Elevation)</v>
      </c>
      <c r="B6" s="13"/>
      <c r="C6" s="12" t="str">
        <f>IFERROR(__xludf.DUMMYFUNCTION("IF(B2="""",""Select a muscle"",
  IFERROR(
    IF(COUNTA(FILTER(C18:C1008, (C18:C1008&lt;&gt;"""")*(C18:C1008&lt;&gt;""No antagonists found"")))=0,
      ""🔴 ANTAGONISTS"" &amp; CHAR(10) &amp; ""   • None"",
      ""🔴 ANTAGONISTS ("" &amp;
      COUNTA(FILTER(C18:C1008, (C18:C"&amp;"1008&lt;&gt;"""")*(C18:C1008&lt;&gt;""No antagonists found""))) &amp;
      "")"" &amp; CHAR(10) &amp;
      ""   • "" &amp;
      TEXTJOIN(CHAR(10)&amp;""   • "", TRUE,
        FILTER(C18:C1008, (C18:C1008&lt;&gt;"""")*(C18:C1008&lt;&gt;""No antagonists found""))
      )
    ),
    ""🔴 ANTAGONIST"&amp;"S"" &amp; CHAR(10) &amp; ""   • None""
  )
)"),"🔴 ANTAGONISTS (4)
   • Trapezius - Lower (1: ⬇️ Depression)
   • Rhomboid - Minor (1: 🔄⬇️ Downward Rotation)
   • Rhomboid - Major (1: 🔄⬇️ Downward Rotation)
   • Levator scapulae (1: 🔄⬇️ Downward Rotation)")</f>
        <v>🔴 ANTAGONISTS (4)
   • Trapezius - Lower (1: ⬇️ Depression)
   • Rhomboid - Minor (1: 🔄⬇️ Downward Rotation)
   • Rhomboid - Major (1: 🔄⬇️ Downward Rotation)
   • Levator scapulae (1: 🔄⬇️ Downward Rotation)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5"/>
      <c r="B7" s="11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6"/>
      <c r="B8" s="11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5"/>
      <c r="B9" s="11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5"/>
      <c r="B10" s="11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5"/>
      <c r="B11" s="11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5"/>
      <c r="B12" s="11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5"/>
      <c r="B13" s="11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5"/>
      <c r="B14" s="11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5" t="s">
        <v>6</v>
      </c>
      <c r="B15" s="11" t="str">
        <f>IFERROR(__xludf.DUMMYFUNCTION("IF(A1=""All"", ""Select a region"", TEXTJOIN("", "", TRUE,
  UNIQUE(
    FILTER(Muscles!E:E,
      (Muscles!D:D = A1) *
      IF(A2="""", TRUE, Muscles!A:A = A2) *
      IF(A3="""", TRUE, Muscles!B:B = A3)
    )
  )
))"),"Elevation, Upward Rotation")</f>
        <v>Elevation, Upward Rotation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1" t="s">
        <v>7</v>
      </c>
      <c r="B17" s="3"/>
      <c r="C17" s="11" t="s">
        <v>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tr">
        <f>IFERROR(__xludf.DUMMYFUNCTION("IF(OR(A1="""",A2=""""),""Select a muscle"",
  LET(
    selectedActions,
    UNIQUE(
      FILTER(
        Muscles!E2:E197,
        (Muscles!A2:A197=A2) *
        IF(A3="""", TRUE, Muscles!B2:B197=A3)
      )
    ),
    matches,
    FILTER(
     "&amp;" Muscles!A2:A197 &amp; IF(Muscles!B2:B197&lt;&gt;"""","" - ""&amp;Muscles!B2:B197,"""") &amp;
      ""♦"" &amp; Muscles!E2:E197,
      ISNUMBER(
        MATCH(Muscles!E2:E197, selectedActions, 0)
      ) *
      (Muscles!D2:D197=A1) *
      NOT(
        (M"&amp;"uscles!A2:A197=A2) *
        IF(A3="""", FALSE, Muscles!B2:B197=A3)
      )
    ),
    muscles,
    UNIQUE(INDEX(SPLIT(matches,""♦""),,1)),
    result,
    MAP(
      muscles,
      LAMBDA(m,
        LET(
          mActions,
         "&amp;" FILTER(
            INDEX(SPLIT(matches,""♦""),,2),
            INDEX(SPLIT(matches,""♦""),,1)=m
          ),
          uniqueActions,
          UNIQUE(mActions),
          m &amp; "" ("" &amp;
          COUNTA(uniqueActions) &amp; "": "" &amp;
   "&amp;"       TEXTJOIN("", "", TRUE,
            SWITCH(uniqueActions,
              ""Elevation"",""⬆️ Elevation"",
              ""Depression"",""⬇️ Depression"",
              ""Upward Rotation"",""🔄⬆️ Upward Rotation"",
              ""Downward"&amp;" Rotation"",""🔄⬇️ Downward Rotation"",
              ""Protraction"",""➡️ Protraction"",
              ""Retraction"",""⬅️ Retraction"",
              ""Flexion"",""↗️ Flexion"",
              ""Extension"",""↘️ Extension"",
              ""Abduction"","&amp;"""⬆️➡️ Abduction"",
              ""Adduction"",""⬇️⬅️ Adduction"",
              ""Internal Rotation"",""🔄➡️ Internal Rotation"",
              ""External Rotation"",""🔄⬅️ External Rotation"",
              ""Lateral Flexion"",""↔️ Lateral Flexion"",
 "&amp;"             ""Horizontal Abduction"",""⬅️ Horizontal Abduction"",
              ""Horizontal Adduction"",""➡️ Horizontal Adduction"",
              uniqueActions
            )
          ) &amp; "")""
        )
      )
    ),
    "&amp;"SORT(
      result,
      MAP(result, LAMBDA(x, VALUE(REGEXEXTRACT(x,""\((\d+):"")))),
      FALSE
    )
  )
)"),"Trapezius - Lower (1: 🔄⬆️ Upward Rotation)")</f>
        <v>Trapezius - Lower (1: 🔄⬆️ Upward Rotation)</v>
      </c>
      <c r="B18" s="3"/>
      <c r="C18" s="3" t="str">
        <f>IFERROR(__xludf.DUMMYFUNCTION("IF(OR(A1="""",A2=""""),""Select a muscle"",
  LET(
    selectedActions,
    UNIQUE(
      FILTER(
        Muscles!E2:E197,
        (Muscles!A2:A197=A2) *
        IF(A3="""", TRUE, Muscles!B2:B197=A3)
      )
    ),
    opposingActions,
    UNIQU"&amp;"E(
      FILTER(
        'Action Mapping'!B:B,
        ISNUMBER(
          MATCH(
            'Action Mapping'!A:A,
            selectedActions,
            0
          )
        )
      )
    ),
    matches,
    FILTER(
      Muscles!A2:A197 &amp; IF(Mu"&amp;"scles!B2:B197&lt;&gt;"""","" - ""&amp;Muscles!B2:B197,"""") &amp;
      ""♦"" &amp; Muscles!E2:E197,
      ISNUMBER(
        MATCH(Muscles!E2:E197, opposingActions, 0)
      ) *
      (Muscles!D2:D197=A1) *
      NOT(
        (Muscles!A2:A197=A2) *
   "&amp;"     IF(A3="""", FALSE, Muscles!B2:B197=A3)
      )
    ),
    muscles,
    UNIQUE(INDEX(SPLIT(matches,""♦""),,1)),
    result,
    MAP(
      muscles,
      LAMBDA(m,
        LET(
          mActions,
          FILTER(
            IND"&amp;"EX(SPLIT(matches,""♦""),,2),
            INDEX(SPLIT(matches,""♦""),,1)=m
          ),
          uniqueActions,
          UNIQUE(mActions),
          m &amp; "" ("" &amp;
          COUNTA(uniqueActions) &amp; "": "" &amp;
          TEXTJOIN("", "", "&amp;"TRUE,
            SWITCH(uniqueActions,
              ""Elevation"",""⬆️ Elevation"",
              ""Depression"",""⬇️ Depression"",
              ""Upward Rotation"",""🔄⬆️ Upward Rotation"",
              ""Downward Rotation"",""🔄⬇️ Downw"&amp;"ard Rotation"",
              ""Protraction"",""➡️ Protraction"",
              ""Retraction"",""⬅️ Retraction"",
              ""Flexion"",""↗️ Flexion"",
              ""Extension"",""↘️ Extension"",
              ""Abduction"",""⬆️➡️ Abduction"",
     "&amp;"         ""Adduction"",""⬇️⬅️ Adduction"",
              ""Internal Rotation"",""🔄➡️ Internal Rotation"",
              ""External Rotation"",""🔄⬅️ External Rotation"",
              ""Lateral Flexion"",""↔️ Lateral Flexion"",
              ""Horizontal"&amp;" Abduction"",""⬅️ Horizontal Abduction"",
              ""Horizontal Adduction"",""➡️ Horizontal Adduction"",
              uniqueActions
            )
          ) &amp; "")""
        )
      )
    ),
    SORT(
      result,
     "&amp;" MAP(result, LAMBDA(x, VALUE(REGEXEXTRACT(x,""\((\d+):"")))),
      FALSE
    )
  )
)"),"Trapezius - Lower (1: ⬇️ Depression)")</f>
        <v>Trapezius - Lower (1: ⬇️ Depression)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tr">
        <f>IFERROR(__xludf.DUMMYFUNCTION("""COMPUTED_VALUE"""),"Levator scapulae (1: ⬆️ Elevation)")</f>
        <v>Levator scapulae (1: ⬆️ Elevation)</v>
      </c>
      <c r="B19" s="3"/>
      <c r="C19" s="3" t="str">
        <f>IFERROR(__xludf.DUMMYFUNCTION("""COMPUTED_VALUE"""),"Rhomboid - Minor (1: 🔄⬇️ Downward Rotation)")</f>
        <v>Rhomboid - Minor (1: 🔄⬇️ Downward Rotation)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 t="str">
        <f>IFERROR(__xludf.DUMMYFUNCTION("""COMPUTED_VALUE"""),"Rhomboid - Major (1: 🔄⬇️ Downward Rotation)")</f>
        <v>Rhomboid - Major (1: 🔄⬇️ Downward Rotation)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 t="str">
        <f>IFERROR(__xludf.DUMMYFUNCTION("""COMPUTED_VALUE"""),"Levator scapulae (1: 🔄⬇️ Downward Rotation)")</f>
        <v>Levator scapulae (1: 🔄⬇️ Downward Rotation)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6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</sheetData>
  <dataValidations>
    <dataValidation type="list" allowBlank="1" sqref="A1">
      <formula1>Helper!$A:$A</formula1>
    </dataValidation>
    <dataValidation type="list" allowBlank="1" sqref="A2">
      <formula1>Helper!$B:$B</formula1>
    </dataValidation>
    <dataValidation type="list" allowBlank="1" sqref="A3">
      <formula1>Helper!$C:$C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38"/>
    <col customWidth="1" min="2" max="2" width="28.25"/>
  </cols>
  <sheetData>
    <row r="1">
      <c r="A1" s="1" t="s">
        <v>9</v>
      </c>
      <c r="B1" s="2"/>
    </row>
    <row r="3">
      <c r="A3" s="17" t="str">
        <f>"⚙️ " &amp; UPPER(A1) &amp; " JOINT"</f>
        <v>⚙️ GLENOHUMERAL JOINT</v>
      </c>
      <c r="C3" s="18"/>
      <c r="D3" s="18"/>
    </row>
    <row r="4">
      <c r="A4" s="19" t="str">
        <f>IFERROR(__xludf.DUMMYFUNCTION("IF(A1="""","""",
  LET(
    actions,
    UNIQUE(FILTER(Muscles!E2:E182, Muscles!D2:D182=A1)),
    sortKey,
    IF(REGEXMATCH(actions,""Internal Rotation|External Rotation|Protraction|Retraction|Horizontal""),3,
    IF(REGEXMATCH(actions,""Flexion|Ext"&amp;"ension""),2,
    IF(REGEXMATCH(actions,""Abduction|Adduction|Elevation|Depression|Upward Rotation|Downward Rotation""),1,
    4))),
    SORT(actions, sortKey, TRUE)
  )
)"),"Extension")</f>
        <v>Extension</v>
      </c>
      <c r="B4" s="20" t="str">
        <f>IFERROR(__xludf.DUMMYFUNCTION("IF(A4="""","""",
  ""   • "" &amp;
  TEXTJOIN(CHAR(10)&amp;""   • "", TRUE,
    FILTER(
      Muscles!A$2:A$182 &amp; IF(Muscles!B$2:B$182&lt;&gt;"""","" - ""&amp;Muscles!B$2:B$182,""""),
      (Muscles!D$2:D$182=$A$1) *
      (Muscles!E$2:E$182=A4)
    )
  )
)"),"   • Teres Major
   • Latissimus dorsi
   • Infraspinatus
   • Teres minor
   • Deltoid - Posterior
   • Triceps Brachii - Long Head")</f>
        <v>   • Teres Major
   • Latissimus dorsi
   • Infraspinatus
   • Teres minor
   • Deltoid - Posterior
   • Triceps Brachii - Long Head</v>
      </c>
      <c r="C4" s="20" t="str">
        <f>IFERROR(__xludf.DUMMYFUNCTION("IF(A4="""","""",
  IF(REGEXMATCH(A4,""Abduction|Adduction|Elevation|Depression|Rotation""),
    ""Frontal"",
  IF(REGEXMATCH(A4,""Flexion|Extension""),
    ""Sagittal"",
  IF(REGEXMATCH(A4,""Internal Rotation|External Rotation|Protraction|Retraction|Horiz"&amp;"ontal""),
    ""Transverse"",
  ""Other"")))
)"),"Sagittal")</f>
        <v>Sagittal</v>
      </c>
      <c r="D4" s="21">
        <f>IFERROR(__xludf.DUMMYFUNCTION("IF(A4="""","""",
  IF(REGEXMATCH(A4,""Internal Rotation|External Rotation|Protraction|Retraction|Horizontal""),
    3,
  IF(REGEXMATCH(A4,""Flexion|Extension""),
    2,
  IF(REGEXMATCH(A4,""Abduction|Adduction|Elevation|Depression|Upward Rotation|Downward"&amp;" Rotation""),
    1,
  4)))
)"),2.0)</f>
        <v>2</v>
      </c>
    </row>
    <row r="5">
      <c r="A5" s="19" t="str">
        <f>IFERROR(__xludf.DUMMYFUNCTION("""COMPUTED_VALUE"""),"Adduction")</f>
        <v>Adduction</v>
      </c>
      <c r="B5" s="20" t="str">
        <f>IFERROR(__xludf.DUMMYFUNCTION("IF(A5="""","""",
  ""   • "" &amp;
  TEXTJOIN(CHAR(10)&amp;""   • "", TRUE,
    FILTER(
      Muscles!A$2:A$182 &amp; IF(Muscles!B$2:B$182&lt;&gt;"""","" - ""&amp;Muscles!B$2:B$182,""""),
      (Muscles!D$2:D$182=$A$1) *
      (Muscles!E$2:E$182=A5)
    )
  )
)"),"   • Teres Major
   • Latissimus dorsi
   • Subscapularis
   • Coracobrachialis")</f>
        <v>   • Teres Major
   • Latissimus dorsi
   • Subscapularis
   • Coracobrachialis</v>
      </c>
      <c r="C5" s="20" t="str">
        <f>IFERROR(__xludf.DUMMYFUNCTION("IF(A5="""","""",
  IF(REGEXMATCH(A5,""Abduction|Adduction|Elevation|Depression|Rotation""),
    ""Frontal"",
  IF(REGEXMATCH(A5,""Flexion|Extension""),
    ""Sagittal"",
  IF(REGEXMATCH(A5,""Internal Rotation|External Rotation|Protraction|Retraction|Horiz"&amp;"ontal""),
    ""Transverse"",
  ""Other"")))
)"),"Frontal")</f>
        <v>Frontal</v>
      </c>
      <c r="D5" s="21">
        <f>IFERROR(__xludf.DUMMYFUNCTION("IF(A5="""","""",
  IF(REGEXMATCH(A5,""Internal Rotation|External Rotation|Protraction|Retraction|Horizontal""),
    3,
  IF(REGEXMATCH(A5,""Flexion|Extension""),
    2,
  IF(REGEXMATCH(A5,""Abduction|Adduction|Elevation|Depression|Upward Rotation|Downward"&amp;" Rotation""),
    1,
  4)))
)"),1.0)</f>
        <v>1</v>
      </c>
    </row>
    <row r="6">
      <c r="A6" s="19" t="str">
        <f>IFERROR(__xludf.DUMMYFUNCTION("""COMPUTED_VALUE"""),"Internal Rotation")</f>
        <v>Internal Rotation</v>
      </c>
      <c r="B6" s="20" t="str">
        <f>IFERROR(__xludf.DUMMYFUNCTION("IF(A6="""","""",
  ""   • "" &amp;
  TEXTJOIN(CHAR(10)&amp;""   • "", TRUE,
    FILTER(
      Muscles!A$2:A$182 &amp; IF(Muscles!B$2:B$182&lt;&gt;"""","" - ""&amp;Muscles!B$2:B$182,""""),
      (Muscles!D$2:D$182=$A$1) *
      (Muscles!E$2:E$182=A6)
    )
  )
)"),"   • Teres Major
   • Latissimus dorsi
   • Subscapularis
   • Deltoid - Anterior")</f>
        <v>   • Teres Major
   • Latissimus dorsi
   • Subscapularis
   • Deltoid - Anterior</v>
      </c>
      <c r="C6" s="20" t="str">
        <f>IFERROR(__xludf.DUMMYFUNCTION("IF(A6="""","""",
  IF(REGEXMATCH(A6,""Abduction|Adduction|Elevation|Depression|Rotation""),
    ""Frontal"",
  IF(REGEXMATCH(A6,""Flexion|Extension""),
    ""Sagittal"",
  IF(REGEXMATCH(A6,""Internal Rotation|External Rotation|Protraction|Retraction|Horiz"&amp;"ontal""),
    ""Transverse"",
  ""Other"")))
)"),"Frontal")</f>
        <v>Frontal</v>
      </c>
      <c r="D6" s="21">
        <f>IFERROR(__xludf.DUMMYFUNCTION("IF(A6="""","""",
  IF(REGEXMATCH(A6,""Internal Rotation|External Rotation|Protraction|Retraction|Horizontal""),
    3,
  IF(REGEXMATCH(A6,""Flexion|Extension""),
    2,
  IF(REGEXMATCH(A6,""Abduction|Adduction|Elevation|Depression|Upward Rotation|Downward"&amp;" Rotation""),
    1,
  4)))
)"),3.0)</f>
        <v>3</v>
      </c>
    </row>
    <row r="7">
      <c r="A7" s="19" t="str">
        <f>IFERROR(__xludf.DUMMYFUNCTION("""COMPUTED_VALUE"""),"Abduction")</f>
        <v>Abduction</v>
      </c>
      <c r="B7" s="20" t="str">
        <f>IFERROR(__xludf.DUMMYFUNCTION("IF(A7="""","""",
  ""   • "" &amp;
  TEXTJOIN(CHAR(10)&amp;""   • "", TRUE,
    FILTER(
      Muscles!A$2:A$182 &amp; IF(Muscles!B$2:B$182&lt;&gt;"""","" - ""&amp;Muscles!B$2:B$182,""""),
      (Muscles!D$2:D$182=$A$1) *
      (Muscles!E$2:E$182=A7)
    )
  )
)"),"   • Supraspinatus
   • Deltoid - Middle")</f>
        <v>   • Supraspinatus
   • Deltoid - Middle</v>
      </c>
      <c r="C7" s="20" t="str">
        <f>IFERROR(__xludf.DUMMYFUNCTION("IF(A7="""","""",
  IF(REGEXMATCH(A7,""Abduction|Adduction|Elevation|Depression|Rotation""),
    ""Frontal"",
  IF(REGEXMATCH(A7,""Flexion|Extension""),
    ""Sagittal"",
  IF(REGEXMATCH(A7,""Internal Rotation|External Rotation|Protraction|Retraction|Horiz"&amp;"ontal""),
    ""Transverse"",
  ""Other"")))
)"),"Frontal")</f>
        <v>Frontal</v>
      </c>
      <c r="D7" s="21">
        <f>IFERROR(__xludf.DUMMYFUNCTION("IF(A7="""","""",
  IF(REGEXMATCH(A7,""Internal Rotation|External Rotation|Protraction|Retraction|Horizontal""),
    3,
  IF(REGEXMATCH(A7,""Flexion|Extension""),
    2,
  IF(REGEXMATCH(A7,""Abduction|Adduction|Elevation|Depression|Upward Rotation|Downward"&amp;" Rotation""),
    1,
  4)))
)"),1.0)</f>
        <v>1</v>
      </c>
    </row>
    <row r="8">
      <c r="A8" s="19" t="str">
        <f>IFERROR(__xludf.DUMMYFUNCTION("""COMPUTED_VALUE"""),"External Rotation")</f>
        <v>External Rotation</v>
      </c>
      <c r="B8" s="20" t="str">
        <f>IFERROR(__xludf.DUMMYFUNCTION("IF(A8="""","""",
  ""   • "" &amp;
  TEXTJOIN(CHAR(10)&amp;""   • "", TRUE,
    FILTER(
      Muscles!A$2:A$182 &amp; IF(Muscles!B$2:B$182&lt;&gt;"""","" - ""&amp;Muscles!B$2:B$182,""""),
      (Muscles!D$2:D$182=$A$1) *
      (Muscles!E$2:E$182=A8)
    )
  )
)"),"   • Infraspinatus
   • Teres minor
   • Deltoid - Posterior")</f>
        <v>   • Infraspinatus
   • Teres minor
   • Deltoid - Posterior</v>
      </c>
      <c r="C8" s="20" t="str">
        <f>IFERROR(__xludf.DUMMYFUNCTION("IF(A8="""","""",
  IF(REGEXMATCH(A8,""Abduction|Adduction|Elevation|Depression|Rotation""),
    ""Frontal"",
  IF(REGEXMATCH(A8,""Flexion|Extension""),
    ""Sagittal"",
  IF(REGEXMATCH(A8,""Internal Rotation|External Rotation|Protraction|Retraction|Horiz"&amp;"ontal""),
    ""Transverse"",
  ""Other"")))
)"),"Frontal")</f>
        <v>Frontal</v>
      </c>
      <c r="D8" s="21">
        <f>IFERROR(__xludf.DUMMYFUNCTION("IF(A8="""","""",
  IF(REGEXMATCH(A8,""Internal Rotation|External Rotation|Protraction|Retraction|Horizontal""),
    3,
  IF(REGEXMATCH(A8,""Flexion|Extension""),
    2,
  IF(REGEXMATCH(A8,""Abduction|Adduction|Elevation|Depression|Upward Rotation|Downward"&amp;" Rotation""),
    1,
  4)))
)"),3.0)</f>
        <v>3</v>
      </c>
    </row>
    <row r="9">
      <c r="A9" s="19" t="str">
        <f>IFERROR(__xludf.DUMMYFUNCTION("""COMPUTED_VALUE"""),"Flexion")</f>
        <v>Flexion</v>
      </c>
      <c r="B9" s="20" t="str">
        <f>IFERROR(__xludf.DUMMYFUNCTION("IF(A9="""","""",
  ""   • "" &amp;
  TEXTJOIN(CHAR(10)&amp;""   • "", TRUE,
    FILTER(
      Muscles!A$2:A$182 &amp; IF(Muscles!B$2:B$182&lt;&gt;"""","" - ""&amp;Muscles!B$2:B$182,""""),
      (Muscles!D$2:D$182=$A$1) *
      (Muscles!E$2:E$182=A9)
    )
  )
)"),"   • Coracobrachialis
   • Deltoid - Anterior")</f>
        <v>   • Coracobrachialis
   • Deltoid - Anterior</v>
      </c>
      <c r="C9" s="20" t="str">
        <f>IFERROR(__xludf.DUMMYFUNCTION("IF(A9="""","""",
  IF(REGEXMATCH(A9,""Abduction|Adduction|Elevation|Depression|Rotation""),
    ""Frontal"",
  IF(REGEXMATCH(A9,""Flexion|Extension""),
    ""Sagittal"",
  IF(REGEXMATCH(A9,""Internal Rotation|External Rotation|Protraction|Retraction|Horiz"&amp;"ontal""),
    ""Transverse"",
  ""Other"")))
)"),"Sagittal")</f>
        <v>Sagittal</v>
      </c>
      <c r="D9" s="21">
        <f>IFERROR(__xludf.DUMMYFUNCTION("IF(A9="""","""",
  IF(REGEXMATCH(A9,""Internal Rotation|External Rotation|Protraction|Retraction|Horizontal""),
    3,
  IF(REGEXMATCH(A9,""Flexion|Extension""),
    2,
  IF(REGEXMATCH(A9,""Abduction|Adduction|Elevation|Depression|Upward Rotation|Downward"&amp;" Rotation""),
    1,
  4)))
)"),2.0)</f>
        <v>2</v>
      </c>
    </row>
    <row r="10">
      <c r="A10" s="19" t="str">
        <f>IFERROR(__xludf.DUMMYFUNCTION("""COMPUTED_VALUE"""),"Horizontal Adduction")</f>
        <v>Horizontal Adduction</v>
      </c>
      <c r="B10" s="20" t="str">
        <f>IFERROR(__xludf.DUMMYFUNCTION("IF(A10="""","""",
  ""   • "" &amp;
  TEXTJOIN(CHAR(10)&amp;""   • "", TRUE,
    FILTER(
      Muscles!A$2:A$182 &amp; IF(Muscles!B$2:B$182&lt;&gt;"""","" - ""&amp;Muscles!B$2:B$182,""""),
      (Muscles!D$2:D$182=$A$1) *
      (Muscles!E$2:E$182=A10)
    )
  )
)"),"   • Deltoid - Anterior")</f>
        <v>   • Deltoid - Anterior</v>
      </c>
      <c r="C10" s="20" t="str">
        <f>IFERROR(__xludf.DUMMYFUNCTION("IF(A10="""","""",
  IF(REGEXMATCH(A10,""Abduction|Adduction|Elevation|Depression|Rotation""),
    ""Frontal"",
  IF(REGEXMATCH(A10,""Flexion|Extension""),
    ""Sagittal"",
  IF(REGEXMATCH(A10,""Internal Rotation|External Rotation|Protraction|Retraction|H"&amp;"orizontal""),
    ""Transverse"",
  ""Other"")))
)"),"Frontal")</f>
        <v>Frontal</v>
      </c>
      <c r="D10" s="21">
        <f>IFERROR(__xludf.DUMMYFUNCTION("IF(A10="""","""",
  IF(REGEXMATCH(A10,""Internal Rotation|External Rotation|Protraction|Retraction|Horizontal""),
    3,
  IF(REGEXMATCH(A10,""Flexion|Extension""),
    2,
  IF(REGEXMATCH(A10,""Abduction|Adduction|Elevation|Depression|Upward Rotation|Down"&amp;"ward Rotation""),
    1,
  4)))
)"),3.0)</f>
        <v>3</v>
      </c>
    </row>
    <row r="11">
      <c r="A11" s="19" t="str">
        <f>IFERROR(__xludf.DUMMYFUNCTION("""COMPUTED_VALUE"""),"Horizontal Abduction")</f>
        <v>Horizontal Abduction</v>
      </c>
      <c r="B11" s="20" t="str">
        <f>IFERROR(__xludf.DUMMYFUNCTION("IF(A11="""","""",
  ""   • "" &amp;
  TEXTJOIN(CHAR(10)&amp;""   • "", TRUE,
    FILTER(
      Muscles!A$2:A$182 &amp; IF(Muscles!B$2:B$182&lt;&gt;"""","" - ""&amp;Muscles!B$2:B$182,""""),
      (Muscles!D$2:D$182=$A$1) *
      (Muscles!E$2:E$182=A11)
    )
  )
)"),"   • Deltoid - Posterior")</f>
        <v>   • Deltoid - Posterior</v>
      </c>
      <c r="C11" s="20" t="str">
        <f>IFERROR(__xludf.DUMMYFUNCTION("IF(A11="""","""",
  IF(REGEXMATCH(A11,""Abduction|Adduction|Elevation|Depression|Rotation""),
    ""Frontal"",
  IF(REGEXMATCH(A11,""Flexion|Extension""),
    ""Sagittal"",
  IF(REGEXMATCH(A11,""Internal Rotation|External Rotation|Protraction|Retraction|H"&amp;"orizontal""),
    ""Transverse"",
  ""Other"")))
)"),"Frontal")</f>
        <v>Frontal</v>
      </c>
      <c r="D11" s="21">
        <f>IFERROR(__xludf.DUMMYFUNCTION("IF(A11="""","""",
  IF(REGEXMATCH(A11,""Internal Rotation|External Rotation|Protraction|Retraction|Horizontal""),
    3,
  IF(REGEXMATCH(A11,""Flexion|Extension""),
    2,
  IF(REGEXMATCH(A11,""Abduction|Adduction|Elevation|Depression|Upward Rotation|Down"&amp;"ward Rotation""),
    1,
  4)))
)"),3.0)</f>
        <v>3</v>
      </c>
    </row>
  </sheetData>
  <mergeCells count="1">
    <mergeCell ref="A3:B3"/>
  </mergeCells>
  <dataValidations>
    <dataValidation type="list" allowBlank="1" sqref="A1">
      <formula1>Helper!$A:$A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63"/>
    <col customWidth="1" min="2" max="2" width="9.75"/>
    <col customWidth="1" min="6" max="6" width="21.13"/>
    <col customWidth="1" min="7" max="7" width="17.0"/>
  </cols>
  <sheetData>
    <row r="1">
      <c r="A1" s="22" t="s">
        <v>3</v>
      </c>
      <c r="B1" s="22" t="s">
        <v>5</v>
      </c>
      <c r="C1" s="22" t="s">
        <v>10</v>
      </c>
      <c r="D1" s="22" t="s">
        <v>1</v>
      </c>
      <c r="E1" s="22" t="s">
        <v>11</v>
      </c>
      <c r="F1" s="22" t="s">
        <v>12</v>
      </c>
      <c r="G1" s="22" t="s">
        <v>13</v>
      </c>
      <c r="H1" s="22" t="s">
        <v>14</v>
      </c>
      <c r="I1" s="22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r="2">
      <c r="A2" s="9" t="s">
        <v>2</v>
      </c>
      <c r="B2" s="9" t="s">
        <v>4</v>
      </c>
      <c r="C2" s="9" t="s">
        <v>15</v>
      </c>
      <c r="D2" s="9" t="s">
        <v>0</v>
      </c>
      <c r="E2" s="9" t="s">
        <v>16</v>
      </c>
      <c r="F2" s="9" t="s">
        <v>17</v>
      </c>
      <c r="G2" s="9" t="s">
        <v>18</v>
      </c>
      <c r="H2" s="9" t="s">
        <v>19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9" t="s">
        <v>2</v>
      </c>
      <c r="B3" s="9" t="s">
        <v>4</v>
      </c>
      <c r="C3" s="9" t="s">
        <v>15</v>
      </c>
      <c r="D3" s="9" t="s">
        <v>0</v>
      </c>
      <c r="E3" s="9" t="s">
        <v>20</v>
      </c>
      <c r="F3" s="9" t="s">
        <v>17</v>
      </c>
      <c r="G3" s="9" t="s">
        <v>18</v>
      </c>
      <c r="H3" s="9" t="s">
        <v>19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9" t="s">
        <v>2</v>
      </c>
      <c r="B4" s="9" t="s">
        <v>21</v>
      </c>
      <c r="C4" s="9" t="s">
        <v>15</v>
      </c>
      <c r="D4" s="9" t="s">
        <v>0</v>
      </c>
      <c r="E4" s="9" t="s">
        <v>22</v>
      </c>
      <c r="F4" s="9" t="s">
        <v>23</v>
      </c>
      <c r="G4" s="9" t="s">
        <v>24</v>
      </c>
      <c r="H4" s="9" t="s">
        <v>19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9" t="s">
        <v>2</v>
      </c>
      <c r="B5" s="9" t="s">
        <v>25</v>
      </c>
      <c r="C5" s="9" t="s">
        <v>15</v>
      </c>
      <c r="D5" s="9" t="s">
        <v>0</v>
      </c>
      <c r="E5" s="9" t="s">
        <v>26</v>
      </c>
      <c r="F5" s="9" t="s">
        <v>27</v>
      </c>
      <c r="G5" s="9" t="s">
        <v>28</v>
      </c>
      <c r="H5" s="9" t="s">
        <v>19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9" t="s">
        <v>2</v>
      </c>
      <c r="B6" s="9" t="s">
        <v>25</v>
      </c>
      <c r="C6" s="9" t="s">
        <v>15</v>
      </c>
      <c r="D6" s="9" t="s">
        <v>0</v>
      </c>
      <c r="E6" s="9" t="s">
        <v>20</v>
      </c>
      <c r="F6" s="9" t="s">
        <v>27</v>
      </c>
      <c r="G6" s="9" t="s">
        <v>28</v>
      </c>
      <c r="H6" s="9" t="s">
        <v>19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9" t="s">
        <v>29</v>
      </c>
      <c r="B7" s="9" t="s">
        <v>30</v>
      </c>
      <c r="C7" s="9" t="s">
        <v>15</v>
      </c>
      <c r="D7" s="9" t="s">
        <v>0</v>
      </c>
      <c r="E7" s="9" t="s">
        <v>22</v>
      </c>
      <c r="F7" s="9" t="s">
        <v>31</v>
      </c>
      <c r="G7" s="9" t="s">
        <v>28</v>
      </c>
      <c r="H7" s="9" t="s">
        <v>21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9" t="s">
        <v>29</v>
      </c>
      <c r="B8" s="9" t="s">
        <v>30</v>
      </c>
      <c r="C8" s="9" t="s">
        <v>15</v>
      </c>
      <c r="D8" s="9" t="s">
        <v>0</v>
      </c>
      <c r="E8" s="9" t="s">
        <v>32</v>
      </c>
      <c r="F8" s="9" t="s">
        <v>31</v>
      </c>
      <c r="G8" s="9" t="s">
        <v>28</v>
      </c>
      <c r="H8" s="9" t="s">
        <v>21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9" t="s">
        <v>29</v>
      </c>
      <c r="B9" s="9" t="s">
        <v>33</v>
      </c>
      <c r="C9" s="9" t="s">
        <v>15</v>
      </c>
      <c r="D9" s="9" t="s">
        <v>0</v>
      </c>
      <c r="E9" s="9" t="s">
        <v>22</v>
      </c>
      <c r="F9" s="9" t="s">
        <v>34</v>
      </c>
      <c r="G9" s="9" t="s">
        <v>35</v>
      </c>
      <c r="H9" s="9" t="s">
        <v>21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9" t="s">
        <v>29</v>
      </c>
      <c r="B10" s="9" t="s">
        <v>33</v>
      </c>
      <c r="C10" s="9" t="s">
        <v>15</v>
      </c>
      <c r="D10" s="9" t="s">
        <v>0</v>
      </c>
      <c r="E10" s="9" t="s">
        <v>32</v>
      </c>
      <c r="F10" s="9" t="s">
        <v>34</v>
      </c>
      <c r="G10" s="9" t="s">
        <v>35</v>
      </c>
      <c r="H10" s="9" t="s">
        <v>21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9" t="s">
        <v>36</v>
      </c>
      <c r="B11" s="9" t="s">
        <v>37</v>
      </c>
      <c r="C11" s="9" t="s">
        <v>15</v>
      </c>
      <c r="D11" s="9" t="s">
        <v>0</v>
      </c>
      <c r="E11" s="9" t="s">
        <v>16</v>
      </c>
      <c r="F11" s="9" t="s">
        <v>38</v>
      </c>
      <c r="G11" s="9" t="s">
        <v>39</v>
      </c>
      <c r="H11" s="9" t="s">
        <v>21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9" t="s">
        <v>36</v>
      </c>
      <c r="B12" s="9" t="s">
        <v>37</v>
      </c>
      <c r="C12" s="9" t="s">
        <v>15</v>
      </c>
      <c r="D12" s="9" t="s">
        <v>0</v>
      </c>
      <c r="E12" s="9" t="s">
        <v>32</v>
      </c>
      <c r="F12" s="9" t="s">
        <v>38</v>
      </c>
      <c r="G12" s="9" t="s">
        <v>39</v>
      </c>
      <c r="H12" s="9" t="s">
        <v>21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9" t="s">
        <v>40</v>
      </c>
      <c r="B13" s="9" t="s">
        <v>37</v>
      </c>
      <c r="C13" s="9" t="s">
        <v>41</v>
      </c>
      <c r="D13" s="9" t="s">
        <v>9</v>
      </c>
      <c r="E13" s="9" t="s">
        <v>42</v>
      </c>
      <c r="F13" s="9" t="s">
        <v>43</v>
      </c>
      <c r="G13" s="9" t="s">
        <v>44</v>
      </c>
      <c r="H13" s="9" t="s">
        <v>21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9" t="s">
        <v>40</v>
      </c>
      <c r="B14" s="9" t="s">
        <v>37</v>
      </c>
      <c r="C14" s="9" t="s">
        <v>41</v>
      </c>
      <c r="D14" s="9" t="s">
        <v>9</v>
      </c>
      <c r="E14" s="9" t="s">
        <v>45</v>
      </c>
      <c r="F14" s="9" t="s">
        <v>43</v>
      </c>
      <c r="G14" s="9" t="s">
        <v>44</v>
      </c>
      <c r="H14" s="9" t="s">
        <v>21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9" t="s">
        <v>40</v>
      </c>
      <c r="B15" s="9" t="s">
        <v>37</v>
      </c>
      <c r="C15" s="9" t="s">
        <v>41</v>
      </c>
      <c r="D15" s="9" t="s">
        <v>9</v>
      </c>
      <c r="E15" s="9" t="s">
        <v>46</v>
      </c>
      <c r="F15" s="9" t="s">
        <v>43</v>
      </c>
      <c r="G15" s="9" t="s">
        <v>44</v>
      </c>
      <c r="H15" s="9" t="s">
        <v>21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9" t="s">
        <v>47</v>
      </c>
      <c r="B16" s="9" t="s">
        <v>37</v>
      </c>
      <c r="C16" s="9" t="s">
        <v>41</v>
      </c>
      <c r="D16" s="9" t="s">
        <v>9</v>
      </c>
      <c r="E16" s="9" t="s">
        <v>42</v>
      </c>
      <c r="F16" s="9" t="s">
        <v>48</v>
      </c>
      <c r="G16" s="9" t="s">
        <v>44</v>
      </c>
      <c r="H16" s="9" t="s">
        <v>19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9" t="s">
        <v>47</v>
      </c>
      <c r="B17" s="9" t="s">
        <v>37</v>
      </c>
      <c r="C17" s="9" t="s">
        <v>41</v>
      </c>
      <c r="D17" s="9" t="s">
        <v>9</v>
      </c>
      <c r="E17" s="9" t="s">
        <v>45</v>
      </c>
      <c r="F17" s="9" t="s">
        <v>48</v>
      </c>
      <c r="G17" s="9" t="s">
        <v>44</v>
      </c>
      <c r="H17" s="9" t="s">
        <v>19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9" t="s">
        <v>47</v>
      </c>
      <c r="B18" s="9" t="s">
        <v>37</v>
      </c>
      <c r="C18" s="9" t="s">
        <v>41</v>
      </c>
      <c r="D18" s="9" t="s">
        <v>9</v>
      </c>
      <c r="E18" s="9" t="s">
        <v>46</v>
      </c>
      <c r="F18" s="9" t="s">
        <v>48</v>
      </c>
      <c r="G18" s="9" t="s">
        <v>44</v>
      </c>
      <c r="H18" s="9" t="s">
        <v>19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9" t="s">
        <v>49</v>
      </c>
      <c r="B19" s="9" t="s">
        <v>37</v>
      </c>
      <c r="C19" s="9" t="s">
        <v>50</v>
      </c>
      <c r="D19" s="9" t="s">
        <v>51</v>
      </c>
      <c r="E19" s="9" t="s">
        <v>52</v>
      </c>
      <c r="F19" s="9" t="s">
        <v>53</v>
      </c>
      <c r="G19" s="9" t="s">
        <v>54</v>
      </c>
      <c r="H19" s="9" t="s">
        <v>55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9" t="s">
        <v>56</v>
      </c>
      <c r="B20" s="9"/>
      <c r="C20" s="9" t="s">
        <v>57</v>
      </c>
      <c r="D20" s="9" t="s">
        <v>51</v>
      </c>
      <c r="E20" s="9" t="s">
        <v>42</v>
      </c>
      <c r="F20" s="9" t="s">
        <v>58</v>
      </c>
      <c r="G20" s="9" t="s">
        <v>59</v>
      </c>
      <c r="H20" s="9" t="s">
        <v>55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9" t="s">
        <v>56</v>
      </c>
      <c r="B21" s="9"/>
      <c r="C21" s="9" t="s">
        <v>57</v>
      </c>
      <c r="D21" s="9" t="s">
        <v>51</v>
      </c>
      <c r="E21" s="9" t="s">
        <v>52</v>
      </c>
      <c r="F21" s="9" t="s">
        <v>58</v>
      </c>
      <c r="G21" s="9" t="s">
        <v>59</v>
      </c>
      <c r="H21" s="9" t="s">
        <v>55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9" t="s">
        <v>60</v>
      </c>
      <c r="B22" s="9"/>
      <c r="C22" s="9" t="s">
        <v>57</v>
      </c>
      <c r="D22" s="9" t="s">
        <v>51</v>
      </c>
      <c r="E22" s="9" t="s">
        <v>42</v>
      </c>
      <c r="F22" s="9" t="s">
        <v>61</v>
      </c>
      <c r="G22" s="9" t="s">
        <v>62</v>
      </c>
      <c r="H22" s="9" t="s">
        <v>55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9" t="s">
        <v>60</v>
      </c>
      <c r="B23" s="9"/>
      <c r="C23" s="9" t="s">
        <v>57</v>
      </c>
      <c r="D23" s="9" t="s">
        <v>51</v>
      </c>
      <c r="E23" s="9" t="s">
        <v>52</v>
      </c>
      <c r="F23" s="9" t="s">
        <v>61</v>
      </c>
      <c r="G23" s="9" t="s">
        <v>62</v>
      </c>
      <c r="H23" s="9" t="s">
        <v>55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9" t="s">
        <v>63</v>
      </c>
      <c r="B24" s="9"/>
      <c r="C24" s="9" t="s">
        <v>57</v>
      </c>
      <c r="D24" s="9" t="s">
        <v>51</v>
      </c>
      <c r="E24" s="9" t="s">
        <v>42</v>
      </c>
      <c r="F24" s="9" t="s">
        <v>64</v>
      </c>
      <c r="G24" s="9" t="s">
        <v>65</v>
      </c>
      <c r="H24" s="9" t="s">
        <v>55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9" t="s">
        <v>63</v>
      </c>
      <c r="B25" s="9"/>
      <c r="C25" s="9" t="s">
        <v>57</v>
      </c>
      <c r="D25" s="9" t="s">
        <v>51</v>
      </c>
      <c r="E25" s="9" t="s">
        <v>52</v>
      </c>
      <c r="F25" s="9" t="s">
        <v>64</v>
      </c>
      <c r="G25" s="9" t="s">
        <v>65</v>
      </c>
      <c r="H25" s="9" t="s">
        <v>55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9" t="s">
        <v>66</v>
      </c>
      <c r="B26" s="9" t="s">
        <v>37</v>
      </c>
      <c r="C26" s="9" t="s">
        <v>67</v>
      </c>
      <c r="D26" s="9" t="s">
        <v>9</v>
      </c>
      <c r="E26" s="9" t="s">
        <v>68</v>
      </c>
      <c r="F26" s="9" t="s">
        <v>69</v>
      </c>
      <c r="G26" s="9" t="s">
        <v>70</v>
      </c>
      <c r="H26" s="9" t="s">
        <v>21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9" t="s">
        <v>71</v>
      </c>
      <c r="B27" s="9" t="s">
        <v>37</v>
      </c>
      <c r="C27" s="9" t="s">
        <v>67</v>
      </c>
      <c r="D27" s="9" t="s">
        <v>9</v>
      </c>
      <c r="E27" s="9" t="s">
        <v>72</v>
      </c>
      <c r="F27" s="9" t="s">
        <v>73</v>
      </c>
      <c r="G27" s="9" t="s">
        <v>70</v>
      </c>
      <c r="H27" s="9" t="s">
        <v>21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9" t="s">
        <v>71</v>
      </c>
      <c r="B28" s="9" t="s">
        <v>37</v>
      </c>
      <c r="C28" s="9" t="s">
        <v>67</v>
      </c>
      <c r="D28" s="9" t="s">
        <v>9</v>
      </c>
      <c r="E28" s="9" t="s">
        <v>42</v>
      </c>
      <c r="F28" s="9" t="s">
        <v>73</v>
      </c>
      <c r="G28" s="9" t="s">
        <v>70</v>
      </c>
      <c r="H28" s="9" t="s">
        <v>21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9" t="s">
        <v>74</v>
      </c>
      <c r="B29" s="9" t="s">
        <v>37</v>
      </c>
      <c r="C29" s="9" t="s">
        <v>67</v>
      </c>
      <c r="D29" s="9" t="s">
        <v>9</v>
      </c>
      <c r="E29" s="9" t="s">
        <v>72</v>
      </c>
      <c r="F29" s="9" t="s">
        <v>75</v>
      </c>
      <c r="G29" s="9" t="s">
        <v>70</v>
      </c>
      <c r="H29" s="9" t="s">
        <v>21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9" t="s">
        <v>74</v>
      </c>
      <c r="B30" s="9" t="s">
        <v>37</v>
      </c>
      <c r="C30" s="9" t="s">
        <v>67</v>
      </c>
      <c r="D30" s="9" t="s">
        <v>9</v>
      </c>
      <c r="E30" s="9" t="s">
        <v>42</v>
      </c>
      <c r="F30" s="9" t="s">
        <v>75</v>
      </c>
      <c r="G30" s="9" t="s">
        <v>70</v>
      </c>
      <c r="H30" s="9" t="s">
        <v>21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9" t="s">
        <v>76</v>
      </c>
      <c r="B31" s="9" t="s">
        <v>37</v>
      </c>
      <c r="C31" s="9" t="s">
        <v>67</v>
      </c>
      <c r="D31" s="9" t="s">
        <v>9</v>
      </c>
      <c r="E31" s="9" t="s">
        <v>46</v>
      </c>
      <c r="F31" s="9" t="s">
        <v>77</v>
      </c>
      <c r="G31" s="9" t="s">
        <v>78</v>
      </c>
      <c r="H31" s="9" t="s">
        <v>21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9" t="s">
        <v>76</v>
      </c>
      <c r="B32" s="9" t="s">
        <v>37</v>
      </c>
      <c r="C32" s="9" t="s">
        <v>67</v>
      </c>
      <c r="D32" s="9" t="s">
        <v>9</v>
      </c>
      <c r="E32" s="9" t="s">
        <v>45</v>
      </c>
      <c r="F32" s="9" t="s">
        <v>77</v>
      </c>
      <c r="G32" s="9" t="s">
        <v>78</v>
      </c>
      <c r="H32" s="9" t="s">
        <v>21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9" t="s">
        <v>79</v>
      </c>
      <c r="B33" s="9" t="s">
        <v>37</v>
      </c>
      <c r="C33" s="9" t="s">
        <v>80</v>
      </c>
      <c r="D33" s="9" t="s">
        <v>9</v>
      </c>
      <c r="E33" s="9" t="s">
        <v>81</v>
      </c>
      <c r="F33" s="9" t="s">
        <v>82</v>
      </c>
      <c r="G33" s="9" t="s">
        <v>83</v>
      </c>
      <c r="H33" s="9" t="s">
        <v>21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9" t="s">
        <v>79</v>
      </c>
      <c r="B34" s="9" t="s">
        <v>37</v>
      </c>
      <c r="C34" s="9" t="s">
        <v>80</v>
      </c>
      <c r="D34" s="9" t="s">
        <v>9</v>
      </c>
      <c r="E34" s="9" t="s">
        <v>45</v>
      </c>
      <c r="F34" s="9" t="s">
        <v>82</v>
      </c>
      <c r="G34" s="9" t="s">
        <v>83</v>
      </c>
      <c r="H34" s="9" t="s">
        <v>21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9" t="s">
        <v>84</v>
      </c>
      <c r="B35" s="9" t="s">
        <v>85</v>
      </c>
      <c r="C35" s="9" t="s">
        <v>86</v>
      </c>
      <c r="D35" s="9" t="s">
        <v>9</v>
      </c>
      <c r="E35" s="9" t="s">
        <v>81</v>
      </c>
      <c r="F35" s="9" t="s">
        <v>87</v>
      </c>
      <c r="G35" s="9" t="s">
        <v>88</v>
      </c>
      <c r="H35" s="9" t="s">
        <v>21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9" t="s">
        <v>84</v>
      </c>
      <c r="B36" s="9" t="s">
        <v>85</v>
      </c>
      <c r="C36" s="9" t="s">
        <v>86</v>
      </c>
      <c r="D36" s="9" t="s">
        <v>9</v>
      </c>
      <c r="E36" s="9" t="s">
        <v>46</v>
      </c>
      <c r="F36" s="9" t="s">
        <v>87</v>
      </c>
      <c r="G36" s="9" t="s">
        <v>88</v>
      </c>
      <c r="H36" s="9" t="s">
        <v>21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9" t="s">
        <v>84</v>
      </c>
      <c r="B37" s="9" t="s">
        <v>85</v>
      </c>
      <c r="C37" s="9" t="s">
        <v>86</v>
      </c>
      <c r="D37" s="9" t="s">
        <v>9</v>
      </c>
      <c r="E37" s="9" t="s">
        <v>89</v>
      </c>
      <c r="F37" s="9" t="s">
        <v>87</v>
      </c>
      <c r="G37" s="9" t="s">
        <v>88</v>
      </c>
      <c r="H37" s="9" t="s">
        <v>21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9" t="s">
        <v>84</v>
      </c>
      <c r="B38" s="9" t="s">
        <v>21</v>
      </c>
      <c r="C38" s="9" t="s">
        <v>86</v>
      </c>
      <c r="D38" s="9" t="s">
        <v>9</v>
      </c>
      <c r="E38" s="9" t="s">
        <v>68</v>
      </c>
      <c r="F38" s="9" t="s">
        <v>90</v>
      </c>
      <c r="G38" s="9" t="s">
        <v>88</v>
      </c>
      <c r="H38" s="9" t="s">
        <v>21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9" t="s">
        <v>84</v>
      </c>
      <c r="B39" s="9" t="s">
        <v>91</v>
      </c>
      <c r="C39" s="9" t="s">
        <v>86</v>
      </c>
      <c r="D39" s="9" t="s">
        <v>9</v>
      </c>
      <c r="E39" s="9" t="s">
        <v>42</v>
      </c>
      <c r="F39" s="9" t="s">
        <v>24</v>
      </c>
      <c r="G39" s="9" t="s">
        <v>88</v>
      </c>
      <c r="H39" s="9" t="s">
        <v>21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9" t="s">
        <v>84</v>
      </c>
      <c r="B40" s="9" t="s">
        <v>91</v>
      </c>
      <c r="C40" s="9" t="s">
        <v>86</v>
      </c>
      <c r="D40" s="9" t="s">
        <v>9</v>
      </c>
      <c r="E40" s="9" t="s">
        <v>72</v>
      </c>
      <c r="F40" s="9" t="s">
        <v>24</v>
      </c>
      <c r="G40" s="9" t="s">
        <v>88</v>
      </c>
      <c r="H40" s="9" t="s">
        <v>21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9" t="s">
        <v>84</v>
      </c>
      <c r="B41" s="9" t="s">
        <v>91</v>
      </c>
      <c r="C41" s="9" t="s">
        <v>86</v>
      </c>
      <c r="D41" s="9" t="s">
        <v>9</v>
      </c>
      <c r="E41" s="9" t="s">
        <v>92</v>
      </c>
      <c r="F41" s="9" t="s">
        <v>24</v>
      </c>
      <c r="G41" s="9" t="s">
        <v>88</v>
      </c>
      <c r="H41" s="9" t="s">
        <v>21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9" t="s">
        <v>93</v>
      </c>
      <c r="B42" s="9" t="s">
        <v>94</v>
      </c>
      <c r="C42" s="9" t="s">
        <v>95</v>
      </c>
      <c r="D42" s="9" t="s">
        <v>96</v>
      </c>
      <c r="E42" s="9" t="s">
        <v>81</v>
      </c>
      <c r="F42" s="9" t="s">
        <v>97</v>
      </c>
      <c r="G42" s="9" t="s">
        <v>98</v>
      </c>
      <c r="H42" s="9" t="s">
        <v>19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9" t="s">
        <v>93</v>
      </c>
      <c r="B43" s="9" t="s">
        <v>99</v>
      </c>
      <c r="C43" s="9" t="s">
        <v>95</v>
      </c>
      <c r="D43" s="9" t="s">
        <v>96</v>
      </c>
      <c r="E43" s="9" t="s">
        <v>81</v>
      </c>
      <c r="F43" s="9" t="s">
        <v>82</v>
      </c>
      <c r="G43" s="9" t="s">
        <v>98</v>
      </c>
      <c r="H43" s="9" t="s">
        <v>19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9" t="s">
        <v>93</v>
      </c>
      <c r="B44" s="9" t="s">
        <v>94</v>
      </c>
      <c r="C44" s="9" t="s">
        <v>100</v>
      </c>
      <c r="D44" s="9" t="s">
        <v>101</v>
      </c>
      <c r="E44" s="9" t="s">
        <v>102</v>
      </c>
      <c r="F44" s="9" t="s">
        <v>97</v>
      </c>
      <c r="G44" s="9" t="s">
        <v>103</v>
      </c>
      <c r="H44" s="9" t="s">
        <v>19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9" t="s">
        <v>93</v>
      </c>
      <c r="B45" s="9" t="s">
        <v>99</v>
      </c>
      <c r="C45" s="9" t="s">
        <v>100</v>
      </c>
      <c r="D45" s="9" t="s">
        <v>101</v>
      </c>
      <c r="E45" s="9" t="s">
        <v>102</v>
      </c>
      <c r="F45" s="9" t="s">
        <v>82</v>
      </c>
      <c r="G45" s="9" t="s">
        <v>103</v>
      </c>
      <c r="H45" s="9" t="s">
        <v>19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9" t="s">
        <v>104</v>
      </c>
      <c r="B46" s="3"/>
      <c r="C46" s="9" t="s">
        <v>95</v>
      </c>
      <c r="D46" s="9" t="s">
        <v>96</v>
      </c>
      <c r="E46" s="9" t="s">
        <v>81</v>
      </c>
      <c r="F46" s="9" t="s">
        <v>105</v>
      </c>
      <c r="G46" s="9" t="s">
        <v>106</v>
      </c>
      <c r="H46" s="9" t="s">
        <v>55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9" t="s">
        <v>107</v>
      </c>
      <c r="B47" s="3"/>
      <c r="C47" s="9" t="s">
        <v>95</v>
      </c>
      <c r="D47" s="9" t="s">
        <v>96</v>
      </c>
      <c r="E47" s="9" t="s">
        <v>81</v>
      </c>
      <c r="F47" s="9" t="s">
        <v>108</v>
      </c>
      <c r="G47" s="9" t="s">
        <v>109</v>
      </c>
      <c r="H47" s="9" t="s">
        <v>19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9" t="s">
        <v>110</v>
      </c>
      <c r="B48" s="9" t="s">
        <v>94</v>
      </c>
      <c r="C48" s="9" t="s">
        <v>111</v>
      </c>
      <c r="D48" s="9" t="s">
        <v>96</v>
      </c>
      <c r="E48" s="9" t="s">
        <v>42</v>
      </c>
      <c r="F48" s="9" t="s">
        <v>112</v>
      </c>
      <c r="G48" s="9" t="s">
        <v>113</v>
      </c>
      <c r="H48" s="9" t="s">
        <v>19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9" t="s">
        <v>110</v>
      </c>
      <c r="B49" s="9" t="s">
        <v>94</v>
      </c>
      <c r="C49" s="9" t="s">
        <v>111</v>
      </c>
      <c r="D49" s="9" t="s">
        <v>9</v>
      </c>
      <c r="E49" s="9" t="s">
        <v>42</v>
      </c>
      <c r="F49" s="9" t="s">
        <v>112</v>
      </c>
      <c r="G49" s="9" t="s">
        <v>113</v>
      </c>
      <c r="H49" s="9" t="s">
        <v>19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9" t="s">
        <v>110</v>
      </c>
      <c r="B50" s="9" t="s">
        <v>114</v>
      </c>
      <c r="C50" s="9" t="s">
        <v>111</v>
      </c>
      <c r="D50" s="9" t="s">
        <v>96</v>
      </c>
      <c r="E50" s="9" t="s">
        <v>42</v>
      </c>
      <c r="F50" s="9" t="s">
        <v>115</v>
      </c>
      <c r="G50" s="9" t="s">
        <v>113</v>
      </c>
      <c r="H50" s="9" t="s">
        <v>19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9" t="s">
        <v>110</v>
      </c>
      <c r="B51" s="9" t="s">
        <v>116</v>
      </c>
      <c r="C51" s="9" t="s">
        <v>111</v>
      </c>
      <c r="D51" s="9" t="s">
        <v>96</v>
      </c>
      <c r="E51" s="9" t="s">
        <v>42</v>
      </c>
      <c r="F51" s="9" t="s">
        <v>117</v>
      </c>
      <c r="G51" s="9" t="s">
        <v>113</v>
      </c>
      <c r="H51" s="9" t="s">
        <v>55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9" t="s">
        <v>118</v>
      </c>
      <c r="B52" s="3"/>
      <c r="C52" s="9" t="s">
        <v>111</v>
      </c>
      <c r="D52" s="9" t="s">
        <v>96</v>
      </c>
      <c r="E52" s="9" t="s">
        <v>42</v>
      </c>
      <c r="F52" s="9" t="s">
        <v>119</v>
      </c>
      <c r="G52" s="9" t="s">
        <v>113</v>
      </c>
      <c r="H52" s="9" t="s">
        <v>19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9" t="s">
        <v>120</v>
      </c>
      <c r="B53" s="3"/>
      <c r="C53" s="9" t="s">
        <v>121</v>
      </c>
      <c r="D53" s="9" t="s">
        <v>122</v>
      </c>
      <c r="E53" s="9" t="s">
        <v>81</v>
      </c>
      <c r="F53" s="9" t="s">
        <v>123</v>
      </c>
      <c r="G53" s="9" t="s">
        <v>124</v>
      </c>
      <c r="H53" s="9" t="s">
        <v>19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9" t="s">
        <v>120</v>
      </c>
      <c r="B54" s="3"/>
      <c r="C54" s="9" t="s">
        <v>121</v>
      </c>
      <c r="D54" s="9" t="s">
        <v>122</v>
      </c>
      <c r="E54" s="9" t="s">
        <v>125</v>
      </c>
      <c r="F54" s="9" t="s">
        <v>123</v>
      </c>
      <c r="G54" s="9" t="s">
        <v>124</v>
      </c>
      <c r="H54" s="9" t="s">
        <v>19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9" t="s">
        <v>126</v>
      </c>
      <c r="B55" s="9" t="s">
        <v>127</v>
      </c>
      <c r="C55" s="9" t="s">
        <v>121</v>
      </c>
      <c r="D55" s="9" t="s">
        <v>122</v>
      </c>
      <c r="E55" s="9" t="s">
        <v>81</v>
      </c>
      <c r="F55" s="9" t="s">
        <v>123</v>
      </c>
      <c r="G55" s="9" t="s">
        <v>128</v>
      </c>
      <c r="H55" s="9" t="s">
        <v>19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9" t="s">
        <v>126</v>
      </c>
      <c r="B56" s="9" t="s">
        <v>127</v>
      </c>
      <c r="C56" s="9" t="s">
        <v>121</v>
      </c>
      <c r="D56" s="9" t="s">
        <v>122</v>
      </c>
      <c r="E56" s="9" t="s">
        <v>129</v>
      </c>
      <c r="F56" s="9" t="s">
        <v>123</v>
      </c>
      <c r="G56" s="9" t="s">
        <v>128</v>
      </c>
      <c r="H56" s="9" t="s">
        <v>19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9" t="s">
        <v>126</v>
      </c>
      <c r="B57" s="9" t="s">
        <v>130</v>
      </c>
      <c r="C57" s="9" t="s">
        <v>121</v>
      </c>
      <c r="D57" s="9" t="s">
        <v>122</v>
      </c>
      <c r="E57" s="9" t="s">
        <v>81</v>
      </c>
      <c r="F57" s="9" t="s">
        <v>131</v>
      </c>
      <c r="G57" s="9" t="s">
        <v>128</v>
      </c>
      <c r="H57" s="9" t="s">
        <v>19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9" t="s">
        <v>126</v>
      </c>
      <c r="B58" s="9" t="s">
        <v>130</v>
      </c>
      <c r="C58" s="9" t="s">
        <v>121</v>
      </c>
      <c r="D58" s="9" t="s">
        <v>122</v>
      </c>
      <c r="E58" s="9" t="s">
        <v>129</v>
      </c>
      <c r="F58" s="9" t="s">
        <v>131</v>
      </c>
      <c r="G58" s="9" t="s">
        <v>128</v>
      </c>
      <c r="H58" s="9" t="s">
        <v>19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9" t="s">
        <v>132</v>
      </c>
      <c r="B59" s="3"/>
      <c r="C59" s="9" t="s">
        <v>121</v>
      </c>
      <c r="D59" s="9" t="s">
        <v>122</v>
      </c>
      <c r="E59" s="9" t="s">
        <v>81</v>
      </c>
      <c r="F59" s="9" t="s">
        <v>123</v>
      </c>
      <c r="G59" s="9" t="s">
        <v>133</v>
      </c>
      <c r="H59" s="9" t="s">
        <v>19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9" t="s">
        <v>134</v>
      </c>
      <c r="B60" s="9" t="s">
        <v>135</v>
      </c>
      <c r="C60" s="9" t="s">
        <v>121</v>
      </c>
      <c r="D60" s="9" t="s">
        <v>122</v>
      </c>
      <c r="E60" s="9" t="s">
        <v>81</v>
      </c>
      <c r="F60" s="9" t="s">
        <v>123</v>
      </c>
      <c r="G60" s="9" t="s">
        <v>136</v>
      </c>
      <c r="H60" s="9" t="s">
        <v>137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9" t="s">
        <v>134</v>
      </c>
      <c r="B61" s="9" t="s">
        <v>135</v>
      </c>
      <c r="C61" s="9" t="s">
        <v>138</v>
      </c>
      <c r="D61" s="9" t="s">
        <v>139</v>
      </c>
      <c r="E61" s="9" t="s">
        <v>81</v>
      </c>
      <c r="F61" s="9" t="s">
        <v>123</v>
      </c>
      <c r="G61" s="9" t="s">
        <v>140</v>
      </c>
      <c r="H61" s="9" t="s">
        <v>137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9" t="s">
        <v>134</v>
      </c>
      <c r="B62" s="9" t="s">
        <v>141</v>
      </c>
      <c r="C62" s="9" t="s">
        <v>121</v>
      </c>
      <c r="D62" s="9" t="s">
        <v>122</v>
      </c>
      <c r="E62" s="9" t="s">
        <v>81</v>
      </c>
      <c r="F62" s="9" t="s">
        <v>142</v>
      </c>
      <c r="G62" s="9" t="s">
        <v>143</v>
      </c>
      <c r="H62" s="9" t="s">
        <v>137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9" t="s">
        <v>134</v>
      </c>
      <c r="B63" s="9" t="s">
        <v>141</v>
      </c>
      <c r="C63" s="9" t="s">
        <v>138</v>
      </c>
      <c r="D63" s="9" t="s">
        <v>139</v>
      </c>
      <c r="E63" s="9" t="s">
        <v>81</v>
      </c>
      <c r="F63" s="9" t="s">
        <v>142</v>
      </c>
      <c r="G63" s="9" t="s">
        <v>144</v>
      </c>
      <c r="H63" s="9" t="s">
        <v>137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9" t="s">
        <v>134</v>
      </c>
      <c r="B64" s="9" t="s">
        <v>145</v>
      </c>
      <c r="C64" s="9" t="s">
        <v>121</v>
      </c>
      <c r="D64" s="9" t="s">
        <v>122</v>
      </c>
      <c r="E64" s="9" t="s">
        <v>81</v>
      </c>
      <c r="F64" s="9" t="s">
        <v>146</v>
      </c>
      <c r="G64" s="9" t="s">
        <v>147</v>
      </c>
      <c r="H64" s="9" t="s">
        <v>137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9" t="s">
        <v>134</v>
      </c>
      <c r="B65" s="9" t="s">
        <v>145</v>
      </c>
      <c r="C65" s="9" t="s">
        <v>138</v>
      </c>
      <c r="D65" s="9" t="s">
        <v>139</v>
      </c>
      <c r="E65" s="9" t="s">
        <v>81</v>
      </c>
      <c r="F65" s="9" t="s">
        <v>146</v>
      </c>
      <c r="G65" s="9" t="s">
        <v>148</v>
      </c>
      <c r="H65" s="9" t="s">
        <v>137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9" t="s">
        <v>149</v>
      </c>
      <c r="B66" s="3"/>
      <c r="C66" s="9" t="s">
        <v>121</v>
      </c>
      <c r="D66" s="9" t="s">
        <v>122</v>
      </c>
      <c r="E66" s="9" t="s">
        <v>81</v>
      </c>
      <c r="F66" s="9" t="s">
        <v>150</v>
      </c>
      <c r="G66" s="9" t="s">
        <v>151</v>
      </c>
      <c r="H66" s="9" t="s">
        <v>55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9" t="s">
        <v>149</v>
      </c>
      <c r="B67" s="3"/>
      <c r="C67" s="9" t="s">
        <v>138</v>
      </c>
      <c r="D67" s="9" t="s">
        <v>139</v>
      </c>
      <c r="E67" s="9" t="s">
        <v>152</v>
      </c>
      <c r="F67" s="9" t="s">
        <v>150</v>
      </c>
      <c r="G67" s="9" t="s">
        <v>151</v>
      </c>
      <c r="H67" s="9" t="s">
        <v>55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9" t="s">
        <v>153</v>
      </c>
      <c r="B68" s="3"/>
      <c r="C68" s="9" t="s">
        <v>154</v>
      </c>
      <c r="D68" s="9" t="s">
        <v>122</v>
      </c>
      <c r="E68" s="9" t="s">
        <v>42</v>
      </c>
      <c r="F68" s="9" t="s">
        <v>155</v>
      </c>
      <c r="G68" s="9" t="s">
        <v>156</v>
      </c>
      <c r="H68" s="9" t="s">
        <v>19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9" t="s">
        <v>153</v>
      </c>
      <c r="B69" s="3"/>
      <c r="C69" s="9" t="s">
        <v>154</v>
      </c>
      <c r="D69" s="9" t="s">
        <v>122</v>
      </c>
      <c r="E69" s="9" t="s">
        <v>125</v>
      </c>
      <c r="F69" s="9" t="s">
        <v>155</v>
      </c>
      <c r="G69" s="9" t="s">
        <v>156</v>
      </c>
      <c r="H69" s="9" t="s">
        <v>19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9" t="s">
        <v>157</v>
      </c>
      <c r="B70" s="3"/>
      <c r="C70" s="9" t="s">
        <v>154</v>
      </c>
      <c r="D70" s="9" t="s">
        <v>122</v>
      </c>
      <c r="E70" s="9" t="s">
        <v>42</v>
      </c>
      <c r="F70" s="9" t="s">
        <v>155</v>
      </c>
      <c r="G70" s="9" t="s">
        <v>158</v>
      </c>
      <c r="H70" s="9" t="s">
        <v>19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9" t="s">
        <v>157</v>
      </c>
      <c r="B71" s="3"/>
      <c r="C71" s="9" t="s">
        <v>154</v>
      </c>
      <c r="D71" s="9" t="s">
        <v>122</v>
      </c>
      <c r="E71" s="9" t="s">
        <v>125</v>
      </c>
      <c r="F71" s="9" t="s">
        <v>155</v>
      </c>
      <c r="G71" s="9" t="s">
        <v>158</v>
      </c>
      <c r="H71" s="9" t="s">
        <v>19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9" t="s">
        <v>159</v>
      </c>
      <c r="B72" s="3"/>
      <c r="C72" s="9" t="s">
        <v>154</v>
      </c>
      <c r="D72" s="9" t="s">
        <v>122</v>
      </c>
      <c r="E72" s="9" t="s">
        <v>42</v>
      </c>
      <c r="F72" s="9" t="s">
        <v>160</v>
      </c>
      <c r="G72" s="9" t="s">
        <v>161</v>
      </c>
      <c r="H72" s="9" t="s">
        <v>19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9" t="s">
        <v>159</v>
      </c>
      <c r="B73" s="3"/>
      <c r="C73" s="9" t="s">
        <v>154</v>
      </c>
      <c r="D73" s="9" t="s">
        <v>122</v>
      </c>
      <c r="E73" s="9" t="s">
        <v>129</v>
      </c>
      <c r="F73" s="9" t="s">
        <v>160</v>
      </c>
      <c r="G73" s="9" t="s">
        <v>161</v>
      </c>
      <c r="H73" s="9" t="s">
        <v>19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9" t="s">
        <v>162</v>
      </c>
      <c r="B74" s="3"/>
      <c r="C74" s="9" t="s">
        <v>154</v>
      </c>
      <c r="D74" s="9" t="s">
        <v>122</v>
      </c>
      <c r="E74" s="9" t="s">
        <v>42</v>
      </c>
      <c r="F74" s="9" t="s">
        <v>160</v>
      </c>
      <c r="G74" s="9" t="s">
        <v>163</v>
      </c>
      <c r="H74" s="9" t="s">
        <v>19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9" t="s">
        <v>162</v>
      </c>
      <c r="B75" s="3"/>
      <c r="C75" s="9" t="s">
        <v>164</v>
      </c>
      <c r="D75" s="9" t="s">
        <v>139</v>
      </c>
      <c r="E75" s="9" t="s">
        <v>165</v>
      </c>
      <c r="F75" s="9" t="s">
        <v>160</v>
      </c>
      <c r="G75" s="9" t="s">
        <v>163</v>
      </c>
      <c r="H75" s="9" t="s">
        <v>19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9" t="s">
        <v>166</v>
      </c>
      <c r="B76" s="3"/>
      <c r="C76" s="9" t="s">
        <v>167</v>
      </c>
      <c r="D76" s="9" t="s">
        <v>101</v>
      </c>
      <c r="E76" s="9" t="s">
        <v>102</v>
      </c>
      <c r="F76" s="9" t="s">
        <v>168</v>
      </c>
      <c r="G76" s="9" t="s">
        <v>169</v>
      </c>
      <c r="H76" s="9" t="s">
        <v>55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9" t="s">
        <v>170</v>
      </c>
      <c r="B77" s="9" t="s">
        <v>135</v>
      </c>
      <c r="C77" s="9" t="s">
        <v>171</v>
      </c>
      <c r="D77" s="9" t="s">
        <v>101</v>
      </c>
      <c r="E77" s="9" t="s">
        <v>172</v>
      </c>
      <c r="F77" s="9" t="s">
        <v>123</v>
      </c>
      <c r="G77" s="9" t="s">
        <v>173</v>
      </c>
      <c r="H77" s="9" t="s">
        <v>19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9" t="s">
        <v>170</v>
      </c>
      <c r="B78" s="9" t="s">
        <v>141</v>
      </c>
      <c r="C78" s="9" t="s">
        <v>171</v>
      </c>
      <c r="D78" s="9" t="s">
        <v>101</v>
      </c>
      <c r="E78" s="9" t="s">
        <v>172</v>
      </c>
      <c r="F78" s="9" t="s">
        <v>142</v>
      </c>
      <c r="G78" s="9" t="s">
        <v>173</v>
      </c>
      <c r="H78" s="9" t="s">
        <v>19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9" t="s">
        <v>174</v>
      </c>
      <c r="B79" s="3"/>
      <c r="C79" s="9" t="s">
        <v>171</v>
      </c>
      <c r="D79" s="9" t="s">
        <v>101</v>
      </c>
      <c r="E79" s="9" t="s">
        <v>172</v>
      </c>
      <c r="F79" s="9" t="s">
        <v>175</v>
      </c>
      <c r="G79" s="9" t="s">
        <v>176</v>
      </c>
      <c r="H79" s="9" t="s">
        <v>55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tr">
        <f>IFERROR(__xludf.DUMMYFUNCTION("{""All"";
  SORT(UNIQUE(FILTER(Muscles!D2:D60, Muscles!D2:D60&lt;&gt;"""")))
}"),"All")</f>
        <v>All</v>
      </c>
      <c r="B1" s="24" t="str">
        <f>IFERROR(__xludf.DUMMYFUNCTION("IF('Muscle Selector'!A1=""All"",
  SORT(UNIQUE(Muscles!A2:A60)),
  SORT(
    UNIQUE(
      FILTER(Muscles!A2:A60,
        Muscles!D2:D60 = 'Muscle Selector'!A1
      )
    )
  )
)"),"Levator scapulae")</f>
        <v>Levator scapulae</v>
      </c>
      <c r="C1" s="24" t="str">
        <f>IFERROR(__xludf.DUMMYFUNCTION("UNIQUE(FILTER(Muscles!B:B, Muscles!A:A = 'Muscle Selector'!A2))"),"Upper")</f>
        <v>Upper</v>
      </c>
    </row>
    <row r="2">
      <c r="A2" s="24" t="str">
        <f>IFERROR(__xludf.DUMMYFUNCTION("""COMPUTED_VALUE"""),"Elbow")</f>
        <v>Elbow</v>
      </c>
      <c r="B2" s="24" t="str">
        <f>IFERROR(__xludf.DUMMYFUNCTION("""COMPUTED_VALUE"""),"Rhomboid")</f>
        <v>Rhomboid</v>
      </c>
      <c r="C2" s="24" t="str">
        <f>IFERROR(__xludf.DUMMYFUNCTION("""COMPUTED_VALUE"""),"Middle")</f>
        <v>Middle</v>
      </c>
    </row>
    <row r="3">
      <c r="A3" s="24" t="str">
        <f>IFERROR(__xludf.DUMMYFUNCTION("""COMPUTED_VALUE"""),"Forearm")</f>
        <v>Forearm</v>
      </c>
      <c r="B3" s="24" t="str">
        <f>IFERROR(__xludf.DUMMYFUNCTION("""COMPUTED_VALUE"""),"Trapezius")</f>
        <v>Trapezius</v>
      </c>
      <c r="C3" s="24" t="str">
        <f>IFERROR(__xludf.DUMMYFUNCTION("""COMPUTED_VALUE"""),"Lower")</f>
        <v>Lower</v>
      </c>
    </row>
    <row r="4">
      <c r="A4" s="24" t="str">
        <f>IFERROR(__xludf.DUMMYFUNCTION("""COMPUTED_VALUE"""),"Glenohumeral")</f>
        <v>Glenohumeral</v>
      </c>
    </row>
    <row r="5">
      <c r="A5" s="24" t="str">
        <f>IFERROR(__xludf.DUMMYFUNCTION("""COMPUTED_VALUE"""),"Scapulothoracic")</f>
        <v>Scapulothoracic</v>
      </c>
    </row>
    <row r="6">
      <c r="A6" s="24" t="str">
        <f>IFERROR(__xludf.DUMMYFUNCTION("""COMPUTED_VALUE"""),"Spine")</f>
        <v>Spine</v>
      </c>
    </row>
    <row r="7">
      <c r="A7" s="24" t="str">
        <f>IFERROR(__xludf.DUMMYFUNCTION("""COMPUTED_VALUE"""),"Wrist")</f>
        <v>Wrist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5" t="s">
        <v>11</v>
      </c>
      <c r="B1" s="25" t="s">
        <v>177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9" t="s">
        <v>16</v>
      </c>
      <c r="B2" s="9" t="s">
        <v>26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9" t="s">
        <v>26</v>
      </c>
      <c r="B3" s="9" t="s">
        <v>16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9" t="s">
        <v>178</v>
      </c>
      <c r="B4" s="9" t="s">
        <v>22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9" t="s">
        <v>22</v>
      </c>
      <c r="B5" s="9" t="s">
        <v>178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9" t="s">
        <v>20</v>
      </c>
      <c r="B6" s="9" t="s">
        <v>32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9" t="s">
        <v>32</v>
      </c>
      <c r="B7" s="9" t="s">
        <v>20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9" t="s">
        <v>179</v>
      </c>
      <c r="B8" s="9" t="s">
        <v>180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9" t="s">
        <v>180</v>
      </c>
      <c r="B9" s="9" t="s">
        <v>179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9" t="s">
        <v>46</v>
      </c>
      <c r="B10" s="9" t="s">
        <v>72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9" t="s">
        <v>72</v>
      </c>
      <c r="B11" s="9" t="s">
        <v>46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9" t="s">
        <v>181</v>
      </c>
      <c r="B12" s="9" t="s">
        <v>182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9" t="s">
        <v>182</v>
      </c>
      <c r="B13" s="9" t="s">
        <v>181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9" t="s">
        <v>81</v>
      </c>
      <c r="B14" s="9" t="s">
        <v>42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9" t="s">
        <v>42</v>
      </c>
      <c r="B15" s="9" t="s">
        <v>81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9" t="s">
        <v>183</v>
      </c>
      <c r="B16" s="9" t="s">
        <v>81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9" t="s">
        <v>68</v>
      </c>
      <c r="B17" s="9" t="s">
        <v>45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9" t="s">
        <v>45</v>
      </c>
      <c r="B18" s="9" t="s">
        <v>68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9" t="s">
        <v>92</v>
      </c>
      <c r="B19" s="9" t="s">
        <v>89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9" t="s">
        <v>89</v>
      </c>
      <c r="B20" s="9" t="s">
        <v>92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9" t="s">
        <v>125</v>
      </c>
      <c r="B21" s="9" t="s">
        <v>129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9" t="s">
        <v>129</v>
      </c>
      <c r="B22" s="9" t="s">
        <v>125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9" t="s">
        <v>184</v>
      </c>
      <c r="B23" s="9" t="s">
        <v>185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9" t="s">
        <v>185</v>
      </c>
      <c r="B24" s="9" t="s">
        <v>184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9" t="s">
        <v>186</v>
      </c>
      <c r="B25" s="9" t="s">
        <v>187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9" t="s">
        <v>187</v>
      </c>
      <c r="B26" s="9" t="s">
        <v>186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9" t="s">
        <v>102</v>
      </c>
      <c r="B27" s="9" t="s">
        <v>172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9" t="s">
        <v>172</v>
      </c>
      <c r="B28" s="9" t="s">
        <v>102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9" t="s">
        <v>188</v>
      </c>
      <c r="B29" s="9" t="s">
        <v>189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9" t="s">
        <v>189</v>
      </c>
      <c r="B30" s="9" t="s">
        <v>188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9" t="s">
        <v>52</v>
      </c>
      <c r="B31" s="9" t="s">
        <v>52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27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</sheetData>
  <drawing r:id="rId1"/>
</worksheet>
</file>