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enny\PyCharmProjects\Auditor\"/>
    </mc:Choice>
  </mc:AlternateContent>
  <xr:revisionPtr revIDLastSave="0" documentId="13_ncr:1_{247613CC-2804-4DB1-909A-61A7EF710BA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H43" i="1"/>
  <c r="G43" i="1"/>
  <c r="F43" i="1"/>
  <c r="E43" i="1"/>
  <c r="D43" i="1"/>
  <c r="C43" i="1"/>
  <c r="D44" i="1"/>
  <c r="E44" i="1" s="1"/>
  <c r="F44" i="1" s="1"/>
  <c r="G44" i="1" s="1"/>
  <c r="H44" i="1" s="1"/>
  <c r="I44" i="1" s="1"/>
  <c r="G40" i="1"/>
  <c r="H40" i="1" s="1"/>
  <c r="I40" i="1" s="1"/>
  <c r="F40" i="1"/>
  <c r="E39" i="1"/>
  <c r="E41" i="1" s="1"/>
  <c r="D39" i="1"/>
  <c r="D41" i="1" s="1"/>
  <c r="C39" i="1"/>
  <c r="C41" i="1" s="1"/>
  <c r="B39" i="1"/>
  <c r="B41" i="1" s="1"/>
  <c r="B43" i="1" s="1"/>
  <c r="E38" i="1"/>
  <c r="D38" i="1"/>
  <c r="C38" i="1"/>
  <c r="B38" i="1"/>
  <c r="D36" i="1"/>
  <c r="E36" i="1" s="1"/>
  <c r="F36" i="1" s="1"/>
  <c r="G36" i="1" s="1"/>
  <c r="H36" i="1" s="1"/>
  <c r="I36" i="1" s="1"/>
  <c r="B29" i="1"/>
  <c r="B25" i="1"/>
  <c r="B24" i="1"/>
  <c r="B23" i="1"/>
  <c r="B22" i="1"/>
  <c r="M11" i="1"/>
  <c r="B16" i="1" s="1"/>
  <c r="C11" i="1"/>
  <c r="D11" i="1" s="1"/>
  <c r="E11" i="1" s="1"/>
  <c r="F11" i="1" s="1"/>
  <c r="G11" i="1" s="1"/>
  <c r="C9" i="1"/>
  <c r="D8" i="1"/>
  <c r="C8" i="1"/>
  <c r="C33" i="1" s="1"/>
  <c r="E7" i="1"/>
  <c r="D7" i="1"/>
  <c r="C7" i="1"/>
  <c r="C34" i="1" s="1"/>
  <c r="B7" i="1"/>
  <c r="G6" i="1"/>
  <c r="H6" i="1" s="1"/>
  <c r="I6" i="1" s="1"/>
  <c r="J6" i="1" s="1"/>
  <c r="K6" i="1" s="1"/>
  <c r="L6" i="1" s="1"/>
  <c r="M6" i="1" s="1"/>
  <c r="F6" i="1"/>
  <c r="E4" i="1"/>
  <c r="M4" i="1" s="1"/>
  <c r="D4" i="1"/>
  <c r="C4" i="1"/>
  <c r="B4" i="1"/>
  <c r="E2" i="1"/>
  <c r="G2" i="1" s="1"/>
  <c r="H2" i="1" s="1"/>
  <c r="I2" i="1" s="1"/>
  <c r="J2" i="1" s="1"/>
  <c r="K2" i="1" s="1"/>
  <c r="L2" i="1" s="1"/>
  <c r="M2" i="1" s="1"/>
  <c r="D2" i="1"/>
  <c r="D37" i="1" s="1"/>
  <c r="C2" i="1"/>
  <c r="C37" i="1" s="1"/>
  <c r="C45" i="1" l="1"/>
  <c r="E45" i="1"/>
  <c r="D45" i="1"/>
  <c r="H37" i="1"/>
  <c r="G37" i="1"/>
  <c r="D33" i="1"/>
  <c r="E37" i="1"/>
  <c r="I4" i="1"/>
  <c r="D34" i="1"/>
  <c r="I37" i="1"/>
  <c r="H4" i="1"/>
  <c r="J4" i="1"/>
  <c r="C12" i="1"/>
  <c r="C13" i="1" s="1"/>
  <c r="K11" i="1"/>
  <c r="H11" i="1"/>
  <c r="L11" i="1"/>
  <c r="J11" i="1"/>
  <c r="I11" i="1"/>
  <c r="E34" i="1"/>
  <c r="D12" i="1"/>
  <c r="E12" i="1" s="1"/>
  <c r="F12" i="1" s="1"/>
  <c r="G12" i="1" s="1"/>
  <c r="K4" i="1"/>
  <c r="F4" i="1"/>
  <c r="L4" i="1"/>
  <c r="D9" i="1"/>
  <c r="G4" i="1"/>
  <c r="F2" i="1"/>
  <c r="D13" i="1" l="1"/>
  <c r="F3" i="1"/>
  <c r="F38" i="1" s="1"/>
  <c r="F37" i="1"/>
  <c r="H12" i="1"/>
  <c r="I12" i="1" s="1"/>
  <c r="J12" i="1" s="1"/>
  <c r="K12" i="1" s="1"/>
  <c r="L12" i="1" s="1"/>
  <c r="E8" i="1"/>
  <c r="G3" i="1" l="1"/>
  <c r="F5" i="1"/>
  <c r="E9" i="1"/>
  <c r="E13" i="1" s="1"/>
  <c r="E33" i="1"/>
  <c r="F8" i="1"/>
  <c r="H3" i="1"/>
  <c r="H38" i="1" s="1"/>
  <c r="F7" i="1" l="1"/>
  <c r="F39" i="1"/>
  <c r="F41" i="1" s="1"/>
  <c r="F45" i="1" s="1"/>
  <c r="F9" i="1"/>
  <c r="F13" i="1" s="1"/>
  <c r="G5" i="1"/>
  <c r="G38" i="1"/>
  <c r="F33" i="1"/>
  <c r="F34" i="1"/>
  <c r="I3" i="1"/>
  <c r="I38" i="1" s="1"/>
  <c r="G8" i="1"/>
  <c r="H5" i="1"/>
  <c r="H7" i="1" l="1"/>
  <c r="H39" i="1"/>
  <c r="H41" i="1" s="1"/>
  <c r="H45" i="1" s="1"/>
  <c r="G7" i="1"/>
  <c r="G39" i="1"/>
  <c r="G41" i="1" s="1"/>
  <c r="G45" i="1" s="1"/>
  <c r="G9" i="1"/>
  <c r="G13" i="1" s="1"/>
  <c r="H8" i="1"/>
  <c r="H9" i="1" s="1"/>
  <c r="H13" i="1" s="1"/>
  <c r="J3" i="1"/>
  <c r="I5" i="1"/>
  <c r="G33" i="1"/>
  <c r="G34" i="1"/>
  <c r="H33" i="1" l="1"/>
  <c r="I7" i="1"/>
  <c r="I39" i="1"/>
  <c r="I41" i="1" s="1"/>
  <c r="I45" i="1" s="1"/>
  <c r="H34" i="1"/>
  <c r="I34" i="1"/>
  <c r="I8" i="1"/>
  <c r="I33" i="1" s="1"/>
  <c r="K3" i="1"/>
  <c r="J5" i="1"/>
  <c r="J7" i="1" s="1"/>
  <c r="I9" i="1" l="1"/>
  <c r="I13" i="1" s="1"/>
  <c r="L3" i="1"/>
  <c r="J8" i="1"/>
  <c r="J33" i="1" s="1"/>
  <c r="K5" i="1"/>
  <c r="K7" i="1" s="1"/>
  <c r="J9" i="1"/>
  <c r="J13" i="1" s="1"/>
  <c r="J34" i="1"/>
  <c r="K34" i="1" l="1"/>
  <c r="K8" i="1"/>
  <c r="K33" i="1" s="1"/>
  <c r="M3" i="1"/>
  <c r="L5" i="1"/>
  <c r="L7" i="1" s="1"/>
  <c r="K9" i="1" l="1"/>
  <c r="K13" i="1" s="1"/>
  <c r="L8" i="1"/>
  <c r="L33" i="1" s="1"/>
  <c r="M5" i="1"/>
  <c r="M7" i="1" s="1"/>
  <c r="L34" i="1"/>
  <c r="L9" i="1" l="1"/>
  <c r="L13" i="1" s="1"/>
  <c r="B19" i="1" s="1"/>
  <c r="M34" i="1"/>
  <c r="M8" i="1"/>
  <c r="M33" i="1" s="1"/>
  <c r="M9" i="1" l="1"/>
  <c r="B15" i="1" s="1"/>
  <c r="B17" i="1" s="1"/>
  <c r="B18" i="1" s="1"/>
  <c r="B20" i="1" s="1"/>
  <c r="B21" i="1" s="1"/>
  <c r="B26" i="1" s="1"/>
  <c r="B28" i="1" s="1"/>
  <c r="B30" i="1" s="1"/>
</calcChain>
</file>

<file path=xl/sharedStrings.xml><?xml version="1.0" encoding="utf-8"?>
<sst xmlns="http://schemas.openxmlformats.org/spreadsheetml/2006/main" count="43" uniqueCount="40">
  <si>
    <t>9988</t>
  </si>
  <si>
    <t>Base year</t>
  </si>
  <si>
    <t>Terminal year</t>
  </si>
  <si>
    <t>Revenue growth rate</t>
  </si>
  <si>
    <t>Revenue</t>
  </si>
  <si>
    <t>EBIT margin</t>
  </si>
  <si>
    <t>EBIT</t>
  </si>
  <si>
    <t>Tax rate</t>
  </si>
  <si>
    <t>NOPAT</t>
  </si>
  <si>
    <t>- Reinvestment</t>
  </si>
  <si>
    <t>FCFF</t>
  </si>
  <si>
    <t>Cost of capital</t>
  </si>
  <si>
    <t>Cumulated discount factor</t>
  </si>
  <si>
    <t>PV (FCFF)</t>
  </si>
  <si>
    <t>Terminal cash flow</t>
  </si>
  <si>
    <t>Terminal cost of capital</t>
  </si>
  <si>
    <t>Terminal value</t>
  </si>
  <si>
    <t>PV (Terminal value)</t>
  </si>
  <si>
    <t>PV (Cash flow over next 10 years)</t>
  </si>
  <si>
    <t>Sum of PV</t>
  </si>
  <si>
    <t>Value of operating assets</t>
  </si>
  <si>
    <t>- Debt</t>
  </si>
  <si>
    <t>- Minority interest</t>
  </si>
  <si>
    <t>+ Cash</t>
  </si>
  <si>
    <t>+ Non-operating assets</t>
  </si>
  <si>
    <t>Value of equity</t>
  </si>
  <si>
    <t>Number of shares</t>
  </si>
  <si>
    <t>Estimated value / share</t>
  </si>
  <si>
    <t>Price</t>
  </si>
  <si>
    <t>Price as % of value</t>
  </si>
  <si>
    <t>Return</t>
  </si>
  <si>
    <t>Invested Capital</t>
  </si>
  <si>
    <t>ROIC</t>
  </si>
  <si>
    <t>Interest expense</t>
  </si>
  <si>
    <t>EPS projection</t>
  </si>
  <si>
    <t>P/E ratio</t>
  </si>
  <si>
    <t>Price target</t>
  </si>
  <si>
    <t>Conversion to ADR</t>
  </si>
  <si>
    <t>BABA</t>
  </si>
  <si>
    <t>ADR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</si>
</sst>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$_-;\-* #,##0.00\ _$_-;_-* &quot;-&quot;??\ _$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/>
    <xf numFmtId="164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2" fillId="0" borderId="0" xfId="1" applyNumberFormat="1" applyFont="1"/>
    <xf numFmtId="4" fontId="2" fillId="0" borderId="0" xfId="2" applyNumberFormat="1" applyFont="1"/>
    <xf numFmtId="0" fontId="3" fillId="0" borderId="0" xfId="0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2" fontId="0" fillId="0" borderId="0" xfId="0" applyNumberFormat="1"/>
    <xf numFmtId="0" fontId="3" fillId="0" borderId="0" xfId="0" applyFont="1"/>
    <xf numFmtId="3" fontId="4" fillId="0" borderId="0" xfId="2" applyNumberFormat="1" applyFont="1"/>
    <xf numFmtId="3" fontId="0" fillId="0" borderId="0" xfId="0" applyNumberForma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A11" workbookViewId="0">
      <selection activeCell="C44" sqref="C44"/>
    </sheetView>
  </sheetViews>
  <sheetFormatPr defaultRowHeight="15" x14ac:dyDescent="0.25"/>
  <cols>
    <col min="1" max="1" width="32" customWidth="1"/>
    <col min="2" max="13" width="11.7109375" customWidth="1"/>
  </cols>
  <sheetData>
    <row r="1" spans="1:13" x14ac:dyDescent="0.25">
      <c r="A1" t="s">
        <v>0</v>
      </c>
      <c r="B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t="s">
        <v>2</v>
      </c>
    </row>
    <row r="2" spans="1:13" x14ac:dyDescent="0.25">
      <c r="A2" s="2" t="s">
        <v>3</v>
      </c>
      <c r="B2" s="3"/>
      <c r="C2" s="3">
        <f>(C3 - B3)/ B3</f>
        <v>8.51033916704175E-2</v>
      </c>
      <c r="D2" s="3">
        <f>(D3 - C3)/ C3</f>
        <v>7.6093255486509748E-2</v>
      </c>
      <c r="E2" s="3">
        <f>(E3 - D3)/ D3</f>
        <v>7.8563177126859646E-2</v>
      </c>
      <c r="F2" s="3">
        <f>E2</f>
        <v>7.8563177126859646E-2</v>
      </c>
      <c r="G2" s="3">
        <f>E2</f>
        <v>7.8563177126859646E-2</v>
      </c>
      <c r="H2" s="3">
        <f>G2 - (G2-0.02291)/5 * 1</f>
        <v>6.7432541701487714E-2</v>
      </c>
      <c r="I2" s="3">
        <f>H2 - (H2-0.02291)/5 * 2</f>
        <v>4.962352502089263E-2</v>
      </c>
      <c r="J2" s="3">
        <f>I2 - (I2-0.02291)/5 * 3</f>
        <v>3.359541000835705E-2</v>
      </c>
      <c r="K2" s="3">
        <f>J2 - (J2-0.02291)/5 * 4</f>
        <v>2.5047082001671411E-2</v>
      </c>
      <c r="L2" s="3">
        <f>K2 - (K2-0.02291)/5 * 5</f>
        <v>2.291E-2</v>
      </c>
      <c r="M2" s="3">
        <f>L2 - (L2-0.02291)/5 * 5</f>
        <v>2.291E-2</v>
      </c>
    </row>
    <row r="3" spans="1:13" x14ac:dyDescent="0.25">
      <c r="A3" s="2" t="s">
        <v>4</v>
      </c>
      <c r="B3" s="4">
        <v>868687</v>
      </c>
      <c r="C3" s="4">
        <v>942615.21</v>
      </c>
      <c r="D3" s="4">
        <v>1014341.87</v>
      </c>
      <c r="E3" s="4">
        <v>1094031.79</v>
      </c>
      <c r="F3" s="4">
        <f t="shared" ref="F3:M3" si="0">E3*(1+F2)</f>
        <v>1179982.4033001852</v>
      </c>
      <c r="G3" s="4">
        <f t="shared" si="0"/>
        <v>1272685.5698572351</v>
      </c>
      <c r="H3" s="4">
        <f t="shared" si="0"/>
        <v>1358505.9926195149</v>
      </c>
      <c r="I3" s="4">
        <f t="shared" si="0"/>
        <v>1425919.8487353022</v>
      </c>
      <c r="J3" s="4">
        <f t="shared" si="0"/>
        <v>1473824.2106926192</v>
      </c>
      <c r="K3" s="4">
        <f t="shared" si="0"/>
        <v>1510739.2065538859</v>
      </c>
      <c r="L3" s="4">
        <f t="shared" si="0"/>
        <v>1545350.2417760354</v>
      </c>
      <c r="M3" s="4">
        <f t="shared" si="0"/>
        <v>1580754.2158151243</v>
      </c>
    </row>
    <row r="4" spans="1:13" x14ac:dyDescent="0.25">
      <c r="A4" s="2" t="s">
        <v>5</v>
      </c>
      <c r="B4" s="3">
        <f>B5 / B3</f>
        <v>0.1155203197469284</v>
      </c>
      <c r="C4" s="3">
        <f>C5 / C3</f>
        <v>0.12858220269965726</v>
      </c>
      <c r="D4" s="3">
        <f>D5 / D3</f>
        <v>0.1402668116223971</v>
      </c>
      <c r="E4" s="3">
        <f>E5 / E3</f>
        <v>0.14590890453009597</v>
      </c>
      <c r="F4" s="3">
        <f>E4</f>
        <v>0.14590890453009597</v>
      </c>
      <c r="G4" s="3">
        <f>E4</f>
        <v>0.14590890453009597</v>
      </c>
      <c r="H4" s="3">
        <f>E4</f>
        <v>0.14590890453009597</v>
      </c>
      <c r="I4" s="3">
        <f>E4</f>
        <v>0.14590890453009597</v>
      </c>
      <c r="J4" s="3">
        <f>E4</f>
        <v>0.14590890453009597</v>
      </c>
      <c r="K4" s="3">
        <f>E4</f>
        <v>0.14590890453009597</v>
      </c>
      <c r="L4" s="3">
        <f>E4</f>
        <v>0.14590890453009597</v>
      </c>
      <c r="M4" s="3">
        <f>E4</f>
        <v>0.14590890453009597</v>
      </c>
    </row>
    <row r="5" spans="1:13" x14ac:dyDescent="0.25">
      <c r="A5" s="2" t="s">
        <v>6</v>
      </c>
      <c r="B5" s="4">
        <v>100351</v>
      </c>
      <c r="C5" s="4">
        <v>121203.54</v>
      </c>
      <c r="D5" s="4">
        <v>142278.5</v>
      </c>
      <c r="E5" s="4">
        <v>159628.98000000001</v>
      </c>
      <c r="F5" s="4">
        <f t="shared" ref="F5:M5" si="1">F4*F3</f>
        <v>172169.93983031993</v>
      </c>
      <c r="G5" s="4">
        <f t="shared" si="1"/>
        <v>185696.1573091301</v>
      </c>
      <c r="H5" s="4">
        <f t="shared" si="1"/>
        <v>198218.12118068407</v>
      </c>
      <c r="I5" s="4">
        <f t="shared" si="1"/>
        <v>208054.40307668809</v>
      </c>
      <c r="J5" s="4">
        <f t="shared" si="1"/>
        <v>215044.07605209344</v>
      </c>
      <c r="K5" s="4">
        <f t="shared" si="1"/>
        <v>220430.3026589439</v>
      </c>
      <c r="L5" s="4">
        <f t="shared" si="1"/>
        <v>225480.36089286028</v>
      </c>
      <c r="M5" s="4">
        <f t="shared" si="1"/>
        <v>230646.11596091569</v>
      </c>
    </row>
    <row r="6" spans="1:13" x14ac:dyDescent="0.25">
      <c r="A6" s="2" t="s">
        <v>7</v>
      </c>
      <c r="B6" s="3">
        <v>0.17</v>
      </c>
      <c r="C6" s="3">
        <v>0.186</v>
      </c>
      <c r="D6" s="3">
        <v>0.19120000000000001</v>
      </c>
      <c r="E6" s="3">
        <v>0.18890000000000001</v>
      </c>
      <c r="F6" s="3">
        <f>E6</f>
        <v>0.18890000000000001</v>
      </c>
      <c r="G6" s="3">
        <f>E6</f>
        <v>0.18890000000000001</v>
      </c>
      <c r="H6" s="3">
        <f>G6+(0.25-$G$6)/5</f>
        <v>0.20112000000000002</v>
      </c>
      <c r="I6" s="3">
        <f>H6+(0.25-$G$6)/5</f>
        <v>0.21334000000000003</v>
      </c>
      <c r="J6" s="3">
        <f>I6+(0.25-$G$6)/5</f>
        <v>0.22556000000000004</v>
      </c>
      <c r="K6" s="3">
        <f>J6+(0.25-$G$6)/5</f>
        <v>0.23778000000000005</v>
      </c>
      <c r="L6" s="3">
        <f>K6+(0.25-$G$6)/5</f>
        <v>0.25000000000000006</v>
      </c>
      <c r="M6" s="3">
        <f>L6</f>
        <v>0.25000000000000006</v>
      </c>
    </row>
    <row r="7" spans="1:13" x14ac:dyDescent="0.25">
      <c r="A7" s="2" t="s">
        <v>8</v>
      </c>
      <c r="B7" s="4">
        <f t="shared" ref="B7:M7" si="2">B5*(1-B6)</f>
        <v>83291.33</v>
      </c>
      <c r="C7" s="4">
        <f t="shared" si="2"/>
        <v>98659.681559999997</v>
      </c>
      <c r="D7" s="4">
        <f t="shared" si="2"/>
        <v>115074.8508</v>
      </c>
      <c r="E7" s="4">
        <f t="shared" si="2"/>
        <v>129475.065678</v>
      </c>
      <c r="F7" s="4">
        <f t="shared" si="2"/>
        <v>139647.03819637248</v>
      </c>
      <c r="G7" s="4">
        <f t="shared" si="2"/>
        <v>150618.1531934354</v>
      </c>
      <c r="H7" s="4">
        <f t="shared" si="2"/>
        <v>158352.4926488249</v>
      </c>
      <c r="I7" s="4">
        <f t="shared" si="2"/>
        <v>163668.07672430744</v>
      </c>
      <c r="J7" s="4">
        <f t="shared" si="2"/>
        <v>166538.73425778325</v>
      </c>
      <c r="K7" s="4">
        <f t="shared" si="2"/>
        <v>168016.3852927002</v>
      </c>
      <c r="L7" s="4">
        <f t="shared" si="2"/>
        <v>169110.27066964522</v>
      </c>
      <c r="M7" s="4">
        <f t="shared" si="2"/>
        <v>172984.58697068677</v>
      </c>
    </row>
    <row r="8" spans="1:13" x14ac:dyDescent="0.25">
      <c r="A8" s="2" t="s">
        <v>9</v>
      </c>
      <c r="B8" s="4"/>
      <c r="C8" s="4">
        <f t="shared" ref="C8:L8" si="3">(D3-C3)/0.82933963708877</f>
        <v>86486.472842154326</v>
      </c>
      <c r="D8" s="4">
        <f t="shared" si="3"/>
        <v>96088.401465695613</v>
      </c>
      <c r="E8" s="4">
        <f t="shared" si="3"/>
        <v>103637.4115698817</v>
      </c>
      <c r="F8" s="4">
        <f t="shared" si="3"/>
        <v>111779.49589201556</v>
      </c>
      <c r="G8" s="4">
        <f t="shared" si="3"/>
        <v>103480.43060323897</v>
      </c>
      <c r="H8" s="4">
        <f t="shared" si="3"/>
        <v>81286.186142543564</v>
      </c>
      <c r="I8" s="4">
        <f t="shared" si="3"/>
        <v>57762.055272645128</v>
      </c>
      <c r="J8" s="4">
        <f t="shared" si="3"/>
        <v>44511.312628019812</v>
      </c>
      <c r="K8" s="4">
        <f t="shared" si="3"/>
        <v>41733.246156718771</v>
      </c>
      <c r="L8" s="4">
        <f t="shared" si="3"/>
        <v>42689.354826169249</v>
      </c>
      <c r="M8" s="4">
        <f>M2/0.15 * M7</f>
        <v>26420.512583322892</v>
      </c>
    </row>
    <row r="9" spans="1:13" x14ac:dyDescent="0.25">
      <c r="A9" s="2" t="s">
        <v>10</v>
      </c>
      <c r="B9" s="4"/>
      <c r="C9" s="4">
        <f t="shared" ref="C9:M9" si="4">C7-C8</f>
        <v>12173.208717845671</v>
      </c>
      <c r="D9" s="4">
        <f t="shared" si="4"/>
        <v>18986.449334304387</v>
      </c>
      <c r="E9" s="4">
        <f t="shared" si="4"/>
        <v>25837.654108118295</v>
      </c>
      <c r="F9" s="4">
        <f t="shared" si="4"/>
        <v>27867.542304356917</v>
      </c>
      <c r="G9" s="4">
        <f t="shared" si="4"/>
        <v>47137.722590196427</v>
      </c>
      <c r="H9" s="4">
        <f t="shared" si="4"/>
        <v>77066.30650628134</v>
      </c>
      <c r="I9" s="4">
        <f t="shared" si="4"/>
        <v>105906.02145166231</v>
      </c>
      <c r="J9" s="4">
        <f t="shared" si="4"/>
        <v>122027.42162976344</v>
      </c>
      <c r="K9" s="4">
        <f t="shared" si="4"/>
        <v>126283.13913598143</v>
      </c>
      <c r="L9" s="4">
        <f t="shared" si="4"/>
        <v>126420.91584347597</v>
      </c>
      <c r="M9" s="4">
        <f t="shared" si="4"/>
        <v>146564.07438736389</v>
      </c>
    </row>
    <row r="11" spans="1:13" x14ac:dyDescent="0.25">
      <c r="A11" s="2" t="s">
        <v>11</v>
      </c>
      <c r="B11" s="3"/>
      <c r="C11" s="3">
        <f>1434468.876288/(1434468.876288+198505)*(0.02291+0.373*0.0563135342847668)+ 198505/(1434468.876288+198505)*0.0378126495554268*(1-18.4025/100)</f>
        <v>4.2327275333004448E-2</v>
      </c>
      <c r="D11" s="3">
        <f>C11</f>
        <v>4.2327275333004448E-2</v>
      </c>
      <c r="E11" s="3">
        <f>D11</f>
        <v>4.2327275333004448E-2</v>
      </c>
      <c r="F11" s="3">
        <f>E11</f>
        <v>4.2327275333004448E-2</v>
      </c>
      <c r="G11" s="3">
        <f>F11</f>
        <v>4.2327275333004448E-2</v>
      </c>
      <c r="H11" s="3">
        <f>$G$11 - (1434468.876288/(1434468.876288+198505)*(0.02291+0.373*0.0563135342847668)+ 198505/(1434468.876288+198505)*0.0378126495554268*(1-18.4025/100)-(0.02291+0.045))/5</f>
        <v>4.7443820266403557E-2</v>
      </c>
      <c r="I11" s="3">
        <f>$G$11 - (1434468.876288/(1434468.876288+198505)*(0.02291+0.373*0.0563135342847668)+ 198505/(1434468.876288+198505)*0.0378126495554268*(1-18.4025/100)-(0.02291+0.045))/5</f>
        <v>4.7443820266403557E-2</v>
      </c>
      <c r="J11" s="3">
        <f>$G$11 - (1434468.876288/(1434468.876288+198505)*(0.02291+0.373*0.0563135342847668)+ 198505/(1434468.876288+198505)*0.0378126495554268*(1-18.4025/100)-(0.02291+0.045))/5</f>
        <v>4.7443820266403557E-2</v>
      </c>
      <c r="K11" s="3">
        <f>$G$11 - (1434468.876288/(1434468.876288+198505)*(0.02291+0.373*0.0563135342847668)+ 198505/(1434468.876288+198505)*0.0378126495554268*(1-18.4025/100)-(0.02291+0.045))/5</f>
        <v>4.7443820266403557E-2</v>
      </c>
      <c r="L11" s="3">
        <f>$G$11 - (1434468.876288/(1434468.876288+198505)*(0.02291+0.373*0.0563135342847668)+ 198505/(1434468.876288+198505)*0.0378126495554268*(1-18.4025/100)-(0.02291+0.045))/5</f>
        <v>4.7443820266403557E-2</v>
      </c>
      <c r="M11" s="3">
        <f>0.02291+0.045</f>
        <v>6.7909999999999998E-2</v>
      </c>
    </row>
    <row r="12" spans="1:13" x14ac:dyDescent="0.25">
      <c r="A12" s="2" t="s">
        <v>12</v>
      </c>
      <c r="B12" s="4">
        <v>1</v>
      </c>
      <c r="C12" s="4">
        <f t="shared" ref="C12:L12" si="5">B12*1/(1+C11)</f>
        <v>0.95939156891055966</v>
      </c>
      <c r="D12" s="4">
        <f t="shared" si="5"/>
        <v>0.92043218249666514</v>
      </c>
      <c r="E12" s="4">
        <f t="shared" si="5"/>
        <v>0.88305487564124618</v>
      </c>
      <c r="F12" s="4">
        <f t="shared" si="5"/>
        <v>0.84719540257557435</v>
      </c>
      <c r="G12" s="4">
        <f t="shared" si="5"/>
        <v>0.81279212645079346</v>
      </c>
      <c r="H12" s="4">
        <f t="shared" si="5"/>
        <v>0.77597682159609327</v>
      </c>
      <c r="I12" s="4">
        <f t="shared" si="5"/>
        <v>0.74082906078794164</v>
      </c>
      <c r="J12" s="4">
        <f t="shared" si="5"/>
        <v>0.70727331285368744</v>
      </c>
      <c r="K12" s="4">
        <f t="shared" si="5"/>
        <v>0.67523746779450355</v>
      </c>
      <c r="L12" s="4">
        <f t="shared" si="5"/>
        <v>0.64465268182380009</v>
      </c>
    </row>
    <row r="13" spans="1:13" x14ac:dyDescent="0.25">
      <c r="A13" s="2" t="s">
        <v>13</v>
      </c>
      <c r="B13" s="4"/>
      <c r="C13" s="4">
        <f t="shared" ref="C13:L13" si="6">C9*C12</f>
        <v>11678.87381048966</v>
      </c>
      <c r="D13" s="4">
        <f t="shared" si="6"/>
        <v>17475.738998636141</v>
      </c>
      <c r="E13" s="4">
        <f t="shared" si="6"/>
        <v>22816.066435305933</v>
      </c>
      <c r="F13" s="4">
        <f t="shared" si="6"/>
        <v>23609.253721331508</v>
      </c>
      <c r="G13" s="4">
        <f t="shared" si="6"/>
        <v>38313.169780133358</v>
      </c>
      <c r="H13" s="4">
        <f t="shared" si="6"/>
        <v>59801.66757489452</v>
      </c>
      <c r="I13" s="4">
        <f t="shared" si="6"/>
        <v>78458.25840382259</v>
      </c>
      <c r="J13" s="4">
        <f t="shared" si="6"/>
        <v>86306.738755076498</v>
      </c>
      <c r="K13" s="4">
        <f t="shared" si="6"/>
        <v>85271.107095321073</v>
      </c>
      <c r="L13" s="4">
        <f t="shared" si="6"/>
        <v>81497.58243711773</v>
      </c>
    </row>
    <row r="15" spans="1:13" x14ac:dyDescent="0.25">
      <c r="A15" t="s">
        <v>14</v>
      </c>
      <c r="B15" s="4">
        <f>M9</f>
        <v>146564.07438736389</v>
      </c>
    </row>
    <row r="16" spans="1:13" x14ac:dyDescent="0.25">
      <c r="A16" t="s">
        <v>15</v>
      </c>
      <c r="B16" s="3">
        <f>M11</f>
        <v>6.7909999999999998E-2</v>
      </c>
    </row>
    <row r="17" spans="1:2" x14ac:dyDescent="0.25">
      <c r="A17" t="s">
        <v>16</v>
      </c>
      <c r="B17" s="4">
        <f>B15/(B16-M2)</f>
        <v>3256979.4308303087</v>
      </c>
    </row>
    <row r="18" spans="1:2" x14ac:dyDescent="0.25">
      <c r="A18" t="s">
        <v>17</v>
      </c>
      <c r="B18" s="4">
        <f>B17*L12</f>
        <v>2099620.5247297124</v>
      </c>
    </row>
    <row r="19" spans="1:2" x14ac:dyDescent="0.25">
      <c r="A19" t="s">
        <v>18</v>
      </c>
      <c r="B19" s="4">
        <f>SUM(C13:L13)</f>
        <v>505228.45701212902</v>
      </c>
    </row>
    <row r="20" spans="1:2" x14ac:dyDescent="0.25">
      <c r="A20" t="s">
        <v>19</v>
      </c>
      <c r="B20" s="4">
        <f>B18+B19</f>
        <v>2604848.9817418414</v>
      </c>
    </row>
    <row r="21" spans="1:2" x14ac:dyDescent="0.25">
      <c r="A21" t="s">
        <v>20</v>
      </c>
      <c r="B21" s="4">
        <f>B20</f>
        <v>2604848.9817418414</v>
      </c>
    </row>
    <row r="22" spans="1:2" x14ac:dyDescent="0.25">
      <c r="A22" t="s">
        <v>21</v>
      </c>
      <c r="B22" s="4">
        <f>198505</f>
        <v>198505</v>
      </c>
    </row>
    <row r="23" spans="1:2" x14ac:dyDescent="0.25">
      <c r="A23" t="s">
        <v>22</v>
      </c>
      <c r="B23" s="4">
        <f>0</f>
        <v>0</v>
      </c>
    </row>
    <row r="24" spans="1:2" x14ac:dyDescent="0.25">
      <c r="A24" t="s">
        <v>23</v>
      </c>
      <c r="B24" s="4">
        <f>614399</f>
        <v>614399</v>
      </c>
    </row>
    <row r="25" spans="1:2" x14ac:dyDescent="0.25">
      <c r="A25" t="s">
        <v>24</v>
      </c>
      <c r="B25" s="4">
        <f>429204</f>
        <v>429204</v>
      </c>
    </row>
    <row r="26" spans="1:2" x14ac:dyDescent="0.25">
      <c r="A26" t="s">
        <v>25</v>
      </c>
      <c r="B26" s="4">
        <f>B21 - B22 - B23 + B24 + B25</f>
        <v>3449946.9817418414</v>
      </c>
    </row>
    <row r="27" spans="1:2" x14ac:dyDescent="0.25">
      <c r="A27" t="s">
        <v>26</v>
      </c>
      <c r="B27" s="4">
        <v>2544</v>
      </c>
    </row>
    <row r="28" spans="1:2" x14ac:dyDescent="0.25">
      <c r="A28" t="s">
        <v>27</v>
      </c>
      <c r="B28" s="4">
        <f>B26/B27</f>
        <v>1356.1112349614157</v>
      </c>
    </row>
    <row r="29" spans="1:2" x14ac:dyDescent="0.25">
      <c r="A29" t="s">
        <v>28</v>
      </c>
      <c r="B29" s="4">
        <f>74.625</f>
        <v>74.625</v>
      </c>
    </row>
    <row r="30" spans="1:2" x14ac:dyDescent="0.25">
      <c r="A30" t="s">
        <v>29</v>
      </c>
      <c r="B30" s="3">
        <f>B29/B28</f>
        <v>5.502867174618109E-2</v>
      </c>
    </row>
    <row r="32" spans="1:2" x14ac:dyDescent="0.25">
      <c r="A32" t="s">
        <v>30</v>
      </c>
    </row>
    <row r="33" spans="1:13" x14ac:dyDescent="0.25">
      <c r="A33" s="2" t="s">
        <v>31</v>
      </c>
      <c r="B33" s="4">
        <v>726536</v>
      </c>
      <c r="C33" s="4">
        <f t="shared" ref="C33:M33" si="7">B33+C8</f>
        <v>813022.47284215433</v>
      </c>
      <c r="D33" s="4">
        <f t="shared" si="7"/>
        <v>909110.87430784991</v>
      </c>
      <c r="E33" s="4">
        <f t="shared" si="7"/>
        <v>1012748.2858777316</v>
      </c>
      <c r="F33" s="4">
        <f t="shared" si="7"/>
        <v>1124527.7817697471</v>
      </c>
      <c r="G33" s="4">
        <f t="shared" si="7"/>
        <v>1228008.2123729861</v>
      </c>
      <c r="H33" s="4">
        <f t="shared" si="7"/>
        <v>1309294.3985155297</v>
      </c>
      <c r="I33" s="4">
        <f t="shared" si="7"/>
        <v>1367056.4537881748</v>
      </c>
      <c r="J33" s="4">
        <f t="shared" si="7"/>
        <v>1411567.7664161946</v>
      </c>
      <c r="K33" s="4">
        <f t="shared" si="7"/>
        <v>1453301.0125729134</v>
      </c>
      <c r="L33" s="4">
        <f t="shared" si="7"/>
        <v>1495990.3673990828</v>
      </c>
      <c r="M33" s="4">
        <f t="shared" si="7"/>
        <v>1522410.8799824056</v>
      </c>
    </row>
    <row r="34" spans="1:13" x14ac:dyDescent="0.25">
      <c r="A34" s="2" t="s">
        <v>32</v>
      </c>
      <c r="B34" s="3"/>
      <c r="C34" s="3">
        <f t="shared" ref="C34:M34" si="8">C7 / B33</f>
        <v>0.13579462209718443</v>
      </c>
      <c r="D34" s="3">
        <f t="shared" si="8"/>
        <v>0.14153956950011812</v>
      </c>
      <c r="E34" s="3">
        <f t="shared" si="8"/>
        <v>0.14241944446718408</v>
      </c>
      <c r="F34" s="3">
        <f t="shared" si="8"/>
        <v>0.1378891874157484</v>
      </c>
      <c r="G34" s="3">
        <f t="shared" si="8"/>
        <v>0.13393902368192023</v>
      </c>
      <c r="H34" s="3">
        <f t="shared" si="8"/>
        <v>0.12895067887439182</v>
      </c>
      <c r="I34" s="3">
        <f t="shared" si="8"/>
        <v>0.12500479411649001</v>
      </c>
      <c r="J34" s="3">
        <f t="shared" si="8"/>
        <v>0.12182286532227468</v>
      </c>
      <c r="K34" s="3">
        <f t="shared" si="8"/>
        <v>0.11902821054016709</v>
      </c>
      <c r="L34" s="3">
        <f t="shared" si="8"/>
        <v>0.11636286578391193</v>
      </c>
      <c r="M34" s="3">
        <f t="shared" si="8"/>
        <v>0.11563215294723884</v>
      </c>
    </row>
    <row r="36" spans="1:13" x14ac:dyDescent="0.25">
      <c r="A36" s="2" t="s">
        <v>38</v>
      </c>
      <c r="B36" s="1">
        <v>2023</v>
      </c>
      <c r="C36" s="5">
        <v>2024</v>
      </c>
      <c r="D36" s="5">
        <f>C36+1</f>
        <v>2025</v>
      </c>
      <c r="E36" s="5">
        <f t="shared" ref="E36:I36" si="9">D36+1</f>
        <v>2026</v>
      </c>
      <c r="F36" s="1">
        <f t="shared" si="9"/>
        <v>2027</v>
      </c>
      <c r="G36" s="1">
        <f t="shared" si="9"/>
        <v>2028</v>
      </c>
      <c r="H36" s="1">
        <f t="shared" si="9"/>
        <v>2029</v>
      </c>
      <c r="I36" s="1">
        <f t="shared" si="9"/>
        <v>2030</v>
      </c>
    </row>
    <row r="37" spans="1:13" x14ac:dyDescent="0.25">
      <c r="A37" s="2" t="s">
        <v>3</v>
      </c>
      <c r="B37" s="6"/>
      <c r="C37" s="7">
        <f t="shared" ref="C37:I38" si="10">C2</f>
        <v>8.51033916704175E-2</v>
      </c>
      <c r="D37" s="7">
        <f t="shared" si="10"/>
        <v>7.6093255486509748E-2</v>
      </c>
      <c r="E37" s="7">
        <f t="shared" si="10"/>
        <v>7.8563177126859646E-2</v>
      </c>
      <c r="F37" s="7">
        <f t="shared" si="10"/>
        <v>7.8563177126859646E-2</v>
      </c>
      <c r="G37" s="7">
        <f t="shared" si="10"/>
        <v>7.8563177126859646E-2</v>
      </c>
      <c r="H37" s="7">
        <f t="shared" si="10"/>
        <v>6.7432541701487714E-2</v>
      </c>
      <c r="I37" s="7">
        <f t="shared" si="10"/>
        <v>4.962352502089263E-2</v>
      </c>
    </row>
    <row r="38" spans="1:13" x14ac:dyDescent="0.25">
      <c r="A38" s="2" t="s">
        <v>4</v>
      </c>
      <c r="B38" s="11">
        <f>B3</f>
        <v>868687</v>
      </c>
      <c r="C38" s="11">
        <f t="shared" si="10"/>
        <v>942615.21</v>
      </c>
      <c r="D38" s="11">
        <f t="shared" si="10"/>
        <v>1014341.87</v>
      </c>
      <c r="E38" s="11">
        <f t="shared" si="10"/>
        <v>1094031.79</v>
      </c>
      <c r="F38" s="11">
        <f t="shared" si="10"/>
        <v>1179982.4033001852</v>
      </c>
      <c r="G38" s="11">
        <f t="shared" si="10"/>
        <v>1272685.5698572351</v>
      </c>
      <c r="H38" s="11">
        <f t="shared" si="10"/>
        <v>1358505.9926195149</v>
      </c>
      <c r="I38" s="11">
        <f t="shared" si="10"/>
        <v>1425919.8487353022</v>
      </c>
    </row>
    <row r="39" spans="1:13" x14ac:dyDescent="0.25">
      <c r="A39" s="2" t="s">
        <v>6</v>
      </c>
      <c r="B39" s="10">
        <f>B5</f>
        <v>100351</v>
      </c>
      <c r="C39" s="10">
        <f t="shared" ref="C39:I39" si="11">C5</f>
        <v>121203.54</v>
      </c>
      <c r="D39" s="10">
        <f t="shared" si="11"/>
        <v>142278.5</v>
      </c>
      <c r="E39" s="10">
        <f t="shared" si="11"/>
        <v>159628.98000000001</v>
      </c>
      <c r="F39" s="10">
        <f t="shared" si="11"/>
        <v>172169.93983031993</v>
      </c>
      <c r="G39" s="10">
        <f t="shared" si="11"/>
        <v>185696.1573091301</v>
      </c>
      <c r="H39" s="10">
        <f t="shared" si="11"/>
        <v>198218.12118068407</v>
      </c>
      <c r="I39" s="10">
        <f t="shared" si="11"/>
        <v>208054.40307668809</v>
      </c>
    </row>
    <row r="40" spans="1:13" x14ac:dyDescent="0.25">
      <c r="A40" s="2" t="s">
        <v>33</v>
      </c>
      <c r="B40" s="6"/>
      <c r="C40" s="10">
        <v>-8025</v>
      </c>
      <c r="D40" s="10">
        <v>-8076</v>
      </c>
      <c r="E40" s="10">
        <v>-7857</v>
      </c>
      <c r="F40" s="10">
        <f>E40</f>
        <v>-7857</v>
      </c>
      <c r="G40" s="10">
        <f t="shared" ref="G40:I40" si="12">F40</f>
        <v>-7857</v>
      </c>
      <c r="H40" s="10">
        <f t="shared" si="12"/>
        <v>-7857</v>
      </c>
      <c r="I40" s="10">
        <f t="shared" si="12"/>
        <v>-7857</v>
      </c>
    </row>
    <row r="41" spans="1:13" x14ac:dyDescent="0.25">
      <c r="A41" s="2" t="s">
        <v>34</v>
      </c>
      <c r="B41" s="8">
        <f>(B39+B40)*(1-B6)/$B$27</f>
        <v>32.740302672955977</v>
      </c>
      <c r="C41" s="8">
        <f>(C39+C40)*(1-C6)/$B$27</f>
        <v>36.213573726415099</v>
      </c>
      <c r="D41" s="8">
        <f>(D39+D40)*(1-D6)/$B$27</f>
        <v>42.66626650943396</v>
      </c>
      <c r="E41" s="8">
        <f>(E39+E40)*(1-E6)/$B$27</f>
        <v>48.389250384433964</v>
      </c>
      <c r="F41" s="8">
        <f t="shared" ref="F41:I41" si="13">(F39+F40)*(1-F6)/$B$27</f>
        <v>52.387667254863395</v>
      </c>
      <c r="G41" s="8">
        <f t="shared" si="13"/>
        <v>56.700212458111409</v>
      </c>
      <c r="H41" s="8">
        <f t="shared" si="13"/>
        <v>59.778181009758214</v>
      </c>
      <c r="I41" s="8">
        <f t="shared" si="13"/>
        <v>61.905380937227768</v>
      </c>
    </row>
    <row r="42" spans="1:13" x14ac:dyDescent="0.25">
      <c r="A42" s="2" t="s">
        <v>39</v>
      </c>
      <c r="B42" s="8">
        <v>8</v>
      </c>
      <c r="C42" s="8"/>
      <c r="D42" s="8"/>
      <c r="E42" s="8"/>
      <c r="F42" s="8"/>
      <c r="G42" s="8"/>
      <c r="H42" s="8"/>
      <c r="I42" s="8"/>
    </row>
    <row r="43" spans="1:13" x14ac:dyDescent="0.25">
      <c r="A43" s="2" t="s">
        <v>37</v>
      </c>
      <c r="B43" s="8">
        <f>B41/8</f>
        <v>4.0925378341194971</v>
      </c>
      <c r="C43" s="8">
        <f>C41/$B$42</f>
        <v>4.5266967158018874</v>
      </c>
      <c r="D43" s="8">
        <f t="shared" ref="D43:I43" si="14">D41/$B$42</f>
        <v>5.333283313679245</v>
      </c>
      <c r="E43" s="8">
        <f t="shared" si="14"/>
        <v>6.0486562980542455</v>
      </c>
      <c r="F43" s="8">
        <f t="shared" si="14"/>
        <v>6.5484584068579244</v>
      </c>
      <c r="G43" s="8">
        <f t="shared" si="14"/>
        <v>7.0875265572639261</v>
      </c>
      <c r="H43" s="8">
        <f t="shared" si="14"/>
        <v>7.4722726262197767</v>
      </c>
      <c r="I43" s="8">
        <f t="shared" si="14"/>
        <v>7.738172617153471</v>
      </c>
    </row>
    <row r="44" spans="1:13" x14ac:dyDescent="0.25">
      <c r="A44" t="s">
        <v>35</v>
      </c>
      <c r="C44">
        <v>16</v>
      </c>
      <c r="D44">
        <f>C44</f>
        <v>16</v>
      </c>
      <c r="E44">
        <f t="shared" ref="E44:I44" si="15">D44</f>
        <v>16</v>
      </c>
      <c r="F44">
        <f t="shared" si="15"/>
        <v>16</v>
      </c>
      <c r="G44">
        <f t="shared" si="15"/>
        <v>16</v>
      </c>
      <c r="H44">
        <f t="shared" si="15"/>
        <v>16</v>
      </c>
      <c r="I44">
        <f t="shared" si="15"/>
        <v>16</v>
      </c>
    </row>
    <row r="45" spans="1:13" x14ac:dyDescent="0.25">
      <c r="A45" s="9" t="s">
        <v>36</v>
      </c>
      <c r="B45" s="8"/>
      <c r="C45" s="8">
        <f t="shared" ref="C45:I45" si="16">C43*C44</f>
        <v>72.427147452830198</v>
      </c>
      <c r="D45" s="8">
        <f t="shared" si="16"/>
        <v>85.33253301886792</v>
      </c>
      <c r="E45" s="8">
        <f t="shared" si="16"/>
        <v>96.778500768867929</v>
      </c>
      <c r="F45" s="8">
        <f t="shared" si="16"/>
        <v>104.77533450972679</v>
      </c>
      <c r="G45" s="8">
        <f t="shared" si="16"/>
        <v>113.40042491622282</v>
      </c>
      <c r="H45" s="8">
        <f t="shared" si="16"/>
        <v>119.55636201951643</v>
      </c>
      <c r="I45" s="8">
        <f t="shared" si="16"/>
        <v>123.81076187445554</v>
      </c>
    </row>
    <row r="47" spans="1:13" x14ac:dyDescent="0.25">
      <c r="B47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Benny Khoo</cp:lastModifiedBy>
  <dcterms:created xsi:type="dcterms:W3CDTF">2024-06-12T08:55:40Z</dcterms:created>
  <dcterms:modified xsi:type="dcterms:W3CDTF">2024-06-13T08:28:21Z</dcterms:modified>
</cp:coreProperties>
</file>