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4/To Transfer/"/>
    </mc:Choice>
  </mc:AlternateContent>
  <xr:revisionPtr revIDLastSave="0" documentId="13_ncr:1_{00099278-2F68-8D48-84F9-12DCCE5C01AC}" xr6:coauthVersionLast="47" xr6:coauthVersionMax="47" xr10:uidLastSave="{00000000-0000-0000-0000-000000000000}"/>
  <bookViews>
    <workbookView xWindow="0" yWindow="760" windowWidth="30240" windowHeight="18880" xr2:uid="{00000000-000D-0000-FFFF-FFFF00000000}"/>
  </bookViews>
  <sheets>
    <sheet name="Explanation and FAQ" sheetId="7" r:id="rId1"/>
    <sheet name="Summary of Most Recent Update" sheetId="28" r:id="rId2"/>
    <sheet name="Country Lookup" sheetId="17" r:id="rId3"/>
    <sheet name="ERPs by country" sheetId="1" r:id="rId4"/>
    <sheet name="Relative Equity Volatility" sheetId="26" r:id="rId5"/>
    <sheet name="Regional Simple Averages" sheetId="16" r:id="rId6"/>
    <sheet name="Regional Weighted Averages" sheetId="10" r:id="rId7"/>
    <sheet name="Regional breakdown" sheetId="3" r:id="rId8"/>
    <sheet name="Sovereign Ratings (Moody's,S&amp;P)" sheetId="2" r:id="rId9"/>
    <sheet name="Regional lookup table" sheetId="4" r:id="rId10"/>
    <sheet name="Default Spreads for Ratings" sheetId="25" r:id="rId11"/>
    <sheet name="10-year CDS Spreads" sheetId="5" r:id="rId12"/>
    <sheet name="Equity vs Govt Bond vol" sheetId="6" r:id="rId13"/>
    <sheet name="Country GDP" sheetId="9" r:id="rId14"/>
    <sheet name="Ratings worksheet" sheetId="19" r:id="rId15"/>
    <sheet name="Country Tax Rates" sheetId="24" r:id="rId16"/>
    <sheet name="PRS Worksheet" sheetId="23" r:id="rId17"/>
    <sheet name="Data Update Sequence" sheetId="27"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pivotCaches>
    <pivotCache cacheId="2"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7" i="23" l="1"/>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91" i="23"/>
  <c r="B90" i="23"/>
  <c r="B89" i="23"/>
  <c r="B88" i="23"/>
  <c r="B87" i="23"/>
  <c r="B86" i="23"/>
  <c r="B85" i="23"/>
  <c r="B84" i="23"/>
  <c r="B83" i="23"/>
  <c r="B82" i="23"/>
  <c r="B81" i="23"/>
  <c r="B80" i="23"/>
  <c r="B79" i="23"/>
  <c r="B78" i="23"/>
  <c r="B77" i="23"/>
  <c r="B76" i="23"/>
  <c r="B75" i="23"/>
  <c r="B74" i="23"/>
  <c r="B73" i="23"/>
  <c r="B72" i="23"/>
  <c r="B71" i="23"/>
  <c r="B70" i="23"/>
  <c r="B69" i="23"/>
  <c r="B68" i="23"/>
  <c r="B67" i="23"/>
  <c r="B66" i="23"/>
  <c r="B65" i="23"/>
  <c r="B64" i="23"/>
  <c r="B63" i="23"/>
  <c r="B62" i="23"/>
  <c r="B61" i="23"/>
  <c r="B60" i="23"/>
  <c r="B59" i="23"/>
  <c r="B58" i="23"/>
  <c r="B57" i="23"/>
  <c r="B56" i="23"/>
  <c r="B55" i="23"/>
  <c r="B54"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10" i="23"/>
  <c r="B9" i="23"/>
  <c r="B8" i="23"/>
  <c r="B7" i="23"/>
  <c r="B6" i="23"/>
  <c r="B5" i="23"/>
  <c r="B4" i="23"/>
  <c r="B3" i="23"/>
  <c r="B2" i="23"/>
  <c r="D191" i="10"/>
  <c r="C42" i="2"/>
  <c r="B42" i="2"/>
  <c r="F82" i="23"/>
  <c r="D82" i="23"/>
  <c r="C82" i="23"/>
  <c r="E82" i="23" s="1"/>
  <c r="G82" i="23" s="1"/>
  <c r="A82" i="23"/>
  <c r="G31" i="10"/>
  <c r="C31" i="10"/>
  <c r="B31" i="10"/>
  <c r="A31" i="10"/>
  <c r="H31" i="10" s="1"/>
  <c r="H30" i="10"/>
  <c r="G30" i="10"/>
  <c r="C30" i="10"/>
  <c r="B30" i="10"/>
  <c r="A30" i="10"/>
  <c r="G29" i="10"/>
  <c r="C29" i="10"/>
  <c r="B29" i="10"/>
  <c r="A29" i="10"/>
  <c r="H29" i="10" s="1"/>
  <c r="G28" i="10"/>
  <c r="C28" i="10"/>
  <c r="B28" i="10"/>
  <c r="A28" i="10"/>
  <c r="H28" i="10" s="1"/>
  <c r="H27" i="10"/>
  <c r="G27" i="10"/>
  <c r="C27" i="10"/>
  <c r="B27" i="10"/>
  <c r="A27" i="10"/>
  <c r="G26" i="10"/>
  <c r="C26" i="10"/>
  <c r="B26" i="10"/>
  <c r="A26" i="10"/>
  <c r="H26" i="10" s="1"/>
  <c r="G25" i="10"/>
  <c r="C25" i="10"/>
  <c r="B25" i="10"/>
  <c r="A25" i="10"/>
  <c r="H25" i="10" s="1"/>
  <c r="H24" i="10"/>
  <c r="G24" i="10"/>
  <c r="C24" i="10"/>
  <c r="B24" i="10"/>
  <c r="A24" i="10"/>
  <c r="G23" i="10"/>
  <c r="C23" i="10"/>
  <c r="B23" i="10"/>
  <c r="A23" i="10"/>
  <c r="H23" i="10" s="1"/>
  <c r="G22" i="10"/>
  <c r="C22" i="10"/>
  <c r="B22" i="10"/>
  <c r="A22" i="10"/>
  <c r="H22" i="10" s="1"/>
  <c r="H21" i="10"/>
  <c r="G21" i="10"/>
  <c r="C21" i="10"/>
  <c r="B21" i="10"/>
  <c r="A21" i="10"/>
  <c r="G20" i="10"/>
  <c r="C20" i="10"/>
  <c r="B20" i="10"/>
  <c r="A20" i="10"/>
  <c r="H20" i="10" s="1"/>
  <c r="G19" i="10"/>
  <c r="C19" i="10"/>
  <c r="B19" i="10"/>
  <c r="A19" i="10"/>
  <c r="H19" i="10" s="1"/>
  <c r="H18" i="10"/>
  <c r="G18" i="10"/>
  <c r="C18" i="10"/>
  <c r="B18" i="10"/>
  <c r="A18" i="10"/>
  <c r="G17" i="10"/>
  <c r="C17" i="10"/>
  <c r="B17" i="10"/>
  <c r="A17" i="10"/>
  <c r="H17" i="10" s="1"/>
  <c r="G16" i="10"/>
  <c r="C16" i="10"/>
  <c r="B16" i="10"/>
  <c r="A16" i="10"/>
  <c r="H16" i="10" s="1"/>
  <c r="H15" i="10"/>
  <c r="G15" i="10"/>
  <c r="C15" i="10"/>
  <c r="B15" i="10"/>
  <c r="A15" i="10"/>
  <c r="G14" i="10"/>
  <c r="C14" i="10"/>
  <c r="B14" i="10"/>
  <c r="A14" i="10"/>
  <c r="H14" i="10" s="1"/>
  <c r="G13" i="10"/>
  <c r="C13" i="10"/>
  <c r="B13" i="10"/>
  <c r="A13" i="10"/>
  <c r="H13" i="10" s="1"/>
  <c r="H12" i="10"/>
  <c r="G12" i="10"/>
  <c r="C12" i="10"/>
  <c r="B12" i="10"/>
  <c r="A12" i="10"/>
  <c r="G11" i="10"/>
  <c r="C11" i="10"/>
  <c r="B11" i="10"/>
  <c r="A11" i="10"/>
  <c r="H11" i="10" s="1"/>
  <c r="G10" i="10"/>
  <c r="C10" i="10"/>
  <c r="B10" i="10"/>
  <c r="A10" i="10"/>
  <c r="H10" i="10" s="1"/>
  <c r="H9" i="10"/>
  <c r="G9" i="10"/>
  <c r="C9" i="10"/>
  <c r="B9" i="10"/>
  <c r="A9" i="10"/>
  <c r="G8" i="10"/>
  <c r="C8" i="10"/>
  <c r="B8" i="10"/>
  <c r="A8" i="10"/>
  <c r="H8" i="10" s="1"/>
  <c r="G7" i="10"/>
  <c r="C7" i="10"/>
  <c r="B7" i="10"/>
  <c r="A7" i="10"/>
  <c r="H7" i="10" s="1"/>
  <c r="H6" i="10"/>
  <c r="G6" i="10"/>
  <c r="C6" i="10"/>
  <c r="B6" i="10"/>
  <c r="A6" i="10"/>
  <c r="G5" i="10"/>
  <c r="C5" i="10"/>
  <c r="B5" i="10"/>
  <c r="A5" i="10"/>
  <c r="H5" i="10" s="1"/>
  <c r="G4" i="10"/>
  <c r="C4" i="10"/>
  <c r="B4" i="10"/>
  <c r="A4" i="10"/>
  <c r="H4" i="10" s="1"/>
  <c r="H3" i="10"/>
  <c r="G3" i="10"/>
  <c r="C3" i="10"/>
  <c r="B3" i="10"/>
  <c r="A3" i="10"/>
  <c r="G2" i="10"/>
  <c r="C2" i="10"/>
  <c r="B2" i="10"/>
  <c r="A2" i="10"/>
  <c r="H2" i="10" s="1"/>
  <c r="F121" i="19"/>
  <c r="A180" i="1"/>
  <c r="F41" i="19"/>
  <c r="H82" i="25" l="1"/>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J75" i="5"/>
  <c r="J52" i="5"/>
  <c r="B3" i="9"/>
  <c r="F158" i="19"/>
  <c r="F157" i="19"/>
  <c r="F155" i="19"/>
  <c r="F154" i="19"/>
  <c r="F153" i="19"/>
  <c r="F152" i="19"/>
  <c r="F151" i="19"/>
  <c r="F150" i="19"/>
  <c r="F149" i="19"/>
  <c r="F146" i="19"/>
  <c r="F145" i="19"/>
  <c r="F144" i="19"/>
  <c r="F143" i="19"/>
  <c r="F142" i="19"/>
  <c r="F141" i="19"/>
  <c r="F139" i="19"/>
  <c r="F138" i="19"/>
  <c r="F137" i="19"/>
  <c r="F136" i="19"/>
  <c r="F135" i="19"/>
  <c r="F134" i="19"/>
  <c r="F132" i="19"/>
  <c r="F131" i="19"/>
  <c r="F130" i="19"/>
  <c r="F129" i="19"/>
  <c r="F128" i="19"/>
  <c r="F127" i="19"/>
  <c r="F126" i="19"/>
  <c r="F125" i="19"/>
  <c r="F124" i="19"/>
  <c r="F123" i="19"/>
  <c r="F122" i="19"/>
  <c r="F120" i="19"/>
  <c r="F118" i="19"/>
  <c r="F117" i="19"/>
  <c r="F116" i="19"/>
  <c r="F115" i="19"/>
  <c r="F114" i="19"/>
  <c r="F113" i="19"/>
  <c r="F112" i="19"/>
  <c r="F110" i="19"/>
  <c r="F109" i="19"/>
  <c r="F108" i="19"/>
  <c r="F107" i="19"/>
  <c r="F106" i="19"/>
  <c r="F105" i="19"/>
  <c r="F104" i="19"/>
  <c r="F103" i="19"/>
  <c r="F102" i="19"/>
  <c r="F101" i="19"/>
  <c r="F100" i="19"/>
  <c r="F97" i="19"/>
  <c r="F96" i="19"/>
  <c r="F95" i="19"/>
  <c r="F94" i="19"/>
  <c r="F93" i="19"/>
  <c r="F92" i="19"/>
  <c r="F91" i="19"/>
  <c r="F90" i="19"/>
  <c r="F87" i="19"/>
  <c r="F86" i="19"/>
  <c r="F84" i="19"/>
  <c r="F83" i="19"/>
  <c r="F82" i="19"/>
  <c r="F81" i="19"/>
  <c r="F80" i="19"/>
  <c r="F79" i="19"/>
  <c r="F78" i="19"/>
  <c r="F77" i="19"/>
  <c r="F76" i="19"/>
  <c r="F74" i="19"/>
  <c r="F73" i="19"/>
  <c r="F72" i="19"/>
  <c r="F71" i="19"/>
  <c r="F70" i="19"/>
  <c r="F69" i="19"/>
  <c r="F68" i="19"/>
  <c r="F67" i="19"/>
  <c r="F66" i="19"/>
  <c r="F65" i="19"/>
  <c r="F64" i="19"/>
  <c r="F62" i="19"/>
  <c r="F60" i="19"/>
  <c r="F59" i="19"/>
  <c r="F58" i="19"/>
  <c r="F57" i="19"/>
  <c r="F56" i="19"/>
  <c r="F55" i="19"/>
  <c r="F54" i="19"/>
  <c r="F53" i="19"/>
  <c r="F52" i="19"/>
  <c r="F51" i="19"/>
  <c r="F50" i="19"/>
  <c r="F48" i="19"/>
  <c r="F46" i="19"/>
  <c r="F45" i="19"/>
  <c r="F44" i="19"/>
  <c r="F43" i="19"/>
  <c r="F40" i="19"/>
  <c r="F39" i="19"/>
  <c r="F38" i="19"/>
  <c r="F34" i="19"/>
  <c r="F33" i="19"/>
  <c r="F32" i="19"/>
  <c r="F31" i="19"/>
  <c r="F29" i="19"/>
  <c r="F28" i="19"/>
  <c r="F27" i="19"/>
  <c r="F25" i="19"/>
  <c r="F24" i="19"/>
  <c r="F23" i="19"/>
  <c r="F22" i="19"/>
  <c r="F21" i="19"/>
  <c r="F20" i="19"/>
  <c r="F19" i="19"/>
  <c r="F18" i="19"/>
  <c r="F17" i="19"/>
  <c r="F16" i="19"/>
  <c r="F15" i="19"/>
  <c r="F14" i="19"/>
  <c r="F13" i="19"/>
  <c r="F12" i="19"/>
  <c r="F11" i="19"/>
  <c r="F10" i="19"/>
  <c r="F9" i="19"/>
  <c r="F7" i="19"/>
  <c r="F6" i="19"/>
  <c r="F5" i="19"/>
  <c r="F4" i="19"/>
  <c r="F3" i="19"/>
  <c r="F2" i="19"/>
  <c r="G158" i="19"/>
  <c r="G157" i="19"/>
  <c r="G155" i="19"/>
  <c r="G154" i="19"/>
  <c r="G152" i="19"/>
  <c r="G150" i="19"/>
  <c r="G149" i="19"/>
  <c r="G145" i="19"/>
  <c r="G144" i="19"/>
  <c r="G143" i="19"/>
  <c r="G141" i="19"/>
  <c r="G140" i="19"/>
  <c r="G139" i="19"/>
  <c r="G138" i="19"/>
  <c r="G136" i="19"/>
  <c r="G132" i="19"/>
  <c r="G131" i="19"/>
  <c r="G129" i="19"/>
  <c r="G128" i="19"/>
  <c r="G127" i="19"/>
  <c r="G126" i="19"/>
  <c r="G125" i="19"/>
  <c r="G124" i="19"/>
  <c r="G123" i="19"/>
  <c r="G122" i="19"/>
  <c r="G120" i="19"/>
  <c r="G118" i="19"/>
  <c r="G117" i="19"/>
  <c r="G116" i="19"/>
  <c r="G115" i="19"/>
  <c r="G114" i="19"/>
  <c r="G113" i="19"/>
  <c r="G112" i="19"/>
  <c r="G111" i="19"/>
  <c r="G110" i="19"/>
  <c r="G109" i="19"/>
  <c r="G108" i="19"/>
  <c r="G107" i="19"/>
  <c r="G105" i="19"/>
  <c r="G104" i="19"/>
  <c r="G103" i="19"/>
  <c r="G101" i="19"/>
  <c r="G100" i="19"/>
  <c r="G99" i="19"/>
  <c r="G98" i="19"/>
  <c r="G97" i="19"/>
  <c r="G95" i="19"/>
  <c r="G94" i="19"/>
  <c r="G93" i="19"/>
  <c r="G90" i="19"/>
  <c r="G87" i="19"/>
  <c r="G86" i="19"/>
  <c r="G85" i="19"/>
  <c r="G84" i="19"/>
  <c r="G83" i="19"/>
  <c r="G80" i="19"/>
  <c r="G79" i="19"/>
  <c r="G78" i="19"/>
  <c r="G77" i="19"/>
  <c r="G76" i="19"/>
  <c r="G74" i="19"/>
  <c r="G73" i="19"/>
  <c r="G72" i="19"/>
  <c r="G71" i="19"/>
  <c r="G69" i="19"/>
  <c r="G68" i="19"/>
  <c r="G67" i="19"/>
  <c r="G66" i="19"/>
  <c r="G65" i="19"/>
  <c r="G64" i="19"/>
  <c r="G63" i="19"/>
  <c r="G62" i="19"/>
  <c r="G60" i="19"/>
  <c r="G59" i="19"/>
  <c r="G58" i="19"/>
  <c r="G57" i="19"/>
  <c r="G56" i="19"/>
  <c r="G54" i="19"/>
  <c r="G53" i="19"/>
  <c r="G52" i="19"/>
  <c r="G51" i="19"/>
  <c r="G50" i="19"/>
  <c r="G49" i="19"/>
  <c r="G48" i="19"/>
  <c r="G47" i="19"/>
  <c r="G46" i="19"/>
  <c r="G45" i="19"/>
  <c r="G44" i="19"/>
  <c r="G43" i="19"/>
  <c r="G42" i="19"/>
  <c r="G40" i="19"/>
  <c r="G38" i="19"/>
  <c r="G37" i="19"/>
  <c r="G34" i="19"/>
  <c r="G33" i="19"/>
  <c r="G32" i="19"/>
  <c r="G30" i="19"/>
  <c r="G29" i="19"/>
  <c r="G28" i="19"/>
  <c r="G26" i="19"/>
  <c r="G25" i="19"/>
  <c r="G24" i="19"/>
  <c r="G23" i="19"/>
  <c r="G22" i="19"/>
  <c r="G21" i="19"/>
  <c r="G20" i="19"/>
  <c r="G19" i="19"/>
  <c r="G18" i="19"/>
  <c r="G17" i="19"/>
  <c r="G15" i="19"/>
  <c r="G14" i="19"/>
  <c r="G13" i="19"/>
  <c r="G12" i="19"/>
  <c r="G11" i="19"/>
  <c r="G10" i="19"/>
  <c r="G9" i="19"/>
  <c r="G8" i="19"/>
  <c r="G7" i="19"/>
  <c r="G6" i="19"/>
  <c r="G5" i="19"/>
  <c r="G4" i="19"/>
  <c r="G2" i="19"/>
  <c r="B6" i="26"/>
  <c r="B5" i="26"/>
  <c r="C5" i="26"/>
  <c r="C4" i="26"/>
  <c r="C3" i="26"/>
  <c r="C2" i="26"/>
  <c r="B2" i="26"/>
  <c r="C1272" i="26"/>
  <c r="C1271" i="26"/>
  <c r="C1270" i="26"/>
  <c r="C1269" i="26"/>
  <c r="C1268" i="26"/>
  <c r="C1267" i="26"/>
  <c r="C1266" i="26"/>
  <c r="C1265" i="26"/>
  <c r="C1264" i="26"/>
  <c r="C1263" i="26"/>
  <c r="C1262" i="26"/>
  <c r="C1261" i="26"/>
  <c r="C1260" i="26"/>
  <c r="C1259" i="26"/>
  <c r="C1258" i="26"/>
  <c r="C1257" i="26"/>
  <c r="C1256" i="26"/>
  <c r="C1255" i="26"/>
  <c r="C1254" i="26"/>
  <c r="C1253" i="26"/>
  <c r="C1252" i="26"/>
  <c r="C1251" i="26"/>
  <c r="C1250" i="26"/>
  <c r="C1249" i="26"/>
  <c r="C1248" i="26"/>
  <c r="C1247" i="26"/>
  <c r="C1246" i="26"/>
  <c r="C1245" i="26"/>
  <c r="C1244" i="26"/>
  <c r="C1243" i="26"/>
  <c r="C1242" i="26"/>
  <c r="C1241" i="26"/>
  <c r="C1240" i="26"/>
  <c r="C1239" i="26"/>
  <c r="C1238" i="26"/>
  <c r="C1237" i="26"/>
  <c r="C1236" i="26"/>
  <c r="C1235" i="26"/>
  <c r="C1234" i="26"/>
  <c r="C1233" i="26"/>
  <c r="C1232" i="26"/>
  <c r="C1231" i="26"/>
  <c r="C1230" i="26"/>
  <c r="C1229" i="26"/>
  <c r="C1228" i="26"/>
  <c r="C1227" i="26"/>
  <c r="C1226" i="26"/>
  <c r="C1225" i="26"/>
  <c r="C1224" i="26"/>
  <c r="C1223" i="26"/>
  <c r="C1222" i="26"/>
  <c r="C1221" i="26"/>
  <c r="C1220" i="26"/>
  <c r="C1219" i="26"/>
  <c r="C1218" i="26"/>
  <c r="C1217" i="26"/>
  <c r="C1216" i="26"/>
  <c r="C1215" i="26"/>
  <c r="C1214" i="26"/>
  <c r="C1213" i="26"/>
  <c r="C1212" i="26"/>
  <c r="C1211" i="26"/>
  <c r="C1210" i="26"/>
  <c r="C1209" i="26"/>
  <c r="C1208" i="26"/>
  <c r="C1207" i="26"/>
  <c r="C1206" i="26"/>
  <c r="C1205" i="26"/>
  <c r="C1204" i="26"/>
  <c r="C1203" i="26"/>
  <c r="C1202" i="26"/>
  <c r="C1201" i="26"/>
  <c r="C1200" i="26"/>
  <c r="C1199" i="26"/>
  <c r="C1198" i="26"/>
  <c r="C1197" i="26"/>
  <c r="C1196" i="26"/>
  <c r="C1195" i="26"/>
  <c r="C1194" i="26"/>
  <c r="C1193" i="26"/>
  <c r="C1192" i="26"/>
  <c r="C1191" i="26"/>
  <c r="C1190" i="26"/>
  <c r="C1189" i="26"/>
  <c r="C1188" i="26"/>
  <c r="C1187" i="26"/>
  <c r="C1186" i="26"/>
  <c r="C1185" i="26"/>
  <c r="C1184" i="26"/>
  <c r="C1183" i="26"/>
  <c r="C1182" i="26"/>
  <c r="C1181" i="26"/>
  <c r="C1180" i="26"/>
  <c r="C1179" i="26"/>
  <c r="C1178" i="26"/>
  <c r="C1177" i="26"/>
  <c r="C1176" i="26"/>
  <c r="C1175" i="26"/>
  <c r="C1174" i="26"/>
  <c r="C1173" i="26"/>
  <c r="C1172" i="26"/>
  <c r="C1171" i="26"/>
  <c r="C1170" i="26"/>
  <c r="C1169" i="26"/>
  <c r="C1168" i="26"/>
  <c r="C1167" i="26"/>
  <c r="C1166" i="26"/>
  <c r="C1165" i="26"/>
  <c r="C1164" i="26"/>
  <c r="C1163" i="26"/>
  <c r="C1162" i="26"/>
  <c r="C1161" i="26"/>
  <c r="C1160" i="26"/>
  <c r="C1159" i="26"/>
  <c r="C1158" i="26"/>
  <c r="C1157" i="26"/>
  <c r="C1156" i="26"/>
  <c r="C1155" i="26"/>
  <c r="C1154" i="26"/>
  <c r="C1153" i="26"/>
  <c r="C1152" i="26"/>
  <c r="C1151" i="26"/>
  <c r="C1150" i="26"/>
  <c r="C1149" i="26"/>
  <c r="C1148" i="26"/>
  <c r="C1147" i="26"/>
  <c r="C1146" i="26"/>
  <c r="C1145" i="26"/>
  <c r="C1144" i="26"/>
  <c r="C1143" i="26"/>
  <c r="C1142" i="26"/>
  <c r="C1141" i="26"/>
  <c r="C1140" i="26"/>
  <c r="C1139" i="26"/>
  <c r="C1138" i="26"/>
  <c r="C1137" i="26"/>
  <c r="C1136" i="26"/>
  <c r="C1135" i="26"/>
  <c r="C1134" i="26"/>
  <c r="C1133" i="26"/>
  <c r="C1132" i="26"/>
  <c r="C1131" i="26"/>
  <c r="C1130" i="26"/>
  <c r="C1129" i="26"/>
  <c r="C1128" i="26"/>
  <c r="C1127" i="26"/>
  <c r="C1126" i="26"/>
  <c r="C1125" i="26"/>
  <c r="C1124" i="26"/>
  <c r="C1123" i="26"/>
  <c r="C1122" i="26"/>
  <c r="C1121" i="26"/>
  <c r="C1120" i="26"/>
  <c r="C1119" i="26"/>
  <c r="C1118" i="26"/>
  <c r="C1117" i="26"/>
  <c r="C1116" i="26"/>
  <c r="C1115" i="26"/>
  <c r="C1114" i="26"/>
  <c r="C1113" i="26"/>
  <c r="C1112" i="26"/>
  <c r="C1111" i="26"/>
  <c r="C1110" i="26"/>
  <c r="C1109" i="26"/>
  <c r="C1108" i="26"/>
  <c r="C1107" i="26"/>
  <c r="C1106" i="26"/>
  <c r="C1105" i="26"/>
  <c r="C1104" i="26"/>
  <c r="C1103" i="26"/>
  <c r="C1102" i="26"/>
  <c r="C1101" i="26"/>
  <c r="C1100" i="26"/>
  <c r="C1099" i="26"/>
  <c r="C1098" i="26"/>
  <c r="C1097" i="26"/>
  <c r="C1096" i="26"/>
  <c r="C1095" i="26"/>
  <c r="C1094" i="26"/>
  <c r="C1093" i="26"/>
  <c r="C1092" i="26"/>
  <c r="C1091" i="26"/>
  <c r="C1090" i="26"/>
  <c r="C1089" i="26"/>
  <c r="C1088" i="26"/>
  <c r="C1087" i="26"/>
  <c r="C1086" i="26"/>
  <c r="C1085" i="26"/>
  <c r="C1084" i="26"/>
  <c r="C1083" i="26"/>
  <c r="C1082" i="26"/>
  <c r="C1081" i="26"/>
  <c r="C1080" i="26"/>
  <c r="C1079" i="26"/>
  <c r="C1078" i="26"/>
  <c r="C1077" i="26"/>
  <c r="C1076" i="26"/>
  <c r="C1075" i="26"/>
  <c r="C1074" i="26"/>
  <c r="C1073" i="26"/>
  <c r="C1072" i="26"/>
  <c r="C1071" i="26"/>
  <c r="C1070" i="26"/>
  <c r="C1069" i="26"/>
  <c r="C1068" i="26"/>
  <c r="C1067" i="26"/>
  <c r="C1066" i="26"/>
  <c r="C1065" i="26"/>
  <c r="C1064" i="26"/>
  <c r="C1063" i="26"/>
  <c r="C1062" i="26"/>
  <c r="C1061" i="26"/>
  <c r="C1060" i="26"/>
  <c r="C1059" i="26"/>
  <c r="C1058" i="26"/>
  <c r="C1057" i="26"/>
  <c r="C1056" i="26"/>
  <c r="C1055" i="26"/>
  <c r="C1054" i="26"/>
  <c r="C1053" i="26"/>
  <c r="C1052" i="26"/>
  <c r="C1051" i="26"/>
  <c r="C1050" i="26"/>
  <c r="C1049" i="26"/>
  <c r="C1048" i="26"/>
  <c r="C1047" i="26"/>
  <c r="C1046" i="26"/>
  <c r="C1045" i="26"/>
  <c r="C1044" i="26"/>
  <c r="C1043" i="26"/>
  <c r="C1042" i="26"/>
  <c r="C1041" i="26"/>
  <c r="C1040" i="26"/>
  <c r="C1039" i="26"/>
  <c r="C1038" i="26"/>
  <c r="C1037" i="26"/>
  <c r="C1036" i="26"/>
  <c r="C1035" i="26"/>
  <c r="C1034" i="26"/>
  <c r="C1033" i="26"/>
  <c r="C1032" i="26"/>
  <c r="C1031" i="26"/>
  <c r="C1030" i="26"/>
  <c r="C1029" i="26"/>
  <c r="C1028" i="26"/>
  <c r="C1027" i="26"/>
  <c r="C1026" i="26"/>
  <c r="C1025" i="26"/>
  <c r="C1024" i="26"/>
  <c r="C1023" i="26"/>
  <c r="C1022" i="26"/>
  <c r="C1021" i="26"/>
  <c r="C1020" i="26"/>
  <c r="C1019" i="26"/>
  <c r="C1018" i="26"/>
  <c r="C1017" i="26"/>
  <c r="C1016" i="26"/>
  <c r="C1015" i="26"/>
  <c r="C1014" i="26"/>
  <c r="C1013" i="26"/>
  <c r="C1012" i="26"/>
  <c r="C1011" i="26"/>
  <c r="C1010" i="26"/>
  <c r="C1009" i="26"/>
  <c r="C1008" i="26"/>
  <c r="C1007" i="26"/>
  <c r="C1006" i="26"/>
  <c r="C1005" i="26"/>
  <c r="C1004" i="26"/>
  <c r="C1003" i="26"/>
  <c r="C1002" i="26"/>
  <c r="C1001" i="26"/>
  <c r="C1000" i="26"/>
  <c r="C999" i="26"/>
  <c r="C998" i="26"/>
  <c r="C997" i="26"/>
  <c r="C996" i="26"/>
  <c r="C995" i="26"/>
  <c r="C994" i="26"/>
  <c r="C993" i="26"/>
  <c r="C992" i="26"/>
  <c r="C991" i="26"/>
  <c r="C990" i="26"/>
  <c r="C989" i="26"/>
  <c r="C988" i="26"/>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300" i="26"/>
  <c r="C299" i="26"/>
  <c r="C298" i="26"/>
  <c r="C297" i="26"/>
  <c r="C296" i="26"/>
  <c r="C295" i="26"/>
  <c r="C294" i="26"/>
  <c r="C293" i="26"/>
  <c r="C292" i="26"/>
  <c r="C291" i="26"/>
  <c r="C290" i="26"/>
  <c r="C289" i="26"/>
  <c r="C288" i="26"/>
  <c r="C287" i="26"/>
  <c r="C286" i="26"/>
  <c r="C285" i="26"/>
  <c r="C284" i="26"/>
  <c r="C283" i="26"/>
  <c r="C282" i="26"/>
  <c r="C281" i="26"/>
  <c r="C280" i="26"/>
  <c r="C279" i="26"/>
  <c r="C278" i="26"/>
  <c r="C27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9" i="26"/>
  <c r="C238" i="26"/>
  <c r="C237" i="26"/>
  <c r="C236" i="26"/>
  <c r="C235" i="26"/>
  <c r="C234" i="26"/>
  <c r="C233" i="26"/>
  <c r="C232" i="26"/>
  <c r="C231"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B179" i="9"/>
  <c r="B178" i="9"/>
  <c r="B168" i="9"/>
  <c r="B180" i="9"/>
  <c r="B177" i="9"/>
  <c r="B176" i="9"/>
  <c r="B175" i="9"/>
  <c r="B174" i="9"/>
  <c r="B173" i="9"/>
  <c r="B172" i="9"/>
  <c r="B171" i="9"/>
  <c r="B170" i="9"/>
  <c r="B167" i="9"/>
  <c r="B166" i="9"/>
  <c r="B165" i="9"/>
  <c r="B164" i="9"/>
  <c r="B161" i="9"/>
  <c r="B153" i="9"/>
  <c r="B147" i="9"/>
  <c r="B140" i="9"/>
  <c r="B137" i="9"/>
  <c r="B128" i="9"/>
  <c r="B158" i="9"/>
  <c r="B155" i="9"/>
  <c r="B154" i="9"/>
  <c r="B152" i="9"/>
  <c r="B151" i="9"/>
  <c r="B150" i="9"/>
  <c r="B149" i="9"/>
  <c r="B148" i="9"/>
  <c r="B146" i="9"/>
  <c r="B145" i="9"/>
  <c r="B144" i="9"/>
  <c r="B143" i="9"/>
  <c r="B142" i="9"/>
  <c r="B141" i="9"/>
  <c r="B139" i="9"/>
  <c r="B138" i="9"/>
  <c r="B136" i="9"/>
  <c r="B133" i="9"/>
  <c r="B132" i="9"/>
  <c r="B131" i="9"/>
  <c r="B130" i="9"/>
  <c r="B129" i="9"/>
  <c r="B127" i="9"/>
  <c r="B125" i="9"/>
  <c r="B121" i="9"/>
  <c r="B89" i="9"/>
  <c r="B88" i="9"/>
  <c r="B82" i="9"/>
  <c r="B81" i="9"/>
  <c r="B79" i="9"/>
  <c r="B63" i="9"/>
  <c r="B48" i="9"/>
  <c r="B44" i="9"/>
  <c r="B35" i="9"/>
  <c r="B124" i="9"/>
  <c r="B123" i="9"/>
  <c r="B122" i="9"/>
  <c r="B120" i="9"/>
  <c r="B118" i="9"/>
  <c r="B117" i="9"/>
  <c r="B116" i="9"/>
  <c r="B115" i="9"/>
  <c r="B114" i="9"/>
  <c r="B113" i="9"/>
  <c r="B112" i="9"/>
  <c r="B111" i="9"/>
  <c r="B110" i="9"/>
  <c r="B109" i="9"/>
  <c r="B108" i="9"/>
  <c r="B107" i="9"/>
  <c r="B106" i="9"/>
  <c r="B105" i="9"/>
  <c r="B104" i="9"/>
  <c r="B103" i="9"/>
  <c r="B102" i="9"/>
  <c r="B101" i="9"/>
  <c r="B100" i="9"/>
  <c r="B98" i="9"/>
  <c r="B97" i="9"/>
  <c r="B96" i="9"/>
  <c r="B95" i="9"/>
  <c r="B94" i="9"/>
  <c r="B93" i="9"/>
  <c r="B92" i="9"/>
  <c r="B91" i="9"/>
  <c r="B90" i="9"/>
  <c r="B87" i="9"/>
  <c r="B86" i="9"/>
  <c r="B85" i="9"/>
  <c r="B84" i="9"/>
  <c r="B83" i="9"/>
  <c r="B80" i="9"/>
  <c r="B78" i="9"/>
  <c r="B77" i="9"/>
  <c r="B76" i="9"/>
  <c r="B74" i="9"/>
  <c r="B73" i="9"/>
  <c r="B72" i="9"/>
  <c r="B71" i="9"/>
  <c r="B70" i="9"/>
  <c r="B69" i="9"/>
  <c r="B68" i="9"/>
  <c r="B67" i="9"/>
  <c r="B66" i="9"/>
  <c r="B65" i="9"/>
  <c r="B64" i="9"/>
  <c r="B62" i="9"/>
  <c r="B60" i="9"/>
  <c r="B59" i="9"/>
  <c r="B58" i="9"/>
  <c r="B57" i="9"/>
  <c r="B56" i="9"/>
  <c r="B55" i="9"/>
  <c r="B54" i="9"/>
  <c r="B53" i="9"/>
  <c r="B52" i="9"/>
  <c r="B51" i="9"/>
  <c r="B50" i="9"/>
  <c r="B49" i="9"/>
  <c r="B47" i="9"/>
  <c r="B46" i="9"/>
  <c r="B45" i="9"/>
  <c r="B43" i="9"/>
  <c r="B42" i="9"/>
  <c r="B41" i="9"/>
  <c r="B40" i="9"/>
  <c r="B38" i="9"/>
  <c r="B34" i="9"/>
  <c r="B33" i="9"/>
  <c r="B32" i="9"/>
  <c r="B31" i="9"/>
  <c r="B29" i="9"/>
  <c r="B28" i="9"/>
  <c r="B27" i="9"/>
  <c r="B26" i="9"/>
  <c r="B25" i="9"/>
  <c r="B24" i="9"/>
  <c r="B23" i="9"/>
  <c r="B22" i="9"/>
  <c r="B21" i="9"/>
  <c r="B20" i="9"/>
  <c r="B19" i="9"/>
  <c r="B18" i="9"/>
  <c r="B17" i="9"/>
  <c r="B16" i="9"/>
  <c r="B15" i="9"/>
  <c r="B14" i="9"/>
  <c r="B13" i="9"/>
  <c r="B11" i="9"/>
  <c r="B10" i="9"/>
  <c r="B9" i="9"/>
  <c r="B8" i="9"/>
  <c r="B7" i="9"/>
  <c r="B6" i="9"/>
  <c r="B5" i="9"/>
  <c r="C6" i="26" l="1"/>
  <c r="F2" i="26"/>
  <c r="J111" i="5"/>
  <c r="B157" i="19" l="1"/>
  <c r="B157" i="2" s="1"/>
  <c r="B152" i="19"/>
  <c r="B152" i="2" s="1"/>
  <c r="B151" i="19"/>
  <c r="B151" i="2" s="1"/>
  <c r="B149" i="19"/>
  <c r="B149" i="2" s="1"/>
  <c r="B147" i="19"/>
  <c r="B147" i="2" s="1"/>
  <c r="B145" i="19"/>
  <c r="B145" i="2" s="1"/>
  <c r="B144" i="19"/>
  <c r="B144" i="2" s="1"/>
  <c r="B143" i="19"/>
  <c r="B143" i="2" s="1"/>
  <c r="B141" i="19"/>
  <c r="B141" i="2" s="1"/>
  <c r="B140" i="19"/>
  <c r="B140" i="2" s="1"/>
  <c r="B138" i="19"/>
  <c r="B138" i="2" s="1"/>
  <c r="B137" i="19"/>
  <c r="B137" i="2" s="1"/>
  <c r="B136" i="19"/>
  <c r="B136" i="2" s="1"/>
  <c r="B135" i="19"/>
  <c r="B135" i="2" s="1"/>
  <c r="B133" i="19"/>
  <c r="B133" i="2" s="1"/>
  <c r="B132" i="19"/>
  <c r="B132" i="2" s="1"/>
  <c r="B131" i="19"/>
  <c r="B131" i="2" s="1"/>
  <c r="B130" i="19"/>
  <c r="B130" i="2" s="1"/>
  <c r="B129" i="19"/>
  <c r="B129" i="2" s="1"/>
  <c r="B128" i="19"/>
  <c r="B128" i="2" s="1"/>
  <c r="B124" i="19"/>
  <c r="B124" i="2" s="1"/>
  <c r="B123" i="19"/>
  <c r="B122" i="19"/>
  <c r="B122" i="2" s="1"/>
  <c r="B121" i="19"/>
  <c r="B121" i="2" s="1"/>
  <c r="B120" i="19"/>
  <c r="B120" i="2" s="1"/>
  <c r="B118" i="19"/>
  <c r="B118" i="2" s="1"/>
  <c r="B117" i="19"/>
  <c r="B117" i="2" s="1"/>
  <c r="B116" i="19"/>
  <c r="B116" i="2" s="1"/>
  <c r="B115" i="19"/>
  <c r="B115" i="2" s="1"/>
  <c r="B114" i="19"/>
  <c r="B114" i="2" s="1"/>
  <c r="B113" i="19"/>
  <c r="B113" i="2" s="1"/>
  <c r="B112" i="19"/>
  <c r="B112" i="2" s="1"/>
  <c r="B111" i="19"/>
  <c r="B111" i="2" s="1"/>
  <c r="B108" i="19"/>
  <c r="B108" i="2" s="1"/>
  <c r="B107" i="19"/>
  <c r="B107" i="2" s="1"/>
  <c r="B105" i="19"/>
  <c r="B105" i="2" s="1"/>
  <c r="B104" i="19"/>
  <c r="B104" i="2" s="1"/>
  <c r="B103" i="19"/>
  <c r="B103" i="2" s="1"/>
  <c r="B101" i="19"/>
  <c r="B101" i="2" s="1"/>
  <c r="B100" i="19"/>
  <c r="B100" i="2" s="1"/>
  <c r="B99" i="19"/>
  <c r="B99" i="2" s="1"/>
  <c r="B97" i="19"/>
  <c r="B97" i="2" s="1"/>
  <c r="B95" i="19"/>
  <c r="B95" i="2" s="1"/>
  <c r="B93" i="19"/>
  <c r="B93" i="2" s="1"/>
  <c r="B90" i="19"/>
  <c r="B90" i="2" s="1"/>
  <c r="B89" i="19"/>
  <c r="B89" i="2" s="1"/>
  <c r="B88" i="19"/>
  <c r="B88" i="2" s="1"/>
  <c r="B87" i="19"/>
  <c r="B87" i="2" s="1"/>
  <c r="B86" i="19"/>
  <c r="B86" i="2" s="1"/>
  <c r="B85" i="19"/>
  <c r="B85" i="2" s="1"/>
  <c r="B84" i="19"/>
  <c r="B84" i="2" s="1"/>
  <c r="B83" i="19"/>
  <c r="B83" i="2" s="1"/>
  <c r="B77" i="19"/>
  <c r="B77" i="2" s="1"/>
  <c r="B76" i="19"/>
  <c r="B76" i="2" s="1"/>
  <c r="B74" i="19"/>
  <c r="B74" i="2" s="1"/>
  <c r="B73" i="19"/>
  <c r="B73" i="2" s="1"/>
  <c r="B72" i="19"/>
  <c r="B72" i="2" s="1"/>
  <c r="B71" i="19"/>
  <c r="B71" i="2" s="1"/>
  <c r="B70" i="19"/>
  <c r="B70" i="2" s="1"/>
  <c r="B69" i="19"/>
  <c r="B69" i="2" s="1"/>
  <c r="B68" i="19"/>
  <c r="B68" i="2" s="1"/>
  <c r="B67" i="19"/>
  <c r="B67" i="2" s="1"/>
  <c r="B66" i="19"/>
  <c r="B66" i="2" s="1"/>
  <c r="B65" i="19"/>
  <c r="B65" i="2" s="1"/>
  <c r="B64" i="19"/>
  <c r="B64" i="2" s="1"/>
  <c r="B63" i="19"/>
  <c r="B63" i="2" s="1"/>
  <c r="B62" i="19"/>
  <c r="B62" i="2" s="1"/>
  <c r="B60" i="19"/>
  <c r="B60" i="2" s="1"/>
  <c r="B59" i="19"/>
  <c r="B59" i="2" s="1"/>
  <c r="B58" i="19"/>
  <c r="B58" i="2" s="1"/>
  <c r="B57" i="19"/>
  <c r="B57" i="2" s="1"/>
  <c r="B56" i="19"/>
  <c r="B56" i="2" s="1"/>
  <c r="B55" i="19"/>
  <c r="B55" i="2" s="1"/>
  <c r="B54" i="19"/>
  <c r="B54" i="2" s="1"/>
  <c r="B53" i="19"/>
  <c r="B53" i="2" s="1"/>
  <c r="B52" i="19"/>
  <c r="B52" i="2" s="1"/>
  <c r="B51" i="19"/>
  <c r="B51" i="2" s="1"/>
  <c r="B50" i="19"/>
  <c r="B50" i="2" s="1"/>
  <c r="B47" i="19"/>
  <c r="B47" i="2" s="1"/>
  <c r="B46" i="19"/>
  <c r="B46" i="2" s="1"/>
  <c r="B45" i="19"/>
  <c r="B45" i="2" s="1"/>
  <c r="B44" i="19"/>
  <c r="B44" i="2" s="1"/>
  <c r="B43" i="19"/>
  <c r="B43" i="2" s="1"/>
  <c r="B41" i="19"/>
  <c r="B41" i="2" s="1"/>
  <c r="B40" i="19"/>
  <c r="B40" i="2" s="1"/>
  <c r="B39" i="19"/>
  <c r="B39" i="2" s="1"/>
  <c r="B34" i="19"/>
  <c r="B34" i="2" s="1"/>
  <c r="B32" i="19"/>
  <c r="B32" i="2" s="1"/>
  <c r="B30" i="19"/>
  <c r="B30" i="2" s="1"/>
  <c r="B29" i="19"/>
  <c r="B29" i="2" s="1"/>
  <c r="B28" i="19"/>
  <c r="B28" i="2" s="1"/>
  <c r="B27" i="19"/>
  <c r="B27" i="2" s="1"/>
  <c r="B26" i="19"/>
  <c r="B26" i="2" s="1"/>
  <c r="B25" i="19"/>
  <c r="B25" i="2" s="1"/>
  <c r="B23" i="19"/>
  <c r="B23" i="2" s="1"/>
  <c r="B22" i="19"/>
  <c r="B22" i="2" s="1"/>
  <c r="B21" i="19"/>
  <c r="B21" i="2" s="1"/>
  <c r="B20" i="19"/>
  <c r="B20" i="2" s="1"/>
  <c r="B19" i="19"/>
  <c r="B19" i="2" s="1"/>
  <c r="B18" i="19"/>
  <c r="B18" i="2" s="1"/>
  <c r="B17" i="19"/>
  <c r="B17" i="2" s="1"/>
  <c r="B15" i="19"/>
  <c r="B15" i="2" s="1"/>
  <c r="B14" i="19"/>
  <c r="B14" i="2" s="1"/>
  <c r="B13" i="19"/>
  <c r="B13" i="2" s="1"/>
  <c r="B12" i="19"/>
  <c r="B12" i="2" s="1"/>
  <c r="B11" i="19"/>
  <c r="B11" i="2" s="1"/>
  <c r="B9" i="19"/>
  <c r="B9" i="2" s="1"/>
  <c r="B8" i="19"/>
  <c r="B8" i="2" s="1"/>
  <c r="B7" i="19"/>
  <c r="B7" i="2" s="1"/>
  <c r="B6" i="19"/>
  <c r="B6" i="2" s="1"/>
  <c r="B5" i="19"/>
  <c r="B5" i="2" s="1"/>
  <c r="B4" i="19"/>
  <c r="B4" i="2" s="1"/>
  <c r="B2" i="19"/>
  <c r="B2" i="2" s="1"/>
  <c r="C158" i="19"/>
  <c r="C158" i="2" s="1"/>
  <c r="C157" i="19"/>
  <c r="C157" i="2" s="1"/>
  <c r="C154" i="19"/>
  <c r="C154" i="2" s="1"/>
  <c r="C150" i="19"/>
  <c r="C150" i="2" s="1"/>
  <c r="C149" i="19"/>
  <c r="C149" i="2" s="1"/>
  <c r="C147" i="19"/>
  <c r="C147" i="2" s="1"/>
  <c r="C145" i="19"/>
  <c r="C145" i="2" s="1"/>
  <c r="C144" i="19"/>
  <c r="C144" i="2" s="1"/>
  <c r="C144" i="3" s="1"/>
  <c r="C139" i="19"/>
  <c r="C139" i="2" s="1"/>
  <c r="C136" i="19"/>
  <c r="C136" i="2" s="1"/>
  <c r="C135" i="19"/>
  <c r="C135" i="2" s="1"/>
  <c r="C140" i="1" s="1"/>
  <c r="C133" i="19"/>
  <c r="C133" i="2" s="1"/>
  <c r="C132" i="19"/>
  <c r="C132" i="2" s="1"/>
  <c r="C131" i="19"/>
  <c r="C131" i="2" s="1"/>
  <c r="C130" i="19"/>
  <c r="C130" i="2" s="1"/>
  <c r="C124" i="19"/>
  <c r="C124" i="2" s="1"/>
  <c r="C123" i="19"/>
  <c r="C122" i="19"/>
  <c r="C122" i="2" s="1"/>
  <c r="C120" i="19"/>
  <c r="C120" i="2" s="1"/>
  <c r="C118" i="19"/>
  <c r="C118" i="2" s="1"/>
  <c r="C118" i="3" s="1"/>
  <c r="C117" i="19"/>
  <c r="C117" i="2" s="1"/>
  <c r="B117" i="5" s="1"/>
  <c r="C116" i="19"/>
  <c r="C116" i="2" s="1"/>
  <c r="C114" i="19"/>
  <c r="C114" i="2" s="1"/>
  <c r="C112" i="19"/>
  <c r="C112" i="2" s="1"/>
  <c r="C111" i="19"/>
  <c r="C111" i="2" s="1"/>
  <c r="C110" i="19"/>
  <c r="C110" i="2" s="1"/>
  <c r="C109" i="19"/>
  <c r="C109" i="2" s="1"/>
  <c r="C115" i="1" s="1"/>
  <c r="C108" i="19"/>
  <c r="C108" i="2" s="1"/>
  <c r="C107" i="19"/>
  <c r="C107" i="2" s="1"/>
  <c r="C106" i="19"/>
  <c r="C106" i="2" s="1"/>
  <c r="C105" i="19"/>
  <c r="C105" i="2" s="1"/>
  <c r="B105" i="5" s="1"/>
  <c r="C104" i="19"/>
  <c r="C104" i="2" s="1"/>
  <c r="C102" i="19"/>
  <c r="C102" i="2" s="1"/>
  <c r="C100" i="19"/>
  <c r="C100" i="2" s="1"/>
  <c r="C99" i="19"/>
  <c r="C97" i="19"/>
  <c r="C97" i="2" s="1"/>
  <c r="C96" i="19"/>
  <c r="C96" i="2" s="1"/>
  <c r="B96" i="5" s="1"/>
  <c r="C95" i="19"/>
  <c r="C95" i="2" s="1"/>
  <c r="C94" i="19"/>
  <c r="C94" i="2" s="1"/>
  <c r="C93" i="19"/>
  <c r="C93" i="2" s="1"/>
  <c r="C92" i="19"/>
  <c r="C92" i="2" s="1"/>
  <c r="C91" i="19"/>
  <c r="C91" i="2" s="1"/>
  <c r="C97" i="1" s="1"/>
  <c r="C90" i="19"/>
  <c r="C90" i="2" s="1"/>
  <c r="C88" i="19"/>
  <c r="C88" i="2" s="1"/>
  <c r="C87" i="19"/>
  <c r="C87" i="2" s="1"/>
  <c r="C82" i="19"/>
  <c r="C82" i="2" s="1"/>
  <c r="C81" i="19"/>
  <c r="C81" i="2" s="1"/>
  <c r="C80" i="19"/>
  <c r="C80" i="2" s="1"/>
  <c r="B80" i="5" s="1"/>
  <c r="C79" i="19"/>
  <c r="C79" i="2" s="1"/>
  <c r="C78" i="19"/>
  <c r="C78" i="2" s="1"/>
  <c r="C77" i="19"/>
  <c r="C77" i="2" s="1"/>
  <c r="C76" i="19"/>
  <c r="C76" i="2" s="1"/>
  <c r="C75" i="19"/>
  <c r="C71" i="19"/>
  <c r="C71" i="2" s="1"/>
  <c r="C77" i="1" s="1"/>
  <c r="C70" i="19"/>
  <c r="C70" i="2" s="1"/>
  <c r="C69" i="19"/>
  <c r="C69" i="2" s="1"/>
  <c r="C75" i="1" s="1"/>
  <c r="C68" i="19"/>
  <c r="C68" i="2" s="1"/>
  <c r="C67" i="19"/>
  <c r="C67" i="2" s="1"/>
  <c r="B67" i="5" s="1"/>
  <c r="C66" i="19"/>
  <c r="C66" i="2" s="1"/>
  <c r="C65" i="19"/>
  <c r="C65" i="2" s="1"/>
  <c r="B65" i="5" s="1"/>
  <c r="C64" i="19"/>
  <c r="C64" i="2" s="1"/>
  <c r="C63" i="19"/>
  <c r="C63" i="2" s="1"/>
  <c r="C62" i="19"/>
  <c r="C62" i="2" s="1"/>
  <c r="C59" i="19"/>
  <c r="C59" i="2" s="1"/>
  <c r="C58" i="19"/>
  <c r="C58" i="2" s="1"/>
  <c r="C57" i="19"/>
  <c r="C57" i="2" s="1"/>
  <c r="C56" i="19"/>
  <c r="C56" i="2" s="1"/>
  <c r="C55" i="19"/>
  <c r="C55" i="2" s="1"/>
  <c r="C54" i="19"/>
  <c r="C54" i="2" s="1"/>
  <c r="C53" i="19"/>
  <c r="C53" i="2" s="1"/>
  <c r="C52" i="19"/>
  <c r="C52" i="2" s="1"/>
  <c r="C51" i="19"/>
  <c r="C51" i="2" s="1"/>
  <c r="C47" i="19"/>
  <c r="C47" i="2" s="1"/>
  <c r="C46" i="19"/>
  <c r="C46" i="2" s="1"/>
  <c r="C45" i="19"/>
  <c r="C45" i="2" s="1"/>
  <c r="C51" i="1" s="1"/>
  <c r="C44" i="19"/>
  <c r="C44" i="2" s="1"/>
  <c r="C43" i="19"/>
  <c r="C43" i="2" s="1"/>
  <c r="C41" i="19"/>
  <c r="C40" i="19"/>
  <c r="C40" i="2" s="1"/>
  <c r="C39" i="19"/>
  <c r="C39" i="2" s="1"/>
  <c r="C38" i="19"/>
  <c r="C38" i="2" s="1"/>
  <c r="C32" i="19"/>
  <c r="C32" i="2" s="1"/>
  <c r="C31" i="19"/>
  <c r="C31" i="2" s="1"/>
  <c r="C29" i="19"/>
  <c r="C29" i="2" s="1"/>
  <c r="C28" i="19"/>
  <c r="C28" i="2" s="1"/>
  <c r="C27" i="19"/>
  <c r="C27" i="2" s="1"/>
  <c r="C25" i="19"/>
  <c r="C25" i="2" s="1"/>
  <c r="C24" i="19"/>
  <c r="C24" i="2" s="1"/>
  <c r="C23" i="19"/>
  <c r="C23" i="2" s="1"/>
  <c r="C22" i="19"/>
  <c r="C22" i="2" s="1"/>
  <c r="B22" i="5" s="1"/>
  <c r="C21" i="19"/>
  <c r="C21" i="2" s="1"/>
  <c r="C17" i="19"/>
  <c r="C17" i="2" s="1"/>
  <c r="C16" i="19"/>
  <c r="C16" i="2" s="1"/>
  <c r="C15" i="19"/>
  <c r="C15" i="2" s="1"/>
  <c r="C15" i="3" s="1"/>
  <c r="C14" i="19"/>
  <c r="C14" i="2" s="1"/>
  <c r="C13" i="19"/>
  <c r="C13" i="2" s="1"/>
  <c r="C12" i="19"/>
  <c r="C12" i="2" s="1"/>
  <c r="B12" i="5" s="1"/>
  <c r="C11" i="19"/>
  <c r="C11" i="2" s="1"/>
  <c r="C17" i="1" s="1"/>
  <c r="C10" i="19"/>
  <c r="C10" i="2" s="1"/>
  <c r="C10" i="3" s="1"/>
  <c r="C7" i="19"/>
  <c r="C7" i="2" s="1"/>
  <c r="C6" i="19"/>
  <c r="C6" i="2" s="1"/>
  <c r="C4" i="19"/>
  <c r="C4" i="2" s="1"/>
  <c r="C3" i="19"/>
  <c r="C3" i="2" s="1"/>
  <c r="A166" i="1"/>
  <c r="A167" i="1"/>
  <c r="A168" i="1"/>
  <c r="A169" i="1"/>
  <c r="A170" i="1"/>
  <c r="A171" i="1"/>
  <c r="A172" i="1"/>
  <c r="A173" i="1"/>
  <c r="A174" i="1"/>
  <c r="A175" i="1"/>
  <c r="A176" i="1"/>
  <c r="A177" i="1"/>
  <c r="A178" i="1"/>
  <c r="A179" i="1"/>
  <c r="A181" i="1"/>
  <c r="A182" i="1"/>
  <c r="A183" i="1"/>
  <c r="A184" i="1"/>
  <c r="A185" i="1"/>
  <c r="A186" i="1"/>
  <c r="B75" i="10"/>
  <c r="I61" i="10" s="1"/>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C141" i="24"/>
  <c r="B141" i="24" s="1"/>
  <c r="B175" i="23"/>
  <c r="B180" i="1" s="1"/>
  <c r="B181" i="23"/>
  <c r="B186" i="1" s="1"/>
  <c r="B180" i="23"/>
  <c r="B179" i="23"/>
  <c r="B184" i="1" s="1"/>
  <c r="B178" i="23"/>
  <c r="B183" i="1" s="1"/>
  <c r="B177" i="23"/>
  <c r="B182" i="1" s="1"/>
  <c r="B176" i="23"/>
  <c r="B181" i="1" s="1"/>
  <c r="B174" i="23"/>
  <c r="B173" i="23"/>
  <c r="B172" i="23"/>
  <c r="B177" i="1" s="1"/>
  <c r="B171" i="23"/>
  <c r="B176" i="1" s="1"/>
  <c r="B170" i="23"/>
  <c r="B175" i="1" s="1"/>
  <c r="B169" i="23"/>
  <c r="B174" i="1" s="1"/>
  <c r="B168" i="23"/>
  <c r="B173" i="1" s="1"/>
  <c r="B167" i="23"/>
  <c r="B172" i="1" s="1"/>
  <c r="B166" i="23"/>
  <c r="B171" i="1" s="1"/>
  <c r="B165" i="23"/>
  <c r="B170" i="1" s="1"/>
  <c r="B164" i="23"/>
  <c r="B169" i="1" s="1"/>
  <c r="B163" i="23"/>
  <c r="B30" i="17" s="1"/>
  <c r="B162" i="23"/>
  <c r="B167" i="1" s="1"/>
  <c r="B161" i="23"/>
  <c r="B166" i="1" s="1"/>
  <c r="C148" i="2"/>
  <c r="C134" i="2"/>
  <c r="C119" i="2"/>
  <c r="B155" i="19"/>
  <c r="B155" i="2" s="1"/>
  <c r="B154" i="19"/>
  <c r="B154" i="2" s="1"/>
  <c r="B150" i="19"/>
  <c r="B150" i="2" s="1"/>
  <c r="B146" i="19"/>
  <c r="B146" i="2" s="1"/>
  <c r="B106" i="19"/>
  <c r="B106" i="2" s="1"/>
  <c r="B102" i="19"/>
  <c r="B102" i="2" s="1"/>
  <c r="B96" i="19"/>
  <c r="B96" i="2" s="1"/>
  <c r="B94" i="19"/>
  <c r="B94" i="2" s="1"/>
  <c r="B91" i="19"/>
  <c r="B91" i="2" s="1"/>
  <c r="B80" i="19"/>
  <c r="B80" i="2" s="1"/>
  <c r="B78" i="19"/>
  <c r="B78" i="2" s="1"/>
  <c r="B49" i="19"/>
  <c r="B49" i="2" s="1"/>
  <c r="B48" i="19"/>
  <c r="B48" i="2" s="1"/>
  <c r="B38" i="19"/>
  <c r="B38" i="2" s="1"/>
  <c r="B16" i="19"/>
  <c r="B16" i="2" s="1"/>
  <c r="C156" i="19"/>
  <c r="C156" i="2" s="1"/>
  <c r="C161" i="1" s="1"/>
  <c r="C151" i="19"/>
  <c r="C151" i="2" s="1"/>
  <c r="C146" i="19"/>
  <c r="C146" i="2" s="1"/>
  <c r="C138" i="19"/>
  <c r="C138" i="2" s="1"/>
  <c r="C137" i="19"/>
  <c r="C137" i="2" s="1"/>
  <c r="C125" i="19"/>
  <c r="C125" i="2" s="1"/>
  <c r="C125" i="3" s="1"/>
  <c r="C113" i="19"/>
  <c r="C113" i="2" s="1"/>
  <c r="C98" i="19"/>
  <c r="C98" i="2" s="1"/>
  <c r="C98" i="3" s="1"/>
  <c r="C86" i="19"/>
  <c r="C86" i="2" s="1"/>
  <c r="C84" i="19"/>
  <c r="C84" i="2" s="1"/>
  <c r="C83" i="19"/>
  <c r="C83" i="2" s="1"/>
  <c r="C73" i="19"/>
  <c r="C73" i="2" s="1"/>
  <c r="C73" i="3" s="1"/>
  <c r="I50" i="25"/>
  <c r="J77" i="5"/>
  <c r="G3" i="19"/>
  <c r="B3" i="19" s="1"/>
  <c r="B3" i="2" s="1"/>
  <c r="C2" i="19"/>
  <c r="C2" i="2" s="1"/>
  <c r="I81" i="25"/>
  <c r="I80" i="25"/>
  <c r="I78" i="25"/>
  <c r="I76" i="25"/>
  <c r="I73" i="25"/>
  <c r="I72" i="25"/>
  <c r="I71" i="25"/>
  <c r="I70" i="25"/>
  <c r="I68" i="25"/>
  <c r="I66" i="25"/>
  <c r="I63" i="25"/>
  <c r="I60" i="25"/>
  <c r="I56" i="25"/>
  <c r="I55" i="25"/>
  <c r="I53" i="25"/>
  <c r="I51" i="25"/>
  <c r="I47" i="25"/>
  <c r="I46" i="25"/>
  <c r="I45" i="25"/>
  <c r="I44" i="25"/>
  <c r="I43" i="25"/>
  <c r="I42" i="25"/>
  <c r="I40" i="25"/>
  <c r="I38" i="25"/>
  <c r="I35" i="25"/>
  <c r="I33" i="25"/>
  <c r="I32" i="25"/>
  <c r="I31" i="25"/>
  <c r="I30" i="25"/>
  <c r="I28" i="25"/>
  <c r="I26" i="25"/>
  <c r="I23" i="25"/>
  <c r="I22" i="25"/>
  <c r="I21" i="25"/>
  <c r="I20" i="25"/>
  <c r="I19" i="25"/>
  <c r="I18" i="25"/>
  <c r="I16" i="25"/>
  <c r="I14" i="25"/>
  <c r="I11" i="25"/>
  <c r="I10" i="25"/>
  <c r="I9" i="25"/>
  <c r="I8" i="25"/>
  <c r="I7" i="25"/>
  <c r="I6" i="25"/>
  <c r="I4" i="25"/>
  <c r="I2" i="25"/>
  <c r="I82" i="25"/>
  <c r="B39" i="24"/>
  <c r="J49" i="5"/>
  <c r="C158" i="24"/>
  <c r="B158" i="24" s="1"/>
  <c r="C157" i="24"/>
  <c r="B157" i="24" s="1"/>
  <c r="C155" i="24"/>
  <c r="B155" i="24" s="1"/>
  <c r="B144" i="24"/>
  <c r="B135" i="24"/>
  <c r="F134" i="23" s="1"/>
  <c r="B134" i="24"/>
  <c r="B126" i="24"/>
  <c r="H126" i="3" s="1"/>
  <c r="B119" i="24"/>
  <c r="H119" i="3" s="1"/>
  <c r="B106" i="24"/>
  <c r="B99" i="24"/>
  <c r="H99" i="3" s="1"/>
  <c r="B92" i="24"/>
  <c r="B91" i="24"/>
  <c r="B88" i="24"/>
  <c r="F88" i="23" s="1"/>
  <c r="B82" i="24"/>
  <c r="B79" i="24"/>
  <c r="B75" i="24"/>
  <c r="B63" i="24"/>
  <c r="F63" i="23" s="1"/>
  <c r="B61" i="24"/>
  <c r="B41" i="24"/>
  <c r="F39" i="23"/>
  <c r="B37" i="24"/>
  <c r="H37" i="3" s="1"/>
  <c r="B36" i="24"/>
  <c r="B35" i="24"/>
  <c r="B30" i="24"/>
  <c r="B18" i="24"/>
  <c r="B4" i="24"/>
  <c r="F4" i="23" s="1"/>
  <c r="D188" i="10"/>
  <c r="G81" i="6"/>
  <c r="H81" i="6" s="1"/>
  <c r="D81" i="6"/>
  <c r="G80" i="6"/>
  <c r="H80" i="6" s="1"/>
  <c r="D80" i="6"/>
  <c r="G79" i="6"/>
  <c r="H79" i="6"/>
  <c r="D79" i="6"/>
  <c r="G78" i="6"/>
  <c r="H78" i="6" s="1"/>
  <c r="D78" i="6"/>
  <c r="G77" i="6"/>
  <c r="H77" i="6" s="1"/>
  <c r="D77" i="6"/>
  <c r="G76" i="6"/>
  <c r="H76" i="6" s="1"/>
  <c r="D76" i="6"/>
  <c r="G75" i="6"/>
  <c r="H75" i="6" s="1"/>
  <c r="D75" i="6"/>
  <c r="G74" i="6"/>
  <c r="H74" i="6" s="1"/>
  <c r="D74" i="6"/>
  <c r="G73" i="6"/>
  <c r="H73" i="6" s="1"/>
  <c r="D73" i="6"/>
  <c r="H72" i="6"/>
  <c r="G72" i="6"/>
  <c r="D72" i="6"/>
  <c r="G71" i="6"/>
  <c r="H71" i="6" s="1"/>
  <c r="D71" i="6"/>
  <c r="G70" i="6"/>
  <c r="H70" i="6" s="1"/>
  <c r="D70" i="6"/>
  <c r="G69" i="6"/>
  <c r="H69" i="6" s="1"/>
  <c r="D69" i="6"/>
  <c r="G68" i="6"/>
  <c r="H68" i="6" s="1"/>
  <c r="D68" i="6"/>
  <c r="G67" i="6"/>
  <c r="H67" i="6" s="1"/>
  <c r="D67" i="6"/>
  <c r="G66" i="6"/>
  <c r="H66" i="6" s="1"/>
  <c r="D66" i="6"/>
  <c r="G65" i="6"/>
  <c r="H65" i="6" s="1"/>
  <c r="D65" i="6"/>
  <c r="G64" i="6"/>
  <c r="H64" i="6" s="1"/>
  <c r="D64" i="6"/>
  <c r="G63" i="6"/>
  <c r="H63" i="6"/>
  <c r="D63" i="6"/>
  <c r="G62" i="6"/>
  <c r="H62" i="6" s="1"/>
  <c r="D62" i="6"/>
  <c r="G61" i="6"/>
  <c r="H61" i="6" s="1"/>
  <c r="D61" i="6"/>
  <c r="G60" i="6"/>
  <c r="H60" i="6" s="1"/>
  <c r="D60" i="6"/>
  <c r="G59" i="6"/>
  <c r="H59" i="6" s="1"/>
  <c r="D59" i="6"/>
  <c r="G58" i="6"/>
  <c r="H58" i="6" s="1"/>
  <c r="D58" i="6"/>
  <c r="G57" i="6"/>
  <c r="H57" i="6" s="1"/>
  <c r="D57" i="6"/>
  <c r="G56" i="6"/>
  <c r="H56" i="6" s="1"/>
  <c r="D56" i="6"/>
  <c r="G55" i="6"/>
  <c r="H55" i="6"/>
  <c r="D55" i="6"/>
  <c r="G54" i="6"/>
  <c r="H54" i="6" s="1"/>
  <c r="D54" i="6"/>
  <c r="G53" i="6"/>
  <c r="H53" i="6" s="1"/>
  <c r="D53" i="6"/>
  <c r="G52" i="6"/>
  <c r="H52" i="6" s="1"/>
  <c r="D52" i="6"/>
  <c r="G51" i="6"/>
  <c r="H51" i="6" s="1"/>
  <c r="D51" i="6"/>
  <c r="G50" i="6"/>
  <c r="H50" i="6" s="1"/>
  <c r="D50" i="6"/>
  <c r="G49" i="6"/>
  <c r="H49" i="6" s="1"/>
  <c r="D49" i="6"/>
  <c r="G48" i="6"/>
  <c r="H48" i="6" s="1"/>
  <c r="D48" i="6"/>
  <c r="G47" i="6"/>
  <c r="H47" i="6"/>
  <c r="D47" i="6"/>
  <c r="G46" i="6"/>
  <c r="H46" i="6" s="1"/>
  <c r="D46" i="6"/>
  <c r="G45" i="6"/>
  <c r="H45" i="6" s="1"/>
  <c r="D45" i="6"/>
  <c r="G44" i="6"/>
  <c r="H44" i="6" s="1"/>
  <c r="D44" i="6"/>
  <c r="G43" i="6"/>
  <c r="H43" i="6" s="1"/>
  <c r="D43" i="6"/>
  <c r="G42" i="6"/>
  <c r="H42" i="6" s="1"/>
  <c r="D42" i="6"/>
  <c r="G41" i="6"/>
  <c r="H41" i="6" s="1"/>
  <c r="D41" i="6"/>
  <c r="G40" i="6"/>
  <c r="H40" i="6" s="1"/>
  <c r="D40" i="6"/>
  <c r="G39" i="6"/>
  <c r="H39" i="6"/>
  <c r="D39" i="6"/>
  <c r="G38" i="6"/>
  <c r="H38" i="6" s="1"/>
  <c r="D38" i="6"/>
  <c r="G37" i="6"/>
  <c r="H37" i="6" s="1"/>
  <c r="D37" i="6"/>
  <c r="G36" i="6"/>
  <c r="H36" i="6" s="1"/>
  <c r="D36" i="6"/>
  <c r="G35" i="6"/>
  <c r="H35" i="6" s="1"/>
  <c r="D35" i="6"/>
  <c r="H34" i="6"/>
  <c r="G34" i="6"/>
  <c r="D34" i="6"/>
  <c r="G33" i="6"/>
  <c r="H33" i="6" s="1"/>
  <c r="D33" i="6"/>
  <c r="G32" i="6"/>
  <c r="H32" i="6" s="1"/>
  <c r="D32" i="6"/>
  <c r="G31" i="6"/>
  <c r="H31" i="6"/>
  <c r="D31" i="6"/>
  <c r="G30" i="6"/>
  <c r="H30" i="6" s="1"/>
  <c r="D30" i="6"/>
  <c r="G29" i="6"/>
  <c r="H29" i="6" s="1"/>
  <c r="D29" i="6"/>
  <c r="G28" i="6"/>
  <c r="H28" i="6" s="1"/>
  <c r="D28" i="6"/>
  <c r="H27" i="6"/>
  <c r="G27" i="6"/>
  <c r="D27" i="6"/>
  <c r="G26" i="6"/>
  <c r="H26" i="6" s="1"/>
  <c r="D26" i="6"/>
  <c r="G25" i="6"/>
  <c r="H25" i="6" s="1"/>
  <c r="D25" i="6"/>
  <c r="H24" i="6"/>
  <c r="G24" i="6"/>
  <c r="D24" i="6"/>
  <c r="G23" i="6"/>
  <c r="H23" i="6" s="1"/>
  <c r="D23" i="6"/>
  <c r="G22" i="6"/>
  <c r="H22" i="6" s="1"/>
  <c r="D22" i="6"/>
  <c r="G21" i="6"/>
  <c r="H21" i="6" s="1"/>
  <c r="D21" i="6"/>
  <c r="G20" i="6"/>
  <c r="H20" i="6" s="1"/>
  <c r="D20" i="6"/>
  <c r="G19" i="6"/>
  <c r="H19" i="6"/>
  <c r="D19" i="6"/>
  <c r="H18" i="6"/>
  <c r="G18" i="6"/>
  <c r="D18" i="6"/>
  <c r="G17" i="6"/>
  <c r="H17" i="6" s="1"/>
  <c r="D17" i="6"/>
  <c r="G16" i="6"/>
  <c r="H16" i="6" s="1"/>
  <c r="D16" i="6"/>
  <c r="G15" i="6"/>
  <c r="H15" i="6" s="1"/>
  <c r="D15" i="6"/>
  <c r="G14" i="6"/>
  <c r="H14" i="6" s="1"/>
  <c r="D14" i="6"/>
  <c r="G13" i="6"/>
  <c r="H13" i="6" s="1"/>
  <c r="D13" i="6"/>
  <c r="G12" i="6"/>
  <c r="H12" i="6" s="1"/>
  <c r="D12" i="6"/>
  <c r="G11" i="6"/>
  <c r="H11" i="6" s="1"/>
  <c r="D11" i="6"/>
  <c r="G10" i="6"/>
  <c r="H10" i="6" s="1"/>
  <c r="D10" i="6"/>
  <c r="G9" i="6"/>
  <c r="H9" i="6" s="1"/>
  <c r="D9" i="6"/>
  <c r="H8" i="6"/>
  <c r="G8" i="6"/>
  <c r="D8" i="6"/>
  <c r="G7" i="6"/>
  <c r="H7" i="6" s="1"/>
  <c r="D7" i="6"/>
  <c r="G6" i="6"/>
  <c r="H6" i="6" s="1"/>
  <c r="D6" i="6"/>
  <c r="D82" i="6" s="1"/>
  <c r="G5" i="6"/>
  <c r="H5" i="6" s="1"/>
  <c r="D5" i="6"/>
  <c r="G4" i="6"/>
  <c r="H4" i="6" s="1"/>
  <c r="D4" i="6"/>
  <c r="D83" i="6"/>
  <c r="I79" i="25"/>
  <c r="I77" i="25"/>
  <c r="I75" i="25"/>
  <c r="I74" i="25"/>
  <c r="I69" i="25"/>
  <c r="I67" i="25"/>
  <c r="I65" i="25"/>
  <c r="I64" i="25"/>
  <c r="I62" i="25"/>
  <c r="I61" i="25"/>
  <c r="I59" i="25"/>
  <c r="I58" i="25"/>
  <c r="I57" i="25"/>
  <c r="I54" i="25"/>
  <c r="I52" i="25"/>
  <c r="I49" i="25"/>
  <c r="I48" i="25"/>
  <c r="I41" i="25"/>
  <c r="I39" i="25"/>
  <c r="I37" i="25"/>
  <c r="I36" i="25"/>
  <c r="I34" i="25"/>
  <c r="I29" i="25"/>
  <c r="I27" i="25"/>
  <c r="I25" i="25"/>
  <c r="I24" i="25"/>
  <c r="I17" i="25"/>
  <c r="I15" i="25"/>
  <c r="I13" i="25"/>
  <c r="I12" i="25"/>
  <c r="I5" i="25"/>
  <c r="I3" i="25"/>
  <c r="B158" i="19"/>
  <c r="B158" i="2" s="1"/>
  <c r="B139" i="19"/>
  <c r="B139" i="2" s="1"/>
  <c r="B125" i="19"/>
  <c r="B125" i="2" s="1"/>
  <c r="B109" i="19"/>
  <c r="B109" i="2" s="1"/>
  <c r="B98" i="19"/>
  <c r="B98" i="2" s="1"/>
  <c r="B92" i="19"/>
  <c r="B92" i="2" s="1"/>
  <c r="B82" i="19"/>
  <c r="B82" i="2" s="1"/>
  <c r="B31" i="19"/>
  <c r="B31" i="2" s="1"/>
  <c r="C141" i="19"/>
  <c r="C141" i="2" s="1"/>
  <c r="C129" i="19"/>
  <c r="C129" i="2" s="1"/>
  <c r="C129" i="3" s="1"/>
  <c r="C121" i="19"/>
  <c r="B121" i="5" s="1"/>
  <c r="C103" i="19"/>
  <c r="C103" i="2" s="1"/>
  <c r="C85" i="19"/>
  <c r="C72" i="19"/>
  <c r="C72" i="2" s="1"/>
  <c r="C61" i="19"/>
  <c r="C50" i="19"/>
  <c r="C50" i="2" s="1"/>
  <c r="C56" i="1" s="1"/>
  <c r="C48" i="19"/>
  <c r="C48" i="2" s="1"/>
  <c r="C34" i="19"/>
  <c r="C34" i="2" s="1"/>
  <c r="C40" i="1" s="1"/>
  <c r="C33" i="19"/>
  <c r="C33" i="2" s="1"/>
  <c r="C20" i="19"/>
  <c r="C20" i="2" s="1"/>
  <c r="C9" i="19"/>
  <c r="C9" i="2" s="1"/>
  <c r="B9" i="5" s="1"/>
  <c r="C5" i="19"/>
  <c r="C5" i="2" s="1"/>
  <c r="C11" i="1" s="1"/>
  <c r="B137" i="10"/>
  <c r="I124" i="10" s="1"/>
  <c r="M124" i="10" s="1"/>
  <c r="J80" i="5"/>
  <c r="J45" i="5"/>
  <c r="B42" i="3"/>
  <c r="B30" i="3"/>
  <c r="B156" i="19"/>
  <c r="B156" i="2" s="1"/>
  <c r="C153" i="19"/>
  <c r="C153" i="2" s="1"/>
  <c r="C158" i="1" s="1"/>
  <c r="B153" i="19"/>
  <c r="B153" i="2" s="1"/>
  <c r="C152" i="19"/>
  <c r="C152" i="2" s="1"/>
  <c r="C152" i="3" s="1"/>
  <c r="C153" i="1"/>
  <c r="C143" i="19"/>
  <c r="C143" i="2" s="1"/>
  <c r="B143" i="5" s="1"/>
  <c r="C142" i="19"/>
  <c r="C142" i="2" s="1"/>
  <c r="B142" i="19"/>
  <c r="B142" i="2" s="1"/>
  <c r="C140" i="19"/>
  <c r="C140" i="2" s="1"/>
  <c r="B140" i="5" s="1"/>
  <c r="B134" i="2"/>
  <c r="C128" i="19"/>
  <c r="C128" i="2" s="1"/>
  <c r="C127" i="19"/>
  <c r="C127" i="2" s="1"/>
  <c r="B127" i="5" s="1"/>
  <c r="B127" i="19"/>
  <c r="B127" i="2" s="1"/>
  <c r="C126" i="19"/>
  <c r="C126" i="2" s="1"/>
  <c r="C126" i="3" s="1"/>
  <c r="B126" i="19"/>
  <c r="B126" i="2" s="1"/>
  <c r="B119" i="2"/>
  <c r="C115" i="19"/>
  <c r="C115" i="2" s="1"/>
  <c r="B110" i="19"/>
  <c r="B110" i="2" s="1"/>
  <c r="C101" i="19"/>
  <c r="C101" i="2" s="1"/>
  <c r="C89" i="19"/>
  <c r="B81" i="19"/>
  <c r="B81" i="2" s="1"/>
  <c r="B79" i="19"/>
  <c r="B79" i="2" s="1"/>
  <c r="B75" i="19"/>
  <c r="B75" i="2" s="1"/>
  <c r="C74" i="19"/>
  <c r="C74" i="2" s="1"/>
  <c r="B74" i="5" s="1"/>
  <c r="B61" i="19"/>
  <c r="B61" i="2" s="1"/>
  <c r="C60" i="19"/>
  <c r="C60" i="2" s="1"/>
  <c r="C49" i="19"/>
  <c r="C49" i="2" s="1"/>
  <c r="B49" i="5" s="1"/>
  <c r="C42" i="19"/>
  <c r="B42" i="19"/>
  <c r="C37" i="19"/>
  <c r="B37" i="19"/>
  <c r="B37" i="2" s="1"/>
  <c r="C36" i="19"/>
  <c r="C36" i="2" s="1"/>
  <c r="C36" i="3" s="1"/>
  <c r="B36" i="19"/>
  <c r="B36" i="2" s="1"/>
  <c r="C35" i="19"/>
  <c r="C35" i="2" s="1"/>
  <c r="B35" i="19"/>
  <c r="B35" i="2" s="1"/>
  <c r="B33" i="19"/>
  <c r="B33" i="2" s="1"/>
  <c r="C30" i="19"/>
  <c r="C26" i="19"/>
  <c r="B24" i="19"/>
  <c r="B24" i="2" s="1"/>
  <c r="C19" i="19"/>
  <c r="C19" i="2" s="1"/>
  <c r="C18" i="19"/>
  <c r="C18" i="2" s="1"/>
  <c r="C18" i="3" s="1"/>
  <c r="B10" i="19"/>
  <c r="B10" i="2" s="1"/>
  <c r="C8" i="19"/>
  <c r="C155" i="19"/>
  <c r="C155" i="2" s="1"/>
  <c r="C140" i="24"/>
  <c r="B140" i="24" s="1"/>
  <c r="C136" i="24"/>
  <c r="B136" i="24" s="1"/>
  <c r="C129" i="24"/>
  <c r="B129" i="24" s="1"/>
  <c r="C93" i="24"/>
  <c r="B93" i="24" s="1"/>
  <c r="C90" i="24"/>
  <c r="B90" i="24" s="1"/>
  <c r="C67" i="24"/>
  <c r="B67" i="24" s="1"/>
  <c r="H67" i="3" s="1"/>
  <c r="J41" i="23"/>
  <c r="L3" i="23" s="1"/>
  <c r="D151" i="5"/>
  <c r="D136" i="5"/>
  <c r="D134" i="5"/>
  <c r="D113" i="5"/>
  <c r="D106" i="5"/>
  <c r="D97" i="5"/>
  <c r="D96" i="5"/>
  <c r="D85" i="5"/>
  <c r="D62" i="5"/>
  <c r="D46" i="5"/>
  <c r="D30" i="5"/>
  <c r="D4" i="5"/>
  <c r="A82" i="19"/>
  <c r="A82" i="2" s="1"/>
  <c r="A82" i="3" s="1"/>
  <c r="I82" i="3" s="1"/>
  <c r="A79" i="24"/>
  <c r="K25" i="1"/>
  <c r="J27" i="1"/>
  <c r="J28" i="1"/>
  <c r="J29" i="1"/>
  <c r="J112" i="5"/>
  <c r="J110" i="5"/>
  <c r="J109" i="5"/>
  <c r="J108" i="5"/>
  <c r="J106" i="5"/>
  <c r="J105" i="5"/>
  <c r="J104" i="5"/>
  <c r="J103" i="5"/>
  <c r="J102" i="5"/>
  <c r="J100" i="5"/>
  <c r="J99" i="5"/>
  <c r="J98" i="5"/>
  <c r="J97" i="5"/>
  <c r="J96" i="5"/>
  <c r="J95" i="5"/>
  <c r="J94" i="5"/>
  <c r="J93" i="5"/>
  <c r="J91" i="5"/>
  <c r="J90" i="5"/>
  <c r="J89" i="5"/>
  <c r="J88" i="5"/>
  <c r="J87" i="5"/>
  <c r="J86" i="5"/>
  <c r="J85" i="5"/>
  <c r="J83" i="5"/>
  <c r="J82" i="5"/>
  <c r="J81" i="5"/>
  <c r="J79" i="5"/>
  <c r="J78" i="5"/>
  <c r="J76" i="5"/>
  <c r="J74" i="5"/>
  <c r="J73" i="5"/>
  <c r="J72" i="5"/>
  <c r="J70" i="5"/>
  <c r="J69" i="5"/>
  <c r="J68" i="5"/>
  <c r="J67" i="5"/>
  <c r="J66" i="5"/>
  <c r="J65" i="5"/>
  <c r="J64" i="5"/>
  <c r="J63" i="5"/>
  <c r="J62" i="5"/>
  <c r="J61" i="5"/>
  <c r="J60" i="5"/>
  <c r="J59" i="5"/>
  <c r="J58" i="5"/>
  <c r="J57" i="5"/>
  <c r="J56" i="5"/>
  <c r="J55" i="5"/>
  <c r="J54" i="5"/>
  <c r="J53" i="5"/>
  <c r="J51" i="5"/>
  <c r="J50" i="5"/>
  <c r="J48" i="5"/>
  <c r="J47" i="5"/>
  <c r="J46" i="5"/>
  <c r="J44" i="5"/>
  <c r="J43" i="5"/>
  <c r="J42" i="5"/>
  <c r="J41" i="5"/>
  <c r="J40" i="5"/>
  <c r="J39" i="5"/>
  <c r="J38" i="5"/>
  <c r="J37" i="5"/>
  <c r="J36" i="5"/>
  <c r="J35" i="5"/>
  <c r="J34" i="5"/>
  <c r="J33" i="5"/>
  <c r="J32" i="5"/>
  <c r="J31" i="5"/>
  <c r="J30" i="5"/>
  <c r="J29" i="5"/>
  <c r="J28" i="5"/>
  <c r="J27" i="5"/>
  <c r="J26" i="5"/>
  <c r="J25" i="5"/>
  <c r="J24" i="5"/>
  <c r="D151" i="3"/>
  <c r="D137" i="3"/>
  <c r="D134" i="3"/>
  <c r="D126" i="3"/>
  <c r="D106" i="3"/>
  <c r="D97" i="3"/>
  <c r="D87" i="3"/>
  <c r="D62" i="3"/>
  <c r="D46" i="3"/>
  <c r="D30" i="3"/>
  <c r="D4" i="3"/>
  <c r="D193" i="10"/>
  <c r="C193" i="10"/>
  <c r="D192" i="10"/>
  <c r="C192" i="10"/>
  <c r="B185" i="1"/>
  <c r="B156" i="3"/>
  <c r="B140" i="3"/>
  <c r="B137" i="3"/>
  <c r="B135" i="3"/>
  <c r="B134" i="3"/>
  <c r="B126" i="3"/>
  <c r="B119" i="3"/>
  <c r="B99" i="3"/>
  <c r="B89" i="3"/>
  <c r="B79" i="3"/>
  <c r="B75" i="3"/>
  <c r="B61" i="3"/>
  <c r="B37" i="3"/>
  <c r="B1" i="3"/>
  <c r="B2" i="3"/>
  <c r="B12" i="3"/>
  <c r="B4" i="3"/>
  <c r="A106" i="2"/>
  <c r="B20" i="17"/>
  <c r="B19" i="17"/>
  <c r="B123" i="10"/>
  <c r="F176" i="10" s="1"/>
  <c r="F36" i="23"/>
  <c r="A158" i="2"/>
  <c r="A158" i="3"/>
  <c r="I158" i="3" s="1"/>
  <c r="A157" i="2"/>
  <c r="A157" i="3" s="1"/>
  <c r="A156" i="2"/>
  <c r="A161" i="1" s="1"/>
  <c r="A155" i="2"/>
  <c r="A155" i="5" s="1"/>
  <c r="A154" i="2"/>
  <c r="A159" i="1" s="1"/>
  <c r="A153" i="2"/>
  <c r="A153" i="5" s="1"/>
  <c r="C153" i="5" s="1"/>
  <c r="A152" i="2"/>
  <c r="A152" i="5" s="1"/>
  <c r="C152" i="5" s="1"/>
  <c r="D152" i="3" s="1"/>
  <c r="A151" i="2"/>
  <c r="A151" i="5" s="1"/>
  <c r="A150" i="2"/>
  <c r="A150" i="5" s="1"/>
  <c r="C150" i="5" s="1"/>
  <c r="D150" i="3" s="1"/>
  <c r="A149" i="2"/>
  <c r="A148" i="2"/>
  <c r="A147" i="2"/>
  <c r="A147" i="3" s="1"/>
  <c r="I147" i="3" s="1"/>
  <c r="A147" i="5"/>
  <c r="C147" i="5" s="1"/>
  <c r="D147" i="3" s="1"/>
  <c r="A146" i="2"/>
  <c r="A145" i="2"/>
  <c r="A150" i="1" s="1"/>
  <c r="A144" i="2"/>
  <c r="A143" i="2"/>
  <c r="A142" i="2"/>
  <c r="A141" i="2"/>
  <c r="A141" i="3" s="1"/>
  <c r="I141" i="3" s="1"/>
  <c r="A140" i="2"/>
  <c r="A140" i="5" s="1"/>
  <c r="A139" i="2"/>
  <c r="A144" i="1" s="1"/>
  <c r="A138" i="2"/>
  <c r="A143" i="1" s="1"/>
  <c r="B143" i="1" s="1"/>
  <c r="A137" i="2"/>
  <c r="A136" i="2"/>
  <c r="A136" i="5" s="1"/>
  <c r="D136" i="3"/>
  <c r="A135" i="2"/>
  <c r="A140" i="1"/>
  <c r="A134" i="23" s="1"/>
  <c r="A134" i="2"/>
  <c r="A134" i="5"/>
  <c r="A133" i="2"/>
  <c r="A133" i="3" s="1"/>
  <c r="I133" i="3" s="1"/>
  <c r="A132" i="2"/>
  <c r="A137" i="1"/>
  <c r="A131" i="2"/>
  <c r="A130" i="2"/>
  <c r="A130" i="3"/>
  <c r="I130" i="3" s="1"/>
  <c r="A129" i="2"/>
  <c r="A128" i="2"/>
  <c r="A128" i="5" s="1"/>
  <c r="C128" i="5" s="1"/>
  <c r="D128" i="3" s="1"/>
  <c r="A127" i="2"/>
  <c r="A127" i="5" s="1"/>
  <c r="D127" i="5"/>
  <c r="A126" i="2"/>
  <c r="D126" i="5"/>
  <c r="A125" i="2"/>
  <c r="A124" i="2"/>
  <c r="A123" i="2"/>
  <c r="A123" i="3"/>
  <c r="I123" i="3" s="1"/>
  <c r="A122" i="2"/>
  <c r="A121" i="2"/>
  <c r="A121" i="5" s="1"/>
  <c r="A120" i="2"/>
  <c r="A120" i="5" s="1"/>
  <c r="C120" i="5" s="1"/>
  <c r="A119" i="2"/>
  <c r="A125" i="1" s="1"/>
  <c r="A119" i="23" s="1"/>
  <c r="A118" i="2"/>
  <c r="A124" i="1" s="1"/>
  <c r="A118" i="3"/>
  <c r="I118" i="3" s="1"/>
  <c r="A117" i="2"/>
  <c r="A117" i="3" s="1"/>
  <c r="I117" i="3" s="1"/>
  <c r="A116" i="2"/>
  <c r="A115" i="2"/>
  <c r="A121" i="1" s="1"/>
  <c r="A114" i="2"/>
  <c r="A120" i="1" s="1"/>
  <c r="B120" i="1" s="1"/>
  <c r="A113" i="2"/>
  <c r="A113" i="5"/>
  <c r="D113" i="3"/>
  <c r="A112" i="2"/>
  <c r="A112" i="5" s="1"/>
  <c r="D112" i="5"/>
  <c r="A111" i="2"/>
  <c r="A111" i="5"/>
  <c r="A110" i="2"/>
  <c r="A110" i="5" s="1"/>
  <c r="A109" i="2"/>
  <c r="A109" i="3" s="1"/>
  <c r="I109" i="3" s="1"/>
  <c r="A108" i="2"/>
  <c r="A108" i="5" s="1"/>
  <c r="A107" i="2"/>
  <c r="A105" i="2"/>
  <c r="A111" i="1" s="1"/>
  <c r="A104" i="2"/>
  <c r="A104" i="5" s="1"/>
  <c r="C104" i="5" s="1"/>
  <c r="A104" i="3"/>
  <c r="I104" i="3" s="1"/>
  <c r="A103" i="2"/>
  <c r="A103" i="5" s="1"/>
  <c r="A102" i="2"/>
  <c r="D102" i="5"/>
  <c r="A101" i="2"/>
  <c r="A100" i="2"/>
  <c r="A99" i="2"/>
  <c r="D99" i="5"/>
  <c r="A98" i="2"/>
  <c r="A98" i="5"/>
  <c r="A97" i="2"/>
  <c r="A97" i="5" s="1"/>
  <c r="A96" i="2"/>
  <c r="A96" i="5" s="1"/>
  <c r="D96" i="3"/>
  <c r="A95" i="2"/>
  <c r="A101" i="1" s="1"/>
  <c r="B101" i="1" s="1"/>
  <c r="A94" i="2"/>
  <c r="A93" i="2"/>
  <c r="A93" i="5" s="1"/>
  <c r="D93" i="5"/>
  <c r="A92" i="2"/>
  <c r="A91" i="2"/>
  <c r="A91" i="3" s="1"/>
  <c r="I91" i="3" s="1"/>
  <c r="A90" i="2"/>
  <c r="A90" i="3" s="1"/>
  <c r="I90" i="3" s="1"/>
  <c r="A89" i="2"/>
  <c r="A89" i="3" s="1"/>
  <c r="I89" i="3" s="1"/>
  <c r="A95" i="1"/>
  <c r="A89" i="23" s="1"/>
  <c r="A88" i="2"/>
  <c r="A88" i="3"/>
  <c r="I88" i="3" s="1"/>
  <c r="A87" i="2"/>
  <c r="A87" i="3" s="1"/>
  <c r="I87" i="3" s="1"/>
  <c r="A86" i="2"/>
  <c r="A86" i="3"/>
  <c r="I86" i="3" s="1"/>
  <c r="A85" i="2"/>
  <c r="A85" i="5" s="1"/>
  <c r="A85" i="3"/>
  <c r="I85" i="3" s="1"/>
  <c r="A84" i="2"/>
  <c r="A84" i="3"/>
  <c r="I84" i="3" s="1"/>
  <c r="A83" i="2"/>
  <c r="A83" i="5" s="1"/>
  <c r="C83" i="5" s="1"/>
  <c r="D83" i="3" s="1"/>
  <c r="A81" i="2"/>
  <c r="A80" i="2"/>
  <c r="A80" i="3" s="1"/>
  <c r="I80" i="3" s="1"/>
  <c r="A79" i="2"/>
  <c r="A79" i="3" s="1"/>
  <c r="A78" i="2"/>
  <c r="A77" i="2"/>
  <c r="A83" i="1" s="1"/>
  <c r="A76" i="2"/>
  <c r="A75" i="2"/>
  <c r="A74" i="2"/>
  <c r="A74" i="5" s="1"/>
  <c r="C74" i="5" s="1"/>
  <c r="D74" i="3" s="1"/>
  <c r="A73" i="2"/>
  <c r="A73" i="3" s="1"/>
  <c r="I73" i="3" s="1"/>
  <c r="A72" i="2"/>
  <c r="A72" i="3" s="1"/>
  <c r="I72" i="3" s="1"/>
  <c r="A71" i="2"/>
  <c r="A71" i="3" s="1"/>
  <c r="A70" i="2"/>
  <c r="A70" i="5" s="1"/>
  <c r="A69" i="2"/>
  <c r="A69" i="3"/>
  <c r="I69" i="3" s="1"/>
  <c r="A68" i="2"/>
  <c r="A68" i="3" s="1"/>
  <c r="I68" i="3" s="1"/>
  <c r="A67" i="2"/>
  <c r="A67" i="3" s="1"/>
  <c r="I67" i="3" s="1"/>
  <c r="A66" i="2"/>
  <c r="A66" i="5" s="1"/>
  <c r="C66" i="5" s="1"/>
  <c r="A65" i="2"/>
  <c r="A65" i="5" s="1"/>
  <c r="C65" i="5" s="1"/>
  <c r="A71" i="1"/>
  <c r="A65" i="23" s="1"/>
  <c r="A64" i="2"/>
  <c r="A64" i="3"/>
  <c r="I64" i="3" s="1"/>
  <c r="A63" i="2"/>
  <c r="A63" i="3" s="1"/>
  <c r="A62" i="2"/>
  <c r="A62" i="3"/>
  <c r="I62" i="3" s="1"/>
  <c r="A61" i="2"/>
  <c r="A61" i="3" s="1"/>
  <c r="I61" i="3" s="1"/>
  <c r="A60" i="2"/>
  <c r="A60" i="3"/>
  <c r="I60" i="3" s="1"/>
  <c r="A59" i="2"/>
  <c r="A65" i="1" s="1"/>
  <c r="A59" i="23" s="1"/>
  <c r="A58" i="2"/>
  <c r="A57" i="2"/>
  <c r="A57" i="5"/>
  <c r="C57" i="5" s="1"/>
  <c r="D57" i="3" s="1"/>
  <c r="A56" i="2"/>
  <c r="A55" i="2"/>
  <c r="A54" i="2"/>
  <c r="A54" i="3"/>
  <c r="I54" i="3" s="1"/>
  <c r="A53" i="2"/>
  <c r="A52" i="2"/>
  <c r="A52" i="5" s="1"/>
  <c r="D52" i="5"/>
  <c r="A51" i="2"/>
  <c r="A50" i="2"/>
  <c r="A50" i="3" s="1"/>
  <c r="I50" i="3" s="1"/>
  <c r="A49" i="2"/>
  <c r="A55" i="1" s="1"/>
  <c r="B55" i="1" s="1"/>
  <c r="A49" i="3"/>
  <c r="I49" i="3" s="1"/>
  <c r="A48" i="2"/>
  <c r="A47" i="2"/>
  <c r="A53" i="1" s="1"/>
  <c r="B53" i="1" s="1"/>
  <c r="A46" i="2"/>
  <c r="A46" i="3" s="1"/>
  <c r="I46" i="3" s="1"/>
  <c r="A45" i="2"/>
  <c r="A45" i="3"/>
  <c r="I45" i="3" s="1"/>
  <c r="A44" i="2"/>
  <c r="A44" i="5" s="1"/>
  <c r="C44" i="5" s="1"/>
  <c r="D44" i="3" s="1"/>
  <c r="A44" i="3"/>
  <c r="I44" i="3" s="1"/>
  <c r="A43" i="2"/>
  <c r="A43" i="3" s="1"/>
  <c r="I43" i="3" s="1"/>
  <c r="A42" i="2"/>
  <c r="A41" i="2"/>
  <c r="A41" i="3"/>
  <c r="I41" i="3" s="1"/>
  <c r="A40" i="2"/>
  <c r="A40" i="3" s="1"/>
  <c r="I40" i="3" s="1"/>
  <c r="A39" i="2"/>
  <c r="A38" i="2"/>
  <c r="A44" i="1" s="1"/>
  <c r="A38" i="23" s="1"/>
  <c r="A37" i="2"/>
  <c r="A37" i="3" s="1"/>
  <c r="I37" i="3" s="1"/>
  <c r="A36" i="2"/>
  <c r="A35" i="2"/>
  <c r="A34" i="2"/>
  <c r="A34" i="3" s="1"/>
  <c r="I34" i="3" s="1"/>
  <c r="A33" i="2"/>
  <c r="A32" i="2"/>
  <c r="A32" i="5" s="1"/>
  <c r="C32" i="5" s="1"/>
  <c r="A31" i="2"/>
  <c r="A37" i="1" s="1"/>
  <c r="B37" i="1" s="1"/>
  <c r="A30" i="2"/>
  <c r="A29" i="2"/>
  <c r="A29" i="3"/>
  <c r="I29" i="3" s="1"/>
  <c r="A28" i="2"/>
  <c r="A27" i="2"/>
  <c r="A27" i="3" s="1"/>
  <c r="I27" i="3" s="1"/>
  <c r="A26" i="2"/>
  <c r="A25" i="2"/>
  <c r="A25" i="3" s="1"/>
  <c r="I25" i="3" s="1"/>
  <c r="A24" i="2"/>
  <c r="A24" i="3" s="1"/>
  <c r="I24" i="3" s="1"/>
  <c r="A23" i="2"/>
  <c r="A22" i="2"/>
  <c r="A22" i="3"/>
  <c r="I22" i="3" s="1"/>
  <c r="A21" i="2"/>
  <c r="A21" i="3" s="1"/>
  <c r="I21" i="3" s="1"/>
  <c r="A20" i="2"/>
  <c r="A20" i="3" s="1"/>
  <c r="I20" i="3" s="1"/>
  <c r="A19" i="2"/>
  <c r="A18" i="2"/>
  <c r="A18" i="5" s="1"/>
  <c r="A18" i="3"/>
  <c r="I18" i="3" s="1"/>
  <c r="A17" i="2"/>
  <c r="A23" i="1" s="1"/>
  <c r="B23" i="1" s="1"/>
  <c r="A16" i="2"/>
  <c r="A16" i="5" s="1"/>
  <c r="A15" i="2"/>
  <c r="A14" i="2"/>
  <c r="A14" i="5" s="1"/>
  <c r="D14" i="5"/>
  <c r="A13" i="2"/>
  <c r="A12" i="2"/>
  <c r="A18" i="1" s="1"/>
  <c r="A11" i="2"/>
  <c r="A11" i="3" s="1"/>
  <c r="I11" i="3" s="1"/>
  <c r="A10" i="2"/>
  <c r="A16" i="1" s="1"/>
  <c r="A9" i="2"/>
  <c r="A15" i="1" s="1"/>
  <c r="A9" i="3"/>
  <c r="I9" i="3" s="1"/>
  <c r="A8" i="2"/>
  <c r="A8" i="3" s="1"/>
  <c r="I8" i="3" s="1"/>
  <c r="A7" i="2"/>
  <c r="A7" i="3"/>
  <c r="I7" i="3" s="1"/>
  <c r="A6" i="2"/>
  <c r="A6" i="5" s="1"/>
  <c r="A5" i="2"/>
  <c r="A4" i="2"/>
  <c r="A4" i="3"/>
  <c r="I4" i="3" s="1"/>
  <c r="A3" i="2"/>
  <c r="A9" i="1" s="1"/>
  <c r="A3" i="3"/>
  <c r="I3" i="3" s="1"/>
  <c r="B148" i="2"/>
  <c r="D187" i="10"/>
  <c r="B167" i="10"/>
  <c r="I141" i="10" s="1"/>
  <c r="B56" i="10"/>
  <c r="B60" i="10"/>
  <c r="F173" i="10" s="1"/>
  <c r="F174" i="10"/>
  <c r="B95" i="10"/>
  <c r="I93" i="10" s="1"/>
  <c r="L93" i="10" s="1"/>
  <c r="B140" i="10"/>
  <c r="F178" i="10" s="1"/>
  <c r="B179" i="1"/>
  <c r="B178" i="1"/>
  <c r="K18" i="23"/>
  <c r="A2" i="2"/>
  <c r="A8" i="1" s="1"/>
  <c r="B8" i="1" s="1"/>
  <c r="A74" i="24"/>
  <c r="C74" i="24" s="1"/>
  <c r="B74" i="24" s="1"/>
  <c r="H74" i="3" s="1"/>
  <c r="A37" i="24"/>
  <c r="A19" i="24"/>
  <c r="C19" i="24" s="1"/>
  <c r="B19" i="24" s="1"/>
  <c r="A2" i="24"/>
  <c r="A3" i="24"/>
  <c r="A4" i="24"/>
  <c r="A5" i="24"/>
  <c r="C5" i="24" s="1"/>
  <c r="B5" i="24" s="1"/>
  <c r="A6" i="24"/>
  <c r="C6" i="24" s="1"/>
  <c r="B6" i="24" s="1"/>
  <c r="A7" i="24"/>
  <c r="C7" i="24" s="1"/>
  <c r="B7" i="24" s="1"/>
  <c r="A8" i="24"/>
  <c r="C8" i="24" s="1"/>
  <c r="B8" i="24" s="1"/>
  <c r="A9" i="24"/>
  <c r="C9" i="24" s="1"/>
  <c r="B9" i="24" s="1"/>
  <c r="A10" i="24"/>
  <c r="C10" i="24" s="1"/>
  <c r="B10" i="24" s="1"/>
  <c r="F10" i="23" s="1"/>
  <c r="A11" i="24"/>
  <c r="C11" i="24" s="1"/>
  <c r="B11" i="24" s="1"/>
  <c r="A12" i="24"/>
  <c r="C12" i="24" s="1"/>
  <c r="B12" i="24" s="1"/>
  <c r="A13" i="24"/>
  <c r="C13" i="24" s="1"/>
  <c r="B13" i="24" s="1"/>
  <c r="A14" i="24"/>
  <c r="C14" i="24" s="1"/>
  <c r="B14" i="24" s="1"/>
  <c r="H14" i="3" s="1"/>
  <c r="A15" i="24"/>
  <c r="C15" i="24" s="1"/>
  <c r="B15" i="24" s="1"/>
  <c r="H15" i="3" s="1"/>
  <c r="A16" i="24"/>
  <c r="C16" i="24" s="1"/>
  <c r="B16" i="24" s="1"/>
  <c r="A17" i="24"/>
  <c r="C17" i="24" s="1"/>
  <c r="B17" i="24" s="1"/>
  <c r="A18" i="24"/>
  <c r="A20" i="24"/>
  <c r="C20" i="24" s="1"/>
  <c r="B20" i="24" s="1"/>
  <c r="F20" i="23" s="1"/>
  <c r="A21" i="24"/>
  <c r="C21" i="24" s="1"/>
  <c r="B21" i="24" s="1"/>
  <c r="A22" i="24"/>
  <c r="C22" i="24" s="1"/>
  <c r="B22" i="24" s="1"/>
  <c r="A23" i="24"/>
  <c r="C23" i="24" s="1"/>
  <c r="B23" i="24" s="1"/>
  <c r="A24" i="24"/>
  <c r="C24" i="24" s="1"/>
  <c r="B24" i="24" s="1"/>
  <c r="H24" i="3" s="1"/>
  <c r="A25" i="24"/>
  <c r="C25" i="24" s="1"/>
  <c r="B25" i="24" s="1"/>
  <c r="A26" i="24"/>
  <c r="C26" i="24" s="1"/>
  <c r="B26" i="24" s="1"/>
  <c r="A27" i="24"/>
  <c r="C27" i="24" s="1"/>
  <c r="B27" i="24" s="1"/>
  <c r="A28" i="24"/>
  <c r="C28" i="24" s="1"/>
  <c r="B28" i="24" s="1"/>
  <c r="A29" i="24"/>
  <c r="C29" i="24" s="1"/>
  <c r="B29" i="24" s="1"/>
  <c r="H29" i="3" s="1"/>
  <c r="A30" i="24"/>
  <c r="A31" i="24"/>
  <c r="C31" i="24" s="1"/>
  <c r="B31" i="24" s="1"/>
  <c r="A32" i="24"/>
  <c r="C32" i="24" s="1"/>
  <c r="B32" i="24" s="1"/>
  <c r="A33" i="24"/>
  <c r="C33" i="24" s="1"/>
  <c r="B33" i="24" s="1"/>
  <c r="A34" i="24"/>
  <c r="C34" i="24" s="1"/>
  <c r="B34" i="24" s="1"/>
  <c r="H34" i="3" s="1"/>
  <c r="A35" i="24"/>
  <c r="A36" i="24"/>
  <c r="A38" i="24"/>
  <c r="C38" i="24" s="1"/>
  <c r="B38" i="24" s="1"/>
  <c r="A39" i="24"/>
  <c r="A40" i="24"/>
  <c r="C40" i="24" s="1"/>
  <c r="B40" i="24" s="1"/>
  <c r="H40" i="3" s="1"/>
  <c r="A41" i="24"/>
  <c r="A42" i="24"/>
  <c r="C42" i="24" s="1"/>
  <c r="B42" i="24" s="1"/>
  <c r="F42" i="23" s="1"/>
  <c r="A43" i="24"/>
  <c r="C43" i="24" s="1"/>
  <c r="B43" i="24" s="1"/>
  <c r="A44" i="24"/>
  <c r="C44" i="24" s="1"/>
  <c r="B44" i="24" s="1"/>
  <c r="A45" i="24"/>
  <c r="C45" i="24" s="1"/>
  <c r="B45" i="24" s="1"/>
  <c r="F45" i="23" s="1"/>
  <c r="A46" i="24"/>
  <c r="C46" i="24" s="1"/>
  <c r="B46" i="24" s="1"/>
  <c r="H46" i="3" s="1"/>
  <c r="A47" i="24"/>
  <c r="C47" i="24" s="1"/>
  <c r="B47" i="24" s="1"/>
  <c r="A48" i="24"/>
  <c r="C48" i="24" s="1"/>
  <c r="B48" i="24" s="1"/>
  <c r="A49" i="24"/>
  <c r="C49" i="24" s="1"/>
  <c r="B49" i="24" s="1"/>
  <c r="A50" i="24"/>
  <c r="C50" i="24" s="1"/>
  <c r="B50" i="24" s="1"/>
  <c r="A51" i="24"/>
  <c r="C51" i="24" s="1"/>
  <c r="B51" i="24" s="1"/>
  <c r="A52" i="24"/>
  <c r="C52" i="24" s="1"/>
  <c r="B52" i="24" s="1"/>
  <c r="H52" i="3" s="1"/>
  <c r="A53" i="24"/>
  <c r="C53" i="24" s="1"/>
  <c r="B53" i="24" s="1"/>
  <c r="A54" i="24"/>
  <c r="C54" i="24" s="1"/>
  <c r="B54" i="24" s="1"/>
  <c r="F54" i="23" s="1"/>
  <c r="A55" i="24"/>
  <c r="C55" i="24"/>
  <c r="B55" i="24" s="1"/>
  <c r="A56" i="24"/>
  <c r="C56" i="24" s="1"/>
  <c r="B56" i="24" s="1"/>
  <c r="A57" i="24"/>
  <c r="C57" i="24" s="1"/>
  <c r="B57" i="24" s="1"/>
  <c r="A58" i="24"/>
  <c r="C58" i="24" s="1"/>
  <c r="B58" i="24" s="1"/>
  <c r="A59" i="24"/>
  <c r="C59" i="24" s="1"/>
  <c r="B59" i="24" s="1"/>
  <c r="A60" i="24"/>
  <c r="C60" i="24" s="1"/>
  <c r="B60" i="24" s="1"/>
  <c r="A61" i="24"/>
  <c r="A62" i="24"/>
  <c r="C62" i="24" s="1"/>
  <c r="B62" i="24" s="1"/>
  <c r="F62" i="23" s="1"/>
  <c r="A63" i="24"/>
  <c r="A64" i="24"/>
  <c r="C64" i="24" s="1"/>
  <c r="B64" i="24" s="1"/>
  <c r="H64" i="3" s="1"/>
  <c r="A65" i="24"/>
  <c r="C65" i="24" s="1"/>
  <c r="B65" i="24" s="1"/>
  <c r="A66" i="24"/>
  <c r="C66" i="24"/>
  <c r="B66" i="24" s="1"/>
  <c r="F66" i="23" s="1"/>
  <c r="A68" i="24"/>
  <c r="C68" i="24" s="1"/>
  <c r="B68" i="24" s="1"/>
  <c r="A69" i="24"/>
  <c r="C69" i="24" s="1"/>
  <c r="B69" i="24" s="1"/>
  <c r="A70" i="24"/>
  <c r="C70" i="24" s="1"/>
  <c r="B70" i="24" s="1"/>
  <c r="H70" i="3" s="1"/>
  <c r="A71" i="24"/>
  <c r="C71" i="24" s="1"/>
  <c r="B71" i="24" s="1"/>
  <c r="A72" i="24"/>
  <c r="C72" i="24" s="1"/>
  <c r="B72" i="24" s="1"/>
  <c r="A73" i="24"/>
  <c r="C73" i="24" s="1"/>
  <c r="B73" i="24" s="1"/>
  <c r="A75" i="24"/>
  <c r="A76" i="24"/>
  <c r="C76" i="24" s="1"/>
  <c r="B76" i="24" s="1"/>
  <c r="F76" i="23" s="1"/>
  <c r="A77" i="24"/>
  <c r="C77" i="24" s="1"/>
  <c r="B77" i="24" s="1"/>
  <c r="A78" i="24"/>
  <c r="C78" i="24" s="1"/>
  <c r="B78" i="24" s="1"/>
  <c r="A80" i="24"/>
  <c r="C80" i="24" s="1"/>
  <c r="B80" i="24" s="1"/>
  <c r="A81" i="24"/>
  <c r="C81" i="24" s="1"/>
  <c r="B81" i="24" s="1"/>
  <c r="A83" i="24"/>
  <c r="C83" i="24" s="1"/>
  <c r="B83" i="24" s="1"/>
  <c r="A84" i="24"/>
  <c r="C84" i="24" s="1"/>
  <c r="B84" i="24" s="1"/>
  <c r="A85" i="24"/>
  <c r="C85" i="24" s="1"/>
  <c r="B85" i="24" s="1"/>
  <c r="A86" i="24"/>
  <c r="C86" i="24" s="1"/>
  <c r="B86" i="24" s="1"/>
  <c r="A87" i="24"/>
  <c r="C87" i="24" s="1"/>
  <c r="B87" i="24" s="1"/>
  <c r="A88" i="24"/>
  <c r="A89" i="24"/>
  <c r="C89" i="24" s="1"/>
  <c r="B89" i="24" s="1"/>
  <c r="A91" i="24"/>
  <c r="A94" i="24"/>
  <c r="C94" i="24" s="1"/>
  <c r="B94" i="24" s="1"/>
  <c r="A95" i="24"/>
  <c r="C95" i="24" s="1"/>
  <c r="B95" i="24" s="1"/>
  <c r="A96" i="24"/>
  <c r="C96" i="24" s="1"/>
  <c r="B96" i="24" s="1"/>
  <c r="F96" i="23" s="1"/>
  <c r="A97" i="24"/>
  <c r="C97" i="24" s="1"/>
  <c r="B97" i="24" s="1"/>
  <c r="A98" i="24"/>
  <c r="C98" i="24" s="1"/>
  <c r="B98" i="24" s="1"/>
  <c r="A99" i="24"/>
  <c r="A100" i="24"/>
  <c r="C100" i="24" s="1"/>
  <c r="B100" i="24" s="1"/>
  <c r="A101" i="24"/>
  <c r="C101" i="24" s="1"/>
  <c r="B101" i="24" s="1"/>
  <c r="A102" i="24"/>
  <c r="C102" i="24" s="1"/>
  <c r="B102" i="24" s="1"/>
  <c r="A103" i="24"/>
  <c r="C103" i="24" s="1"/>
  <c r="B103" i="24" s="1"/>
  <c r="A104" i="24"/>
  <c r="C104" i="24" s="1"/>
  <c r="B104" i="24" s="1"/>
  <c r="A105" i="24"/>
  <c r="C105" i="24" s="1"/>
  <c r="B105" i="24" s="1"/>
  <c r="A107" i="24"/>
  <c r="C107" i="24" s="1"/>
  <c r="B107" i="24" s="1"/>
  <c r="A108" i="24"/>
  <c r="C108" i="24" s="1"/>
  <c r="B108" i="24" s="1"/>
  <c r="H108" i="3" s="1"/>
  <c r="A109" i="24"/>
  <c r="C109" i="24" s="1"/>
  <c r="B109" i="24" s="1"/>
  <c r="A110" i="24"/>
  <c r="C110" i="24" s="1"/>
  <c r="B110" i="24" s="1"/>
  <c r="A111" i="24"/>
  <c r="C111" i="24" s="1"/>
  <c r="B111" i="24" s="1"/>
  <c r="A112" i="24"/>
  <c r="C112" i="24" s="1"/>
  <c r="B112" i="24" s="1"/>
  <c r="A113" i="24"/>
  <c r="C113" i="24" s="1"/>
  <c r="B113" i="24" s="1"/>
  <c r="A114" i="24"/>
  <c r="C114" i="24" s="1"/>
  <c r="B114" i="24" s="1"/>
  <c r="A115" i="24"/>
  <c r="C115" i="24" s="1"/>
  <c r="B115" i="24" s="1"/>
  <c r="H115" i="3" s="1"/>
  <c r="A116" i="24"/>
  <c r="C116" i="24" s="1"/>
  <c r="B116" i="24" s="1"/>
  <c r="H116" i="3" s="1"/>
  <c r="A117" i="24"/>
  <c r="C117" i="24" s="1"/>
  <c r="B117" i="24" s="1"/>
  <c r="H117" i="3" s="1"/>
  <c r="A118" i="24"/>
  <c r="C118" i="24" s="1"/>
  <c r="B118" i="24" s="1"/>
  <c r="A119" i="24"/>
  <c r="A120" i="24"/>
  <c r="C120" i="24" s="1"/>
  <c r="B120" i="24" s="1"/>
  <c r="A121" i="24"/>
  <c r="C121" i="24" s="1"/>
  <c r="B121" i="24" s="1"/>
  <c r="A122" i="24"/>
  <c r="C122" i="24" s="1"/>
  <c r="B122" i="24" s="1"/>
  <c r="A123" i="24"/>
  <c r="C123" i="24" s="1"/>
  <c r="B123" i="24" s="1"/>
  <c r="A124" i="24"/>
  <c r="C124" i="24" s="1"/>
  <c r="B124" i="24" s="1"/>
  <c r="A125" i="24"/>
  <c r="C125" i="24" s="1"/>
  <c r="B125" i="24" s="1"/>
  <c r="A126" i="24"/>
  <c r="A127" i="24"/>
  <c r="C127" i="24" s="1"/>
  <c r="B127" i="24" s="1"/>
  <c r="A128" i="24"/>
  <c r="C128" i="24" s="1"/>
  <c r="B128" i="24" s="1"/>
  <c r="A130" i="24"/>
  <c r="C130" i="24" s="1"/>
  <c r="B130" i="24" s="1"/>
  <c r="A131" i="24"/>
  <c r="C131" i="24" s="1"/>
  <c r="B131" i="24" s="1"/>
  <c r="A132" i="24"/>
  <c r="C132" i="24"/>
  <c r="B132" i="24" s="1"/>
  <c r="H132" i="3" s="1"/>
  <c r="A133" i="24"/>
  <c r="C133" i="24" s="1"/>
  <c r="B133" i="24" s="1"/>
  <c r="F132" i="23" s="1"/>
  <c r="A134" i="24"/>
  <c r="A135" i="24"/>
  <c r="A137" i="24"/>
  <c r="C137" i="24" s="1"/>
  <c r="B137" i="24" s="1"/>
  <c r="A138" i="24"/>
  <c r="C138" i="24" s="1"/>
  <c r="B138" i="24" s="1"/>
  <c r="A139" i="24"/>
  <c r="C139" i="24" s="1"/>
  <c r="B139" i="24" s="1"/>
  <c r="A142" i="24"/>
  <c r="C142" i="24" s="1"/>
  <c r="B142" i="24" s="1"/>
  <c r="A143" i="24"/>
  <c r="C143" i="24" s="1"/>
  <c r="B143" i="24" s="1"/>
  <c r="A145" i="24"/>
  <c r="C145" i="24" s="1"/>
  <c r="B145" i="24" s="1"/>
  <c r="F144" i="23" s="1"/>
  <c r="A146" i="24"/>
  <c r="C146" i="24" s="1"/>
  <c r="B146" i="24" s="1"/>
  <c r="A147" i="24"/>
  <c r="C147" i="24" s="1"/>
  <c r="B147" i="24" s="1"/>
  <c r="A148" i="24"/>
  <c r="C148" i="24" s="1"/>
  <c r="B148" i="24" s="1"/>
  <c r="A149" i="24"/>
  <c r="C149" i="24" s="1"/>
  <c r="B149" i="24" s="1"/>
  <c r="A150" i="24"/>
  <c r="C150" i="24" s="1"/>
  <c r="B150" i="24" s="1"/>
  <c r="A151" i="24"/>
  <c r="C151" i="24" s="1"/>
  <c r="B151" i="24" s="1"/>
  <c r="A152" i="24"/>
  <c r="C152" i="24" s="1"/>
  <c r="B152" i="24" s="1"/>
  <c r="A153" i="24"/>
  <c r="C153" i="24" s="1"/>
  <c r="B153" i="24" s="1"/>
  <c r="A154" i="24"/>
  <c r="A156" i="24"/>
  <c r="C156" i="24" s="1"/>
  <c r="B156" i="24" s="1"/>
  <c r="C187" i="10"/>
  <c r="A179" i="10"/>
  <c r="A178" i="10"/>
  <c r="A177" i="10"/>
  <c r="A176" i="10"/>
  <c r="A175" i="10"/>
  <c r="A174" i="10"/>
  <c r="A173" i="10"/>
  <c r="A172" i="10"/>
  <c r="A171" i="10"/>
  <c r="C1" i="3"/>
  <c r="K30" i="1"/>
  <c r="B82" i="3"/>
  <c r="B81" i="3"/>
  <c r="B63" i="3"/>
  <c r="B153" i="3"/>
  <c r="B88" i="3"/>
  <c r="B121" i="3"/>
  <c r="B128" i="3"/>
  <c r="B147" i="3"/>
  <c r="D35" i="5"/>
  <c r="A153" i="1"/>
  <c r="A87" i="5"/>
  <c r="D87" i="5"/>
  <c r="D19" i="5"/>
  <c r="I155" i="10"/>
  <c r="M155" i="10" s="1"/>
  <c r="A135" i="3"/>
  <c r="I135" i="3" s="1"/>
  <c r="A102" i="3"/>
  <c r="I102" i="3" s="1"/>
  <c r="A36" i="1"/>
  <c r="A108" i="1"/>
  <c r="B108" i="1" s="1"/>
  <c r="A135" i="5"/>
  <c r="D135" i="5"/>
  <c r="A117" i="1"/>
  <c r="B117" i="1" s="1"/>
  <c r="A94" i="5"/>
  <c r="D94" i="5"/>
  <c r="A156" i="1"/>
  <c r="B156" i="1" s="1"/>
  <c r="A151" i="3"/>
  <c r="I151" i="3" s="1"/>
  <c r="A119" i="3"/>
  <c r="I119" i="3"/>
  <c r="A143" i="3"/>
  <c r="I143" i="3" s="1"/>
  <c r="A111" i="3"/>
  <c r="I111" i="3" s="1"/>
  <c r="A67" i="1"/>
  <c r="B67" i="1" s="1"/>
  <c r="A113" i="1"/>
  <c r="A107" i="23" s="1"/>
  <c r="D76" i="5"/>
  <c r="A123" i="5"/>
  <c r="C123" i="5" s="1"/>
  <c r="D123" i="3" s="1"/>
  <c r="A115" i="3"/>
  <c r="I115" i="3" s="1"/>
  <c r="A118" i="5"/>
  <c r="A23" i="5"/>
  <c r="D23" i="5"/>
  <c r="D85" i="3"/>
  <c r="A21" i="5"/>
  <c r="D21" i="5"/>
  <c r="A51" i="1"/>
  <c r="A45" i="23" s="1"/>
  <c r="A91" i="1"/>
  <c r="A85" i="23"/>
  <c r="A158" i="5"/>
  <c r="C158" i="5" s="1"/>
  <c r="A60" i="5"/>
  <c r="D60" i="5"/>
  <c r="A66" i="1"/>
  <c r="B66" i="1" s="1"/>
  <c r="A82" i="1"/>
  <c r="B82" i="1" s="1"/>
  <c r="A141" i="5"/>
  <c r="D141" i="5"/>
  <c r="A109" i="5"/>
  <c r="C109" i="5" s="1"/>
  <c r="D109" i="3" s="1"/>
  <c r="A138" i="1"/>
  <c r="B138" i="1" s="1"/>
  <c r="A89" i="5"/>
  <c r="D89" i="5"/>
  <c r="A104" i="1"/>
  <c r="B104" i="1" s="1"/>
  <c r="A135" i="1"/>
  <c r="A128" i="1"/>
  <c r="B128" i="1" s="1"/>
  <c r="A151" i="1"/>
  <c r="B151" i="1" s="1"/>
  <c r="D155" i="5"/>
  <c r="A62" i="5"/>
  <c r="A118" i="1"/>
  <c r="B118" i="1" s="1"/>
  <c r="A29" i="1"/>
  <c r="B29" i="1" s="1"/>
  <c r="A141" i="1"/>
  <c r="A93" i="1"/>
  <c r="A149" i="1"/>
  <c r="A143" i="23" s="1"/>
  <c r="A133" i="1"/>
  <c r="A109" i="1"/>
  <c r="B109" i="1" s="1"/>
  <c r="A31" i="5"/>
  <c r="D31" i="5"/>
  <c r="A78" i="5"/>
  <c r="C78" i="5" s="1"/>
  <c r="D78" i="3" s="1"/>
  <c r="A128" i="3"/>
  <c r="I128" i="3" s="1"/>
  <c r="A136" i="3"/>
  <c r="I136" i="3" s="1"/>
  <c r="A144" i="3"/>
  <c r="I144" i="3" s="1"/>
  <c r="A84" i="1"/>
  <c r="B84" i="1" s="1"/>
  <c r="A54" i="5"/>
  <c r="C54" i="5" s="1"/>
  <c r="A75" i="1"/>
  <c r="B75" i="1" s="1"/>
  <c r="A69" i="5"/>
  <c r="C69" i="5" s="1"/>
  <c r="D69" i="3" s="1"/>
  <c r="A52" i="1"/>
  <c r="A46" i="23" s="1"/>
  <c r="A60" i="1"/>
  <c r="B60" i="1" s="1"/>
  <c r="A30" i="5"/>
  <c r="A61" i="5"/>
  <c r="D61" i="5"/>
  <c r="A77" i="5"/>
  <c r="A46" i="5"/>
  <c r="A84" i="5"/>
  <c r="C84" i="5" s="1"/>
  <c r="A125" i="5"/>
  <c r="C125" i="5" s="1"/>
  <c r="D125" i="3" s="1"/>
  <c r="A92" i="5"/>
  <c r="D92" i="5"/>
  <c r="A115" i="1"/>
  <c r="B115" i="1" s="1"/>
  <c r="D12" i="5"/>
  <c r="A123" i="1"/>
  <c r="B123" i="1" s="1"/>
  <c r="A92" i="3"/>
  <c r="I92" i="3" s="1"/>
  <c r="D149" i="5"/>
  <c r="A117" i="5"/>
  <c r="C117" i="5" s="1"/>
  <c r="D117" i="3" s="1"/>
  <c r="A67" i="5"/>
  <c r="C67" i="5" s="1"/>
  <c r="A73" i="1"/>
  <c r="A67" i="23" s="1"/>
  <c r="A133" i="5"/>
  <c r="C133" i="5" s="1"/>
  <c r="D16" i="5"/>
  <c r="A61" i="23"/>
  <c r="A2" i="5"/>
  <c r="C2" i="5" s="1"/>
  <c r="D2" i="3" s="1"/>
  <c r="A2" i="3"/>
  <c r="I2" i="3"/>
  <c r="A47" i="1"/>
  <c r="A41" i="23" s="1"/>
  <c r="A56" i="5"/>
  <c r="D56" i="5"/>
  <c r="A49" i="5"/>
  <c r="C49" i="5"/>
  <c r="A25" i="5"/>
  <c r="A56" i="1"/>
  <c r="A153" i="3"/>
  <c r="I153" i="3"/>
  <c r="A41" i="5"/>
  <c r="D41" i="5"/>
  <c r="D3" i="5"/>
  <c r="D26" i="5"/>
  <c r="A158" i="1"/>
  <c r="B158" i="1" s="1"/>
  <c r="A11" i="5"/>
  <c r="D11" i="5"/>
  <c r="A137" i="5"/>
  <c r="D137" i="5"/>
  <c r="A70" i="1"/>
  <c r="B70" i="1" s="1"/>
  <c r="A17" i="1"/>
  <c r="A113" i="3"/>
  <c r="I113" i="3"/>
  <c r="A64" i="5"/>
  <c r="C64" i="5" s="1"/>
  <c r="D64" i="3" s="1"/>
  <c r="A31" i="1"/>
  <c r="B31" i="1" s="1"/>
  <c r="A45" i="1"/>
  <c r="A39" i="23" s="1"/>
  <c r="B45" i="1"/>
  <c r="A12" i="1"/>
  <c r="A6" i="23" s="1"/>
  <c r="A105" i="3"/>
  <c r="I105" i="3"/>
  <c r="A6" i="3"/>
  <c r="I6" i="3" s="1"/>
  <c r="A59" i="3"/>
  <c r="I59" i="3" s="1"/>
  <c r="A127" i="1"/>
  <c r="B127" i="1" s="1"/>
  <c r="A146" i="5"/>
  <c r="A130" i="5"/>
  <c r="D130" i="3"/>
  <c r="A154" i="5"/>
  <c r="A59" i="1"/>
  <c r="A53" i="23" s="1"/>
  <c r="B59" i="1"/>
  <c r="A59" i="5"/>
  <c r="C59" i="5" s="1"/>
  <c r="D59" i="3" s="1"/>
  <c r="A154" i="3"/>
  <c r="I154" i="3" s="1"/>
  <c r="A61" i="1"/>
  <c r="A55" i="23" s="1"/>
  <c r="A119" i="1"/>
  <c r="B119" i="1" s="1"/>
  <c r="D73" i="5"/>
  <c r="A79" i="1"/>
  <c r="A73" i="23" s="1"/>
  <c r="A110" i="3"/>
  <c r="I110" i="3"/>
  <c r="A68" i="5"/>
  <c r="C68" i="5" s="1"/>
  <c r="D68" i="3" s="1"/>
  <c r="A99" i="1"/>
  <c r="A93" i="23" s="1"/>
  <c r="A155" i="1"/>
  <c r="A149" i="23" s="1"/>
  <c r="C110" i="5"/>
  <c r="D110" i="3" s="1"/>
  <c r="A38" i="1"/>
  <c r="A163" i="1"/>
  <c r="B163" i="1" s="1"/>
  <c r="A134" i="3"/>
  <c r="I134" i="3" s="1"/>
  <c r="A35" i="1"/>
  <c r="A29" i="23" s="1"/>
  <c r="A20" i="5"/>
  <c r="D20" i="5"/>
  <c r="A139" i="1"/>
  <c r="B139" i="1" s="1"/>
  <c r="A13" i="1"/>
  <c r="A29" i="5"/>
  <c r="A7" i="5"/>
  <c r="D7" i="5"/>
  <c r="A9" i="5"/>
  <c r="C9" i="5" s="1"/>
  <c r="A92" i="1"/>
  <c r="A86" i="23" s="1"/>
  <c r="A145" i="3"/>
  <c r="I145" i="3" s="1"/>
  <c r="A93" i="3"/>
  <c r="I93" i="3" s="1"/>
  <c r="A129" i="5"/>
  <c r="C129" i="5" s="1"/>
  <c r="A10" i="1"/>
  <c r="A4" i="5"/>
  <c r="A86" i="5"/>
  <c r="B113" i="1"/>
  <c r="A112" i="1"/>
  <c r="B112" i="1" s="1"/>
  <c r="A33" i="3"/>
  <c r="I33" i="3" s="1"/>
  <c r="A39" i="1"/>
  <c r="B39" i="1" s="1"/>
  <c r="A75" i="3"/>
  <c r="I75" i="3"/>
  <c r="A81" i="1"/>
  <c r="A75" i="23" s="1"/>
  <c r="A75" i="5"/>
  <c r="D75" i="5"/>
  <c r="D91" i="3"/>
  <c r="A108" i="3"/>
  <c r="I108" i="3" s="1"/>
  <c r="A114" i="1"/>
  <c r="A108" i="23" s="1"/>
  <c r="A122" i="1"/>
  <c r="B122" i="1" s="1"/>
  <c r="A116" i="5"/>
  <c r="C116" i="5" s="1"/>
  <c r="D116" i="3" s="1"/>
  <c r="A116" i="3"/>
  <c r="I116" i="3" s="1"/>
  <c r="D140" i="5"/>
  <c r="A156" i="5"/>
  <c r="C156" i="5"/>
  <c r="A156" i="3"/>
  <c r="I156" i="3" s="1"/>
  <c r="A66" i="3"/>
  <c r="I66" i="3" s="1"/>
  <c r="A14" i="3"/>
  <c r="I14" i="3"/>
  <c r="A20" i="1"/>
  <c r="B20" i="1" s="1"/>
  <c r="A30" i="1"/>
  <c r="A24" i="23" s="1"/>
  <c r="B30" i="1"/>
  <c r="A2" i="23"/>
  <c r="A58" i="1"/>
  <c r="B58" i="1" s="1"/>
  <c r="A15" i="3"/>
  <c r="I15" i="3" s="1"/>
  <c r="A21" i="1"/>
  <c r="B21" i="1" s="1"/>
  <c r="A15" i="5"/>
  <c r="D15" i="5"/>
  <c r="A37" i="5"/>
  <c r="D37" i="5"/>
  <c r="A81" i="3"/>
  <c r="I81" i="3" s="1"/>
  <c r="A87" i="1"/>
  <c r="A81" i="23" s="1"/>
  <c r="A81" i="5"/>
  <c r="D81" i="5"/>
  <c r="A33" i="5"/>
  <c r="C33" i="5" s="1"/>
  <c r="A5" i="3"/>
  <c r="I5" i="3"/>
  <c r="A11" i="1"/>
  <c r="A5" i="23" s="1"/>
  <c r="A10" i="3"/>
  <c r="I10" i="3" s="1"/>
  <c r="A38" i="3"/>
  <c r="I38" i="3" s="1"/>
  <c r="A38" i="5"/>
  <c r="C38" i="5" s="1"/>
  <c r="A57" i="3"/>
  <c r="I57" i="3" s="1"/>
  <c r="A63" i="1"/>
  <c r="A107" i="5"/>
  <c r="C107" i="5" s="1"/>
  <c r="A98" i="3"/>
  <c r="I98" i="3" s="1"/>
  <c r="A139" i="5"/>
  <c r="C139" i="5" s="1"/>
  <c r="D139" i="3" s="1"/>
  <c r="A136" i="1"/>
  <c r="A130" i="23" s="1"/>
  <c r="A80" i="5"/>
  <c r="C80" i="5" s="1"/>
  <c r="A131" i="3"/>
  <c r="I131" i="3" s="1"/>
  <c r="A86" i="1"/>
  <c r="B140" i="1"/>
  <c r="B36" i="1"/>
  <c r="I79" i="3"/>
  <c r="A79" i="5"/>
  <c r="C79" i="5"/>
  <c r="D79" i="3" s="1"/>
  <c r="I71" i="3"/>
  <c r="A77" i="1"/>
  <c r="A71" i="23" s="1"/>
  <c r="I63" i="3"/>
  <c r="I157" i="3"/>
  <c r="A157" i="5"/>
  <c r="C157" i="5" s="1"/>
  <c r="D157" i="3" s="1"/>
  <c r="A88" i="1"/>
  <c r="B88" i="1" s="1"/>
  <c r="D82" i="3"/>
  <c r="B51" i="1"/>
  <c r="B149" i="1"/>
  <c r="A121" i="23"/>
  <c r="C188" i="10"/>
  <c r="B187" i="10"/>
  <c r="B193" i="10"/>
  <c r="B188" i="10"/>
  <c r="B192" i="10"/>
  <c r="H92" i="3"/>
  <c r="I131" i="10"/>
  <c r="L131" i="10" s="1"/>
  <c r="F177" i="10"/>
  <c r="I133" i="10"/>
  <c r="L133" i="10" s="1"/>
  <c r="I64" i="10"/>
  <c r="L64" i="10" s="1"/>
  <c r="I66" i="10"/>
  <c r="J66" i="10" s="1"/>
  <c r="I71" i="10"/>
  <c r="C148" i="3"/>
  <c r="B148" i="5"/>
  <c r="C125" i="1"/>
  <c r="B119" i="5"/>
  <c r="B137" i="1"/>
  <c r="A131" i="23"/>
  <c r="D98" i="5"/>
  <c r="D98" i="3"/>
  <c r="D119" i="5"/>
  <c r="D119" i="3"/>
  <c r="D70" i="5"/>
  <c r="D70" i="3"/>
  <c r="A76" i="1"/>
  <c r="B76" i="1" s="1"/>
  <c r="A19" i="1"/>
  <c r="B19" i="1" s="1"/>
  <c r="A94" i="1"/>
  <c r="A88" i="23" s="1"/>
  <c r="A124" i="5"/>
  <c r="C124" i="5" s="1"/>
  <c r="A98" i="1"/>
  <c r="B98" i="1" s="1"/>
  <c r="C111" i="5"/>
  <c r="D111" i="3" s="1"/>
  <c r="A142" i="5"/>
  <c r="D12" i="3"/>
  <c r="D37" i="3"/>
  <c r="D56" i="3"/>
  <c r="D76" i="3"/>
  <c r="D92" i="3"/>
  <c r="D102" i="3"/>
  <c r="D91" i="5"/>
  <c r="D130" i="5"/>
  <c r="A5" i="5"/>
  <c r="C5" i="5" s="1"/>
  <c r="D5" i="3" s="1"/>
  <c r="A16" i="3"/>
  <c r="I16" i="3" s="1"/>
  <c r="A39" i="3"/>
  <c r="I39" i="3" s="1"/>
  <c r="A55" i="3"/>
  <c r="I55" i="3" s="1"/>
  <c r="A149" i="3"/>
  <c r="I149" i="3" s="1"/>
  <c r="D14" i="3"/>
  <c r="D23" i="3"/>
  <c r="D81" i="3"/>
  <c r="D93" i="3"/>
  <c r="A157" i="1"/>
  <c r="B157" i="1" s="1"/>
  <c r="A100" i="3"/>
  <c r="I100" i="3" s="1"/>
  <c r="A107" i="3"/>
  <c r="I107" i="3" s="1"/>
  <c r="A144" i="5"/>
  <c r="D15" i="3"/>
  <c r="D26" i="3"/>
  <c r="D41" i="3"/>
  <c r="D60" i="3"/>
  <c r="D94" i="3"/>
  <c r="D112" i="3"/>
  <c r="D135" i="3"/>
  <c r="D82" i="5"/>
  <c r="A63" i="5"/>
  <c r="C63" i="5" s="1"/>
  <c r="D63" i="3" s="1"/>
  <c r="A24" i="5"/>
  <c r="C24" i="5" s="1"/>
  <c r="A138" i="3"/>
  <c r="I138" i="3" s="1"/>
  <c r="C154" i="5"/>
  <c r="D154" i="3" s="1"/>
  <c r="A88" i="5"/>
  <c r="C77" i="5"/>
  <c r="D77" i="3" s="1"/>
  <c r="A152" i="3"/>
  <c r="I152" i="3" s="1"/>
  <c r="A95" i="5"/>
  <c r="C95" i="5" s="1"/>
  <c r="A95" i="3"/>
  <c r="I95" i="3"/>
  <c r="A23" i="3"/>
  <c r="I23" i="3" s="1"/>
  <c r="A28" i="3"/>
  <c r="I28" i="3" s="1"/>
  <c r="A47" i="3"/>
  <c r="I47" i="3"/>
  <c r="A70" i="3"/>
  <c r="I70" i="3" s="1"/>
  <c r="A94" i="3"/>
  <c r="I94" i="3"/>
  <c r="A101" i="5"/>
  <c r="A114" i="23"/>
  <c r="A131" i="5"/>
  <c r="D3" i="3"/>
  <c r="D16" i="3"/>
  <c r="D61" i="3"/>
  <c r="D149" i="3"/>
  <c r="C121" i="5"/>
  <c r="D121" i="3" s="1"/>
  <c r="A48" i="3"/>
  <c r="I48" i="3"/>
  <c r="A146" i="3"/>
  <c r="I146" i="3"/>
  <c r="D7" i="3"/>
  <c r="D19" i="3"/>
  <c r="D31" i="3"/>
  <c r="D140" i="3"/>
  <c r="D155" i="3"/>
  <c r="A132" i="3"/>
  <c r="I132" i="3" s="1"/>
  <c r="A132" i="5"/>
  <c r="C132" i="5" s="1"/>
  <c r="A47" i="5"/>
  <c r="C146" i="5"/>
  <c r="A28" i="1"/>
  <c r="A22" i="23" s="1"/>
  <c r="B28" i="1"/>
  <c r="A30" i="3"/>
  <c r="I30" i="3" s="1"/>
  <c r="C103" i="5"/>
  <c r="D20" i="3"/>
  <c r="D35" i="3"/>
  <c r="D52" i="3"/>
  <c r="D73" i="3"/>
  <c r="D89" i="3"/>
  <c r="D99" i="3"/>
  <c r="D127" i="3"/>
  <c r="D141" i="3"/>
  <c r="A124" i="3"/>
  <c r="I124" i="3" s="1"/>
  <c r="A69" i="23"/>
  <c r="C29" i="5"/>
  <c r="D29" i="3" s="1"/>
  <c r="A145" i="5"/>
  <c r="A42" i="5"/>
  <c r="A22" i="5"/>
  <c r="A49" i="1"/>
  <c r="B49" i="1" s="1"/>
  <c r="A122" i="5"/>
  <c r="D11" i="3"/>
  <c r="D21" i="3"/>
  <c r="D75" i="3"/>
  <c r="C48" i="1"/>
  <c r="C42" i="3"/>
  <c r="B42" i="5"/>
  <c r="C134" i="3"/>
  <c r="C139" i="1"/>
  <c r="B134" i="5"/>
  <c r="I165" i="10"/>
  <c r="J165" i="10" s="1"/>
  <c r="I151" i="10"/>
  <c r="L151" i="10" s="1"/>
  <c r="I161" i="10"/>
  <c r="M161" i="10" s="1"/>
  <c r="I146" i="10"/>
  <c r="L146" i="10" s="1"/>
  <c r="I148" i="10"/>
  <c r="K148" i="10" s="1"/>
  <c r="L155" i="10"/>
  <c r="A103" i="23"/>
  <c r="A40" i="5"/>
  <c r="C40" i="5" s="1"/>
  <c r="A36" i="5"/>
  <c r="A45" i="5"/>
  <c r="C45" i="5" s="1"/>
  <c r="D45" i="3" s="1"/>
  <c r="A43" i="5"/>
  <c r="C43" i="5" s="1"/>
  <c r="D43" i="3" s="1"/>
  <c r="A55" i="5"/>
  <c r="A46" i="1"/>
  <c r="B46" i="1" s="1"/>
  <c r="A39" i="5"/>
  <c r="A68" i="1"/>
  <c r="B68" i="1" s="1"/>
  <c r="A74" i="1"/>
  <c r="A68" i="23" s="1"/>
  <c r="D6" i="3"/>
  <c r="D6" i="5"/>
  <c r="C119" i="3"/>
  <c r="C154" i="24"/>
  <c r="B154" i="24" s="1"/>
  <c r="A148" i="5"/>
  <c r="A148" i="3"/>
  <c r="I148" i="3" s="1"/>
  <c r="B91" i="1"/>
  <c r="A90" i="1"/>
  <c r="A84" i="23" s="1"/>
  <c r="A31" i="23"/>
  <c r="H71" i="3"/>
  <c r="F93" i="23"/>
  <c r="H39" i="3"/>
  <c r="H63" i="3"/>
  <c r="H91" i="3"/>
  <c r="H75" i="3"/>
  <c r="H35" i="3"/>
  <c r="H79" i="3"/>
  <c r="H59" i="3"/>
  <c r="F59" i="23"/>
  <c r="F50" i="23"/>
  <c r="H50" i="3"/>
  <c r="F157" i="23"/>
  <c r="H158" i="3"/>
  <c r="F152" i="23"/>
  <c r="J161" i="10"/>
  <c r="I135" i="10"/>
  <c r="L135" i="10" s="1"/>
  <c r="I132" i="10"/>
  <c r="J132" i="10" s="1"/>
  <c r="I129" i="10"/>
  <c r="K129" i="10" s="1"/>
  <c r="I126" i="10"/>
  <c r="K126" i="10" s="1"/>
  <c r="I42" i="10"/>
  <c r="M42" i="10" s="1"/>
  <c r="D58" i="5"/>
  <c r="D58" i="3"/>
  <c r="D8" i="5"/>
  <c r="D8" i="3"/>
  <c r="D142" i="5"/>
  <c r="D142" i="3"/>
  <c r="D55" i="5"/>
  <c r="D55" i="3"/>
  <c r="D22" i="5"/>
  <c r="D22" i="3"/>
  <c r="D18" i="5"/>
  <c r="D18" i="3"/>
  <c r="C122" i="5"/>
  <c r="D148" i="5"/>
  <c r="D148" i="3"/>
  <c r="D27" i="5"/>
  <c r="D27" i="3"/>
  <c r="D42" i="5"/>
  <c r="D42" i="3"/>
  <c r="D88" i="5"/>
  <c r="D88" i="3"/>
  <c r="D144" i="5"/>
  <c r="D144" i="3"/>
  <c r="D39" i="5"/>
  <c r="D39" i="3"/>
  <c r="D145" i="5"/>
  <c r="D145" i="3"/>
  <c r="C47" i="5"/>
  <c r="D47" i="3" s="1"/>
  <c r="D101" i="3"/>
  <c r="D101" i="5"/>
  <c r="J146" i="10"/>
  <c r="D36" i="5"/>
  <c r="D36" i="3"/>
  <c r="I154" i="10" l="1"/>
  <c r="K154" i="10" s="1"/>
  <c r="I153" i="10"/>
  <c r="M153" i="10" s="1"/>
  <c r="M151" i="10"/>
  <c r="I149" i="10"/>
  <c r="L149" i="10" s="1"/>
  <c r="I162" i="10"/>
  <c r="K151" i="10"/>
  <c r="I147" i="10"/>
  <c r="L147" i="10" s="1"/>
  <c r="F179" i="10"/>
  <c r="K155" i="10"/>
  <c r="K161" i="10"/>
  <c r="I150" i="10"/>
  <c r="I152" i="10"/>
  <c r="L161" i="10"/>
  <c r="I164" i="10"/>
  <c r="L164" i="10" s="1"/>
  <c r="M146" i="10"/>
  <c r="I156" i="10"/>
  <c r="J155" i="10"/>
  <c r="K146" i="10"/>
  <c r="I145" i="10"/>
  <c r="J145" i="10" s="1"/>
  <c r="I158" i="10"/>
  <c r="J133" i="10"/>
  <c r="K66" i="10"/>
  <c r="I58" i="10"/>
  <c r="M58" i="10" s="1"/>
  <c r="I59" i="10"/>
  <c r="M59" i="10" s="1"/>
  <c r="I57" i="10"/>
  <c r="I50" i="10"/>
  <c r="K50" i="10" s="1"/>
  <c r="I38" i="10"/>
  <c r="L38" i="10" s="1"/>
  <c r="I44" i="10"/>
  <c r="J44" i="10" s="1"/>
  <c r="J50" i="10"/>
  <c r="I40" i="10"/>
  <c r="L40" i="10" s="1"/>
  <c r="I43" i="10"/>
  <c r="I55" i="10"/>
  <c r="M55" i="10" s="1"/>
  <c r="M50" i="10"/>
  <c r="L50" i="10"/>
  <c r="I41" i="10"/>
  <c r="K41" i="10" s="1"/>
  <c r="I33" i="10"/>
  <c r="M33" i="10" s="1"/>
  <c r="I52" i="10"/>
  <c r="K52" i="10" s="1"/>
  <c r="I46" i="10"/>
  <c r="L46" i="10" s="1"/>
  <c r="I49" i="10"/>
  <c r="M49" i="10" s="1"/>
  <c r="I47" i="10"/>
  <c r="I53" i="10"/>
  <c r="I51" i="10"/>
  <c r="K51" i="10" s="1"/>
  <c r="I54" i="10"/>
  <c r="J54" i="10" s="1"/>
  <c r="I39" i="10"/>
  <c r="I34" i="10"/>
  <c r="K34" i="10" s="1"/>
  <c r="I35" i="10"/>
  <c r="M35" i="10" s="1"/>
  <c r="F172" i="10"/>
  <c r="I37" i="10"/>
  <c r="J37" i="10" s="1"/>
  <c r="I45" i="10"/>
  <c r="K45" i="10" s="1"/>
  <c r="I36" i="10"/>
  <c r="I48" i="10"/>
  <c r="A70" i="23"/>
  <c r="A151" i="23"/>
  <c r="B81" i="1"/>
  <c r="A106" i="23"/>
  <c r="A54" i="23"/>
  <c r="A15" i="23"/>
  <c r="B61" i="1"/>
  <c r="A117" i="23"/>
  <c r="B12" i="1"/>
  <c r="A23" i="23"/>
  <c r="B52" i="1"/>
  <c r="A49" i="23"/>
  <c r="A133" i="23"/>
  <c r="A78" i="23"/>
  <c r="A33" i="23"/>
  <c r="B92" i="1"/>
  <c r="B44" i="1"/>
  <c r="A14" i="23"/>
  <c r="B87" i="1"/>
  <c r="B90" i="1"/>
  <c r="B77" i="1"/>
  <c r="B47" i="1"/>
  <c r="B11" i="1"/>
  <c r="A92" i="23"/>
  <c r="B99" i="1"/>
  <c r="A25" i="23"/>
  <c r="A40" i="23"/>
  <c r="B155" i="1"/>
  <c r="B79" i="1"/>
  <c r="B136" i="1"/>
  <c r="B73" i="1"/>
  <c r="A150" i="23"/>
  <c r="D161" i="1"/>
  <c r="A43" i="23"/>
  <c r="A113" i="23"/>
  <c r="A102" i="23"/>
  <c r="A47" i="23"/>
  <c r="A60" i="23"/>
  <c r="A111" i="23"/>
  <c r="A62" i="23"/>
  <c r="A145" i="23"/>
  <c r="A95" i="23"/>
  <c r="A122" i="23"/>
  <c r="A98" i="23"/>
  <c r="C41" i="2"/>
  <c r="F40" i="23"/>
  <c r="F24" i="23"/>
  <c r="F37" i="23"/>
  <c r="H30" i="3"/>
  <c r="B168" i="1"/>
  <c r="D84" i="5"/>
  <c r="G90" i="1" s="1"/>
  <c r="I90" i="1" s="1"/>
  <c r="H90" i="1" s="1"/>
  <c r="D24" i="5"/>
  <c r="D67" i="5"/>
  <c r="G73" i="1" s="1"/>
  <c r="G36" i="1"/>
  <c r="I36" i="1" s="1"/>
  <c r="H36" i="1" s="1"/>
  <c r="H107" i="3"/>
  <c r="H106" i="3"/>
  <c r="H88" i="3"/>
  <c r="H66" i="3"/>
  <c r="H96" i="3"/>
  <c r="F70" i="23"/>
  <c r="F74" i="23"/>
  <c r="F148" i="23"/>
  <c r="H149" i="3"/>
  <c r="F68" i="23"/>
  <c r="H68" i="3"/>
  <c r="H95" i="3"/>
  <c r="F95" i="23"/>
  <c r="F80" i="23"/>
  <c r="H80" i="3"/>
  <c r="H8" i="3"/>
  <c r="F8" i="23"/>
  <c r="H128" i="3"/>
  <c r="F127" i="23"/>
  <c r="H51" i="3"/>
  <c r="F51" i="23"/>
  <c r="F136" i="23"/>
  <c r="F29" i="23"/>
  <c r="F67" i="23"/>
  <c r="F30" i="23"/>
  <c r="H42" i="3"/>
  <c r="C42" i="1"/>
  <c r="C8" i="2"/>
  <c r="B8" i="5" s="1"/>
  <c r="C99" i="2"/>
  <c r="A3" i="23"/>
  <c r="B9" i="1"/>
  <c r="A105" i="23"/>
  <c r="B111" i="1"/>
  <c r="D153" i="3"/>
  <c r="D153" i="5"/>
  <c r="D38" i="3"/>
  <c r="D38" i="5"/>
  <c r="G44" i="1" s="1"/>
  <c r="B159" i="1"/>
  <c r="A153" i="23"/>
  <c r="F60" i="23"/>
  <c r="H60" i="3"/>
  <c r="B144" i="1"/>
  <c r="A138" i="23"/>
  <c r="H44" i="3"/>
  <c r="F44" i="23"/>
  <c r="H31" i="3"/>
  <c r="F31" i="23"/>
  <c r="A144" i="23"/>
  <c r="B150" i="1"/>
  <c r="B161" i="1"/>
  <c r="A155" i="23"/>
  <c r="D132" i="5"/>
  <c r="A10" i="23"/>
  <c r="B16" i="1"/>
  <c r="D40" i="5"/>
  <c r="G46" i="1" s="1"/>
  <c r="D133" i="5"/>
  <c r="D133" i="3"/>
  <c r="B15" i="1"/>
  <c r="A9" i="23"/>
  <c r="D66" i="5"/>
  <c r="A139" i="3"/>
  <c r="I139" i="3" s="1"/>
  <c r="A74" i="3"/>
  <c r="I74" i="3" s="1"/>
  <c r="A105" i="5"/>
  <c r="C105" i="5" s="1"/>
  <c r="D105" i="3" s="1"/>
  <c r="A119" i="5"/>
  <c r="G125" i="1" s="1"/>
  <c r="I125" i="1" s="1"/>
  <c r="H125" i="1" s="1"/>
  <c r="A112" i="23"/>
  <c r="A24" i="1"/>
  <c r="A65" i="3"/>
  <c r="I65" i="3" s="1"/>
  <c r="A132" i="23"/>
  <c r="A109" i="23"/>
  <c r="B71" i="1"/>
  <c r="A162" i="1"/>
  <c r="A156" i="23" s="1"/>
  <c r="A30" i="23"/>
  <c r="A43" i="1"/>
  <c r="G43" i="1" s="1"/>
  <c r="I43" i="1" s="1"/>
  <c r="H43" i="1" s="1"/>
  <c r="A41" i="1"/>
  <c r="A50" i="5"/>
  <c r="C50" i="5" s="1"/>
  <c r="D50" i="5" s="1"/>
  <c r="A3" i="5"/>
  <c r="A14" i="1"/>
  <c r="A154" i="1"/>
  <c r="B154" i="1" s="1"/>
  <c r="A35" i="5"/>
  <c r="G45" i="1" s="1"/>
  <c r="I45" i="1" s="1"/>
  <c r="H45" i="1" s="1"/>
  <c r="H100" i="3"/>
  <c r="A26" i="1"/>
  <c r="B114" i="1"/>
  <c r="D107" i="5"/>
  <c r="A97" i="3"/>
  <c r="I97" i="3" s="1"/>
  <c r="A17" i="5"/>
  <c r="C17" i="5" s="1"/>
  <c r="D17" i="5" s="1"/>
  <c r="A152" i="1"/>
  <c r="A26" i="5"/>
  <c r="G99" i="1"/>
  <c r="I99" i="1" s="1"/>
  <c r="H99" i="1" s="1"/>
  <c r="F28" i="23"/>
  <c r="A89" i="1"/>
  <c r="A58" i="3"/>
  <c r="I58" i="3" s="1"/>
  <c r="A64" i="23"/>
  <c r="A97" i="1"/>
  <c r="A102" i="1"/>
  <c r="G102" i="1" s="1"/>
  <c r="I102" i="1" s="1"/>
  <c r="H102" i="1" s="1"/>
  <c r="A73" i="5"/>
  <c r="A103" i="1"/>
  <c r="G103" i="1" s="1"/>
  <c r="I103" i="1" s="1"/>
  <c r="H103" i="1" s="1"/>
  <c r="A110" i="1"/>
  <c r="A51" i="5"/>
  <c r="C51" i="5" s="1"/>
  <c r="D51" i="5" s="1"/>
  <c r="A31" i="3"/>
  <c r="I31" i="3" s="1"/>
  <c r="G52" i="1"/>
  <c r="I52" i="1" s="1"/>
  <c r="H52" i="1" s="1"/>
  <c r="A152" i="23"/>
  <c r="A26" i="3"/>
  <c r="I26" i="3" s="1"/>
  <c r="G29" i="1"/>
  <c r="I29" i="1" s="1"/>
  <c r="H29" i="1" s="1"/>
  <c r="A13" i="23"/>
  <c r="F131" i="23"/>
  <c r="A157" i="23"/>
  <c r="A138" i="5"/>
  <c r="C138" i="5" s="1"/>
  <c r="D138" i="3" s="1"/>
  <c r="A34" i="1"/>
  <c r="C118" i="5"/>
  <c r="D118" i="5" s="1"/>
  <c r="D95" i="5"/>
  <c r="G101" i="1" s="1"/>
  <c r="A8" i="5"/>
  <c r="A52" i="23"/>
  <c r="A10" i="5"/>
  <c r="C10" i="5" s="1"/>
  <c r="D10" i="3" s="1"/>
  <c r="A17" i="23"/>
  <c r="A149" i="5"/>
  <c r="G67" i="1"/>
  <c r="I67" i="1" s="1"/>
  <c r="H67" i="1" s="1"/>
  <c r="G68" i="1"/>
  <c r="I68" i="1" s="1"/>
  <c r="H68" i="1" s="1"/>
  <c r="B95" i="1"/>
  <c r="H28" i="3"/>
  <c r="B74" i="1"/>
  <c r="F46" i="23"/>
  <c r="H76" i="3"/>
  <c r="A83" i="3"/>
  <c r="I83" i="3" s="1"/>
  <c r="B35" i="1"/>
  <c r="A137" i="23"/>
  <c r="D103" i="5"/>
  <c r="G109" i="1" s="1"/>
  <c r="A35" i="3"/>
  <c r="I35" i="3" s="1"/>
  <c r="A27" i="5"/>
  <c r="A116" i="23"/>
  <c r="B65" i="1"/>
  <c r="A72" i="1"/>
  <c r="A91" i="5"/>
  <c r="G47" i="1"/>
  <c r="I47" i="1" s="1"/>
  <c r="H47" i="1" s="1"/>
  <c r="A34" i="5"/>
  <c r="C34" i="5" s="1"/>
  <c r="D34" i="3" s="1"/>
  <c r="A90" i="5"/>
  <c r="C90" i="5" s="1"/>
  <c r="D90" i="5" s="1"/>
  <c r="A85" i="1"/>
  <c r="A116" i="1"/>
  <c r="A110" i="23" s="1"/>
  <c r="F34" i="23"/>
  <c r="A19" i="3"/>
  <c r="I19" i="3" s="1"/>
  <c r="A50" i="1"/>
  <c r="D32" i="5"/>
  <c r="G38" i="1" s="1"/>
  <c r="A52" i="3"/>
  <c r="I52" i="3" s="1"/>
  <c r="A78" i="1"/>
  <c r="B78" i="1" s="1"/>
  <c r="A112" i="3"/>
  <c r="I112" i="3" s="1"/>
  <c r="A96" i="1"/>
  <c r="A127" i="3"/>
  <c r="I127" i="3" s="1"/>
  <c r="A80" i="1"/>
  <c r="A32" i="3"/>
  <c r="I32" i="3" s="1"/>
  <c r="A100" i="1"/>
  <c r="G100" i="1" s="1"/>
  <c r="I100" i="1" s="1"/>
  <c r="H100" i="1" s="1"/>
  <c r="A129" i="1"/>
  <c r="C41" i="1"/>
  <c r="G66" i="1"/>
  <c r="I66" i="1" s="1"/>
  <c r="H66" i="1" s="1"/>
  <c r="H133" i="3"/>
  <c r="G12" i="1"/>
  <c r="I12" i="1" s="1"/>
  <c r="H12" i="1" s="1"/>
  <c r="A36" i="3"/>
  <c r="I36" i="3" s="1"/>
  <c r="A28" i="5"/>
  <c r="C28" i="5" s="1"/>
  <c r="D28" i="3" s="1"/>
  <c r="A72" i="5"/>
  <c r="C72" i="5" s="1"/>
  <c r="D72" i="5" s="1"/>
  <c r="G61" i="1"/>
  <c r="I61" i="1" s="1"/>
  <c r="H61" i="1" s="1"/>
  <c r="G28" i="1"/>
  <c r="I28" i="1" s="1"/>
  <c r="H28" i="1" s="1"/>
  <c r="H55" i="3"/>
  <c r="A58" i="5"/>
  <c r="A40" i="1"/>
  <c r="A82" i="5"/>
  <c r="A33" i="1"/>
  <c r="B33" i="1" s="1"/>
  <c r="A17" i="3"/>
  <c r="I17" i="3" s="1"/>
  <c r="B36" i="5"/>
  <c r="C85" i="2"/>
  <c r="C91" i="1" s="1"/>
  <c r="C8" i="3"/>
  <c r="C9" i="3"/>
  <c r="B5" i="5"/>
  <c r="C155" i="1"/>
  <c r="C150" i="3"/>
  <c r="B150" i="5"/>
  <c r="C130" i="1"/>
  <c r="B125" i="5"/>
  <c r="C24" i="1"/>
  <c r="B18" i="5"/>
  <c r="C137" i="1"/>
  <c r="B132" i="5"/>
  <c r="C132" i="3"/>
  <c r="B45" i="5"/>
  <c r="C143" i="3"/>
  <c r="C148" i="1"/>
  <c r="C149" i="1"/>
  <c r="C149" i="3"/>
  <c r="C92" i="3"/>
  <c r="C106" i="3"/>
  <c r="C138" i="1"/>
  <c r="C133" i="3"/>
  <c r="C87" i="1"/>
  <c r="C81" i="3"/>
  <c r="B81" i="5"/>
  <c r="C113" i="1"/>
  <c r="B107" i="5"/>
  <c r="C107" i="3"/>
  <c r="B149" i="5"/>
  <c r="B158" i="5"/>
  <c r="C19" i="3"/>
  <c r="C134" i="1"/>
  <c r="B144" i="5"/>
  <c r="C154" i="1"/>
  <c r="C107" i="1"/>
  <c r="C5" i="3"/>
  <c r="B129" i="5"/>
  <c r="B4" i="26"/>
  <c r="B3" i="26"/>
  <c r="M61" i="10"/>
  <c r="K61" i="10"/>
  <c r="L61" i="10"/>
  <c r="J61" i="10"/>
  <c r="M131" i="10"/>
  <c r="I134" i="10"/>
  <c r="I72" i="10"/>
  <c r="I84" i="10"/>
  <c r="M84" i="10" s="1"/>
  <c r="K162" i="10"/>
  <c r="K131" i="10"/>
  <c r="I128" i="10"/>
  <c r="I68" i="10"/>
  <c r="I87" i="10"/>
  <c r="J162" i="10"/>
  <c r="J131" i="10"/>
  <c r="I127" i="10"/>
  <c r="L127" i="10" s="1"/>
  <c r="I73" i="10"/>
  <c r="I94" i="10"/>
  <c r="L94" i="10" s="1"/>
  <c r="L59" i="10"/>
  <c r="J156" i="10"/>
  <c r="K132" i="10"/>
  <c r="K38" i="10"/>
  <c r="K59" i="10"/>
  <c r="J164" i="10"/>
  <c r="J148" i="10"/>
  <c r="J129" i="10"/>
  <c r="J126" i="10"/>
  <c r="M38" i="10"/>
  <c r="J59" i="10"/>
  <c r="M164" i="10"/>
  <c r="M133" i="10"/>
  <c r="I136" i="10"/>
  <c r="I67" i="10"/>
  <c r="M93" i="10"/>
  <c r="I86" i="10"/>
  <c r="M52" i="10"/>
  <c r="M129" i="10"/>
  <c r="K147" i="10"/>
  <c r="L145" i="10"/>
  <c r="K164" i="10"/>
  <c r="K133" i="10"/>
  <c r="K124" i="10"/>
  <c r="I69" i="10"/>
  <c r="I65" i="10"/>
  <c r="M65" i="10" s="1"/>
  <c r="I113" i="10"/>
  <c r="K113" i="10" s="1"/>
  <c r="I101" i="10"/>
  <c r="I112" i="10"/>
  <c r="I100" i="10"/>
  <c r="I111" i="10"/>
  <c r="I99" i="10"/>
  <c r="I103" i="10"/>
  <c r="I122" i="10"/>
  <c r="I110" i="10"/>
  <c r="M110" i="10" s="1"/>
  <c r="I98" i="10"/>
  <c r="K98" i="10" s="1"/>
  <c r="I106" i="10"/>
  <c r="M106" i="10" s="1"/>
  <c r="I121" i="10"/>
  <c r="K121" i="10" s="1"/>
  <c r="I109" i="10"/>
  <c r="K109" i="10" s="1"/>
  <c r="I97" i="10"/>
  <c r="M97" i="10" s="1"/>
  <c r="I120" i="10"/>
  <c r="I108" i="10"/>
  <c r="I96" i="10"/>
  <c r="I119" i="10"/>
  <c r="I107" i="10"/>
  <c r="I118" i="10"/>
  <c r="I102" i="10"/>
  <c r="I117" i="10"/>
  <c r="L117" i="10" s="1"/>
  <c r="I105" i="10"/>
  <c r="I116" i="10"/>
  <c r="I104" i="10"/>
  <c r="I115" i="10"/>
  <c r="I114" i="10"/>
  <c r="L129" i="10"/>
  <c r="J147" i="10"/>
  <c r="M145" i="10"/>
  <c r="L124" i="10"/>
  <c r="M165" i="10"/>
  <c r="I70" i="10"/>
  <c r="I60" i="10"/>
  <c r="M147" i="10"/>
  <c r="K145" i="10"/>
  <c r="M64" i="10"/>
  <c r="J124" i="10"/>
  <c r="I63" i="10"/>
  <c r="L63" i="10" s="1"/>
  <c r="I74" i="10"/>
  <c r="M74" i="10" s="1"/>
  <c r="I88" i="10"/>
  <c r="J64" i="10"/>
  <c r="I125" i="10"/>
  <c r="M125" i="10" s="1"/>
  <c r="J153" i="10"/>
  <c r="I62" i="10"/>
  <c r="I80" i="10"/>
  <c r="I130" i="10"/>
  <c r="J141" i="10"/>
  <c r="L141" i="10"/>
  <c r="K141" i="10"/>
  <c r="M141" i="10"/>
  <c r="I144" i="10"/>
  <c r="I160" i="10"/>
  <c r="K165" i="10"/>
  <c r="K149" i="10"/>
  <c r="K153" i="10"/>
  <c r="L165" i="10"/>
  <c r="L153" i="10"/>
  <c r="I138" i="10"/>
  <c r="I139" i="10"/>
  <c r="M135" i="10"/>
  <c r="J127" i="10"/>
  <c r="K135" i="10"/>
  <c r="J135" i="10"/>
  <c r="L119" i="10"/>
  <c r="J102" i="10"/>
  <c r="M88" i="10"/>
  <c r="J93" i="10"/>
  <c r="I85" i="10"/>
  <c r="L87" i="10"/>
  <c r="L86" i="10"/>
  <c r="K93" i="10"/>
  <c r="I91" i="10"/>
  <c r="I83" i="10"/>
  <c r="I90" i="10"/>
  <c r="I77" i="10"/>
  <c r="K84" i="10"/>
  <c r="I82" i="10"/>
  <c r="J82" i="10" s="1"/>
  <c r="I81" i="10"/>
  <c r="L81" i="10" s="1"/>
  <c r="I79" i="10"/>
  <c r="J79" i="10" s="1"/>
  <c r="I78" i="10"/>
  <c r="J86" i="10"/>
  <c r="I76" i="10"/>
  <c r="I92" i="10"/>
  <c r="L74" i="10"/>
  <c r="K74" i="10"/>
  <c r="M62" i="10"/>
  <c r="J74" i="10"/>
  <c r="L58" i="10"/>
  <c r="K58" i="10"/>
  <c r="J58" i="10"/>
  <c r="J55" i="10"/>
  <c r="L44" i="10"/>
  <c r="L55" i="10"/>
  <c r="K55" i="10"/>
  <c r="K44" i="10"/>
  <c r="M44" i="10"/>
  <c r="M41" i="10"/>
  <c r="L41" i="10"/>
  <c r="J41" i="10"/>
  <c r="M37" i="10"/>
  <c r="K40" i="10"/>
  <c r="J36" i="10"/>
  <c r="M53" i="10"/>
  <c r="J33" i="10"/>
  <c r="K33" i="10"/>
  <c r="L33" i="10"/>
  <c r="K54" i="10"/>
  <c r="K42" i="10"/>
  <c r="L42" i="10"/>
  <c r="J42" i="10"/>
  <c r="M36" i="10"/>
  <c r="J35" i="10"/>
  <c r="H98" i="3"/>
  <c r="F98" i="23"/>
  <c r="F85" i="23"/>
  <c r="H85" i="3"/>
  <c r="F43" i="23"/>
  <c r="H43" i="3"/>
  <c r="H22" i="3"/>
  <c r="F22" i="23"/>
  <c r="F84" i="23"/>
  <c r="H84" i="3"/>
  <c r="F21" i="23"/>
  <c r="H21" i="3"/>
  <c r="H9" i="3"/>
  <c r="F9" i="23"/>
  <c r="H152" i="3"/>
  <c r="F151" i="23"/>
  <c r="F97" i="23"/>
  <c r="H97" i="3"/>
  <c r="H83" i="3"/>
  <c r="F83" i="23"/>
  <c r="F154" i="23"/>
  <c r="H155" i="3"/>
  <c r="F124" i="23"/>
  <c r="H125" i="3"/>
  <c r="F90" i="23"/>
  <c r="H90" i="3"/>
  <c r="F156" i="23"/>
  <c r="H157" i="3"/>
  <c r="H7" i="3"/>
  <c r="F7" i="23"/>
  <c r="F16" i="23"/>
  <c r="H16" i="3"/>
  <c r="F128" i="23"/>
  <c r="H129" i="3"/>
  <c r="H104" i="3"/>
  <c r="F104" i="23"/>
  <c r="F94" i="23"/>
  <c r="H94" i="3"/>
  <c r="F58" i="23"/>
  <c r="H58" i="3"/>
  <c r="F48" i="23"/>
  <c r="H48" i="3"/>
  <c r="F5" i="23"/>
  <c r="H5" i="3"/>
  <c r="H136" i="3"/>
  <c r="F135" i="23"/>
  <c r="F146" i="23"/>
  <c r="H147" i="3"/>
  <c r="F113" i="23"/>
  <c r="H113" i="3"/>
  <c r="F77" i="23"/>
  <c r="H77" i="3"/>
  <c r="H57" i="3"/>
  <c r="F57" i="23"/>
  <c r="H47" i="3"/>
  <c r="F47" i="23"/>
  <c r="F27" i="23"/>
  <c r="H27" i="3"/>
  <c r="H140" i="3"/>
  <c r="F139" i="23"/>
  <c r="H154" i="3"/>
  <c r="F153" i="23"/>
  <c r="H124" i="3"/>
  <c r="F123" i="23"/>
  <c r="F112" i="23"/>
  <c r="H112" i="3"/>
  <c r="F102" i="23"/>
  <c r="F89" i="23"/>
  <c r="H89" i="3"/>
  <c r="F65" i="23"/>
  <c r="H65" i="3"/>
  <c r="F56" i="23"/>
  <c r="H56" i="3"/>
  <c r="H26" i="3"/>
  <c r="F26" i="23"/>
  <c r="H131" i="3"/>
  <c r="H101" i="3"/>
  <c r="F101" i="23"/>
  <c r="H33" i="3"/>
  <c r="F33" i="23"/>
  <c r="F25" i="23"/>
  <c r="H25" i="3"/>
  <c r="H13" i="3"/>
  <c r="F13" i="23"/>
  <c r="H150" i="3"/>
  <c r="F149" i="23"/>
  <c r="F142" i="23"/>
  <c r="H143" i="3"/>
  <c r="H130" i="3"/>
  <c r="F129" i="23"/>
  <c r="F110" i="23"/>
  <c r="H110" i="3"/>
  <c r="F73" i="23"/>
  <c r="H73" i="3"/>
  <c r="F32" i="23"/>
  <c r="H32" i="3"/>
  <c r="F12" i="23"/>
  <c r="H12" i="3"/>
  <c r="H19" i="3"/>
  <c r="H142" i="3"/>
  <c r="H23" i="3"/>
  <c r="F23" i="23"/>
  <c r="F11" i="23"/>
  <c r="H11" i="3"/>
  <c r="F140" i="23"/>
  <c r="H141" i="3"/>
  <c r="F137" i="23"/>
  <c r="H17" i="3"/>
  <c r="H122" i="3"/>
  <c r="H20" i="3"/>
  <c r="H153" i="3"/>
  <c r="F116" i="23"/>
  <c r="H123" i="3"/>
  <c r="F115" i="23"/>
  <c r="F108" i="23"/>
  <c r="H114" i="3"/>
  <c r="H72" i="3"/>
  <c r="F64" i="23"/>
  <c r="F41" i="23"/>
  <c r="H139" i="3"/>
  <c r="F81" i="23"/>
  <c r="F71" i="23"/>
  <c r="H10" i="3"/>
  <c r="F119" i="23"/>
  <c r="H87" i="3"/>
  <c r="F75" i="23"/>
  <c r="H86" i="3"/>
  <c r="H54" i="3"/>
  <c r="H4" i="3"/>
  <c r="F79" i="23"/>
  <c r="F99" i="23"/>
  <c r="H93" i="3"/>
  <c r="H18" i="3"/>
  <c r="H135" i="3"/>
  <c r="F105" i="23"/>
  <c r="H105" i="3"/>
  <c r="F122" i="23"/>
  <c r="F114" i="23"/>
  <c r="H81" i="3"/>
  <c r="H138" i="3"/>
  <c r="H41" i="3"/>
  <c r="F52" i="23"/>
  <c r="H45" i="3"/>
  <c r="F125" i="23"/>
  <c r="F106" i="23"/>
  <c r="H82" i="3"/>
  <c r="H121" i="3"/>
  <c r="F138" i="23"/>
  <c r="H145" i="3"/>
  <c r="F117" i="23"/>
  <c r="F14" i="23"/>
  <c r="F150" i="23"/>
  <c r="H151" i="3"/>
  <c r="F86" i="23"/>
  <c r="F107" i="23"/>
  <c r="F17" i="23"/>
  <c r="F72" i="23"/>
  <c r="F15" i="23"/>
  <c r="H62" i="3"/>
  <c r="F100" i="23"/>
  <c r="F91" i="23"/>
  <c r="B35" i="3"/>
  <c r="B36" i="3"/>
  <c r="I83" i="25"/>
  <c r="I84" i="25"/>
  <c r="C8" i="25" s="1"/>
  <c r="D32" i="3"/>
  <c r="D147" i="5"/>
  <c r="D120" i="5"/>
  <c r="D110" i="5"/>
  <c r="D95" i="3"/>
  <c r="D69" i="5"/>
  <c r="G75" i="1" s="1"/>
  <c r="D67" i="3"/>
  <c r="D139" i="5"/>
  <c r="D123" i="5"/>
  <c r="D64" i="5"/>
  <c r="G70" i="1" s="1"/>
  <c r="D152" i="5"/>
  <c r="D157" i="5"/>
  <c r="D2" i="5"/>
  <c r="D109" i="5"/>
  <c r="G115" i="1" s="1"/>
  <c r="D84" i="3"/>
  <c r="D83" i="5"/>
  <c r="D74" i="5"/>
  <c r="D121" i="5"/>
  <c r="D158" i="5"/>
  <c r="G163" i="1" s="1"/>
  <c r="I163" i="1" s="1"/>
  <c r="H163" i="1" s="1"/>
  <c r="D59" i="5"/>
  <c r="G65" i="1" s="1"/>
  <c r="D154" i="5"/>
  <c r="D103" i="3"/>
  <c r="D43" i="5"/>
  <c r="G49" i="1" s="1"/>
  <c r="D125" i="5"/>
  <c r="D63" i="5"/>
  <c r="D132" i="3"/>
  <c r="D40" i="3"/>
  <c r="D68" i="5"/>
  <c r="G74" i="1" s="1"/>
  <c r="D128" i="5"/>
  <c r="D146" i="5"/>
  <c r="D146" i="3"/>
  <c r="D120" i="3"/>
  <c r="D117" i="5"/>
  <c r="D66" i="3"/>
  <c r="D57" i="5"/>
  <c r="G63" i="1" s="1"/>
  <c r="D79" i="5"/>
  <c r="D150" i="5"/>
  <c r="D29" i="5"/>
  <c r="D77" i="5"/>
  <c r="D44" i="5"/>
  <c r="G50" i="1" s="1"/>
  <c r="D111" i="5"/>
  <c r="G117" i="1" s="1"/>
  <c r="D24" i="3"/>
  <c r="D158" i="3"/>
  <c r="C111" i="1"/>
  <c r="C105" i="3"/>
  <c r="C45" i="3"/>
  <c r="C89" i="2"/>
  <c r="C15" i="1"/>
  <c r="C71" i="1"/>
  <c r="B133" i="5"/>
  <c r="C131" i="1"/>
  <c r="C80" i="3"/>
  <c r="C98" i="1"/>
  <c r="C75" i="2"/>
  <c r="C75" i="3" s="1"/>
  <c r="C61" i="2"/>
  <c r="B61" i="5" s="1"/>
  <c r="C37" i="2"/>
  <c r="B37" i="5" s="1"/>
  <c r="C112" i="1"/>
  <c r="C158" i="3"/>
  <c r="B153" i="5"/>
  <c r="C163" i="1"/>
  <c r="B106" i="5"/>
  <c r="C25" i="1"/>
  <c r="C153" i="3"/>
  <c r="C104" i="1"/>
  <c r="C121" i="3"/>
  <c r="C140" i="3"/>
  <c r="C109" i="3"/>
  <c r="B109" i="5"/>
  <c r="C55" i="1"/>
  <c r="C22" i="3"/>
  <c r="C49" i="3"/>
  <c r="C28" i="1"/>
  <c r="B123" i="2"/>
  <c r="B5" i="17"/>
  <c r="C86" i="1"/>
  <c r="C40" i="3"/>
  <c r="C46" i="1"/>
  <c r="B40" i="5"/>
  <c r="C23" i="1"/>
  <c r="C17" i="3"/>
  <c r="B17" i="5"/>
  <c r="B68" i="5"/>
  <c r="C74" i="1"/>
  <c r="C68" i="3"/>
  <c r="C3" i="3"/>
  <c r="B3" i="5"/>
  <c r="C33" i="1"/>
  <c r="B27" i="5"/>
  <c r="C27" i="3"/>
  <c r="C45" i="1"/>
  <c r="C39" i="3"/>
  <c r="B39" i="5"/>
  <c r="C57" i="1"/>
  <c r="C51" i="3"/>
  <c r="B51" i="5"/>
  <c r="C63" i="3"/>
  <c r="C69" i="1"/>
  <c r="B63" i="5"/>
  <c r="C99" i="3"/>
  <c r="B99" i="5"/>
  <c r="C105" i="1"/>
  <c r="C117" i="1"/>
  <c r="C111" i="3"/>
  <c r="B111" i="5"/>
  <c r="C123" i="2"/>
  <c r="C128" i="1" s="1"/>
  <c r="B4" i="17"/>
  <c r="B147" i="5"/>
  <c r="C147" i="3"/>
  <c r="C152" i="1"/>
  <c r="C77" i="3"/>
  <c r="C83" i="1"/>
  <c r="B77" i="5"/>
  <c r="B141" i="5"/>
  <c r="C141" i="3"/>
  <c r="C146" i="1"/>
  <c r="C34" i="1"/>
  <c r="C28" i="3"/>
  <c r="B28" i="5"/>
  <c r="B52" i="5"/>
  <c r="C58" i="1"/>
  <c r="C52" i="3"/>
  <c r="C64" i="3"/>
  <c r="B64" i="5"/>
  <c r="C82" i="1"/>
  <c r="B76" i="5"/>
  <c r="B88" i="5"/>
  <c r="C94" i="1"/>
  <c r="C88" i="3"/>
  <c r="C106" i="1"/>
  <c r="B100" i="5"/>
  <c r="C118" i="1"/>
  <c r="C112" i="3"/>
  <c r="B112" i="5"/>
  <c r="C141" i="1"/>
  <c r="C136" i="3"/>
  <c r="C39" i="1"/>
  <c r="C33" i="3"/>
  <c r="B33" i="5"/>
  <c r="B66" i="5"/>
  <c r="C66" i="3"/>
  <c r="C90" i="3"/>
  <c r="B90" i="5"/>
  <c r="C96" i="1"/>
  <c r="C13" i="1"/>
  <c r="C7" i="3"/>
  <c r="B7" i="5"/>
  <c r="B139" i="5"/>
  <c r="C139" i="3"/>
  <c r="C144" i="1"/>
  <c r="B103" i="5"/>
  <c r="C109" i="1"/>
  <c r="C103" i="3"/>
  <c r="C90" i="1"/>
  <c r="D90" i="1" s="1"/>
  <c r="C84" i="3"/>
  <c r="B84" i="5"/>
  <c r="C110" i="1"/>
  <c r="B104" i="5"/>
  <c r="B57" i="5"/>
  <c r="C57" i="3"/>
  <c r="B82" i="5"/>
  <c r="C88" i="1"/>
  <c r="C82" i="3"/>
  <c r="C94" i="3"/>
  <c r="B94" i="5"/>
  <c r="C100" i="1"/>
  <c r="C154" i="3"/>
  <c r="C159" i="1"/>
  <c r="B154" i="5"/>
  <c r="C138" i="3"/>
  <c r="C143" i="1"/>
  <c r="B138" i="5"/>
  <c r="B23" i="5"/>
  <c r="C23" i="3"/>
  <c r="C131" i="3"/>
  <c r="B131" i="5"/>
  <c r="C136" i="1"/>
  <c r="C157" i="3"/>
  <c r="C162" i="1"/>
  <c r="B157" i="5"/>
  <c r="B54" i="5"/>
  <c r="C60" i="1"/>
  <c r="C156" i="1"/>
  <c r="C151" i="3"/>
  <c r="B151" i="5"/>
  <c r="C14" i="1"/>
  <c r="C74" i="3"/>
  <c r="C65" i="3"/>
  <c r="C101" i="3"/>
  <c r="C145" i="1"/>
  <c r="B50" i="5"/>
  <c r="B98" i="5"/>
  <c r="C123" i="1"/>
  <c r="C35" i="3"/>
  <c r="C12" i="3"/>
  <c r="C50" i="3"/>
  <c r="C18" i="1"/>
  <c r="B34" i="5"/>
  <c r="C117" i="3"/>
  <c r="B35" i="5"/>
  <c r="B118" i="5"/>
  <c r="C96" i="3"/>
  <c r="C34" i="3"/>
  <c r="B19" i="5"/>
  <c r="C72" i="3"/>
  <c r="C78" i="1"/>
  <c r="B72" i="5"/>
  <c r="C27" i="1"/>
  <c r="B21" i="5"/>
  <c r="C21" i="3"/>
  <c r="C44" i="1"/>
  <c r="B38" i="5"/>
  <c r="C38" i="3"/>
  <c r="C93" i="3"/>
  <c r="C99" i="1"/>
  <c r="B93" i="5"/>
  <c r="C147" i="1"/>
  <c r="C142" i="3"/>
  <c r="B142" i="5"/>
  <c r="C8" i="1"/>
  <c r="B2" i="5"/>
  <c r="C2" i="3"/>
  <c r="B95" i="5"/>
  <c r="C101" i="1"/>
  <c r="C95" i="3"/>
  <c r="B108" i="5"/>
  <c r="C114" i="1"/>
  <c r="C108" i="3"/>
  <c r="C79" i="3"/>
  <c r="C85" i="1"/>
  <c r="B79" i="5"/>
  <c r="C115" i="3"/>
  <c r="B115" i="5"/>
  <c r="C121" i="1"/>
  <c r="B6" i="5"/>
  <c r="C12" i="1"/>
  <c r="C6" i="3"/>
  <c r="C48" i="3"/>
  <c r="C54" i="1"/>
  <c r="B48" i="5"/>
  <c r="C126" i="1"/>
  <c r="B120" i="5"/>
  <c r="C120" i="3"/>
  <c r="C24" i="3"/>
  <c r="C30" i="1"/>
  <c r="B24" i="5"/>
  <c r="C122" i="1"/>
  <c r="C116" i="3"/>
  <c r="B116" i="5"/>
  <c r="B13" i="5"/>
  <c r="C19" i="1"/>
  <c r="C13" i="3"/>
  <c r="C25" i="3"/>
  <c r="B25" i="5"/>
  <c r="C31" i="1"/>
  <c r="C49" i="1"/>
  <c r="C43" i="3"/>
  <c r="B43" i="5"/>
  <c r="C61" i="1"/>
  <c r="B55" i="5"/>
  <c r="C97" i="3"/>
  <c r="B97" i="5"/>
  <c r="C103" i="1"/>
  <c r="B110" i="5"/>
  <c r="C110" i="3"/>
  <c r="C116" i="1"/>
  <c r="C129" i="1"/>
  <c r="B124" i="5"/>
  <c r="C124" i="3"/>
  <c r="C137" i="3"/>
  <c r="C142" i="1"/>
  <c r="B137" i="5"/>
  <c r="B155" i="5"/>
  <c r="C160" i="1"/>
  <c r="C155" i="3"/>
  <c r="C128" i="3"/>
  <c r="B128" i="5"/>
  <c r="C133" i="1"/>
  <c r="B78" i="5"/>
  <c r="C84" i="1"/>
  <c r="C78" i="3"/>
  <c r="C127" i="1"/>
  <c r="B122" i="5"/>
  <c r="C122" i="3"/>
  <c r="C14" i="3"/>
  <c r="C20" i="1"/>
  <c r="B14" i="5"/>
  <c r="C62" i="1"/>
  <c r="C56" i="3"/>
  <c r="B56" i="5"/>
  <c r="C76" i="1"/>
  <c r="B70" i="5"/>
  <c r="C70" i="3"/>
  <c r="C83" i="3"/>
  <c r="B83" i="5"/>
  <c r="C89" i="1"/>
  <c r="C53" i="3"/>
  <c r="B53" i="5"/>
  <c r="C59" i="1"/>
  <c r="B87" i="5"/>
  <c r="C87" i="3"/>
  <c r="C93" i="1"/>
  <c r="C16" i="3"/>
  <c r="B16" i="5"/>
  <c r="C22" i="1"/>
  <c r="D22" i="1" s="1"/>
  <c r="B29" i="5"/>
  <c r="C35" i="1"/>
  <c r="C29" i="3"/>
  <c r="C52" i="1"/>
  <c r="C46" i="3"/>
  <c r="B46" i="5"/>
  <c r="C58" i="3"/>
  <c r="B58" i="5"/>
  <c r="C64" i="1"/>
  <c r="C86" i="3"/>
  <c r="B86" i="5"/>
  <c r="C92" i="1"/>
  <c r="C119" i="1"/>
  <c r="B113" i="5"/>
  <c r="C113" i="3"/>
  <c r="B4" i="5"/>
  <c r="C10" i="1"/>
  <c r="C4" i="3"/>
  <c r="C31" i="3"/>
  <c r="B31" i="5"/>
  <c r="C37" i="1"/>
  <c r="C53" i="1"/>
  <c r="B47" i="5"/>
  <c r="C47" i="3"/>
  <c r="B59" i="5"/>
  <c r="C59" i="3"/>
  <c r="C65" i="1"/>
  <c r="C102" i="3"/>
  <c r="C108" i="1"/>
  <c r="B102" i="5"/>
  <c r="B114" i="5"/>
  <c r="C114" i="3"/>
  <c r="C120" i="1"/>
  <c r="C66" i="1"/>
  <c r="C60" i="3"/>
  <c r="B60" i="5"/>
  <c r="C130" i="3"/>
  <c r="C135" i="1"/>
  <c r="B130" i="5"/>
  <c r="B62" i="5"/>
  <c r="C68" i="1"/>
  <c r="C62" i="3"/>
  <c r="C38" i="1"/>
  <c r="C32" i="3"/>
  <c r="B32" i="5"/>
  <c r="C70" i="1"/>
  <c r="B10" i="5"/>
  <c r="C102" i="1"/>
  <c r="B152" i="5"/>
  <c r="C16" i="1"/>
  <c r="C80" i="1"/>
  <c r="C67" i="3"/>
  <c r="C104" i="3"/>
  <c r="B101" i="5"/>
  <c r="C157" i="1"/>
  <c r="C72" i="1"/>
  <c r="B126" i="5"/>
  <c r="B91" i="5"/>
  <c r="B136" i="5"/>
  <c r="C63" i="1"/>
  <c r="C9" i="1"/>
  <c r="B71" i="5"/>
  <c r="C124" i="1"/>
  <c r="C69" i="3"/>
  <c r="B92" i="5"/>
  <c r="C29" i="1"/>
  <c r="C76" i="3"/>
  <c r="C127" i="3"/>
  <c r="C73" i="1"/>
  <c r="C54" i="3"/>
  <c r="B69" i="5"/>
  <c r="C91" i="3"/>
  <c r="C100" i="3"/>
  <c r="C71" i="3"/>
  <c r="C11" i="3"/>
  <c r="C7" i="26"/>
  <c r="D6" i="26"/>
  <c r="D4" i="26"/>
  <c r="D5" i="26"/>
  <c r="D3" i="26"/>
  <c r="H148" i="3"/>
  <c r="F147" i="23"/>
  <c r="H120" i="3"/>
  <c r="F120" i="23"/>
  <c r="D54" i="3"/>
  <c r="D54" i="5"/>
  <c r="G60" i="1" s="1"/>
  <c r="B13" i="1"/>
  <c r="A7" i="23"/>
  <c r="B50" i="1"/>
  <c r="A44" i="23"/>
  <c r="H118" i="3"/>
  <c r="F118" i="23"/>
  <c r="H111" i="3"/>
  <c r="F111" i="23"/>
  <c r="D45" i="5"/>
  <c r="G51" i="1" s="1"/>
  <c r="D47" i="5"/>
  <c r="F78" i="23"/>
  <c r="H78" i="3"/>
  <c r="H69" i="3"/>
  <c r="F69" i="23"/>
  <c r="F126" i="23"/>
  <c r="H127" i="3"/>
  <c r="F38" i="23"/>
  <c r="H38" i="3"/>
  <c r="H103" i="3"/>
  <c r="F103" i="23"/>
  <c r="F53" i="23"/>
  <c r="H53" i="3"/>
  <c r="D80" i="3"/>
  <c r="D80" i="5"/>
  <c r="G86" i="1" s="1"/>
  <c r="F87" i="23"/>
  <c r="B145" i="5"/>
  <c r="C150" i="1"/>
  <c r="C145" i="3"/>
  <c r="D124" i="3"/>
  <c r="D124" i="5"/>
  <c r="J71" i="10"/>
  <c r="K71" i="10"/>
  <c r="L71" i="10"/>
  <c r="M71" i="10"/>
  <c r="M126" i="10"/>
  <c r="L126" i="10"/>
  <c r="L66" i="10"/>
  <c r="M66" i="10"/>
  <c r="D122" i="3"/>
  <c r="D122" i="5"/>
  <c r="F155" i="23"/>
  <c r="H156" i="3"/>
  <c r="D116" i="5"/>
  <c r="C44" i="3"/>
  <c r="C50" i="1"/>
  <c r="B135" i="5"/>
  <c r="C135" i="3"/>
  <c r="D9" i="3"/>
  <c r="D9" i="5"/>
  <c r="D104" i="5"/>
  <c r="D104" i="3"/>
  <c r="A135" i="23"/>
  <c r="B141" i="1"/>
  <c r="A129" i="23"/>
  <c r="B135" i="1"/>
  <c r="G135" i="1"/>
  <c r="I135" i="1" s="1"/>
  <c r="H135" i="1" s="1"/>
  <c r="M148" i="10"/>
  <c r="L148" i="10"/>
  <c r="D156" i="5"/>
  <c r="D156" i="3"/>
  <c r="D65" i="5"/>
  <c r="G71" i="1" s="1"/>
  <c r="D65" i="3"/>
  <c r="A76" i="23"/>
  <c r="J154" i="10"/>
  <c r="M154" i="10"/>
  <c r="L154" i="10"/>
  <c r="G156" i="1"/>
  <c r="I156" i="1" s="1"/>
  <c r="H156" i="1" s="1"/>
  <c r="J151" i="10"/>
  <c r="M149" i="10"/>
  <c r="J149" i="10"/>
  <c r="D78" i="5"/>
  <c r="G94" i="1"/>
  <c r="I94" i="1" s="1"/>
  <c r="H94" i="1" s="1"/>
  <c r="G153" i="1"/>
  <c r="I153" i="1" s="1"/>
  <c r="H153" i="1" s="1"/>
  <c r="G30" i="1"/>
  <c r="C25" i="5"/>
  <c r="B94" i="1"/>
  <c r="B44" i="5"/>
  <c r="C156" i="3"/>
  <c r="B156" i="5"/>
  <c r="B11" i="5"/>
  <c r="A11" i="23"/>
  <c r="B17" i="1"/>
  <c r="D49" i="5"/>
  <c r="D49" i="3"/>
  <c r="M132" i="10"/>
  <c r="C47" i="1"/>
  <c r="B41" i="5"/>
  <c r="C41" i="3"/>
  <c r="B56" i="1"/>
  <c r="A50" i="23"/>
  <c r="A87" i="23"/>
  <c r="G93" i="1"/>
  <c r="I93" i="1" s="1"/>
  <c r="H93" i="1" s="1"/>
  <c r="B93" i="1"/>
  <c r="H137" i="3"/>
  <c r="F145" i="23"/>
  <c r="H146" i="3"/>
  <c r="J57" i="10"/>
  <c r="D60" i="10" s="1"/>
  <c r="D173" i="10" s="1"/>
  <c r="C185" i="10" s="1"/>
  <c r="L57" i="10"/>
  <c r="G91" i="1"/>
  <c r="I91" i="1" s="1"/>
  <c r="H91" i="1" s="1"/>
  <c r="C86" i="5"/>
  <c r="B125" i="1"/>
  <c r="J51" i="10"/>
  <c r="D33" i="5"/>
  <c r="D33" i="3"/>
  <c r="K78" i="10"/>
  <c r="L78" i="10"/>
  <c r="J78" i="10"/>
  <c r="M78" i="10"/>
  <c r="B63" i="1"/>
  <c r="A57" i="23"/>
  <c r="A4" i="23"/>
  <c r="B10" i="1"/>
  <c r="H49" i="3"/>
  <c r="F49" i="23"/>
  <c r="B18" i="1"/>
  <c r="A12" i="23"/>
  <c r="G118" i="1"/>
  <c r="I118" i="1" s="1"/>
  <c r="H118" i="1" s="1"/>
  <c r="C108" i="5"/>
  <c r="M40" i="10"/>
  <c r="M57" i="10"/>
  <c r="G60" i="10" s="1"/>
  <c r="E173" i="10" s="1"/>
  <c r="D185" i="10" s="1"/>
  <c r="K64" i="10"/>
  <c r="L51" i="10"/>
  <c r="C131" i="5"/>
  <c r="C26" i="1"/>
  <c r="B20" i="5"/>
  <c r="C20" i="3"/>
  <c r="A72" i="23"/>
  <c r="A115" i="23"/>
  <c r="B121" i="1"/>
  <c r="J40" i="10"/>
  <c r="L132" i="10"/>
  <c r="J38" i="10"/>
  <c r="D5" i="5"/>
  <c r="D129" i="3"/>
  <c r="D129" i="5"/>
  <c r="B146" i="5"/>
  <c r="C146" i="3"/>
  <c r="C151" i="1"/>
  <c r="B38" i="1"/>
  <c r="A32" i="23"/>
  <c r="M51" i="10"/>
  <c r="K57" i="10"/>
  <c r="C79" i="1"/>
  <c r="B73" i="5"/>
  <c r="F109" i="23"/>
  <c r="H109" i="3"/>
  <c r="A42" i="3"/>
  <c r="I42" i="3" s="1"/>
  <c r="A48" i="1"/>
  <c r="A76" i="3"/>
  <c r="I76" i="3" s="1"/>
  <c r="A76" i="5"/>
  <c r="A126" i="5"/>
  <c r="A126" i="3"/>
  <c r="I126" i="3" s="1"/>
  <c r="A77" i="23"/>
  <c r="B83" i="1"/>
  <c r="A99" i="5"/>
  <c r="G104" i="1" s="1"/>
  <c r="I104" i="1" s="1"/>
  <c r="H104" i="1" s="1"/>
  <c r="A105" i="1"/>
  <c r="A99" i="3"/>
  <c r="I99" i="3" s="1"/>
  <c r="A12" i="3"/>
  <c r="I12" i="3" s="1"/>
  <c r="A106" i="1"/>
  <c r="A115" i="5"/>
  <c r="A120" i="3"/>
  <c r="I120" i="3" s="1"/>
  <c r="A19" i="5"/>
  <c r="A25" i="1"/>
  <c r="H102" i="3"/>
  <c r="L144" i="10"/>
  <c r="A100" i="5"/>
  <c r="C100" i="5" s="1"/>
  <c r="F121" i="23"/>
  <c r="A42" i="1"/>
  <c r="A142" i="3"/>
  <c r="I142" i="3" s="1"/>
  <c r="A147" i="1"/>
  <c r="F19" i="23"/>
  <c r="A13" i="5"/>
  <c r="C13" i="5" s="1"/>
  <c r="A13" i="3"/>
  <c r="I13" i="3" s="1"/>
  <c r="A143" i="5"/>
  <c r="G150" i="1" s="1"/>
  <c r="I150" i="1" s="1"/>
  <c r="H150" i="1" s="1"/>
  <c r="A148" i="1"/>
  <c r="G88" i="1"/>
  <c r="I88" i="1" s="1"/>
  <c r="H88" i="1" s="1"/>
  <c r="A12" i="5"/>
  <c r="A126" i="1"/>
  <c r="A150" i="3"/>
  <c r="I150" i="3" s="1"/>
  <c r="A131" i="1"/>
  <c r="A147" i="23"/>
  <c r="B153" i="1"/>
  <c r="G95" i="1"/>
  <c r="I95" i="1" s="1"/>
  <c r="H95" i="1" s="1"/>
  <c r="C21" i="1"/>
  <c r="B15" i="5"/>
  <c r="C55" i="3"/>
  <c r="C132" i="1"/>
  <c r="D107" i="3"/>
  <c r="B124" i="1"/>
  <c r="A118" i="23"/>
  <c r="A114" i="3"/>
  <c r="I114" i="3" s="1"/>
  <c r="A114" i="5"/>
  <c r="C114" i="5" s="1"/>
  <c r="A127" i="23"/>
  <c r="B133" i="1"/>
  <c r="F130" i="23"/>
  <c r="A142" i="1"/>
  <c r="A137" i="3"/>
  <c r="I137" i="3" s="1"/>
  <c r="G87" i="1"/>
  <c r="I87" i="1" s="1"/>
  <c r="H87" i="1" s="1"/>
  <c r="B86" i="1"/>
  <c r="A80" i="23"/>
  <c r="A107" i="1"/>
  <c r="A53" i="3"/>
  <c r="I53" i="3" s="1"/>
  <c r="A53" i="5"/>
  <c r="A125" i="3"/>
  <c r="I125" i="3" s="1"/>
  <c r="A130" i="1"/>
  <c r="H82" i="6"/>
  <c r="H83" i="6"/>
  <c r="H84" i="6" s="1"/>
  <c r="A101" i="3"/>
  <c r="I101" i="3" s="1"/>
  <c r="H6" i="3"/>
  <c r="F6" i="23"/>
  <c r="A48" i="5"/>
  <c r="A54" i="1"/>
  <c r="F92" i="23"/>
  <c r="H61" i="3"/>
  <c r="F61" i="23"/>
  <c r="A103" i="3"/>
  <c r="I103" i="3" s="1"/>
  <c r="A132" i="1"/>
  <c r="I159" i="10"/>
  <c r="I163" i="10"/>
  <c r="I157" i="10"/>
  <c r="I143" i="10"/>
  <c r="I166" i="10"/>
  <c r="A71" i="5"/>
  <c r="A77" i="3"/>
  <c r="I77" i="3" s="1"/>
  <c r="A102" i="5"/>
  <c r="A121" i="3"/>
  <c r="I121" i="3" s="1"/>
  <c r="C26" i="2"/>
  <c r="A56" i="3"/>
  <c r="I56" i="3" s="1"/>
  <c r="A62" i="1"/>
  <c r="A122" i="3"/>
  <c r="I122" i="3" s="1"/>
  <c r="B48" i="3"/>
  <c r="D84" i="6"/>
  <c r="F133" i="23"/>
  <c r="H134" i="3"/>
  <c r="A51" i="3"/>
  <c r="I51" i="3" s="1"/>
  <c r="A129" i="3"/>
  <c r="I129" i="3" s="1"/>
  <c r="A134" i="1"/>
  <c r="F55" i="23"/>
  <c r="F141" i="23"/>
  <c r="A57" i="1"/>
  <c r="A78" i="3"/>
  <c r="I78" i="3" s="1"/>
  <c r="A106" i="3"/>
  <c r="I106" i="3" s="1"/>
  <c r="A32" i="1"/>
  <c r="A96" i="3"/>
  <c r="I96" i="3" s="1"/>
  <c r="A146" i="1"/>
  <c r="A27" i="1"/>
  <c r="F175" i="10"/>
  <c r="I142" i="10"/>
  <c r="I89" i="10"/>
  <c r="A22" i="1"/>
  <c r="A69" i="1"/>
  <c r="A145" i="1"/>
  <c r="A140" i="3"/>
  <c r="I140" i="3" s="1"/>
  <c r="A155" i="3"/>
  <c r="I155" i="3" s="1"/>
  <c r="A160" i="1"/>
  <c r="F18" i="23"/>
  <c r="C30" i="2"/>
  <c r="A64" i="1"/>
  <c r="D2" i="26"/>
  <c r="H144" i="3"/>
  <c r="F143" i="23"/>
  <c r="C2" i="24"/>
  <c r="B2" i="24" s="1"/>
  <c r="C3" i="24"/>
  <c r="B3" i="24" s="1"/>
  <c r="F35" i="23"/>
  <c r="H36" i="3"/>
  <c r="E84" i="3" l="1"/>
  <c r="D155" i="23"/>
  <c r="M158" i="10"/>
  <c r="L158" i="10"/>
  <c r="J158" i="10"/>
  <c r="K158" i="10"/>
  <c r="J152" i="10"/>
  <c r="K152" i="10"/>
  <c r="M152" i="10"/>
  <c r="L152" i="10"/>
  <c r="M162" i="10"/>
  <c r="L162" i="10"/>
  <c r="M156" i="10"/>
  <c r="L156" i="10"/>
  <c r="K156" i="10"/>
  <c r="M150" i="10"/>
  <c r="L150" i="10"/>
  <c r="J150" i="10"/>
  <c r="K150" i="10"/>
  <c r="J125" i="10"/>
  <c r="L125" i="10"/>
  <c r="K125" i="10"/>
  <c r="M127" i="10"/>
  <c r="K106" i="10"/>
  <c r="J63" i="10"/>
  <c r="K65" i="10"/>
  <c r="L54" i="10"/>
  <c r="K35" i="10"/>
  <c r="L37" i="10"/>
  <c r="K37" i="10"/>
  <c r="L35" i="10"/>
  <c r="M54" i="10"/>
  <c r="J52" i="10"/>
  <c r="M47" i="10"/>
  <c r="L47" i="10"/>
  <c r="K47" i="10"/>
  <c r="J47" i="10"/>
  <c r="J48" i="10"/>
  <c r="M48" i="10"/>
  <c r="L48" i="10"/>
  <c r="K48" i="10"/>
  <c r="K36" i="10"/>
  <c r="L36" i="10"/>
  <c r="M45" i="10"/>
  <c r="L45" i="10"/>
  <c r="I56" i="10"/>
  <c r="J46" i="10"/>
  <c r="L49" i="10"/>
  <c r="J49" i="10"/>
  <c r="J34" i="10"/>
  <c r="L34" i="10"/>
  <c r="M34" i="10"/>
  <c r="L52" i="10"/>
  <c r="M46" i="10"/>
  <c r="J39" i="10"/>
  <c r="K39" i="10"/>
  <c r="L39" i="10"/>
  <c r="M39" i="10"/>
  <c r="K49" i="10"/>
  <c r="J45" i="10"/>
  <c r="J43" i="10"/>
  <c r="L43" i="10"/>
  <c r="M43" i="10"/>
  <c r="K43" i="10"/>
  <c r="K46" i="10"/>
  <c r="L53" i="10"/>
  <c r="K53" i="10"/>
  <c r="J53" i="10"/>
  <c r="E156" i="3"/>
  <c r="A27" i="23"/>
  <c r="G89" i="1"/>
  <c r="B116" i="1"/>
  <c r="G116" i="1"/>
  <c r="A148" i="23"/>
  <c r="G72" i="1"/>
  <c r="G98" i="1"/>
  <c r="I98" i="1" s="1"/>
  <c r="H98" i="1" s="1"/>
  <c r="G157" i="1"/>
  <c r="G137" i="1"/>
  <c r="G124" i="1"/>
  <c r="G141" i="1"/>
  <c r="I141" i="1" s="1"/>
  <c r="H141" i="1" s="1"/>
  <c r="G133" i="1"/>
  <c r="G21" i="1"/>
  <c r="I21" i="1" s="1"/>
  <c r="H21" i="1" s="1"/>
  <c r="G127" i="1"/>
  <c r="G129" i="1"/>
  <c r="G161" i="1"/>
  <c r="D90" i="3"/>
  <c r="G55" i="1"/>
  <c r="G155" i="1"/>
  <c r="I155" i="1" s="1"/>
  <c r="H155" i="1" s="1"/>
  <c r="G158" i="1"/>
  <c r="B6" i="17"/>
  <c r="G97" i="1"/>
  <c r="I97" i="1" s="1"/>
  <c r="H97" i="1" s="1"/>
  <c r="G37" i="1"/>
  <c r="I37" i="1" s="1"/>
  <c r="H37" i="1" s="1"/>
  <c r="G96" i="1"/>
  <c r="G139" i="1"/>
  <c r="I139" i="1" s="1"/>
  <c r="H139" i="1" s="1"/>
  <c r="G159" i="1"/>
  <c r="G56" i="1"/>
  <c r="G128" i="1"/>
  <c r="D72" i="3"/>
  <c r="D51" i="3"/>
  <c r="D17" i="3"/>
  <c r="D50" i="3"/>
  <c r="D138" i="5"/>
  <c r="G143" i="1" s="1"/>
  <c r="D118" i="3"/>
  <c r="B75" i="5"/>
  <c r="C43" i="1"/>
  <c r="G80" i="1"/>
  <c r="A20" i="23"/>
  <c r="B26" i="1"/>
  <c r="G26" i="1"/>
  <c r="I26" i="1" s="1"/>
  <c r="H26" i="1" s="1"/>
  <c r="C85" i="3"/>
  <c r="B89" i="1"/>
  <c r="A83" i="23"/>
  <c r="G33" i="1"/>
  <c r="I33" i="1" s="1"/>
  <c r="H33" i="1" s="1"/>
  <c r="G85" i="1"/>
  <c r="B96" i="1"/>
  <c r="A90" i="23"/>
  <c r="G39" i="1"/>
  <c r="B85" i="5"/>
  <c r="D34" i="5"/>
  <c r="G40" i="1" s="1"/>
  <c r="B72" i="1"/>
  <c r="A66" i="23"/>
  <c r="A79" i="23"/>
  <c r="B85" i="1"/>
  <c r="B43" i="1"/>
  <c r="A37" i="23"/>
  <c r="G15" i="1"/>
  <c r="G8" i="1"/>
  <c r="B40" i="1"/>
  <c r="A34" i="23"/>
  <c r="A28" i="23"/>
  <c r="B34" i="1"/>
  <c r="G112" i="1"/>
  <c r="I112" i="1" s="1"/>
  <c r="H112" i="1" s="1"/>
  <c r="D10" i="5"/>
  <c r="G16" i="1" s="1"/>
  <c r="G162" i="1"/>
  <c r="G23" i="1"/>
  <c r="G14" i="1"/>
  <c r="I14" i="1" s="1"/>
  <c r="H14" i="1" s="1"/>
  <c r="A104" i="23"/>
  <c r="B110" i="1"/>
  <c r="G154" i="1"/>
  <c r="I154" i="1" s="1"/>
  <c r="H154" i="1" s="1"/>
  <c r="G11" i="1"/>
  <c r="B103" i="1"/>
  <c r="A97" i="23"/>
  <c r="B152" i="1"/>
  <c r="A146" i="23"/>
  <c r="B14" i="1"/>
  <c r="A8" i="23"/>
  <c r="A18" i="23"/>
  <c r="B24" i="1"/>
  <c r="B162" i="1"/>
  <c r="C67" i="1"/>
  <c r="A123" i="23"/>
  <c r="B129" i="1"/>
  <c r="G9" i="1"/>
  <c r="I9" i="1" s="1"/>
  <c r="H9" i="1" s="1"/>
  <c r="G140" i="1"/>
  <c r="I140" i="1" s="1"/>
  <c r="H140" i="1" s="1"/>
  <c r="G138" i="1"/>
  <c r="A74" i="23"/>
  <c r="B80" i="1"/>
  <c r="G110" i="1"/>
  <c r="D105" i="5"/>
  <c r="G111" i="1" s="1"/>
  <c r="D28" i="5"/>
  <c r="G34" i="1" s="1"/>
  <c r="G13" i="1"/>
  <c r="I13" i="1" s="1"/>
  <c r="H13" i="1" s="1"/>
  <c r="A94" i="23"/>
  <c r="B100" i="1"/>
  <c r="G10" i="1"/>
  <c r="I10" i="1" s="1"/>
  <c r="H10" i="1" s="1"/>
  <c r="B102" i="1"/>
  <c r="A96" i="23"/>
  <c r="G119" i="1"/>
  <c r="I119" i="1" s="1"/>
  <c r="H119" i="1" s="1"/>
  <c r="G35" i="1"/>
  <c r="B97" i="1"/>
  <c r="A91" i="23"/>
  <c r="G113" i="1"/>
  <c r="B41" i="1"/>
  <c r="A35" i="23"/>
  <c r="G41" i="1"/>
  <c r="I41" i="1" s="1"/>
  <c r="H41" i="1" s="1"/>
  <c r="B7" i="26"/>
  <c r="M113" i="10"/>
  <c r="M115" i="10"/>
  <c r="J115" i="10"/>
  <c r="K115" i="10"/>
  <c r="L115" i="10"/>
  <c r="K101" i="10"/>
  <c r="J101" i="10"/>
  <c r="M101" i="10"/>
  <c r="L101" i="10"/>
  <c r="K68" i="10"/>
  <c r="L68" i="10"/>
  <c r="M68" i="10"/>
  <c r="J68" i="10"/>
  <c r="J104" i="10"/>
  <c r="K104" i="10"/>
  <c r="M104" i="10"/>
  <c r="L104" i="10"/>
  <c r="L109" i="10"/>
  <c r="J109" i="10"/>
  <c r="M109" i="10"/>
  <c r="K67" i="10"/>
  <c r="M67" i="10"/>
  <c r="L67" i="10"/>
  <c r="J67" i="10"/>
  <c r="L128" i="10"/>
  <c r="J128" i="10"/>
  <c r="M116" i="10"/>
  <c r="L116" i="10"/>
  <c r="L136" i="10"/>
  <c r="K136" i="10"/>
  <c r="M136" i="10"/>
  <c r="J136" i="10"/>
  <c r="M69" i="10"/>
  <c r="J69" i="10"/>
  <c r="K69" i="10"/>
  <c r="L69" i="10"/>
  <c r="K82" i="10"/>
  <c r="J84" i="10"/>
  <c r="I123" i="10"/>
  <c r="J121" i="10"/>
  <c r="M70" i="10"/>
  <c r="K70" i="10"/>
  <c r="J70" i="10"/>
  <c r="L102" i="10"/>
  <c r="K102" i="10"/>
  <c r="M102" i="10"/>
  <c r="J110" i="10"/>
  <c r="K110" i="10"/>
  <c r="L110" i="10"/>
  <c r="L72" i="10"/>
  <c r="J72" i="10"/>
  <c r="K72" i="10"/>
  <c r="M72" i="10"/>
  <c r="M121" i="10"/>
  <c r="M82" i="10"/>
  <c r="M80" i="10"/>
  <c r="K80" i="10"/>
  <c r="J80" i="10"/>
  <c r="L82" i="10"/>
  <c r="L65" i="10"/>
  <c r="M117" i="10"/>
  <c r="J117" i="10"/>
  <c r="K79" i="10"/>
  <c r="F60" i="10"/>
  <c r="C173" i="10" s="1"/>
  <c r="L106" i="10"/>
  <c r="J113" i="10"/>
  <c r="K118" i="10"/>
  <c r="J118" i="10"/>
  <c r="L118" i="10"/>
  <c r="M118" i="10"/>
  <c r="J122" i="10"/>
  <c r="L122" i="10"/>
  <c r="M122" i="10"/>
  <c r="K122" i="10"/>
  <c r="K94" i="10"/>
  <c r="M94" i="10"/>
  <c r="J94" i="10"/>
  <c r="L134" i="10"/>
  <c r="M134" i="10"/>
  <c r="K134" i="10"/>
  <c r="J134" i="10"/>
  <c r="J97" i="10"/>
  <c r="K62" i="10"/>
  <c r="L62" i="10"/>
  <c r="L98" i="10"/>
  <c r="M98" i="10"/>
  <c r="J98" i="10"/>
  <c r="K97" i="10"/>
  <c r="J107" i="10"/>
  <c r="L107" i="10"/>
  <c r="K107" i="10"/>
  <c r="M107" i="10"/>
  <c r="K103" i="10"/>
  <c r="J103" i="10"/>
  <c r="M103" i="10"/>
  <c r="L103" i="10"/>
  <c r="K73" i="10"/>
  <c r="J73" i="10"/>
  <c r="L73" i="10"/>
  <c r="M73" i="10"/>
  <c r="M128" i="10"/>
  <c r="J62" i="10"/>
  <c r="J116" i="10"/>
  <c r="K88" i="10"/>
  <c r="J88" i="10"/>
  <c r="L88" i="10"/>
  <c r="J119" i="10"/>
  <c r="M119" i="10"/>
  <c r="K119" i="10"/>
  <c r="M99" i="10"/>
  <c r="K99" i="10"/>
  <c r="L99" i="10"/>
  <c r="J99" i="10"/>
  <c r="L130" i="10"/>
  <c r="J130" i="10"/>
  <c r="K130" i="10"/>
  <c r="M130" i="10"/>
  <c r="G137" i="10" s="1"/>
  <c r="E177" i="10" s="1"/>
  <c r="I75" i="10"/>
  <c r="M81" i="10"/>
  <c r="K81" i="10"/>
  <c r="L70" i="10"/>
  <c r="L84" i="10"/>
  <c r="J106" i="10"/>
  <c r="K117" i="10"/>
  <c r="I137" i="10"/>
  <c r="J96" i="10"/>
  <c r="L96" i="10"/>
  <c r="M96" i="10"/>
  <c r="K96" i="10"/>
  <c r="J111" i="10"/>
  <c r="L111" i="10"/>
  <c r="M111" i="10"/>
  <c r="K111" i="10"/>
  <c r="M105" i="10"/>
  <c r="L105" i="10"/>
  <c r="J105" i="10"/>
  <c r="K105" i="10"/>
  <c r="J81" i="10"/>
  <c r="J65" i="10"/>
  <c r="L80" i="10"/>
  <c r="K116" i="10"/>
  <c r="L121" i="10"/>
  <c r="K127" i="10"/>
  <c r="K63" i="10"/>
  <c r="M63" i="10"/>
  <c r="M108" i="10"/>
  <c r="K108" i="10"/>
  <c r="L108" i="10"/>
  <c r="J108" i="10"/>
  <c r="J100" i="10"/>
  <c r="K100" i="10"/>
  <c r="M100" i="10"/>
  <c r="L100" i="10"/>
  <c r="E60" i="10"/>
  <c r="B173" i="10" s="1"/>
  <c r="B185" i="10" s="1"/>
  <c r="L97" i="10"/>
  <c r="L113" i="10"/>
  <c r="K128" i="10"/>
  <c r="L114" i="10"/>
  <c r="J114" i="10"/>
  <c r="M114" i="10"/>
  <c r="K114" i="10"/>
  <c r="M120" i="10"/>
  <c r="L120" i="10"/>
  <c r="K120" i="10"/>
  <c r="J120" i="10"/>
  <c r="K112" i="10"/>
  <c r="J112" i="10"/>
  <c r="M112" i="10"/>
  <c r="L112" i="10"/>
  <c r="M86" i="10"/>
  <c r="K86" i="10"/>
  <c r="K87" i="10"/>
  <c r="M87" i="10"/>
  <c r="J87" i="10"/>
  <c r="J160" i="10"/>
  <c r="K160" i="10"/>
  <c r="M160" i="10"/>
  <c r="L160" i="10"/>
  <c r="J144" i="10"/>
  <c r="K144" i="10"/>
  <c r="M144" i="10"/>
  <c r="J139" i="10"/>
  <c r="M139" i="10"/>
  <c r="L139" i="10"/>
  <c r="K139" i="10"/>
  <c r="J138" i="10"/>
  <c r="L138" i="10"/>
  <c r="M138" i="10"/>
  <c r="K138" i="10"/>
  <c r="E140" i="10" s="1"/>
  <c r="B178" i="10" s="1"/>
  <c r="F137" i="10"/>
  <c r="C177" i="10" s="1"/>
  <c r="L91" i="10"/>
  <c r="M91" i="10"/>
  <c r="J91" i="10"/>
  <c r="K91" i="10"/>
  <c r="K92" i="10"/>
  <c r="L92" i="10"/>
  <c r="J92" i="10"/>
  <c r="M92" i="10"/>
  <c r="M83" i="10"/>
  <c r="K83" i="10"/>
  <c r="J83" i="10"/>
  <c r="L83" i="10"/>
  <c r="L79" i="10"/>
  <c r="M79" i="10"/>
  <c r="J90" i="10"/>
  <c r="M90" i="10"/>
  <c r="L90" i="10"/>
  <c r="K90" i="10"/>
  <c r="L76" i="10"/>
  <c r="M76" i="10"/>
  <c r="J76" i="10"/>
  <c r="K76" i="10"/>
  <c r="L85" i="10"/>
  <c r="J85" i="10"/>
  <c r="M85" i="10"/>
  <c r="K85" i="10"/>
  <c r="L77" i="10"/>
  <c r="K77" i="10"/>
  <c r="J77" i="10"/>
  <c r="M77" i="10"/>
  <c r="C3" i="25"/>
  <c r="C11" i="25"/>
  <c r="C6" i="25"/>
  <c r="C19" i="25"/>
  <c r="C13" i="25"/>
  <c r="C200" i="1" s="1"/>
  <c r="K20" i="1" s="1"/>
  <c r="C10" i="25"/>
  <c r="C4" i="25"/>
  <c r="C20" i="25"/>
  <c r="C18" i="25"/>
  <c r="C9" i="25"/>
  <c r="C15" i="25"/>
  <c r="C12" i="25"/>
  <c r="C17" i="25"/>
  <c r="C21" i="25"/>
  <c r="C7" i="25"/>
  <c r="C5" i="25"/>
  <c r="C2" i="25"/>
  <c r="C16" i="25"/>
  <c r="C14" i="25"/>
  <c r="G144" i="1"/>
  <c r="D7" i="26"/>
  <c r="E5" i="1" s="1"/>
  <c r="C95" i="1"/>
  <c r="C89" i="3"/>
  <c r="B89" i="5"/>
  <c r="C81" i="1"/>
  <c r="C61" i="3"/>
  <c r="C37" i="3"/>
  <c r="B123" i="5"/>
  <c r="D84" i="23"/>
  <c r="C123" i="3"/>
  <c r="G160" i="1"/>
  <c r="I160" i="1" s="1"/>
  <c r="H160" i="1" s="1"/>
  <c r="B160" i="1"/>
  <c r="A154" i="23"/>
  <c r="C193" i="1"/>
  <c r="K13" i="1" s="1"/>
  <c r="J23" i="23"/>
  <c r="C30" i="3"/>
  <c r="B30" i="5"/>
  <c r="C36" i="1"/>
  <c r="G146" i="1"/>
  <c r="I146" i="1" s="1"/>
  <c r="H146" i="1" s="1"/>
  <c r="A140" i="23"/>
  <c r="B146" i="1"/>
  <c r="A56" i="23"/>
  <c r="B62" i="1"/>
  <c r="G62" i="1"/>
  <c r="I62" i="1" s="1"/>
  <c r="H62" i="1" s="1"/>
  <c r="B130" i="1"/>
  <c r="A124" i="23"/>
  <c r="G130" i="1"/>
  <c r="A141" i="23"/>
  <c r="B147" i="1"/>
  <c r="G147" i="1"/>
  <c r="I147" i="1" s="1"/>
  <c r="H147" i="1" s="1"/>
  <c r="B25" i="1"/>
  <c r="A19" i="23"/>
  <c r="G25" i="1"/>
  <c r="I25" i="1" s="1"/>
  <c r="H25" i="1" s="1"/>
  <c r="G18" i="1"/>
  <c r="I18" i="1" s="1"/>
  <c r="H18" i="1" s="1"/>
  <c r="G20" i="1"/>
  <c r="I20" i="1" s="1"/>
  <c r="H20" i="1" s="1"/>
  <c r="B148" i="1"/>
  <c r="A142" i="23"/>
  <c r="K157" i="10"/>
  <c r="L157" i="10"/>
  <c r="M157" i="10"/>
  <c r="J157" i="10"/>
  <c r="C143" i="5"/>
  <c r="G151" i="1"/>
  <c r="B106" i="1"/>
  <c r="A100" i="23"/>
  <c r="G83" i="1"/>
  <c r="G81" i="1"/>
  <c r="I81" i="1" s="1"/>
  <c r="H81" i="1" s="1"/>
  <c r="G84" i="1"/>
  <c r="C207" i="1"/>
  <c r="K27" i="1" s="1"/>
  <c r="D27" i="1" s="1"/>
  <c r="J37" i="23"/>
  <c r="L7" i="23" s="1"/>
  <c r="G24" i="1"/>
  <c r="I24" i="1" s="1"/>
  <c r="H24" i="1" s="1"/>
  <c r="G149" i="1"/>
  <c r="I149" i="1" s="1"/>
  <c r="H149" i="1" s="1"/>
  <c r="C53" i="5"/>
  <c r="G58" i="1"/>
  <c r="I58" i="1" s="1"/>
  <c r="H58" i="1" s="1"/>
  <c r="F3" i="23"/>
  <c r="H3" i="3"/>
  <c r="K166" i="10"/>
  <c r="L166" i="10"/>
  <c r="J166" i="10"/>
  <c r="M166" i="10"/>
  <c r="D108" i="3"/>
  <c r="D108" i="5"/>
  <c r="G114" i="1" s="1"/>
  <c r="G82" i="1"/>
  <c r="I82" i="1" s="1"/>
  <c r="H82" i="1" s="1"/>
  <c r="G152" i="1"/>
  <c r="B32" i="1"/>
  <c r="A26" i="23"/>
  <c r="G32" i="1"/>
  <c r="I32" i="1" s="1"/>
  <c r="H32" i="1" s="1"/>
  <c r="G122" i="1"/>
  <c r="C115" i="5"/>
  <c r="G123" i="1"/>
  <c r="B69" i="1"/>
  <c r="A63" i="23"/>
  <c r="G69" i="1"/>
  <c r="G22" i="1"/>
  <c r="I22" i="1" s="1"/>
  <c r="H22" i="1" s="1"/>
  <c r="A16" i="23"/>
  <c r="B22" i="1"/>
  <c r="J159" i="10"/>
  <c r="K159" i="10"/>
  <c r="L159" i="10"/>
  <c r="M159" i="10"/>
  <c r="D13" i="3"/>
  <c r="D13" i="5"/>
  <c r="G19" i="1" s="1"/>
  <c r="A120" i="23"/>
  <c r="B126" i="1"/>
  <c r="G126" i="1"/>
  <c r="A48" i="23"/>
  <c r="B54" i="1"/>
  <c r="D131" i="5"/>
  <c r="G136" i="1" s="1"/>
  <c r="D131" i="3"/>
  <c r="A136" i="23"/>
  <c r="B142" i="1"/>
  <c r="G142" i="1"/>
  <c r="I142" i="1" s="1"/>
  <c r="H142" i="1" s="1"/>
  <c r="C48" i="5"/>
  <c r="G53" i="1"/>
  <c r="E16" i="3"/>
  <c r="D16" i="23"/>
  <c r="C26" i="3"/>
  <c r="B26" i="5"/>
  <c r="C32" i="1"/>
  <c r="B145" i="1"/>
  <c r="A139" i="23"/>
  <c r="G145" i="1"/>
  <c r="I145" i="1" s="1"/>
  <c r="H145" i="1" s="1"/>
  <c r="D100" i="5"/>
  <c r="G106" i="1" s="1"/>
  <c r="D100" i="3"/>
  <c r="A126" i="23"/>
  <c r="B132" i="1"/>
  <c r="G132" i="1"/>
  <c r="I132" i="1" s="1"/>
  <c r="H132" i="1" s="1"/>
  <c r="A101" i="23"/>
  <c r="B107" i="1"/>
  <c r="G107" i="1"/>
  <c r="I107" i="1" s="1"/>
  <c r="H107" i="1" s="1"/>
  <c r="D86" i="3"/>
  <c r="D86" i="5"/>
  <c r="G92" i="1" s="1"/>
  <c r="J142" i="10"/>
  <c r="L142" i="10"/>
  <c r="M142" i="10"/>
  <c r="K142" i="10"/>
  <c r="I167" i="10"/>
  <c r="C190" i="1"/>
  <c r="K10" i="1" s="1"/>
  <c r="D26" i="1" s="1"/>
  <c r="J26" i="23"/>
  <c r="L15" i="23" s="1"/>
  <c r="D25" i="3"/>
  <c r="D25" i="5"/>
  <c r="G31" i="1" s="1"/>
  <c r="G76" i="1"/>
  <c r="I76" i="1" s="1"/>
  <c r="H76" i="1" s="1"/>
  <c r="G79" i="1"/>
  <c r="I79" i="1" s="1"/>
  <c r="H79" i="1" s="1"/>
  <c r="G78" i="1"/>
  <c r="C71" i="5"/>
  <c r="J36" i="23"/>
  <c r="L8" i="23" s="1"/>
  <c r="C198" i="1"/>
  <c r="K18" i="1" s="1"/>
  <c r="B57" i="1"/>
  <c r="G57" i="1"/>
  <c r="A51" i="23"/>
  <c r="K163" i="10"/>
  <c r="L163" i="10"/>
  <c r="J163" i="10"/>
  <c r="M163" i="10"/>
  <c r="A42" i="23"/>
  <c r="B48" i="1"/>
  <c r="G48" i="1"/>
  <c r="I48" i="1" s="1"/>
  <c r="H48" i="1" s="1"/>
  <c r="M89" i="10"/>
  <c r="I95" i="10"/>
  <c r="J89" i="10"/>
  <c r="K89" i="10"/>
  <c r="L89" i="10"/>
  <c r="D114" i="5"/>
  <c r="G120" i="1" s="1"/>
  <c r="D114" i="3"/>
  <c r="A99" i="23"/>
  <c r="B105" i="1"/>
  <c r="G105" i="1"/>
  <c r="I105" i="1" s="1"/>
  <c r="H105" i="1" s="1"/>
  <c r="G17" i="1"/>
  <c r="I17" i="1" s="1"/>
  <c r="H17" i="1" s="1"/>
  <c r="B42" i="1"/>
  <c r="G42" i="1"/>
  <c r="I42" i="1" s="1"/>
  <c r="H42" i="1" s="1"/>
  <c r="A36" i="23"/>
  <c r="F2" i="23"/>
  <c r="H2" i="3"/>
  <c r="L143" i="10"/>
  <c r="K143" i="10"/>
  <c r="M143" i="10"/>
  <c r="J143" i="10"/>
  <c r="C195" i="1"/>
  <c r="K15" i="1" s="1"/>
  <c r="J21" i="23"/>
  <c r="L18" i="23" s="1"/>
  <c r="B64" i="1"/>
  <c r="G64" i="1"/>
  <c r="I64" i="1" s="1"/>
  <c r="H64" i="1" s="1"/>
  <c r="A58" i="23"/>
  <c r="A21" i="23"/>
  <c r="B27" i="1"/>
  <c r="G27" i="1"/>
  <c r="I27" i="1" s="1"/>
  <c r="H27" i="1" s="1"/>
  <c r="G134" i="1"/>
  <c r="A128" i="23"/>
  <c r="B134" i="1"/>
  <c r="A125" i="23"/>
  <c r="G131" i="1"/>
  <c r="I131" i="1" s="1"/>
  <c r="H131" i="1" s="1"/>
  <c r="B131" i="1"/>
  <c r="G108" i="1"/>
  <c r="I108" i="1" s="1"/>
  <c r="H108" i="1" s="1"/>
  <c r="F167" i="10" l="1"/>
  <c r="C179" i="10" s="1"/>
  <c r="D137" i="10"/>
  <c r="D177" i="10" s="1"/>
  <c r="E137" i="10"/>
  <c r="B177" i="10" s="1"/>
  <c r="E123" i="10"/>
  <c r="B176" i="10" s="1"/>
  <c r="D123" i="10"/>
  <c r="D176" i="10" s="1"/>
  <c r="G123" i="10"/>
  <c r="E176" i="10" s="1"/>
  <c r="F123" i="10"/>
  <c r="C176" i="10" s="1"/>
  <c r="G75" i="10"/>
  <c r="E174" i="10" s="1"/>
  <c r="E75" i="10"/>
  <c r="B174" i="10" s="1"/>
  <c r="F75" i="10"/>
  <c r="C174" i="10" s="1"/>
  <c r="L75" i="10"/>
  <c r="D75" i="10"/>
  <c r="D174" i="10" s="1"/>
  <c r="D56" i="10"/>
  <c r="D172" i="10" s="1"/>
  <c r="F56" i="10"/>
  <c r="C172" i="10" s="1"/>
  <c r="E56" i="10"/>
  <c r="B172" i="10" s="1"/>
  <c r="B191" i="10" s="1"/>
  <c r="G56" i="10"/>
  <c r="E172" i="10" s="1"/>
  <c r="I116" i="1"/>
  <c r="H116" i="1" s="1"/>
  <c r="I138" i="1"/>
  <c r="H138" i="1" s="1"/>
  <c r="J32" i="23"/>
  <c r="L12" i="23" s="1"/>
  <c r="D54" i="1"/>
  <c r="F95" i="10"/>
  <c r="C175" i="10" s="1"/>
  <c r="B22" i="17"/>
  <c r="G140" i="10"/>
  <c r="E178" i="10" s="1"/>
  <c r="F140" i="10"/>
  <c r="C178" i="10" s="1"/>
  <c r="E167" i="10"/>
  <c r="B179" i="10" s="1"/>
  <c r="D140" i="10"/>
  <c r="D178" i="10" s="1"/>
  <c r="G167" i="10"/>
  <c r="E179" i="10" s="1"/>
  <c r="D189" i="10" s="1"/>
  <c r="D95" i="10"/>
  <c r="D175" i="10" s="1"/>
  <c r="E95" i="10"/>
  <c r="B175" i="10" s="1"/>
  <c r="G95" i="10"/>
  <c r="E175" i="10" s="1"/>
  <c r="K8" i="23"/>
  <c r="E172" i="23" s="1"/>
  <c r="I34" i="1"/>
  <c r="H34" i="1" s="1"/>
  <c r="I161" i="1"/>
  <c r="H161" i="1" s="1"/>
  <c r="I127" i="1"/>
  <c r="H127" i="1" s="1"/>
  <c r="K12" i="23"/>
  <c r="K15" i="23"/>
  <c r="K7" i="23"/>
  <c r="K3" i="23"/>
  <c r="E179" i="23" s="1"/>
  <c r="D150" i="1"/>
  <c r="D32" i="1"/>
  <c r="D21" i="1"/>
  <c r="D21" i="23"/>
  <c r="E21" i="3"/>
  <c r="E48" i="3"/>
  <c r="J33" i="23"/>
  <c r="L11" i="23" s="1"/>
  <c r="K11" i="23" s="1"/>
  <c r="C201" i="1"/>
  <c r="K21" i="1" s="1"/>
  <c r="C191" i="1"/>
  <c r="K11" i="1" s="1"/>
  <c r="J27" i="23"/>
  <c r="C189" i="1"/>
  <c r="K9" i="1" s="1"/>
  <c r="D67" i="1" s="1"/>
  <c r="J25" i="23"/>
  <c r="J39" i="23"/>
  <c r="L5" i="23" s="1"/>
  <c r="K5" i="23" s="1"/>
  <c r="E174" i="23" s="1"/>
  <c r="G174" i="23" s="1"/>
  <c r="C209" i="1"/>
  <c r="K29" i="1" s="1"/>
  <c r="D116" i="1" s="1"/>
  <c r="D84" i="1"/>
  <c r="J30" i="23"/>
  <c r="C204" i="1"/>
  <c r="K24" i="1" s="1"/>
  <c r="C197" i="1"/>
  <c r="K17" i="1" s="1"/>
  <c r="J35" i="23"/>
  <c r="L9" i="23" s="1"/>
  <c r="K9" i="23" s="1"/>
  <c r="E165" i="23" s="1"/>
  <c r="C199" i="1"/>
  <c r="K19" i="1" s="1"/>
  <c r="D115" i="1" s="1"/>
  <c r="J31" i="23"/>
  <c r="C192" i="1"/>
  <c r="K12" i="1" s="1"/>
  <c r="J22" i="23"/>
  <c r="L17" i="23" s="1"/>
  <c r="K17" i="23" s="1"/>
  <c r="J28" i="23"/>
  <c r="L14" i="23" s="1"/>
  <c r="K14" i="23" s="1"/>
  <c r="E166" i="23" s="1"/>
  <c r="C171" i="1" s="1"/>
  <c r="C202" i="1"/>
  <c r="K22" i="1" s="1"/>
  <c r="J34" i="23"/>
  <c r="L10" i="23" s="1"/>
  <c r="K10" i="23" s="1"/>
  <c r="C196" i="1"/>
  <c r="K16" i="1" s="1"/>
  <c r="J29" i="23"/>
  <c r="L13" i="23" s="1"/>
  <c r="K13" i="23" s="1"/>
  <c r="E171" i="23" s="1"/>
  <c r="C203" i="1"/>
  <c r="K23" i="1" s="1"/>
  <c r="C206" i="1"/>
  <c r="K26" i="1" s="1"/>
  <c r="J40" i="23"/>
  <c r="L4" i="23" s="1"/>
  <c r="K4" i="23" s="1"/>
  <c r="J24" i="23"/>
  <c r="L16" i="23" s="1"/>
  <c r="K16" i="23" s="1"/>
  <c r="E162" i="23" s="1"/>
  <c r="C194" i="1"/>
  <c r="K14" i="1" s="1"/>
  <c r="C208" i="1"/>
  <c r="K28" i="1" s="1"/>
  <c r="D112" i="1" s="1"/>
  <c r="J38" i="23"/>
  <c r="L6" i="23" s="1"/>
  <c r="K6" i="23" s="1"/>
  <c r="E164" i="23" s="1"/>
  <c r="I19" i="1"/>
  <c r="H19" i="1" s="1"/>
  <c r="I123" i="1"/>
  <c r="H123" i="1" s="1"/>
  <c r="I11" i="1"/>
  <c r="H11" i="1" s="1"/>
  <c r="I120" i="1"/>
  <c r="H120" i="1" s="1"/>
  <c r="F22" i="1"/>
  <c r="I126" i="1"/>
  <c r="H126" i="1" s="1"/>
  <c r="I106" i="1"/>
  <c r="H106" i="1" s="1"/>
  <c r="I53" i="1"/>
  <c r="H53" i="1" s="1"/>
  <c r="I83" i="1"/>
  <c r="H83" i="1" s="1"/>
  <c r="I136" i="1"/>
  <c r="H136" i="1" s="1"/>
  <c r="I152" i="1"/>
  <c r="H152" i="1" s="1"/>
  <c r="I130" i="1"/>
  <c r="H130" i="1" s="1"/>
  <c r="I39" i="1"/>
  <c r="H39" i="1" s="1"/>
  <c r="I129" i="1"/>
  <c r="H129" i="1" s="1"/>
  <c r="I84" i="1"/>
  <c r="H84" i="1" s="1"/>
  <c r="D36" i="1"/>
  <c r="I144" i="1"/>
  <c r="H144" i="1" s="1"/>
  <c r="I55" i="1"/>
  <c r="H55" i="1" s="1"/>
  <c r="I86" i="1"/>
  <c r="H86" i="1" s="1"/>
  <c r="D158" i="1"/>
  <c r="D63" i="1"/>
  <c r="D110" i="1"/>
  <c r="D91" i="1"/>
  <c r="D51" i="1"/>
  <c r="D144" i="1"/>
  <c r="D93" i="1"/>
  <c r="D15" i="1"/>
  <c r="D109" i="1"/>
  <c r="D143" i="1"/>
  <c r="D114" i="1"/>
  <c r="D35" i="1"/>
  <c r="D167" i="10"/>
  <c r="D48" i="3"/>
  <c r="D48" i="5"/>
  <c r="G54" i="1" s="1"/>
  <c r="I54" i="1" s="1"/>
  <c r="H54" i="1" s="1"/>
  <c r="D115" i="3"/>
  <c r="D115" i="5"/>
  <c r="G121" i="1" s="1"/>
  <c r="I121" i="1" s="1"/>
  <c r="H121" i="1" s="1"/>
  <c r="I110" i="1"/>
  <c r="H110" i="1" s="1"/>
  <c r="I92" i="1"/>
  <c r="H92" i="1" s="1"/>
  <c r="I15" i="1"/>
  <c r="H15" i="1" s="1"/>
  <c r="I122" i="1"/>
  <c r="H122" i="1" s="1"/>
  <c r="I114" i="1"/>
  <c r="H114" i="1" s="1"/>
  <c r="I151" i="1"/>
  <c r="H151" i="1" s="1"/>
  <c r="D156" i="1"/>
  <c r="D60" i="1"/>
  <c r="D8" i="1"/>
  <c r="D85" i="1"/>
  <c r="D87" i="1"/>
  <c r="D11" i="1"/>
  <c r="D113" i="1"/>
  <c r="D152" i="1"/>
  <c r="D146" i="1"/>
  <c r="D102" i="1"/>
  <c r="D149" i="1"/>
  <c r="D142" i="1"/>
  <c r="D103" i="1"/>
  <c r="D28" i="1"/>
  <c r="D41" i="1"/>
  <c r="D140" i="1"/>
  <c r="D111" i="1"/>
  <c r="E20" i="3"/>
  <c r="F26" i="1"/>
  <c r="D20" i="23"/>
  <c r="D53" i="3"/>
  <c r="D53" i="5"/>
  <c r="G59" i="1" s="1"/>
  <c r="I59" i="1" s="1"/>
  <c r="H59" i="1" s="1"/>
  <c r="D143" i="3"/>
  <c r="D143" i="5"/>
  <c r="G148" i="1" s="1"/>
  <c r="I148" i="1" s="1"/>
  <c r="H148" i="1" s="1"/>
  <c r="D132" i="1"/>
  <c r="D71" i="3"/>
  <c r="D71" i="5"/>
  <c r="G77" i="1" s="1"/>
  <c r="I77" i="1" s="1"/>
  <c r="H77" i="1" s="1"/>
  <c r="I69" i="1"/>
  <c r="H69" i="1" s="1"/>
  <c r="I23" i="1"/>
  <c r="H23" i="1" s="1"/>
  <c r="I40" i="1"/>
  <c r="H40" i="1" s="1"/>
  <c r="I89" i="1"/>
  <c r="H89" i="1" s="1"/>
  <c r="I73" i="1"/>
  <c r="H73" i="1" s="1"/>
  <c r="I109" i="1"/>
  <c r="H109" i="1" s="1"/>
  <c r="F90" i="1"/>
  <c r="I101" i="1"/>
  <c r="H101" i="1" s="1"/>
  <c r="F161" i="1"/>
  <c r="I111" i="1"/>
  <c r="H111" i="1" s="1"/>
  <c r="I74" i="1"/>
  <c r="H74" i="1" s="1"/>
  <c r="I72" i="1"/>
  <c r="H72" i="1" s="1"/>
  <c r="I35" i="1"/>
  <c r="H35" i="1" s="1"/>
  <c r="I46" i="1"/>
  <c r="H46" i="1" s="1"/>
  <c r="C191" i="10"/>
  <c r="F54" i="1"/>
  <c r="I70" i="1"/>
  <c r="H70" i="1" s="1"/>
  <c r="I137" i="1"/>
  <c r="H137" i="1" s="1"/>
  <c r="I157" i="1"/>
  <c r="H157" i="1" s="1"/>
  <c r="I124" i="1"/>
  <c r="H124" i="1" s="1"/>
  <c r="I16" i="1"/>
  <c r="H16" i="1" s="1"/>
  <c r="I113" i="1"/>
  <c r="H113" i="1" s="1"/>
  <c r="I49" i="1"/>
  <c r="H49" i="1" s="1"/>
  <c r="I159" i="1"/>
  <c r="H159" i="1" s="1"/>
  <c r="F27" i="1"/>
  <c r="I143" i="1"/>
  <c r="H143" i="1" s="1"/>
  <c r="I162" i="1"/>
  <c r="H162" i="1" s="1"/>
  <c r="I158" i="1"/>
  <c r="H158" i="1" s="1"/>
  <c r="I38" i="1"/>
  <c r="H38" i="1" s="1"/>
  <c r="I96" i="1"/>
  <c r="H96" i="1" s="1"/>
  <c r="I75" i="1"/>
  <c r="H75" i="1" s="1"/>
  <c r="I85" i="1"/>
  <c r="H85" i="1" s="1"/>
  <c r="I80" i="1"/>
  <c r="H80" i="1" s="1"/>
  <c r="I8" i="1"/>
  <c r="H8" i="1" s="1"/>
  <c r="I117" i="1"/>
  <c r="H117" i="1" s="1"/>
  <c r="I128" i="1"/>
  <c r="I65" i="1"/>
  <c r="H65" i="1" s="1"/>
  <c r="I63" i="1"/>
  <c r="H63" i="1" s="1"/>
  <c r="I44" i="1"/>
  <c r="H44" i="1" s="1"/>
  <c r="I133" i="1"/>
  <c r="H133" i="1" s="1"/>
  <c r="I56" i="1"/>
  <c r="H56" i="1" s="1"/>
  <c r="I134" i="1"/>
  <c r="H134" i="1" s="1"/>
  <c r="I30" i="1"/>
  <c r="H30" i="1" s="1"/>
  <c r="I115" i="1"/>
  <c r="H115" i="1" s="1"/>
  <c r="I60" i="1"/>
  <c r="H60" i="1" s="1"/>
  <c r="I71" i="1"/>
  <c r="H71" i="1" s="1"/>
  <c r="D139" i="1"/>
  <c r="D130" i="1"/>
  <c r="D62" i="1"/>
  <c r="D136" i="1"/>
  <c r="D162" i="1"/>
  <c r="D30" i="1"/>
  <c r="I50" i="1"/>
  <c r="H50" i="1" s="1"/>
  <c r="I31" i="1"/>
  <c r="H31" i="1" s="1"/>
  <c r="I78" i="1"/>
  <c r="H78" i="1" s="1"/>
  <c r="D38" i="1"/>
  <c r="D99" i="1"/>
  <c r="D122" i="1"/>
  <c r="D92" i="1"/>
  <c r="D133" i="1"/>
  <c r="D71" i="1"/>
  <c r="I57" i="1"/>
  <c r="H57" i="1" s="1"/>
  <c r="I51" i="1"/>
  <c r="H51" i="1" s="1"/>
  <c r="D61" i="1"/>
  <c r="D97" i="1"/>
  <c r="D135" i="1"/>
  <c r="D74" i="1"/>
  <c r="B186" i="10" l="1"/>
  <c r="C186" i="10" s="1"/>
  <c r="D11" i="10"/>
  <c r="D28" i="10"/>
  <c r="G16" i="3"/>
  <c r="D7" i="10"/>
  <c r="D15" i="10"/>
  <c r="D15" i="23"/>
  <c r="D8" i="10"/>
  <c r="D5" i="10"/>
  <c r="D144" i="23"/>
  <c r="D21" i="10"/>
  <c r="D26" i="10"/>
  <c r="D13" i="10"/>
  <c r="D22" i="10"/>
  <c r="D25" i="10"/>
  <c r="F11" i="10"/>
  <c r="D2" i="10"/>
  <c r="D186" i="10"/>
  <c r="E181" i="23"/>
  <c r="C186" i="1" s="1"/>
  <c r="E175" i="23"/>
  <c r="D48" i="23"/>
  <c r="D109" i="23"/>
  <c r="E109" i="3"/>
  <c r="F115" i="1"/>
  <c r="D26" i="23"/>
  <c r="F32" i="1"/>
  <c r="E26" i="3"/>
  <c r="E15" i="3"/>
  <c r="F21" i="1"/>
  <c r="F84" i="1"/>
  <c r="F150" i="1"/>
  <c r="E145" i="3"/>
  <c r="E168" i="23"/>
  <c r="G168" i="23" s="1"/>
  <c r="D173" i="1" s="1"/>
  <c r="B23" i="17"/>
  <c r="B189" i="10"/>
  <c r="E178" i="23"/>
  <c r="C183" i="1" s="1"/>
  <c r="G166" i="23"/>
  <c r="D171" i="1" s="1"/>
  <c r="E161" i="23"/>
  <c r="C166" i="1" s="1"/>
  <c r="C167" i="1"/>
  <c r="G162" i="23"/>
  <c r="D162" i="23" s="1"/>
  <c r="E167" i="1" s="1"/>
  <c r="E169" i="23"/>
  <c r="E167" i="23"/>
  <c r="E177" i="23"/>
  <c r="E173" i="23"/>
  <c r="E176" i="23"/>
  <c r="D69" i="1"/>
  <c r="D23" i="1"/>
  <c r="D94" i="1"/>
  <c r="D76" i="1"/>
  <c r="D145" i="1"/>
  <c r="D157" i="1"/>
  <c r="D75" i="1"/>
  <c r="D124" i="1"/>
  <c r="D50" i="1"/>
  <c r="D37" i="1"/>
  <c r="D59" i="1"/>
  <c r="D16" i="1"/>
  <c r="D66" i="1"/>
  <c r="D119" i="1"/>
  <c r="D49" i="1"/>
  <c r="D131" i="1"/>
  <c r="D17" i="1"/>
  <c r="D106" i="1"/>
  <c r="D39" i="1"/>
  <c r="D77" i="1"/>
  <c r="D128" i="1"/>
  <c r="D80" i="1"/>
  <c r="D86" i="1"/>
  <c r="D56" i="1"/>
  <c r="D46" i="1"/>
  <c r="D10" i="1"/>
  <c r="D123" i="1"/>
  <c r="D117" i="1"/>
  <c r="D83" i="1"/>
  <c r="D101" i="1"/>
  <c r="D70" i="1"/>
  <c r="D14" i="1"/>
  <c r="D48" i="1"/>
  <c r="D159" i="1"/>
  <c r="D73" i="1"/>
  <c r="D121" i="1"/>
  <c r="D40" i="1"/>
  <c r="D154" i="1"/>
  <c r="D44" i="1"/>
  <c r="D118" i="1"/>
  <c r="D79" i="1"/>
  <c r="D127" i="1"/>
  <c r="D19" i="1"/>
  <c r="D34" i="1"/>
  <c r="D43" i="1"/>
  <c r="D33" i="1"/>
  <c r="D147" i="1"/>
  <c r="D45" i="1"/>
  <c r="D65" i="1"/>
  <c r="D160" i="1"/>
  <c r="D13" i="1"/>
  <c r="D129" i="1"/>
  <c r="D52" i="1"/>
  <c r="D81" i="1"/>
  <c r="D105" i="1"/>
  <c r="D100" i="1"/>
  <c r="D126" i="1"/>
  <c r="D72" i="1"/>
  <c r="D78" i="1"/>
  <c r="D58" i="1"/>
  <c r="D104" i="1"/>
  <c r="D9" i="1"/>
  <c r="D20" i="1"/>
  <c r="D108" i="1"/>
  <c r="D25" i="1"/>
  <c r="D82" i="1"/>
  <c r="D18" i="1"/>
  <c r="D68" i="1"/>
  <c r="D155" i="1"/>
  <c r="D163" i="1"/>
  <c r="D138" i="1"/>
  <c r="D64" i="1"/>
  <c r="D47" i="1"/>
  <c r="D12" i="1"/>
  <c r="E163" i="23"/>
  <c r="D95" i="1"/>
  <c r="D125" i="1"/>
  <c r="D134" i="1"/>
  <c r="D29" i="1"/>
  <c r="D96" i="1"/>
  <c r="D89" i="1"/>
  <c r="E170" i="23"/>
  <c r="G170" i="23" s="1"/>
  <c r="D153" i="1"/>
  <c r="D148" i="1"/>
  <c r="D137" i="1"/>
  <c r="D120" i="1"/>
  <c r="D31" i="1"/>
  <c r="E78" i="3"/>
  <c r="D78" i="23"/>
  <c r="C179" i="1"/>
  <c r="E180" i="23"/>
  <c r="G180" i="23" s="1"/>
  <c r="D42" i="1"/>
  <c r="D107" i="1"/>
  <c r="D24" i="1"/>
  <c r="D98" i="1"/>
  <c r="D57" i="1"/>
  <c r="D151" i="1"/>
  <c r="D55" i="1"/>
  <c r="D141" i="1"/>
  <c r="D88" i="1"/>
  <c r="D53" i="1"/>
  <c r="E22" i="1"/>
  <c r="G109" i="3"/>
  <c r="G165" i="23"/>
  <c r="C170" i="1"/>
  <c r="F97" i="1"/>
  <c r="E91" i="3"/>
  <c r="D91" i="23"/>
  <c r="C176" i="1"/>
  <c r="G171" i="23"/>
  <c r="G172" i="23"/>
  <c r="C177" i="1"/>
  <c r="D146" i="23"/>
  <c r="E147" i="3"/>
  <c r="F152" i="1"/>
  <c r="D54" i="23"/>
  <c r="F60" i="1"/>
  <c r="E54" i="3"/>
  <c r="F93" i="1"/>
  <c r="D87" i="23"/>
  <c r="E87" i="3"/>
  <c r="F51" i="1"/>
  <c r="D45" i="23"/>
  <c r="E45" i="3"/>
  <c r="E85" i="3"/>
  <c r="D85" i="23"/>
  <c r="F91" i="1"/>
  <c r="E75" i="3"/>
  <c r="E22" i="3"/>
  <c r="D22" i="23"/>
  <c r="F28" i="1"/>
  <c r="D104" i="23"/>
  <c r="F110" i="1"/>
  <c r="E104" i="3"/>
  <c r="D106" i="23"/>
  <c r="E106" i="3"/>
  <c r="F112" i="1"/>
  <c r="D29" i="23"/>
  <c r="E29" i="3"/>
  <c r="F35" i="1"/>
  <c r="E57" i="3"/>
  <c r="D57" i="23"/>
  <c r="F63" i="1"/>
  <c r="D174" i="23"/>
  <c r="E179" i="1" s="1"/>
  <c r="D179" i="1"/>
  <c r="F103" i="1"/>
  <c r="E97" i="3"/>
  <c r="D97" i="23"/>
  <c r="F114" i="1"/>
  <c r="E108" i="3"/>
  <c r="D108" i="23"/>
  <c r="F158" i="1"/>
  <c r="D152" i="23"/>
  <c r="E153" i="3"/>
  <c r="F61" i="1"/>
  <c r="E55" i="3"/>
  <c r="D55" i="23"/>
  <c r="D107" i="23"/>
  <c r="F113" i="1"/>
  <c r="E107" i="3"/>
  <c r="D5" i="23"/>
  <c r="E5" i="3"/>
  <c r="F11" i="1"/>
  <c r="F140" i="1"/>
  <c r="D134" i="23"/>
  <c r="E135" i="3"/>
  <c r="D179" i="10"/>
  <c r="C189" i="10"/>
  <c r="E65" i="3"/>
  <c r="D65" i="23"/>
  <c r="F71" i="1"/>
  <c r="D24" i="23"/>
  <c r="E24" i="3"/>
  <c r="F30" i="1"/>
  <c r="E26" i="1"/>
  <c r="G20" i="3"/>
  <c r="D127" i="23"/>
  <c r="F133" i="1"/>
  <c r="E128" i="3"/>
  <c r="G48" i="3"/>
  <c r="E54" i="1"/>
  <c r="H128" i="1"/>
  <c r="B14" i="17" s="1"/>
  <c r="B7" i="17"/>
  <c r="B13" i="17"/>
  <c r="D124" i="23"/>
  <c r="E125" i="3"/>
  <c r="F130" i="1"/>
  <c r="D136" i="23"/>
  <c r="E137" i="3"/>
  <c r="F142" i="1"/>
  <c r="D137" i="23"/>
  <c r="F143" i="1"/>
  <c r="E138" i="3"/>
  <c r="D110" i="23"/>
  <c r="E110" i="3"/>
  <c r="F116" i="1"/>
  <c r="F38" i="1"/>
  <c r="D32" i="23"/>
  <c r="E32" i="3"/>
  <c r="E134" i="3"/>
  <c r="D133" i="23"/>
  <c r="F139" i="1"/>
  <c r="E144" i="3"/>
  <c r="D143" i="23"/>
  <c r="F149" i="1"/>
  <c r="E61" i="3"/>
  <c r="F67" i="1"/>
  <c r="D61" i="23"/>
  <c r="E30" i="3"/>
  <c r="F36" i="1"/>
  <c r="D30" i="23"/>
  <c r="E81" i="3"/>
  <c r="D81" i="23"/>
  <c r="F87" i="1"/>
  <c r="F41" i="1"/>
  <c r="E35" i="3"/>
  <c r="D35" i="23"/>
  <c r="C184" i="1"/>
  <c r="G179" i="23"/>
  <c r="D86" i="23"/>
  <c r="F92" i="1"/>
  <c r="E86" i="3"/>
  <c r="E56" i="3"/>
  <c r="F62" i="1"/>
  <c r="D56" i="23"/>
  <c r="G21" i="3"/>
  <c r="E27" i="1"/>
  <c r="D93" i="23"/>
  <c r="F99" i="1"/>
  <c r="E93" i="3"/>
  <c r="F102" i="1"/>
  <c r="E96" i="3"/>
  <c r="D96" i="23"/>
  <c r="D79" i="23"/>
  <c r="E79" i="3"/>
  <c r="F85" i="1"/>
  <c r="E103" i="3"/>
  <c r="D103" i="23"/>
  <c r="F109" i="1"/>
  <c r="F156" i="1"/>
  <c r="E151" i="3"/>
  <c r="D150" i="23"/>
  <c r="D138" i="23"/>
  <c r="E139" i="3"/>
  <c r="F144" i="1"/>
  <c r="E105" i="3"/>
  <c r="D105" i="23"/>
  <c r="F111" i="1"/>
  <c r="C169" i="1"/>
  <c r="G164" i="23"/>
  <c r="D126" i="23"/>
  <c r="E127" i="3"/>
  <c r="F132" i="1"/>
  <c r="D156" i="23"/>
  <c r="F162" i="1"/>
  <c r="E157" i="3"/>
  <c r="G156" i="3"/>
  <c r="E161" i="1"/>
  <c r="D130" i="23"/>
  <c r="F136" i="1"/>
  <c r="E131" i="3"/>
  <c r="D116" i="23"/>
  <c r="E116" i="3"/>
  <c r="F122" i="1"/>
  <c r="D68" i="23"/>
  <c r="E68" i="3"/>
  <c r="F74" i="1"/>
  <c r="E90" i="1"/>
  <c r="G84" i="3"/>
  <c r="E130" i="3"/>
  <c r="D129" i="23"/>
  <c r="F135" i="1"/>
  <c r="D140" i="23"/>
  <c r="F146" i="1"/>
  <c r="E141" i="3"/>
  <c r="E2" i="3"/>
  <c r="F8" i="1"/>
  <c r="D2" i="23"/>
  <c r="F15" i="1"/>
  <c r="D9" i="23"/>
  <c r="E9" i="3"/>
  <c r="G178" i="23" l="1"/>
  <c r="D27" i="10"/>
  <c r="D9" i="10"/>
  <c r="D6" i="10"/>
  <c r="F21" i="10"/>
  <c r="D4" i="10"/>
  <c r="E21" i="1"/>
  <c r="F16" i="3"/>
  <c r="F81" i="1"/>
  <c r="D23" i="10"/>
  <c r="D18" i="10"/>
  <c r="F2" i="10"/>
  <c r="F28" i="10"/>
  <c r="F22" i="10"/>
  <c r="D3" i="10"/>
  <c r="D16" i="10"/>
  <c r="D31" i="10"/>
  <c r="D17" i="10"/>
  <c r="F15" i="10"/>
  <c r="D20" i="10"/>
  <c r="D24" i="10"/>
  <c r="F5" i="10"/>
  <c r="E150" i="1"/>
  <c r="E11" i="10"/>
  <c r="B31" i="17"/>
  <c r="D19" i="10"/>
  <c r="F25" i="10"/>
  <c r="D30" i="10"/>
  <c r="G181" i="23"/>
  <c r="E115" i="1"/>
  <c r="F13" i="10"/>
  <c r="D29" i="10"/>
  <c r="F7" i="10"/>
  <c r="F8" i="10"/>
  <c r="F26" i="10"/>
  <c r="D12" i="10"/>
  <c r="D14" i="10"/>
  <c r="D10" i="10"/>
  <c r="E32" i="1"/>
  <c r="G175" i="23"/>
  <c r="C180" i="1"/>
  <c r="G26" i="3"/>
  <c r="D166" i="23"/>
  <c r="E171" i="1" s="1"/>
  <c r="D167" i="1"/>
  <c r="G15" i="3"/>
  <c r="D75" i="23"/>
  <c r="C173" i="1"/>
  <c r="D168" i="23"/>
  <c r="E173" i="1" s="1"/>
  <c r="E84" i="1"/>
  <c r="G145" i="3"/>
  <c r="G78" i="3"/>
  <c r="C185" i="1"/>
  <c r="G161" i="23"/>
  <c r="D166" i="1" s="1"/>
  <c r="C175" i="1"/>
  <c r="D19" i="23"/>
  <c r="E19" i="3"/>
  <c r="F25" i="1"/>
  <c r="D89" i="23"/>
  <c r="E89" i="3"/>
  <c r="F95" i="1"/>
  <c r="D49" i="23"/>
  <c r="E49" i="3"/>
  <c r="F55" i="1"/>
  <c r="E25" i="3"/>
  <c r="D25" i="23"/>
  <c r="F31" i="1"/>
  <c r="D14" i="23"/>
  <c r="E14" i="3"/>
  <c r="F20" i="1"/>
  <c r="D7" i="23"/>
  <c r="E7" i="3"/>
  <c r="F13" i="1"/>
  <c r="E38" i="3"/>
  <c r="D38" i="23"/>
  <c r="F44" i="1"/>
  <c r="E117" i="3"/>
  <c r="D117" i="23"/>
  <c r="F123" i="1"/>
  <c r="E43" i="3"/>
  <c r="D43" i="23"/>
  <c r="F49" i="1"/>
  <c r="D88" i="23"/>
  <c r="E88" i="3"/>
  <c r="F94" i="1"/>
  <c r="E155" i="3"/>
  <c r="D154" i="23"/>
  <c r="F160" i="1"/>
  <c r="E73" i="3"/>
  <c r="D73" i="23"/>
  <c r="F79" i="1"/>
  <c r="E51" i="3"/>
  <c r="D51" i="23"/>
  <c r="F57" i="1"/>
  <c r="D131" i="23"/>
  <c r="E132" i="3"/>
  <c r="F137" i="1"/>
  <c r="E41" i="3"/>
  <c r="D41" i="23"/>
  <c r="F47" i="1"/>
  <c r="F104" i="1"/>
  <c r="D98" i="23"/>
  <c r="E98" i="3"/>
  <c r="E59" i="3"/>
  <c r="D59" i="23"/>
  <c r="F65" i="1"/>
  <c r="E34" i="3"/>
  <c r="D34" i="23"/>
  <c r="F40" i="1"/>
  <c r="E40" i="3"/>
  <c r="F46" i="1"/>
  <c r="D40" i="23"/>
  <c r="E60" i="3"/>
  <c r="D60" i="23"/>
  <c r="F66" i="1"/>
  <c r="D63" i="23"/>
  <c r="F69" i="1"/>
  <c r="E63" i="3"/>
  <c r="E119" i="3"/>
  <c r="D119" i="23"/>
  <c r="F125" i="1"/>
  <c r="F76" i="1"/>
  <c r="D70" i="23"/>
  <c r="E70" i="3"/>
  <c r="D92" i="23"/>
  <c r="E92" i="3"/>
  <c r="F98" i="1"/>
  <c r="D142" i="23"/>
  <c r="E143" i="3"/>
  <c r="F148" i="1"/>
  <c r="D58" i="23"/>
  <c r="E58" i="3"/>
  <c r="F64" i="1"/>
  <c r="F58" i="1"/>
  <c r="E52" i="3"/>
  <c r="D52" i="23"/>
  <c r="E39" i="3"/>
  <c r="D39" i="23"/>
  <c r="F45" i="1"/>
  <c r="E115" i="3"/>
  <c r="D115" i="23"/>
  <c r="F121" i="1"/>
  <c r="E50" i="3"/>
  <c r="F56" i="1"/>
  <c r="D50" i="23"/>
  <c r="D10" i="23"/>
  <c r="F16" i="1"/>
  <c r="E10" i="3"/>
  <c r="C181" i="1"/>
  <c r="G176" i="23"/>
  <c r="D111" i="23"/>
  <c r="F117" i="1"/>
  <c r="E111" i="3"/>
  <c r="D114" i="23"/>
  <c r="E114" i="3"/>
  <c r="F120" i="1"/>
  <c r="D113" i="23"/>
  <c r="E113" i="3"/>
  <c r="F119" i="1"/>
  <c r="E18" i="3"/>
  <c r="D18" i="23"/>
  <c r="F24" i="1"/>
  <c r="E148" i="3"/>
  <c r="D147" i="23"/>
  <c r="F153" i="1"/>
  <c r="E133" i="3"/>
  <c r="D132" i="23"/>
  <c r="F138" i="1"/>
  <c r="F78" i="1"/>
  <c r="D72" i="23"/>
  <c r="E72" i="3"/>
  <c r="D141" i="23"/>
  <c r="E142" i="3"/>
  <c r="F147" i="1"/>
  <c r="E67" i="3"/>
  <c r="D67" i="23"/>
  <c r="F73" i="1"/>
  <c r="E80" i="3"/>
  <c r="F86" i="1"/>
  <c r="D80" i="23"/>
  <c r="E53" i="3"/>
  <c r="D53" i="23"/>
  <c r="F59" i="1"/>
  <c r="C178" i="1"/>
  <c r="G173" i="23"/>
  <c r="E46" i="3"/>
  <c r="D46" i="23"/>
  <c r="F52" i="1"/>
  <c r="F131" i="1"/>
  <c r="D125" i="23"/>
  <c r="E126" i="3"/>
  <c r="E101" i="3"/>
  <c r="D101" i="23"/>
  <c r="F107" i="1"/>
  <c r="D157" i="23"/>
  <c r="E158" i="3"/>
  <c r="F163" i="1"/>
  <c r="D66" i="23"/>
  <c r="E66" i="3"/>
  <c r="F72" i="1"/>
  <c r="D27" i="23"/>
  <c r="E27" i="3"/>
  <c r="F33" i="1"/>
  <c r="D153" i="23"/>
  <c r="F159" i="1"/>
  <c r="E154" i="3"/>
  <c r="E74" i="3"/>
  <c r="D74" i="23"/>
  <c r="F80" i="1"/>
  <c r="E31" i="3"/>
  <c r="D31" i="23"/>
  <c r="F37" i="1"/>
  <c r="C182" i="1"/>
  <c r="G177" i="23"/>
  <c r="E82" i="3"/>
  <c r="F88" i="1"/>
  <c r="E11" i="3"/>
  <c r="D11" i="23"/>
  <c r="F17" i="1"/>
  <c r="E136" i="3"/>
  <c r="D135" i="23"/>
  <c r="F141" i="1"/>
  <c r="E102" i="3"/>
  <c r="F108" i="1"/>
  <c r="D102" i="23"/>
  <c r="E146" i="3"/>
  <c r="F151" i="1"/>
  <c r="D145" i="23"/>
  <c r="F23" i="1"/>
  <c r="D17" i="23"/>
  <c r="E17" i="3"/>
  <c r="G163" i="23"/>
  <c r="D163" i="23" s="1"/>
  <c r="E168" i="1" s="1"/>
  <c r="D36" i="23"/>
  <c r="E36" i="3"/>
  <c r="F42" i="1"/>
  <c r="E83" i="3"/>
  <c r="D83" i="23"/>
  <c r="F89" i="1"/>
  <c r="D149" i="23"/>
  <c r="E150" i="3"/>
  <c r="F155" i="1"/>
  <c r="D120" i="23"/>
  <c r="E120" i="3"/>
  <c r="F126" i="1"/>
  <c r="E37" i="3"/>
  <c r="D37" i="23"/>
  <c r="F43" i="1"/>
  <c r="D42" i="23"/>
  <c r="E42" i="3"/>
  <c r="F48" i="1"/>
  <c r="B9" i="17"/>
  <c r="F128" i="1"/>
  <c r="E123" i="3"/>
  <c r="D122" i="23"/>
  <c r="E44" i="3"/>
  <c r="D44" i="23"/>
  <c r="F50" i="1"/>
  <c r="C172" i="1"/>
  <c r="G167" i="23"/>
  <c r="E118" i="3"/>
  <c r="D118" i="23"/>
  <c r="F124" i="1"/>
  <c r="C174" i="1"/>
  <c r="G169" i="23"/>
  <c r="E140" i="3"/>
  <c r="D139" i="23"/>
  <c r="F145" i="1"/>
  <c r="E124" i="3"/>
  <c r="D123" i="23"/>
  <c r="F129" i="1"/>
  <c r="D3" i="23"/>
  <c r="F9" i="1"/>
  <c r="E3" i="3"/>
  <c r="D148" i="23"/>
  <c r="E149" i="3"/>
  <c r="F154" i="1"/>
  <c r="C168" i="1"/>
  <c r="E62" i="3"/>
  <c r="F68" i="1"/>
  <c r="D62" i="23"/>
  <c r="D28" i="23"/>
  <c r="E28" i="3"/>
  <c r="F34" i="1"/>
  <c r="D8" i="23"/>
  <c r="F14" i="1"/>
  <c r="E8" i="3"/>
  <c r="D23" i="23"/>
  <c r="E23" i="3"/>
  <c r="F29" i="1"/>
  <c r="D12" i="23"/>
  <c r="F18" i="1"/>
  <c r="E12" i="3"/>
  <c r="D99" i="23"/>
  <c r="F105" i="1"/>
  <c r="E99" i="3"/>
  <c r="D13" i="23"/>
  <c r="E13" i="3"/>
  <c r="F19" i="1"/>
  <c r="D64" i="23"/>
  <c r="E64" i="3"/>
  <c r="F70" i="1"/>
  <c r="E33" i="3"/>
  <c r="D33" i="23"/>
  <c r="F39" i="1"/>
  <c r="E69" i="3"/>
  <c r="F75" i="1"/>
  <c r="D69" i="23"/>
  <c r="F83" i="1"/>
  <c r="E77" i="3"/>
  <c r="D77" i="23"/>
  <c r="D112" i="23"/>
  <c r="E112" i="3"/>
  <c r="F118" i="1"/>
  <c r="D6" i="23"/>
  <c r="E6" i="3"/>
  <c r="F12" i="1"/>
  <c r="E4" i="3"/>
  <c r="D4" i="23"/>
  <c r="F10" i="1"/>
  <c r="D90" i="23"/>
  <c r="E90" i="3"/>
  <c r="F96" i="1"/>
  <c r="E94" i="3"/>
  <c r="D94" i="23"/>
  <c r="F100" i="1"/>
  <c r="E71" i="3"/>
  <c r="D71" i="23"/>
  <c r="F77" i="1"/>
  <c r="D47" i="23"/>
  <c r="E47" i="3"/>
  <c r="F53" i="1"/>
  <c r="D128" i="23"/>
  <c r="E129" i="3"/>
  <c r="F134" i="1"/>
  <c r="F82" i="1"/>
  <c r="D76" i="23"/>
  <c r="E76" i="3"/>
  <c r="D121" i="23"/>
  <c r="E122" i="3"/>
  <c r="F127" i="1"/>
  <c r="E95" i="3"/>
  <c r="D95" i="23"/>
  <c r="F101" i="1"/>
  <c r="D100" i="23"/>
  <c r="F106" i="1"/>
  <c r="E100" i="3"/>
  <c r="F157" i="1"/>
  <c r="E152" i="3"/>
  <c r="D151" i="23"/>
  <c r="C16" i="23"/>
  <c r="E16" i="23" s="1"/>
  <c r="G16" i="23" s="1"/>
  <c r="G9" i="3"/>
  <c r="E15" i="1"/>
  <c r="E99" i="1"/>
  <c r="G93" i="3"/>
  <c r="E38" i="1"/>
  <c r="G32" i="3"/>
  <c r="G97" i="3"/>
  <c r="E103" i="1"/>
  <c r="E142" i="1"/>
  <c r="G137" i="3"/>
  <c r="E85" i="1"/>
  <c r="G79" i="3"/>
  <c r="E136" i="1"/>
  <c r="G131" i="3"/>
  <c r="F145" i="3"/>
  <c r="G45" i="3"/>
  <c r="E51" i="1"/>
  <c r="G147" i="3"/>
  <c r="E152" i="1"/>
  <c r="E28" i="1"/>
  <c r="G22" i="3"/>
  <c r="D171" i="23"/>
  <c r="E176" i="1" s="1"/>
  <c r="D176" i="1"/>
  <c r="G85" i="3"/>
  <c r="E91" i="1"/>
  <c r="G153" i="3"/>
  <c r="E158" i="1"/>
  <c r="E93" i="1"/>
  <c r="G87" i="3"/>
  <c r="E61" i="1"/>
  <c r="G55" i="3"/>
  <c r="D185" i="1"/>
  <c r="D180" i="23"/>
  <c r="E185" i="1" s="1"/>
  <c r="E110" i="1"/>
  <c r="G104" i="3"/>
  <c r="E114" i="1"/>
  <c r="G108" i="3"/>
  <c r="G144" i="3"/>
  <c r="E149" i="1"/>
  <c r="E71" i="1"/>
  <c r="G65" i="3"/>
  <c r="E133" i="1"/>
  <c r="G128" i="3"/>
  <c r="E116" i="1"/>
  <c r="G110" i="3"/>
  <c r="E62" i="1"/>
  <c r="G56" i="3"/>
  <c r="C15" i="23"/>
  <c r="E15" i="23" s="1"/>
  <c r="G15" i="23" s="1"/>
  <c r="E162" i="1"/>
  <c r="G157" i="3"/>
  <c r="C20" i="23"/>
  <c r="E20" i="23" s="1"/>
  <c r="G20" i="23" s="1"/>
  <c r="F20" i="3"/>
  <c r="G57" i="3"/>
  <c r="E63" i="1"/>
  <c r="G135" i="3"/>
  <c r="E140" i="1"/>
  <c r="D170" i="1"/>
  <c r="D165" i="23"/>
  <c r="E170" i="1" s="1"/>
  <c r="F84" i="3"/>
  <c r="C84" i="23"/>
  <c r="E84" i="23" s="1"/>
  <c r="G84" i="23" s="1"/>
  <c r="E8" i="1"/>
  <c r="G2" i="3"/>
  <c r="F21" i="3"/>
  <c r="C21" i="23"/>
  <c r="E21" i="23" s="1"/>
  <c r="G21" i="23" s="1"/>
  <c r="G81" i="3"/>
  <c r="E87" i="1"/>
  <c r="E130" i="1"/>
  <c r="G125" i="3"/>
  <c r="D183" i="1"/>
  <c r="D178" i="23"/>
  <c r="E183" i="1" s="1"/>
  <c r="D177" i="1"/>
  <c r="D172" i="23"/>
  <c r="E177" i="1" s="1"/>
  <c r="C155" i="23"/>
  <c r="E155" i="23" s="1"/>
  <c r="G155" i="23" s="1"/>
  <c r="F156" i="3"/>
  <c r="D164" i="23"/>
  <c r="E169" i="1" s="1"/>
  <c r="D169" i="1"/>
  <c r="G30" i="3"/>
  <c r="E36" i="1"/>
  <c r="G105" i="3"/>
  <c r="E111" i="1"/>
  <c r="E92" i="1"/>
  <c r="G86" i="3"/>
  <c r="E122" i="1"/>
  <c r="G116" i="3"/>
  <c r="E102" i="1"/>
  <c r="G96" i="3"/>
  <c r="E139" i="1"/>
  <c r="G134" i="3"/>
  <c r="E67" i="1"/>
  <c r="G61" i="3"/>
  <c r="G138" i="3"/>
  <c r="E143" i="1"/>
  <c r="D175" i="1"/>
  <c r="D170" i="23"/>
  <c r="E175" i="1" s="1"/>
  <c r="G75" i="3"/>
  <c r="E81" i="1"/>
  <c r="E60" i="1"/>
  <c r="G54" i="3"/>
  <c r="G130" i="3"/>
  <c r="E135" i="1"/>
  <c r="G68" i="3"/>
  <c r="E74" i="1"/>
  <c r="D179" i="23"/>
  <c r="E184" i="1" s="1"/>
  <c r="D184" i="1"/>
  <c r="F48" i="3"/>
  <c r="C48" i="23"/>
  <c r="E48" i="23" s="1"/>
  <c r="G48" i="23" s="1"/>
  <c r="G106" i="3"/>
  <c r="E112" i="1"/>
  <c r="G141" i="3"/>
  <c r="E146" i="1"/>
  <c r="G139" i="3"/>
  <c r="E144" i="1"/>
  <c r="G5" i="3"/>
  <c r="E11" i="1"/>
  <c r="E41" i="1"/>
  <c r="G35" i="3"/>
  <c r="E132" i="1"/>
  <c r="G127" i="3"/>
  <c r="F26" i="3"/>
  <c r="C26" i="23"/>
  <c r="E26" i="23" s="1"/>
  <c r="G26" i="23" s="1"/>
  <c r="G103" i="3"/>
  <c r="E109" i="1"/>
  <c r="G151" i="3"/>
  <c r="E156" i="1"/>
  <c r="G24" i="3"/>
  <c r="E30" i="1"/>
  <c r="G107" i="3"/>
  <c r="E113" i="1"/>
  <c r="G29" i="3"/>
  <c r="E35" i="1"/>
  <c r="E97" i="1"/>
  <c r="G91" i="3"/>
  <c r="E25" i="10" l="1"/>
  <c r="E8" i="10"/>
  <c r="E26" i="10"/>
  <c r="F29" i="10"/>
  <c r="E15" i="10"/>
  <c r="F12" i="10"/>
  <c r="F3" i="10"/>
  <c r="F109" i="3"/>
  <c r="C109" i="23"/>
  <c r="E109" i="23" s="1"/>
  <c r="G109" i="23" s="1"/>
  <c r="F17" i="10"/>
  <c r="D186" i="1"/>
  <c r="D181" i="23"/>
  <c r="E186" i="1" s="1"/>
  <c r="F19" i="10"/>
  <c r="F30" i="10"/>
  <c r="E2" i="10"/>
  <c r="E13" i="10"/>
  <c r="F18" i="10"/>
  <c r="F20" i="10"/>
  <c r="F14" i="10"/>
  <c r="E7" i="10"/>
  <c r="F6" i="10"/>
  <c r="F9" i="10"/>
  <c r="F10" i="10"/>
  <c r="F16" i="10"/>
  <c r="E28" i="10"/>
  <c r="C144" i="23"/>
  <c r="E144" i="23" s="1"/>
  <c r="G144" i="23" s="1"/>
  <c r="F24" i="10"/>
  <c r="F27" i="10"/>
  <c r="E22" i="10"/>
  <c r="F4" i="10"/>
  <c r="F31" i="10"/>
  <c r="E21" i="10"/>
  <c r="F15" i="3"/>
  <c r="F23" i="10"/>
  <c r="E5" i="10"/>
  <c r="C78" i="23"/>
  <c r="E78" i="23" s="1"/>
  <c r="G78" i="23" s="1"/>
  <c r="D175" i="23"/>
  <c r="E180" i="1" s="1"/>
  <c r="D180" i="1"/>
  <c r="F78" i="3"/>
  <c r="D161" i="23"/>
  <c r="E166" i="1" s="1"/>
  <c r="D168" i="1"/>
  <c r="E42" i="1"/>
  <c r="G36" i="3"/>
  <c r="G50" i="3"/>
  <c r="E56" i="1"/>
  <c r="E46" i="1"/>
  <c r="G40" i="3"/>
  <c r="E118" i="1"/>
  <c r="G112" i="3"/>
  <c r="G6" i="3"/>
  <c r="E12" i="1"/>
  <c r="G33" i="3"/>
  <c r="E39" i="1"/>
  <c r="G27" i="3"/>
  <c r="E33" i="1"/>
  <c r="G98" i="3"/>
  <c r="E104" i="1"/>
  <c r="G23" i="3"/>
  <c r="E29" i="1"/>
  <c r="E50" i="1"/>
  <c r="G44" i="3"/>
  <c r="G31" i="3"/>
  <c r="E37" i="1"/>
  <c r="G66" i="3"/>
  <c r="E72" i="1"/>
  <c r="G70" i="3"/>
  <c r="E76" i="1"/>
  <c r="E106" i="1"/>
  <c r="G100" i="3"/>
  <c r="E131" i="1"/>
  <c r="G126" i="3"/>
  <c r="G67" i="3"/>
  <c r="E73" i="1"/>
  <c r="G115" i="3"/>
  <c r="E121" i="1"/>
  <c r="E125" i="1"/>
  <c r="G119" i="3"/>
  <c r="G34" i="3"/>
  <c r="E40" i="1"/>
  <c r="G132" i="3"/>
  <c r="E137" i="1"/>
  <c r="E134" i="1"/>
  <c r="G129" i="3"/>
  <c r="G140" i="3"/>
  <c r="E145" i="1"/>
  <c r="G136" i="3"/>
  <c r="E141" i="1"/>
  <c r="G46" i="3"/>
  <c r="E52" i="1"/>
  <c r="E153" i="1"/>
  <c r="G148" i="3"/>
  <c r="E94" i="1"/>
  <c r="G88" i="3"/>
  <c r="E13" i="1"/>
  <c r="G7" i="3"/>
  <c r="E95" i="1"/>
  <c r="G89" i="3"/>
  <c r="G52" i="3"/>
  <c r="E58" i="1"/>
  <c r="G13" i="3"/>
  <c r="E19" i="1"/>
  <c r="G149" i="3"/>
  <c r="E154" i="1"/>
  <c r="E80" i="1"/>
  <c r="G74" i="3"/>
  <c r="G158" i="3"/>
  <c r="E163" i="1"/>
  <c r="E117" i="1"/>
  <c r="G111" i="3"/>
  <c r="G143" i="3"/>
  <c r="E148" i="1"/>
  <c r="E155" i="1"/>
  <c r="G150" i="3"/>
  <c r="E147" i="1"/>
  <c r="G142" i="3"/>
  <c r="E45" i="1"/>
  <c r="G39" i="3"/>
  <c r="G59" i="3"/>
  <c r="E65" i="1"/>
  <c r="G51" i="3"/>
  <c r="E57" i="1"/>
  <c r="E17" i="1"/>
  <c r="G11" i="3"/>
  <c r="D178" i="1"/>
  <c r="D173" i="23"/>
  <c r="E178" i="1" s="1"/>
  <c r="E24" i="1"/>
  <c r="G18" i="3"/>
  <c r="D176" i="23"/>
  <c r="E181" i="1" s="1"/>
  <c r="D181" i="1"/>
  <c r="E69" i="1"/>
  <c r="G63" i="3"/>
  <c r="G43" i="3"/>
  <c r="E49" i="1"/>
  <c r="E20" i="1"/>
  <c r="G14" i="3"/>
  <c r="G37" i="3"/>
  <c r="E43" i="1"/>
  <c r="E100" i="1"/>
  <c r="G94" i="3"/>
  <c r="G102" i="3"/>
  <c r="E108" i="1"/>
  <c r="G133" i="3"/>
  <c r="E138" i="1"/>
  <c r="E55" i="1"/>
  <c r="G49" i="3"/>
  <c r="G64" i="3"/>
  <c r="E70" i="1"/>
  <c r="G95" i="3"/>
  <c r="E101" i="1"/>
  <c r="G77" i="3"/>
  <c r="E83" i="1"/>
  <c r="G8" i="3"/>
  <c r="E14" i="1"/>
  <c r="E128" i="1"/>
  <c r="G123" i="3"/>
  <c r="B10" i="17"/>
  <c r="E23" i="1"/>
  <c r="G17" i="3"/>
  <c r="G4" i="3"/>
  <c r="E10" i="1"/>
  <c r="G92" i="3"/>
  <c r="E98" i="1"/>
  <c r="E25" i="1"/>
  <c r="G19" i="3"/>
  <c r="E18" i="1"/>
  <c r="G12" i="3"/>
  <c r="D172" i="1"/>
  <c r="D167" i="23"/>
  <c r="E172" i="1" s="1"/>
  <c r="D182" i="1"/>
  <c r="D177" i="23"/>
  <c r="E182" i="1" s="1"/>
  <c r="G41" i="3"/>
  <c r="E47" i="1"/>
  <c r="G152" i="3"/>
  <c r="E157" i="1"/>
  <c r="G80" i="3"/>
  <c r="E86" i="1"/>
  <c r="G58" i="3"/>
  <c r="E64" i="1"/>
  <c r="G155" i="3"/>
  <c r="E160" i="1"/>
  <c r="E68" i="1"/>
  <c r="G62" i="3"/>
  <c r="G120" i="3"/>
  <c r="E126" i="1"/>
  <c r="E96" i="1"/>
  <c r="G90" i="3"/>
  <c r="G47" i="3"/>
  <c r="E53" i="1"/>
  <c r="D169" i="23"/>
  <c r="E174" i="1" s="1"/>
  <c r="D174" i="1"/>
  <c r="G122" i="3"/>
  <c r="E127" i="1"/>
  <c r="E75" i="1"/>
  <c r="G69" i="3"/>
  <c r="E105" i="1"/>
  <c r="G99" i="3"/>
  <c r="E34" i="1"/>
  <c r="G28" i="3"/>
  <c r="E124" i="1"/>
  <c r="G118" i="3"/>
  <c r="G42" i="3"/>
  <c r="E48" i="1"/>
  <c r="E89" i="1"/>
  <c r="G83" i="3"/>
  <c r="G154" i="3"/>
  <c r="E159" i="1"/>
  <c r="G101" i="3"/>
  <c r="E107" i="1"/>
  <c r="E59" i="1"/>
  <c r="G53" i="3"/>
  <c r="E66" i="1"/>
  <c r="G60" i="3"/>
  <c r="E129" i="1"/>
  <c r="G124" i="3"/>
  <c r="G72" i="3"/>
  <c r="E78" i="1"/>
  <c r="G114" i="3"/>
  <c r="E120" i="1"/>
  <c r="E44" i="1"/>
  <c r="G38" i="3"/>
  <c r="E82" i="1"/>
  <c r="G76" i="3"/>
  <c r="E77" i="1"/>
  <c r="G71" i="3"/>
  <c r="E9" i="1"/>
  <c r="G3" i="3"/>
  <c r="E151" i="1"/>
  <c r="G146" i="3"/>
  <c r="G82" i="3"/>
  <c r="E88" i="1"/>
  <c r="E119" i="1"/>
  <c r="G113" i="3"/>
  <c r="E16" i="1"/>
  <c r="G10" i="3"/>
  <c r="E79" i="1"/>
  <c r="G73" i="3"/>
  <c r="E123" i="1"/>
  <c r="G117" i="3"/>
  <c r="E31" i="1"/>
  <c r="G25" i="3"/>
  <c r="C85" i="23"/>
  <c r="E85" i="23" s="1"/>
  <c r="G85" i="23" s="1"/>
  <c r="F85" i="3"/>
  <c r="F139" i="3"/>
  <c r="C138" i="23"/>
  <c r="E138" i="23" s="1"/>
  <c r="G138" i="23" s="1"/>
  <c r="F5" i="3"/>
  <c r="C5" i="23"/>
  <c r="E5" i="23" s="1"/>
  <c r="G5" i="23" s="1"/>
  <c r="F30" i="3"/>
  <c r="C30" i="23"/>
  <c r="E30" i="23" s="1"/>
  <c r="G30" i="23" s="1"/>
  <c r="C134" i="23"/>
  <c r="E134" i="23" s="1"/>
  <c r="G134" i="23" s="1"/>
  <c r="F135" i="3"/>
  <c r="C97" i="23"/>
  <c r="E97" i="23" s="1"/>
  <c r="G97" i="23" s="1"/>
  <c r="F97" i="3"/>
  <c r="F131" i="3"/>
  <c r="C130" i="23"/>
  <c r="E130" i="23" s="1"/>
  <c r="G130" i="23" s="1"/>
  <c r="C143" i="23"/>
  <c r="E143" i="23" s="1"/>
  <c r="G143" i="23" s="1"/>
  <c r="F144" i="3"/>
  <c r="F87" i="3"/>
  <c r="C87" i="23"/>
  <c r="E87" i="23" s="1"/>
  <c r="G87" i="23" s="1"/>
  <c r="C22" i="23"/>
  <c r="E22" i="23" s="1"/>
  <c r="G22" i="23" s="1"/>
  <c r="F22" i="3"/>
  <c r="F147" i="3"/>
  <c r="C146" i="23"/>
  <c r="E146" i="23" s="1"/>
  <c r="G146" i="23" s="1"/>
  <c r="C79" i="23"/>
  <c r="E79" i="23" s="1"/>
  <c r="G79" i="23" s="1"/>
  <c r="F79" i="3"/>
  <c r="F108" i="3"/>
  <c r="C108" i="23"/>
  <c r="E108" i="23" s="1"/>
  <c r="G108" i="23" s="1"/>
  <c r="F93" i="3"/>
  <c r="C93" i="23"/>
  <c r="E93" i="23" s="1"/>
  <c r="G93" i="23" s="1"/>
  <c r="F151" i="3"/>
  <c r="C150" i="23"/>
  <c r="E150" i="23" s="1"/>
  <c r="G150" i="23" s="1"/>
  <c r="F106" i="3"/>
  <c r="C106" i="23"/>
  <c r="E106" i="23" s="1"/>
  <c r="G106" i="23" s="1"/>
  <c r="F127" i="3"/>
  <c r="C126" i="23"/>
  <c r="E126" i="23" s="1"/>
  <c r="G126" i="23" s="1"/>
  <c r="F57" i="3"/>
  <c r="C57" i="23"/>
  <c r="E57" i="23" s="1"/>
  <c r="G57" i="23" s="1"/>
  <c r="C32" i="23"/>
  <c r="E32" i="23" s="1"/>
  <c r="G32" i="23" s="1"/>
  <c r="F32" i="3"/>
  <c r="C56" i="23"/>
  <c r="E56" i="23" s="1"/>
  <c r="G56" i="23" s="1"/>
  <c r="F56" i="3"/>
  <c r="C65" i="23"/>
  <c r="E65" i="23" s="1"/>
  <c r="G65" i="23" s="1"/>
  <c r="F65" i="3"/>
  <c r="F141" i="3"/>
  <c r="C140" i="23"/>
  <c r="E140" i="23" s="1"/>
  <c r="G140" i="23" s="1"/>
  <c r="C61" i="23"/>
  <c r="E61" i="23" s="1"/>
  <c r="G61" i="23" s="1"/>
  <c r="F61" i="3"/>
  <c r="F35" i="3"/>
  <c r="C35" i="23"/>
  <c r="E35" i="23" s="1"/>
  <c r="G35" i="23" s="1"/>
  <c r="F75" i="3"/>
  <c r="C75" i="23"/>
  <c r="E75" i="23" s="1"/>
  <c r="G75" i="23" s="1"/>
  <c r="F134" i="3"/>
  <c r="C133" i="23"/>
  <c r="E133" i="23" s="1"/>
  <c r="G133" i="23" s="1"/>
  <c r="F86" i="3"/>
  <c r="C86" i="23"/>
  <c r="E86" i="23" s="1"/>
  <c r="G86" i="23" s="1"/>
  <c r="C2" i="23"/>
  <c r="E2" i="23" s="1"/>
  <c r="G2" i="23" s="1"/>
  <c r="F2" i="3"/>
  <c r="C124" i="23"/>
  <c r="E124" i="23" s="1"/>
  <c r="G124" i="23" s="1"/>
  <c r="F125" i="3"/>
  <c r="F130" i="3"/>
  <c r="C129" i="23"/>
  <c r="E129" i="23" s="1"/>
  <c r="G129" i="23" s="1"/>
  <c r="C137" i="23"/>
  <c r="E137" i="23" s="1"/>
  <c r="G137" i="23" s="1"/>
  <c r="F138" i="3"/>
  <c r="C116" i="23"/>
  <c r="E116" i="23" s="1"/>
  <c r="G116" i="23" s="1"/>
  <c r="F116" i="3"/>
  <c r="F91" i="3"/>
  <c r="C91" i="23"/>
  <c r="E91" i="23" s="1"/>
  <c r="G91" i="23" s="1"/>
  <c r="C103" i="23"/>
  <c r="E103" i="23" s="1"/>
  <c r="G103" i="23" s="1"/>
  <c r="F103" i="3"/>
  <c r="F54" i="3"/>
  <c r="C54" i="23"/>
  <c r="E54" i="23" s="1"/>
  <c r="G54" i="23" s="1"/>
  <c r="F153" i="3"/>
  <c r="C152" i="23"/>
  <c r="E152" i="23" s="1"/>
  <c r="G152" i="23" s="1"/>
  <c r="F45" i="3"/>
  <c r="C45" i="23"/>
  <c r="E45" i="23" s="1"/>
  <c r="G45" i="23" s="1"/>
  <c r="C105" i="23"/>
  <c r="E105" i="23" s="1"/>
  <c r="G105" i="23" s="1"/>
  <c r="F105" i="3"/>
  <c r="C110" i="23"/>
  <c r="E110" i="23" s="1"/>
  <c r="G110" i="23" s="1"/>
  <c r="F110" i="3"/>
  <c r="C104" i="23"/>
  <c r="E104" i="23" s="1"/>
  <c r="G104" i="23" s="1"/>
  <c r="F104" i="3"/>
  <c r="F137" i="3"/>
  <c r="C136" i="23"/>
  <c r="E136" i="23" s="1"/>
  <c r="G136" i="23" s="1"/>
  <c r="F9" i="3"/>
  <c r="C9" i="23"/>
  <c r="E9" i="23" s="1"/>
  <c r="G9" i="23" s="1"/>
  <c r="C81" i="23"/>
  <c r="E81" i="23" s="1"/>
  <c r="G81" i="23" s="1"/>
  <c r="F81" i="3"/>
  <c r="F55" i="3"/>
  <c r="C55" i="23"/>
  <c r="E55" i="23" s="1"/>
  <c r="G55" i="23" s="1"/>
  <c r="C24" i="23"/>
  <c r="E24" i="23" s="1"/>
  <c r="G24" i="23" s="1"/>
  <c r="F24" i="3"/>
  <c r="F128" i="3"/>
  <c r="C127" i="23"/>
  <c r="E127" i="23" s="1"/>
  <c r="G127" i="23" s="1"/>
  <c r="F29" i="3"/>
  <c r="C29" i="23"/>
  <c r="E29" i="23" s="1"/>
  <c r="G29" i="23" s="1"/>
  <c r="F107" i="3"/>
  <c r="C107" i="23"/>
  <c r="E107" i="23" s="1"/>
  <c r="G107" i="23" s="1"/>
  <c r="F68" i="3"/>
  <c r="C68" i="23"/>
  <c r="E68" i="23" s="1"/>
  <c r="G68" i="23" s="1"/>
  <c r="F96" i="3"/>
  <c r="C96" i="23"/>
  <c r="E96" i="23" s="1"/>
  <c r="G96" i="23" s="1"/>
  <c r="C156" i="23"/>
  <c r="E156" i="23" s="1"/>
  <c r="G156" i="23" s="1"/>
  <c r="F157" i="3"/>
  <c r="E6" i="10" l="1"/>
  <c r="F82" i="3"/>
  <c r="E16" i="10"/>
  <c r="E27" i="10"/>
  <c r="E9" i="10"/>
  <c r="E12" i="10"/>
  <c r="E23" i="10"/>
  <c r="E17" i="10"/>
  <c r="E29" i="10"/>
  <c r="E31" i="10"/>
  <c r="E4" i="10"/>
  <c r="E14" i="10"/>
  <c r="E24" i="10"/>
  <c r="E20" i="10"/>
  <c r="E19" i="10"/>
  <c r="E10" i="10"/>
  <c r="E18" i="10"/>
  <c r="E3" i="10"/>
  <c r="E30" i="10"/>
  <c r="F4" i="3"/>
  <c r="C4" i="23"/>
  <c r="E4" i="23" s="1"/>
  <c r="G4" i="23" s="1"/>
  <c r="C73" i="23"/>
  <c r="E73" i="23" s="1"/>
  <c r="G73" i="23" s="1"/>
  <c r="F73" i="3"/>
  <c r="C42" i="23"/>
  <c r="E42" i="23" s="1"/>
  <c r="G42" i="23" s="1"/>
  <c r="F42" i="3"/>
  <c r="C154" i="23"/>
  <c r="E154" i="23" s="1"/>
  <c r="G154" i="23" s="1"/>
  <c r="F155" i="3"/>
  <c r="F64" i="3"/>
  <c r="C64" i="23"/>
  <c r="E64" i="23" s="1"/>
  <c r="G64" i="23" s="1"/>
  <c r="F37" i="3"/>
  <c r="C37" i="23"/>
  <c r="E37" i="23" s="1"/>
  <c r="G37" i="23" s="1"/>
  <c r="C7" i="23"/>
  <c r="E7" i="23" s="1"/>
  <c r="G7" i="23" s="1"/>
  <c r="F7" i="3"/>
  <c r="C128" i="23"/>
  <c r="E128" i="23" s="1"/>
  <c r="G128" i="23" s="1"/>
  <c r="F129" i="3"/>
  <c r="C125" i="23"/>
  <c r="E125" i="23" s="1"/>
  <c r="G125" i="23" s="1"/>
  <c r="F126" i="3"/>
  <c r="F23" i="3"/>
  <c r="C23" i="23"/>
  <c r="E23" i="23" s="1"/>
  <c r="G23" i="23" s="1"/>
  <c r="F112" i="3"/>
  <c r="C112" i="23"/>
  <c r="E112" i="23" s="1"/>
  <c r="G112" i="23" s="1"/>
  <c r="F10" i="3"/>
  <c r="C10" i="23"/>
  <c r="E10" i="23" s="1"/>
  <c r="G10" i="23" s="1"/>
  <c r="C40" i="23"/>
  <c r="E40" i="23" s="1"/>
  <c r="G40" i="23" s="1"/>
  <c r="F40" i="3"/>
  <c r="C117" i="23"/>
  <c r="E117" i="23" s="1"/>
  <c r="G117" i="23" s="1"/>
  <c r="F117" i="3"/>
  <c r="F89" i="3"/>
  <c r="C89" i="23"/>
  <c r="E89" i="23" s="1"/>
  <c r="G89" i="23" s="1"/>
  <c r="F74" i="3"/>
  <c r="C74" i="23"/>
  <c r="E74" i="23" s="1"/>
  <c r="G74" i="23" s="1"/>
  <c r="C141" i="23"/>
  <c r="E141" i="23" s="1"/>
  <c r="G141" i="23" s="1"/>
  <c r="F142" i="3"/>
  <c r="F76" i="3"/>
  <c r="C76" i="23"/>
  <c r="E76" i="23" s="1"/>
  <c r="G76" i="23" s="1"/>
  <c r="F49" i="3"/>
  <c r="C49" i="23"/>
  <c r="E49" i="23" s="1"/>
  <c r="G49" i="23" s="1"/>
  <c r="F14" i="3"/>
  <c r="C14" i="23"/>
  <c r="E14" i="23" s="1"/>
  <c r="G14" i="23" s="1"/>
  <c r="C11" i="23"/>
  <c r="E11" i="23" s="1"/>
  <c r="G11" i="23" s="1"/>
  <c r="F11" i="3"/>
  <c r="C148" i="23"/>
  <c r="E148" i="23" s="1"/>
  <c r="G148" i="23" s="1"/>
  <c r="F149" i="3"/>
  <c r="C34" i="23"/>
  <c r="E34" i="23" s="1"/>
  <c r="G34" i="23" s="1"/>
  <c r="F34" i="3"/>
  <c r="C98" i="23"/>
  <c r="E98" i="23" s="1"/>
  <c r="G98" i="23" s="1"/>
  <c r="F98" i="3"/>
  <c r="C50" i="23"/>
  <c r="E50" i="23" s="1"/>
  <c r="G50" i="23" s="1"/>
  <c r="F50" i="3"/>
  <c r="C69" i="23"/>
  <c r="E69" i="23" s="1"/>
  <c r="G69" i="23" s="1"/>
  <c r="F69" i="3"/>
  <c r="F3" i="3"/>
  <c r="C3" i="23"/>
  <c r="E3" i="23" s="1"/>
  <c r="G3" i="23" s="1"/>
  <c r="F60" i="3"/>
  <c r="C60" i="23"/>
  <c r="E60" i="23" s="1"/>
  <c r="G60" i="23" s="1"/>
  <c r="F113" i="3"/>
  <c r="C113" i="23"/>
  <c r="E113" i="23" s="1"/>
  <c r="G113" i="23" s="1"/>
  <c r="F53" i="3"/>
  <c r="C53" i="23"/>
  <c r="E53" i="23" s="1"/>
  <c r="G53" i="23" s="1"/>
  <c r="C47" i="23"/>
  <c r="E47" i="23" s="1"/>
  <c r="G47" i="23" s="1"/>
  <c r="F47" i="3"/>
  <c r="C12" i="23"/>
  <c r="E12" i="23" s="1"/>
  <c r="G12" i="23" s="1"/>
  <c r="F12" i="3"/>
  <c r="C132" i="23"/>
  <c r="E132" i="23" s="1"/>
  <c r="G132" i="23" s="1"/>
  <c r="F133" i="3"/>
  <c r="F43" i="3"/>
  <c r="C43" i="23"/>
  <c r="E43" i="23" s="1"/>
  <c r="G43" i="23" s="1"/>
  <c r="F51" i="3"/>
  <c r="C51" i="23"/>
  <c r="E51" i="23" s="1"/>
  <c r="G51" i="23" s="1"/>
  <c r="F150" i="3"/>
  <c r="C149" i="23"/>
  <c r="E149" i="23" s="1"/>
  <c r="G149" i="23" s="1"/>
  <c r="F148" i="3"/>
  <c r="C147" i="23"/>
  <c r="E147" i="23" s="1"/>
  <c r="G147" i="23" s="1"/>
  <c r="F70" i="3"/>
  <c r="C70" i="23"/>
  <c r="E70" i="23" s="1"/>
  <c r="G70" i="23" s="1"/>
  <c r="F39" i="3"/>
  <c r="C39" i="23"/>
  <c r="E39" i="23" s="1"/>
  <c r="G39" i="23" s="1"/>
  <c r="C83" i="23"/>
  <c r="E83" i="23" s="1"/>
  <c r="G83" i="23" s="1"/>
  <c r="F83" i="3"/>
  <c r="F18" i="3"/>
  <c r="C18" i="23"/>
  <c r="E18" i="23" s="1"/>
  <c r="G18" i="23" s="1"/>
  <c r="C28" i="23"/>
  <c r="E28" i="23" s="1"/>
  <c r="G28" i="23" s="1"/>
  <c r="F28" i="3"/>
  <c r="F80" i="3"/>
  <c r="C80" i="23"/>
  <c r="E80" i="23" s="1"/>
  <c r="G80" i="23" s="1"/>
  <c r="C122" i="23"/>
  <c r="E122" i="23" s="1"/>
  <c r="G122" i="23" s="1"/>
  <c r="F123" i="3"/>
  <c r="B11" i="17"/>
  <c r="F143" i="3"/>
  <c r="C142" i="23"/>
  <c r="E142" i="23" s="1"/>
  <c r="G142" i="23" s="1"/>
  <c r="C13" i="23"/>
  <c r="E13" i="23" s="1"/>
  <c r="G13" i="23" s="1"/>
  <c r="F13" i="3"/>
  <c r="F46" i="3"/>
  <c r="C46" i="23"/>
  <c r="E46" i="23" s="1"/>
  <c r="G46" i="23" s="1"/>
  <c r="F27" i="3"/>
  <c r="C27" i="23"/>
  <c r="E27" i="23" s="1"/>
  <c r="G27" i="23" s="1"/>
  <c r="C123" i="23"/>
  <c r="E123" i="23" s="1"/>
  <c r="G123" i="23" s="1"/>
  <c r="F124" i="3"/>
  <c r="C131" i="23"/>
  <c r="E131" i="23" s="1"/>
  <c r="G131" i="23" s="1"/>
  <c r="F132" i="3"/>
  <c r="F101" i="3"/>
  <c r="C101" i="23"/>
  <c r="E101" i="23" s="1"/>
  <c r="G101" i="23" s="1"/>
  <c r="C8" i="23"/>
  <c r="E8" i="23" s="1"/>
  <c r="G8" i="23" s="1"/>
  <c r="F8" i="3"/>
  <c r="C102" i="23"/>
  <c r="E102" i="23" s="1"/>
  <c r="G102" i="23" s="1"/>
  <c r="F102" i="3"/>
  <c r="F119" i="3"/>
  <c r="C119" i="23"/>
  <c r="E119" i="23" s="1"/>
  <c r="G119" i="23" s="1"/>
  <c r="F66" i="3"/>
  <c r="C66" i="23"/>
  <c r="E66" i="23" s="1"/>
  <c r="G66" i="23" s="1"/>
  <c r="F122" i="3"/>
  <c r="C121" i="23"/>
  <c r="E121" i="23" s="1"/>
  <c r="G121" i="23" s="1"/>
  <c r="F71" i="3"/>
  <c r="C71" i="23"/>
  <c r="E71" i="23" s="1"/>
  <c r="G71" i="23" s="1"/>
  <c r="F88" i="3"/>
  <c r="C88" i="23"/>
  <c r="E88" i="23" s="1"/>
  <c r="G88" i="23" s="1"/>
  <c r="F90" i="3"/>
  <c r="C90" i="23"/>
  <c r="E90" i="23" s="1"/>
  <c r="G90" i="23" s="1"/>
  <c r="F152" i="3"/>
  <c r="C151" i="23"/>
  <c r="E151" i="23" s="1"/>
  <c r="G151" i="23" s="1"/>
  <c r="C19" i="23"/>
  <c r="E19" i="23" s="1"/>
  <c r="G19" i="23" s="1"/>
  <c r="F19" i="3"/>
  <c r="C63" i="23"/>
  <c r="E63" i="23" s="1"/>
  <c r="G63" i="23" s="1"/>
  <c r="F63" i="3"/>
  <c r="F59" i="3"/>
  <c r="C59" i="23"/>
  <c r="E59" i="23" s="1"/>
  <c r="G59" i="23" s="1"/>
  <c r="C52" i="23"/>
  <c r="E52" i="23" s="1"/>
  <c r="G52" i="23" s="1"/>
  <c r="F52" i="3"/>
  <c r="F136" i="3"/>
  <c r="C135" i="23"/>
  <c r="E135" i="23" s="1"/>
  <c r="G135" i="23" s="1"/>
  <c r="C115" i="23"/>
  <c r="E115" i="23" s="1"/>
  <c r="G115" i="23" s="1"/>
  <c r="F115" i="3"/>
  <c r="C33" i="23"/>
  <c r="E33" i="23" s="1"/>
  <c r="G33" i="23" s="1"/>
  <c r="F33" i="3"/>
  <c r="F36" i="3"/>
  <c r="C36" i="23"/>
  <c r="E36" i="23" s="1"/>
  <c r="G36" i="23" s="1"/>
  <c r="C94" i="23"/>
  <c r="E94" i="23" s="1"/>
  <c r="G94" i="23" s="1"/>
  <c r="F94" i="3"/>
  <c r="C58" i="23"/>
  <c r="E58" i="23" s="1"/>
  <c r="G58" i="23" s="1"/>
  <c r="F58" i="3"/>
  <c r="C100" i="23"/>
  <c r="E100" i="23" s="1"/>
  <c r="G100" i="23" s="1"/>
  <c r="F100" i="3"/>
  <c r="F38" i="3"/>
  <c r="C38" i="23"/>
  <c r="E38" i="23" s="1"/>
  <c r="G38" i="23" s="1"/>
  <c r="F25" i="3"/>
  <c r="C25" i="23"/>
  <c r="E25" i="23" s="1"/>
  <c r="G25" i="23" s="1"/>
  <c r="F72" i="3"/>
  <c r="C72" i="23"/>
  <c r="E72" i="23" s="1"/>
  <c r="G72" i="23" s="1"/>
  <c r="F154" i="3"/>
  <c r="C153" i="23"/>
  <c r="E153" i="23" s="1"/>
  <c r="G153" i="23" s="1"/>
  <c r="C99" i="23"/>
  <c r="E99" i="23" s="1"/>
  <c r="G99" i="23" s="1"/>
  <c r="F99" i="3"/>
  <c r="C120" i="23"/>
  <c r="E120" i="23" s="1"/>
  <c r="G120" i="23" s="1"/>
  <c r="F120" i="3"/>
  <c r="C92" i="23"/>
  <c r="E92" i="23" s="1"/>
  <c r="G92" i="23" s="1"/>
  <c r="F92" i="3"/>
  <c r="C77" i="23"/>
  <c r="E77" i="23" s="1"/>
  <c r="G77" i="23" s="1"/>
  <c r="F77" i="3"/>
  <c r="C111" i="23"/>
  <c r="E111" i="23" s="1"/>
  <c r="G111" i="23" s="1"/>
  <c r="F111" i="3"/>
  <c r="F31" i="3"/>
  <c r="C31" i="23"/>
  <c r="E31" i="23" s="1"/>
  <c r="G31" i="23" s="1"/>
  <c r="F95" i="3"/>
  <c r="C95" i="23"/>
  <c r="E95" i="23" s="1"/>
  <c r="G95" i="23" s="1"/>
  <c r="C62" i="23"/>
  <c r="E62" i="23" s="1"/>
  <c r="G62" i="23" s="1"/>
  <c r="F62" i="3"/>
  <c r="C44" i="23"/>
  <c r="E44" i="23" s="1"/>
  <c r="G44" i="23" s="1"/>
  <c r="F44" i="3"/>
  <c r="C17" i="23"/>
  <c r="E17" i="23" s="1"/>
  <c r="G17" i="23" s="1"/>
  <c r="F17" i="3"/>
  <c r="F118" i="3"/>
  <c r="C118" i="23"/>
  <c r="E118" i="23" s="1"/>
  <c r="G118" i="23" s="1"/>
  <c r="C114" i="23"/>
  <c r="E114" i="23" s="1"/>
  <c r="G114" i="23" s="1"/>
  <c r="F114" i="3"/>
  <c r="F146" i="3"/>
  <c r="C145" i="23"/>
  <c r="E145" i="23" s="1"/>
  <c r="G145" i="23" s="1"/>
  <c r="F41" i="3"/>
  <c r="C41" i="23"/>
  <c r="E41" i="23" s="1"/>
  <c r="G41" i="23" s="1"/>
  <c r="C157" i="23"/>
  <c r="E157" i="23" s="1"/>
  <c r="G157" i="23" s="1"/>
  <c r="F158" i="3"/>
  <c r="C139" i="23"/>
  <c r="E139" i="23" s="1"/>
  <c r="G139" i="23" s="1"/>
  <c r="F140" i="3"/>
  <c r="C67" i="23"/>
  <c r="E67" i="23" s="1"/>
  <c r="G67" i="23" s="1"/>
  <c r="F67" i="3"/>
  <c r="F6" i="3"/>
  <c r="C6" i="23"/>
  <c r="E6" i="23" s="1"/>
  <c r="G6" i="23" s="1"/>
  <c r="B8" i="3"/>
  <c r="B9" i="3"/>
  <c r="B10" i="3"/>
  <c r="B11" i="3"/>
  <c r="B13" i="3"/>
  <c r="B14" i="3"/>
  <c r="B15" i="3"/>
  <c r="B23" i="3"/>
  <c r="B24" i="3"/>
  <c r="B25" i="3"/>
  <c r="B27" i="3"/>
  <c r="B40" i="3"/>
  <c r="B41" i="3"/>
  <c r="B43" i="3"/>
  <c r="B44" i="3"/>
  <c r="B51" i="3"/>
  <c r="B52" i="3"/>
  <c r="B53" i="3"/>
  <c r="B54" i="3"/>
  <c r="B55" i="3"/>
  <c r="B56" i="3"/>
  <c r="B57" i="3"/>
  <c r="B66" i="3"/>
  <c r="B67" i="3"/>
  <c r="B68" i="3"/>
  <c r="B69" i="3"/>
  <c r="B70" i="3"/>
  <c r="B71" i="3"/>
  <c r="B83" i="3"/>
  <c r="B84" i="3"/>
  <c r="B85" i="3"/>
  <c r="B86" i="3"/>
  <c r="B87" i="3"/>
  <c r="B97" i="3"/>
  <c r="B98" i="3"/>
  <c r="B109" i="3"/>
  <c r="B110" i="3"/>
  <c r="B111" i="3"/>
  <c r="B112" i="3"/>
  <c r="B113" i="3"/>
  <c r="B114" i="3"/>
  <c r="B115" i="3"/>
  <c r="B118" i="3"/>
  <c r="B120" i="3"/>
  <c r="B122" i="3"/>
  <c r="B123" i="3"/>
  <c r="B125" i="3"/>
  <c r="B127" i="3"/>
  <c r="B129" i="3"/>
  <c r="B130" i="3"/>
  <c r="B139" i="3"/>
  <c r="B141" i="3"/>
  <c r="B142" i="3"/>
  <c r="B143" i="3"/>
  <c r="B145" i="3"/>
  <c r="B148" i="3"/>
  <c r="B152" i="3"/>
  <c r="B154" i="3"/>
  <c r="B155" i="3"/>
  <c r="B157" i="3"/>
  <c r="B158" i="3"/>
  <c r="B3" i="3"/>
  <c r="B5" i="3"/>
  <c r="B6" i="3"/>
  <c r="B7" i="3"/>
  <c r="B16" i="3"/>
  <c r="B17" i="3"/>
  <c r="B18" i="3"/>
  <c r="B19" i="3"/>
  <c r="B20" i="3"/>
  <c r="B21" i="3"/>
  <c r="B22" i="3"/>
  <c r="B28" i="3"/>
  <c r="B29" i="3"/>
  <c r="B31" i="3"/>
  <c r="B32" i="3"/>
  <c r="B33" i="3"/>
  <c r="B34" i="3"/>
  <c r="B38" i="3"/>
  <c r="B45" i="3"/>
  <c r="B46" i="3"/>
  <c r="B47" i="3"/>
  <c r="B49" i="3"/>
  <c r="B50" i="3"/>
  <c r="B58" i="3"/>
  <c r="B59" i="3"/>
  <c r="B60" i="3"/>
  <c r="B62" i="3"/>
  <c r="B64" i="3"/>
  <c r="B65" i="3"/>
  <c r="B72" i="3"/>
  <c r="B73" i="3"/>
  <c r="B74" i="3"/>
  <c r="B76" i="3"/>
  <c r="B77" i="3"/>
  <c r="B78" i="3"/>
  <c r="B80" i="3"/>
  <c r="B90" i="3"/>
  <c r="B91" i="3"/>
  <c r="B92" i="3"/>
  <c r="B93" i="3"/>
  <c r="B94" i="3"/>
  <c r="B95" i="3"/>
  <c r="B96" i="3"/>
  <c r="B103" i="3"/>
  <c r="B104" i="3"/>
  <c r="B105" i="3"/>
  <c r="B106" i="3"/>
  <c r="B107" i="3"/>
  <c r="B108" i="3"/>
  <c r="B116" i="3"/>
  <c r="B117" i="3"/>
  <c r="B131" i="3"/>
  <c r="B132" i="3"/>
  <c r="B133" i="3"/>
  <c r="B136" i="3"/>
  <c r="B138" i="3"/>
  <c r="B149" i="3"/>
  <c r="B150" i="3"/>
  <c r="B151" i="3"/>
  <c r="B39" i="3" l="1"/>
  <c r="B32" i="10"/>
  <c r="B26" i="3"/>
  <c r="B124" i="3"/>
  <c r="B102" i="3"/>
  <c r="B100" i="3"/>
  <c r="B101" i="3"/>
  <c r="B146" i="3"/>
  <c r="B144" i="3"/>
  <c r="I2" i="10" l="1"/>
  <c r="I10" i="10"/>
  <c r="I18" i="10"/>
  <c r="I5" i="10"/>
  <c r="I17" i="10"/>
  <c r="I9" i="10"/>
  <c r="I26" i="10"/>
  <c r="I13" i="10"/>
  <c r="I6" i="10"/>
  <c r="I30" i="10"/>
  <c r="I25" i="10"/>
  <c r="I21" i="10"/>
  <c r="I14" i="10"/>
  <c r="I22" i="10"/>
  <c r="I29" i="10"/>
  <c r="I11" i="10"/>
  <c r="I3" i="10"/>
  <c r="I8" i="10"/>
  <c r="I19" i="10"/>
  <c r="I23" i="10"/>
  <c r="I16" i="10"/>
  <c r="I20" i="10"/>
  <c r="I31" i="10"/>
  <c r="I15" i="10"/>
  <c r="I12" i="10"/>
  <c r="I7" i="10"/>
  <c r="I4" i="10"/>
  <c r="I28" i="10"/>
  <c r="I27" i="10"/>
  <c r="I24" i="10"/>
  <c r="F171" i="10"/>
  <c r="K10" i="10" l="1"/>
  <c r="J10" i="10"/>
  <c r="L10" i="10"/>
  <c r="M10" i="10"/>
  <c r="K19" i="10"/>
  <c r="L19" i="10"/>
  <c r="M19" i="10"/>
  <c r="J19" i="10"/>
  <c r="K23" i="10"/>
  <c r="L23" i="10"/>
  <c r="M23" i="10"/>
  <c r="J23" i="10"/>
  <c r="M4" i="10"/>
  <c r="K4" i="10"/>
  <c r="J4" i="10"/>
  <c r="L4" i="10"/>
  <c r="L31" i="10"/>
  <c r="M31" i="10"/>
  <c r="J31" i="10"/>
  <c r="K31" i="10"/>
  <c r="J28" i="10"/>
  <c r="K28" i="10"/>
  <c r="L28" i="10"/>
  <c r="M28" i="10"/>
  <c r="K14" i="10"/>
  <c r="J14" i="10"/>
  <c r="L14" i="10"/>
  <c r="M14" i="10"/>
  <c r="J24" i="10"/>
  <c r="K24" i="10"/>
  <c r="L24" i="10"/>
  <c r="M24" i="10"/>
  <c r="K25" i="10"/>
  <c r="L25" i="10"/>
  <c r="M25" i="10"/>
  <c r="J25" i="10"/>
  <c r="K15" i="10"/>
  <c r="L15" i="10"/>
  <c r="M15" i="10"/>
  <c r="J15" i="10"/>
  <c r="K21" i="10"/>
  <c r="L21" i="10"/>
  <c r="M21" i="10"/>
  <c r="J21" i="10"/>
  <c r="K3" i="10"/>
  <c r="L3" i="10"/>
  <c r="J3" i="10"/>
  <c r="M3" i="10"/>
  <c r="J9" i="10"/>
  <c r="K9" i="10"/>
  <c r="L9" i="10"/>
  <c r="M9" i="10"/>
  <c r="K22" i="10"/>
  <c r="L22" i="10"/>
  <c r="J22" i="10"/>
  <c r="M22" i="10"/>
  <c r="K20" i="10"/>
  <c r="J20" i="10"/>
  <c r="L20" i="10"/>
  <c r="M20" i="10"/>
  <c r="M7" i="10"/>
  <c r="J7" i="10"/>
  <c r="K7" i="10"/>
  <c r="L7" i="10"/>
  <c r="L27" i="10"/>
  <c r="M27" i="10"/>
  <c r="J27" i="10"/>
  <c r="K27" i="10"/>
  <c r="K5" i="10"/>
  <c r="J5" i="10"/>
  <c r="L5" i="10"/>
  <c r="M5" i="10"/>
  <c r="J16" i="10"/>
  <c r="K16" i="10"/>
  <c r="M16" i="10"/>
  <c r="L16" i="10"/>
  <c r="J12" i="10"/>
  <c r="K12" i="10"/>
  <c r="L12" i="10"/>
  <c r="M12" i="10"/>
  <c r="K26" i="10"/>
  <c r="J26" i="10"/>
  <c r="L26" i="10"/>
  <c r="M26" i="10"/>
  <c r="L8" i="10"/>
  <c r="M8" i="10"/>
  <c r="J8" i="10"/>
  <c r="K8" i="10"/>
  <c r="K17" i="10"/>
  <c r="L17" i="10"/>
  <c r="M17" i="10"/>
  <c r="J17" i="10"/>
  <c r="K13" i="10"/>
  <c r="L13" i="10"/>
  <c r="M13" i="10"/>
  <c r="J13" i="10"/>
  <c r="M6" i="10"/>
  <c r="K6" i="10"/>
  <c r="L6" i="10"/>
  <c r="J6" i="10"/>
  <c r="K11" i="10"/>
  <c r="L11" i="10"/>
  <c r="M11" i="10"/>
  <c r="J11" i="10"/>
  <c r="M2" i="10"/>
  <c r="J2" i="10"/>
  <c r="L2" i="10"/>
  <c r="K2" i="10"/>
  <c r="I32" i="10"/>
  <c r="J18" i="10"/>
  <c r="K18" i="10"/>
  <c r="L18" i="10"/>
  <c r="M18" i="10"/>
  <c r="L29" i="10"/>
  <c r="M29" i="10"/>
  <c r="K29" i="10"/>
  <c r="J29" i="10"/>
  <c r="J30" i="10"/>
  <c r="L30" i="10"/>
  <c r="K30" i="10"/>
  <c r="M30" i="10"/>
  <c r="F180" i="10"/>
  <c r="F32" i="10" l="1"/>
  <c r="C171" i="10" s="1"/>
  <c r="D198" i="10" s="1"/>
  <c r="E32" i="10"/>
  <c r="B171" i="10" s="1"/>
  <c r="B198" i="10" s="1"/>
  <c r="D32" i="10"/>
  <c r="D171" i="10" s="1"/>
  <c r="G32" i="10"/>
  <c r="E171" i="10" s="1"/>
  <c r="D184" i="10" s="1"/>
  <c r="G178" i="10"/>
  <c r="G174" i="10"/>
  <c r="G179" i="10"/>
  <c r="G176" i="10"/>
  <c r="G172" i="10"/>
  <c r="G177" i="10"/>
  <c r="G173" i="10"/>
  <c r="G175" i="10"/>
  <c r="G171" i="10"/>
  <c r="C184" i="10" l="1"/>
  <c r="C198" i="10"/>
  <c r="B190" i="10"/>
  <c r="C190" i="10" s="1"/>
  <c r="B184" i="10"/>
  <c r="K171" i="10"/>
  <c r="H171" i="10"/>
  <c r="I171" i="10"/>
  <c r="J171" i="10"/>
  <c r="H174" i="10"/>
  <c r="J174" i="10"/>
  <c r="I174" i="10"/>
  <c r="K174" i="10"/>
  <c r="J175" i="10"/>
  <c r="H175" i="10"/>
  <c r="K175" i="10"/>
  <c r="I175" i="10"/>
  <c r="H173" i="10"/>
  <c r="I173" i="10"/>
  <c r="J173" i="10"/>
  <c r="K173" i="10"/>
  <c r="I177" i="10"/>
  <c r="J177" i="10"/>
  <c r="K177" i="10"/>
  <c r="H177" i="10"/>
  <c r="K172" i="10"/>
  <c r="I172" i="10"/>
  <c r="J172" i="10"/>
  <c r="H172" i="10"/>
  <c r="D190" i="10"/>
  <c r="J176" i="10"/>
  <c r="I176" i="10"/>
  <c r="K176" i="10"/>
  <c r="H176" i="10"/>
  <c r="I179" i="10"/>
  <c r="K179" i="10"/>
  <c r="H179" i="10"/>
  <c r="J179" i="10"/>
  <c r="H178" i="10"/>
  <c r="I178" i="10"/>
  <c r="K178" i="10"/>
  <c r="J178" i="10"/>
  <c r="C180" i="10" l="1"/>
  <c r="E180" i="10"/>
  <c r="D194" i="10" s="1"/>
  <c r="B180" i="10"/>
  <c r="B194" i="10" s="1"/>
  <c r="D180" i="10"/>
  <c r="C19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<sst xmlns="http://schemas.openxmlformats.org/spreadsheetml/2006/main" count="3968" uniqueCount="663">
  <si>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</si>
  <si>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</si>
  <si>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</si>
  <si>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</si>
  <si>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</si>
  <si>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</si>
  <si>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</si>
  <si>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</si>
  <si>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</si>
  <si>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</si>
  <si>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</si>
  <si>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</si>
  <si>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</si>
  <si>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</si>
  <si>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</si>
  <si>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</si>
  <si>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</si>
  <si>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</si>
  <si>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</si>
  <si>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</si>
  <si>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</si>
  <si>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</si>
  <si>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</si>
  <si>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</si>
  <si>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</si>
  <si>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</si>
  <si>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</si>
  <si>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</si>
  <si>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</si>
  <si>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</si>
  <si>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</si>
  <si>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</si>
  <si>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</si>
  <si>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</si>
  <si>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</si>
  <si>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</si>
  <si>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</si>
  <si>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</si>
  <si>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</si>
  <si>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</si>
  <si>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</si>
  <si>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</si>
  <si>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</si>
  <si>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</si>
  <si>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</si>
  <si>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</si>
  <si>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</si>
  <si>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</si>
  <si>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</si>
  <si>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</si>
  <si>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</si>
  <si>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</si>
  <si>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</si>
  <si>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</si>
  <si>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</si>
  <si>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</si>
  <si>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</si>
  <si>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</si>
  <si>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</si>
  <si>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</si>
  <si>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</si>
  <si>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</si>
  <si>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</si>
  <si>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</si>
  <si>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</si>
  <si>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</si>
  <si>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</si>
  <si>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</si>
  <si>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</si>
  <si>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</si>
  <si>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</si>
  <si>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</si>
  <si>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</si>
  <si>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Yes</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</si>
  <si>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</si>
  <si>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</si>
  <si>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</si>
  <si>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</si>
  <si>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</si>
  <si>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</si>
  <si>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</si>
  <si>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</si>
  <si>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</si>
  <si>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</si>
  <si>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</si>
  <si>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</si>
  <si>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</si>
  <si>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</si>
  <si>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</si>
  <si>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</si>
  <si>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</si>
  <si>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</si>
  <si>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</si>
  <si>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</si>
  <si>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</si>
  <si>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</si>
  <si>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</si>
  <si>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</si>
  <si>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</si>
  <si>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</si>
  <si>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</si>
  <si>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</si>
  <si>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</si>
  <si>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</si>
  <si>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</si>
  <si>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</si>
  <si>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</si>
  <si>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</si>
  <si>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</si>
  <si>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</si>
  <si>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</si>
  <si>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</si>
  <si>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</si>
  <si>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</si>
  <si>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</si>
  <si>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</si>
  <si>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</si>
  <si>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</si>
  <si>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</si>
  <si>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</si>
  <si>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</si>
  <si>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</si>
  <si>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</si>
  <si>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</si>
  <si>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</si>
  <si>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</si>
  <si>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</si>
  <si>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</si>
  <si>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</si>
  <si>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</si>
  <si>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</si>
  <si>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</si>
  <si>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</si>
  <si>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</si>
  <si>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</si>
  <si>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</si>
  <si>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</si>
  <si>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</si>
  <si>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</si>
  <si>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</si>
  <si>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</si>
  <si>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</si>
  <si>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</si>
  <si>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</si>
  <si>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Bosnia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</si>
  <si>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</si>
  <si>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</si>
  <si>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</si>
  <si>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</si>
  <si>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</si>
  <si>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</si>
  <si>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</si>
  <si>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</si>
  <si>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</si>
  <si>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</si>
  <si>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</si>
  <si>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</si>
  <si>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</si>
  <si>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</si>
  <si>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</si>
  <si>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</si>
  <si>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</si>
  <si>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</si>
  <si>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</si>
  <si>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</si>
  <si>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</si>
  <si>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</si>
  <si>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</si>
  <si>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</si>
  <si>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</si>
  <si>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</si>
  <si>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</si>
  <si>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</si>
  <si>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</si>
  <si>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</si>
  <si>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</si>
  <si>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</si>
  <si>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</si>
  <si>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</si>
  <si>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</si>
  <si>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</si>
  <si>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</si>
  <si>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</si>
  <si>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</si>
  <si>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</si>
  <si>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</si>
  <si>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</si>
  <si>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</si>
  <si>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</si>
  <si>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</si>
  <si>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</si>
  <si>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</si>
  <si>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</si>
  <si>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</si>
  <si>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</si>
  <si>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</si>
  <si>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</si>
  <si>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</si>
  <si>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</si>
  <si>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</si>
  <si>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</si>
  <si>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</si>
  <si>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</si>
  <si>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</si>
  <si>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</si>
  <si>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</si>
  <si>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</si>
  <si>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</si>
  <si>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</si>
  <si>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</si>
  <si>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</si>
  <si>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</si>
  <si>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</si>
  <si>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</si>
  <si>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</si>
  <si>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</si>
  <si>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</si>
  <si>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</si>
  <si>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</si>
  <si>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</si>
  <si>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</si>
  <si>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</si>
  <si>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</si>
  <si>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</si>
  <si>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</si>
  <si>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</si>
  <si>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</si>
  <si>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</si>
  <si>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</si>
  <si>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</si>
  <si>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</si>
  <si>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</si>
  <si>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</si>
  <si>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</si>
  <si>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</si>
  <si>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</si>
  <si>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</si>
  <si>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</si>
  <si>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</si>
  <si>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</si>
  <si>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</si>
  <si>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</si>
  <si>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</si>
  <si>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</si>
  <si>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</si>
  <si>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</si>
  <si>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</si>
  <si>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</si>
  <si>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</si>
  <si>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</si>
  <si>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</si>
  <si>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</si>
  <si>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</si>
  <si>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</si>
  <si>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</si>
  <si>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</si>
  <si>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</si>
  <si>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</si>
  <si>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</si>
  <si>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</si>
  <si>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</si>
  <si>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</si>
  <si>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</si>
  <si>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</si>
  <si>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</si>
  <si>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</si>
  <si>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</si>
  <si>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</si>
  <si>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</si>
  <si>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</si>
  <si>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</si>
  <si>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</si>
  <si>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Ras Al Kaminah</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</si>
  <si>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</si>
  <si>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</si>
  <si>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</si>
  <si>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</si>
  <si>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</si>
  <si>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</si>
  <si>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</si>
  <si>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</si>
  <si>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</si>
  <si>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</si>
  <si>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</si>
  <si>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</si>
  <si>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</si>
  <si>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</si>
  <si>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</si>
  <si>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</si>
  <si>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</si>
  <si>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</si>
  <si>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</si>
  <si>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</si>
  <si>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</si>
  <si>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</si>
  <si>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</si>
  <si>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</si>
  <si>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Turks and Caicos</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</si>
  <si>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</si>
  <si>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</si>
  <si>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</si>
  <si>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</si>
  <si>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</si>
  <si>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</si>
  <si>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</si>
  <si>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</si>
  <si>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</si>
  <si>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</si>
  <si>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</si>
  <si>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</si>
  <si>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</si>
  <si>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</si>
  <si>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</si>
  <si>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</si>
  <si>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</si>
  <si>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</si>
  <si>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</si>
  <si>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</si>
  <si>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</si>
  <si>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</si>
  <si>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</si>
  <si>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</si>
  <si>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</si>
  <si>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</si>
  <si>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</si>
  <si>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</si>
  <si>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</si>
  <si>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</si>
  <si>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</si>
  <si>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</si>
  <si>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</si>
  <si>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</si>
  <si>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</si>
  <si>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</si>
  <si>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</si>
  <si>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</si>
  <si>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</si>
  <si>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</si>
  <si>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</si>
  <si>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</si>
  <si>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</si>
  <si>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Kazakhastan</t>
  </si>
  <si>
    <t>Laos</t>
  </si>
  <si>
    <t>Palestine</t>
  </si>
  <si>
    <t>UAE</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</si>
  <si>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</si>
  <si>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</si>
  <si>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</si>
  <si>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</si>
  <si>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</si>
  <si>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</si>
  <si>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</si>
  <si>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</si>
  <si>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</si>
  <si>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</si>
  <si>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</si>
  <si>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</si>
  <si>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</si>
  <si>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</si>
  <si>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</si>
  <si>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Index:</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</si>
  <si>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</si>
  <si>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</si>
  <si>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</si>
  <si>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</si>
  <si>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</si>
  <si>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</si>
  <si>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</si>
  <si>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</si>
  <si>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</si>
  <si>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</si>
  <si>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</si>
  <si>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Frontier Markets (no sovereign ratings)</t>
  </si>
  <si>
    <t>PRS Composite Risk Score</t>
  </si>
  <si>
    <t>CRP</t>
  </si>
  <si>
    <t>CDS</t>
  </si>
  <si>
    <t>Sovereign CDS, net of US</t>
  </si>
  <si>
    <t>Std deviation in Equities (weekly)</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</si>
  <si>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</si>
  <si>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</si>
  <si>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</si>
  <si>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</si>
  <si>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</si>
  <si>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</si>
  <si>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</si>
  <si>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</si>
  <si>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</si>
  <si>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</si>
  <si>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</si>
  <si>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</si>
  <si>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</si>
  <si>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</si>
  <si>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</si>
  <si>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</si>
  <si>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</si>
  <si>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</si>
  <si>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</si>
  <si>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</si>
  <si>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</si>
  <si>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</si>
  <si>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</si>
  <si>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</si>
  <si>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</si>
  <si>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</si>
  <si>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</si>
  <si>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</si>
  <si>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</si>
  <si>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</si>
  <si>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</si>
  <si>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</si>
  <si>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</si>
  <si>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</si>
  <si>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</si>
  <si>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</si>
  <si>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</si>
  <si>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</si>
  <si>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</si>
  <si>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</si>
  <si>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</si>
  <si>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</si>
  <si>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</si>
  <si>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</si>
  <si>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</si>
  <si>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</si>
  <si>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</si>
  <si>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</si>
  <si>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</si>
  <si>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</si>
  <si>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</si>
  <si>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</si>
  <si>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</si>
  <si>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</si>
  <si>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</si>
  <si>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</si>
  <si>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</si>
  <si>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</si>
  <si>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</si>
  <si>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</si>
  <si>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</si>
  <si>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</si>
  <si>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</si>
  <si>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</si>
  <si>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</si>
  <si>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</si>
  <si>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</si>
  <si>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</si>
  <si>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</si>
  <si>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</si>
  <si>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</si>
  <si>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</si>
  <si>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</si>
  <si>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</si>
  <si>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</si>
  <si>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</si>
  <si>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</si>
  <si>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</si>
  <si>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Guatamela</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</si>
  <si>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</si>
  <si>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</si>
  <si>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</si>
  <si>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</si>
  <si>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</si>
  <si>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</si>
  <si>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</si>
  <si>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</si>
  <si>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</si>
  <si>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</si>
  <si>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</si>
  <si>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</si>
  <si>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</si>
  <si>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</si>
  <si>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</si>
  <si>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</si>
  <si>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</si>
  <si>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</si>
  <si>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</si>
  <si>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</si>
  <si>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</si>
  <si>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</si>
  <si>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</si>
  <si>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</si>
  <si>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</si>
  <si>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</si>
  <si>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</si>
  <si>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</si>
  <si>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</si>
  <si>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</si>
  <si>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</si>
  <si>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</si>
  <si>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</si>
  <si>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</si>
  <si>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</si>
  <si>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</si>
  <si>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</si>
  <si>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</si>
  <si>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</si>
  <si>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</si>
  <si>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</si>
  <si>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European Union</t>
  </si>
  <si>
    <r>
      <t>s</t>
    </r>
    <r>
      <rPr>
        <i/>
        <vertAlign val="subscript"/>
        <sz val="12"/>
        <color indexed="8"/>
        <rFont val="Calibri"/>
        <family val="2"/>
      </rPr>
      <t>Bond</t>
    </r>
  </si>
  <si>
    <r>
      <t>s</t>
    </r>
    <r>
      <rPr>
        <i/>
        <vertAlign val="subscript"/>
        <sz val="12"/>
        <color indexed="8"/>
        <rFont val="Calibri"/>
        <family val="2"/>
      </rPr>
      <t xml:space="preserve">Equity/ </t>
    </r>
    <r>
      <rPr>
        <i/>
        <sz val="12"/>
        <color indexed="8"/>
        <rFont val="Symbol"/>
        <charset val="2"/>
      </rPr>
      <t>s</t>
    </r>
    <r>
      <rPr>
        <i/>
        <vertAlign val="subscript"/>
        <sz val="12"/>
        <color indexed="8"/>
        <rFont val="Calibri"/>
        <family val="2"/>
      </rPr>
      <t>Bond</t>
    </r>
  </si>
  <si>
    <r>
      <t>s</t>
    </r>
    <r>
      <rPr>
        <i/>
        <sz val="12"/>
        <color indexed="8"/>
        <rFont val="Calibri"/>
        <family val="2"/>
      </rPr>
      <t xml:space="preserve"> (CDS)</t>
    </r>
  </si>
  <si>
    <r>
      <t>s</t>
    </r>
    <r>
      <rPr>
        <i/>
        <vertAlign val="subscript"/>
        <sz val="12"/>
        <color indexed="8"/>
        <rFont val="Symbol"/>
        <charset val="2"/>
      </rPr>
      <t>E</t>
    </r>
    <r>
      <rPr>
        <i/>
        <vertAlign val="subscript"/>
        <sz val="12"/>
        <color indexed="8"/>
        <rFont val="Calibri"/>
        <family val="2"/>
      </rPr>
      <t>quity/</t>
    </r>
    <r>
      <rPr>
        <i/>
        <vertAlign val="subscript"/>
        <sz val="12"/>
        <color indexed="8"/>
        <rFont val="Symbol"/>
        <charset val="2"/>
      </rPr>
      <t xml:space="preserve"> </t>
    </r>
    <r>
      <rPr>
        <i/>
        <sz val="12"/>
        <color indexed="8"/>
        <rFont val="Symbol"/>
        <charset val="2"/>
      </rPr>
      <t>s</t>
    </r>
    <r>
      <rPr>
        <i/>
        <vertAlign val="subscript"/>
        <sz val="12"/>
        <color indexed="8"/>
        <rFont val="Calibri"/>
        <family val="2"/>
      </rPr>
      <t>CDS</t>
    </r>
  </si>
  <si>
    <t>Guatemela</t>
  </si>
  <si>
    <t>Average Tax Rate</t>
  </si>
  <si>
    <t>Bahamas, The</t>
  </si>
  <si>
    <t>Cabo Verde</t>
  </si>
  <si>
    <t>Congo, Dem. Rep.</t>
  </si>
  <si>
    <t>Congo, Rep.</t>
  </si>
  <si>
    <t>Egypt, Arab Rep.</t>
  </si>
  <si>
    <t>Korea, Rep.</t>
  </si>
  <si>
    <t>Lao PDR</t>
  </si>
  <si>
    <t>Nauru</t>
  </si>
  <si>
    <t>Russian Federation</t>
  </si>
  <si>
    <t>Slovak Republic</t>
  </si>
  <si>
    <t>GDP (in billions)</t>
  </si>
  <si>
    <t>New Caledonia</t>
  </si>
  <si>
    <t>French Polynesia</t>
  </si>
  <si>
    <t>-</t>
  </si>
  <si>
    <t>Turkiye</t>
  </si>
  <si>
    <t>Std Dev (BMI)</t>
  </si>
  <si>
    <t>REL VOL</t>
  </si>
  <si>
    <t>Average Relative Volatility</t>
  </si>
  <si>
    <t>https://www.spglobal.com/spdji/en/indices/equity/sp-emerging-bmi/#overview</t>
  </si>
  <si>
    <t>Five years</t>
  </si>
  <si>
    <t>https://pages.stern.nyu.edu/~adamodar/pc/implprem/ERPbymonth.xls</t>
  </si>
  <si>
    <t>https://papers.ssrn.com/sol3/papers.cfm?abstract_id=4398884</t>
  </si>
  <si>
    <t>(June 30, 2018 - June 30, 2023)</t>
  </si>
  <si>
    <t>China, Peoples' Rep.</t>
  </si>
  <si>
    <t xml:space="preserve"> Default Spread (1/1/23)</t>
  </si>
  <si>
    <t>Country Name</t>
  </si>
  <si>
    <t>Africa Eastern and Southern</t>
  </si>
  <si>
    <t>Africa Western and Central</t>
  </si>
  <si>
    <t>Arab World</t>
  </si>
  <si>
    <t>Central Europe and the Baltics</t>
  </si>
  <si>
    <t>Channel Islands</t>
  </si>
  <si>
    <t>Caribbean small states</t>
  </si>
  <si>
    <t>Czechia</t>
  </si>
  <si>
    <t>East Asia &amp; Pacific (excluding high income)</t>
  </si>
  <si>
    <t>Early-demographic dividend</t>
  </si>
  <si>
    <t>East Asia &amp; Pacific</t>
  </si>
  <si>
    <t>Europe &amp; Central Asia (excluding high income)</t>
  </si>
  <si>
    <t>Europe &amp; Central Asia</t>
  </si>
  <si>
    <t>Euro area</t>
  </si>
  <si>
    <t>Eritrea</t>
  </si>
  <si>
    <t>Fragile and conflict affected situations</t>
  </si>
  <si>
    <t>High income</t>
  </si>
  <si>
    <t>Heavily indebted poor countries (HIPC)</t>
  </si>
  <si>
    <t>IBRD only</t>
  </si>
  <si>
    <t>IDA &amp; IBRD total</t>
  </si>
  <si>
    <t>IDA total</t>
  </si>
  <si>
    <t>IDA blend</t>
  </si>
  <si>
    <t>IDA only</t>
  </si>
  <si>
    <t>Not classified</t>
  </si>
  <si>
    <t>Latin America &amp; Caribbean (excluding high income)</t>
  </si>
  <si>
    <t>Least developed countries: UN classification</t>
  </si>
  <si>
    <t>Low income</t>
  </si>
  <si>
    <t>Lower middle income</t>
  </si>
  <si>
    <t>Low &amp; middle income</t>
  </si>
  <si>
    <t>Late-demographic dividend</t>
  </si>
  <si>
    <t>St. Martin (French part)</t>
  </si>
  <si>
    <t>Middle East &amp; North Africa</t>
  </si>
  <si>
    <t>Middle income</t>
  </si>
  <si>
    <t>Middle East &amp; North Africa (excluding high income)</t>
  </si>
  <si>
    <t>OECD members</t>
  </si>
  <si>
    <t>Other small states</t>
  </si>
  <si>
    <t>Pre-demographic dividend</t>
  </si>
  <si>
    <t>Korea, Dem. People's Rep.</t>
  </si>
  <si>
    <t>Pacific island small states</t>
  </si>
  <si>
    <t>Post-demographic dividend</t>
  </si>
  <si>
    <t>South Asia</t>
  </si>
  <si>
    <t>Sub-Saharan Africa (excluding high income)</t>
  </si>
  <si>
    <t>South Sudan</t>
  </si>
  <si>
    <t>Sub-Saharan Africa</t>
  </si>
  <si>
    <t>Small states</t>
  </si>
  <si>
    <t>Sao Tome and Principe</t>
  </si>
  <si>
    <t>Syrian Arab Republic</t>
  </si>
  <si>
    <t>East Asia &amp; Pacific (IDA &amp; IBRD countries)</t>
  </si>
  <si>
    <t>Europe &amp; Central Asia (IDA &amp; IBRD countries)</t>
  </si>
  <si>
    <t>Latin America &amp; the Caribbean (IDA &amp; IBRD countries)</t>
  </si>
  <si>
    <t>Middle East &amp; North Africa (IDA &amp; IBRD countries)</t>
  </si>
  <si>
    <t>South Asia (IDA &amp; IBRD)</t>
  </si>
  <si>
    <t>Sub-Saharan Africa (IDA &amp; IBRD countries)</t>
  </si>
  <si>
    <t>Upper middle income</t>
  </si>
  <si>
    <t>Venezuela, RB</t>
  </si>
  <si>
    <t>British Virgin Islands</t>
  </si>
  <si>
    <t>World</t>
  </si>
  <si>
    <t>GDP (in millions) in 2022</t>
  </si>
  <si>
    <t>Date</t>
  </si>
  <si>
    <t>iShares JP Morgan USD Emerging Markets Bond ETF</t>
  </si>
  <si>
    <t>https://finance.yahoo.com/quote/EMB/</t>
  </si>
  <si>
    <t>Yahoo!</t>
  </si>
  <si>
    <t>Std Dev (JPM Sov Bond)</t>
  </si>
  <si>
    <r>
      <rPr>
        <b/>
        <sz val="10"/>
        <rFont val="Helvetica"/>
        <family val="2"/>
      </rPr>
      <t>Estimation note</t>
    </r>
    <r>
      <rPr>
        <sz val="10"/>
        <rFont val="Helvetica"/>
        <family val="2"/>
      </rPr>
      <t>: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r>
  </si>
  <si>
    <t>Looked up for 2022</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</si>
  <si>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iShares Emerging Market Bond Index standard deviation</t>
    </r>
  </si>
  <si>
    <t>Relative Equity Market Volatility</t>
  </si>
  <si>
    <t>Mature Marlet Premium</t>
  </si>
  <si>
    <t>Sovereign Ratings</t>
  </si>
  <si>
    <t>Default Spreads</t>
  </si>
  <si>
    <t>Update Notes</t>
  </si>
  <si>
    <r>
      <t xml:space="preserve">The default spreads have dropped as some of the market fears from the start of 2023 have subsdied. The change in default spredas is computed by looking at percentage changes in sovereign CDS spreads over the period&gt;. (See </t>
    </r>
    <r>
      <rPr>
        <b/>
        <sz val="12"/>
        <rFont val="Geneva"/>
        <family val="2"/>
      </rPr>
      <t>Default Spreads for Ratings</t>
    </r>
    <r>
      <rPr>
        <sz val="12"/>
        <rFont val="Geneva"/>
        <family val="2"/>
        <charset val="1"/>
      </rPr>
      <t xml:space="preserve"> worksheet)</t>
    </r>
  </si>
  <si>
    <r>
      <t xml:space="preserve">The ratings (Moody's and S&amp;P)  have been updated to reflect the most recent ratings. (See </t>
    </r>
    <r>
      <rPr>
        <b/>
        <sz val="12"/>
        <rFont val="Geneva"/>
        <family val="2"/>
      </rPr>
      <t>Ratings Worksheet</t>
    </r>
    <r>
      <rPr>
        <sz val="12"/>
        <rFont val="Geneva"/>
        <family val="2"/>
        <charset val="1"/>
      </rPr>
      <t>)</t>
    </r>
  </si>
  <si>
    <r>
      <t>The implied equity risk premium for the S&amp;P 500, which is my base premium dropped to 5% in this update. You can review the calcualtion in this spreadsheet. (</t>
    </r>
    <r>
      <rPr>
        <b/>
        <sz val="12"/>
        <rFont val="Helvetica"/>
        <family val="2"/>
      </rPr>
      <t>https://pages.stern.nyu.edu/~adamodar/pc/implprem/ERPJuly23.xlsx</t>
    </r>
    <r>
      <rPr>
        <sz val="12"/>
        <rFont val="Helvetica"/>
        <family val="2"/>
      </rPr>
      <t>)</t>
    </r>
  </si>
  <si>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</si>
  <si>
    <t>Bottom Line</t>
  </si>
  <si>
    <t>The combination of a lower base mature market premium and lower sovereign default spreads has led to lower equity risk premiums across the board, a climb down from historically high numbers at the start of the year.</t>
  </si>
  <si>
    <t>https://data.worldbank.org/indicator/NY.GDP.MKTP.CD</t>
  </si>
  <si>
    <t>EMEA</t>
  </si>
  <si>
    <t>For other regional groupings</t>
  </si>
  <si>
    <t>Adj Close</t>
  </si>
  <si>
    <t>Congo (DRC)</t>
  </si>
  <si>
    <t>Congo-Brazzaville</t>
  </si>
  <si>
    <t>Cote d’Ivoire</t>
  </si>
  <si>
    <t>Falkland Islands (The)</t>
  </si>
  <si>
    <t>Ras Al Khaimah</t>
  </si>
  <si>
    <t>St Helena</t>
  </si>
  <si>
    <t>AA/Stable/A-1+</t>
  </si>
  <si>
    <t>B+/Positive/B</t>
  </si>
  <si>
    <t>BBB+/Positive/A-2</t>
  </si>
  <si>
    <t>B-/Stable/B</t>
  </si>
  <si>
    <t>CCC-/Negative/C</t>
  </si>
  <si>
    <t>BB-/Stable/B</t>
  </si>
  <si>
    <t>BBB/Stable/A-2</t>
  </si>
  <si>
    <t>AAA/Stable/A-1+</t>
  </si>
  <si>
    <t>AA+/Stable/A-1+</t>
  </si>
  <si>
    <t>BB+/Stable/B</t>
  </si>
  <si>
    <t>B+/Stable/B</t>
  </si>
  <si>
    <t>BB-/Negative/B</t>
  </si>
  <si>
    <t>B-/Positive/B</t>
  </si>
  <si>
    <t>A+/Stable/A-1</t>
  </si>
  <si>
    <t>CCC+/Negative/C</t>
  </si>
  <si>
    <t>BBB+/Stable/A-2</t>
  </si>
  <si>
    <t>BB-/Positive/B</t>
  </si>
  <si>
    <t>BBB/Positive/A-2</t>
  </si>
  <si>
    <t>CCC+/Stable/C</t>
  </si>
  <si>
    <t>A/Negative/A-1</t>
  </si>
  <si>
    <t>BBB-/Stable/A-3</t>
  </si>
  <si>
    <t>AA-/Stable/A-1+</t>
  </si>
  <si>
    <t>BB/Stable/B</t>
  </si>
  <si>
    <t>AA-/Negative/A-1+</t>
  </si>
  <si>
    <t>CCC/Negative/C</t>
  </si>
  <si>
    <t>AA/Negative/A-1+</t>
  </si>
  <si>
    <t>SD/--/SD</t>
  </si>
  <si>
    <t>B/Negative/B</t>
  </si>
  <si>
    <t>A+/Negative/A-1</t>
  </si>
  <si>
    <t>A-/Stable/A-2</t>
  </si>
  <si>
    <t>B/Stable/B</t>
  </si>
  <si>
    <t>BBB/Negative/A-2</t>
  </si>
  <si>
    <t>A-/Positive/A-2</t>
  </si>
  <si>
    <t>A/Stable/A-1</t>
  </si>
  <si>
    <t>B/Positive/B</t>
  </si>
  <si>
    <t>LOCAL CURRENCY RATINGS (LT/OUTLOOK/ST) </t>
  </si>
  <si>
    <t>CC/Negative/C</t>
  </si>
  <si>
    <t>BBB+/Negative/A-2</t>
  </si>
  <si>
    <t>FOREIGN CURRENCY RATINGS (LT/OUTLOOK/ST) </t>
  </si>
  <si>
    <t>Africa average</t>
  </si>
  <si>
    <t>GDP in 2022</t>
  </si>
  <si>
    <t>Viet Nam</t>
  </si>
  <si>
    <t>CDS Spread (12/31/23)</t>
  </si>
  <si>
    <t>Updated Default Spread (1/1/24)</t>
  </si>
  <si>
    <t>Updated Default Spread (12/31/23)</t>
  </si>
  <si>
    <t>https://papers.ssrn.com/sol3/papers.cfm?abstract_id=4509578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</si>
</sst>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409]mmmm\ d\,\ yyyy;@"/>
    <numFmt numFmtId="165" formatCode="0.0"/>
    <numFmt numFmtId="166" formatCode="0.000"/>
    <numFmt numFmtId="167" formatCode="[$-409]d\-mmm\-yy;@"/>
    <numFmt numFmtId="168" formatCode="0.000%"/>
    <numFmt numFmtId="169" formatCode="&quot;$&quot;#,##0"/>
  </numFmts>
  <fonts count="81">
    <font>
      <sz val="9"/>
      <name val="Geneva"/>
      <family val="2"/>
      <charset val="1"/>
    </font>
    <font>
      <sz val="12"/>
      <color theme="1"/>
      <name val="Calibri"/>
      <family val="2"/>
      <scheme val="minor"/>
    </font>
    <font>
      <sz val="12"/>
      <color theme="1"/>
      <name val="Calibri"/>
      <family val="2"/>
      <scheme val="minor"/>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i/>
      <sz val="12"/>
      <color indexed="8"/>
      <name val="Symbol"/>
      <charset val="2"/>
    </font>
    <font>
      <i/>
      <vertAlign val="subscript"/>
      <sz val="12"/>
      <color indexed="8"/>
      <name val="Symbol"/>
      <charset val="2"/>
    </font>
    <font>
      <b/>
      <sz val="9"/>
      <name val="Geneva"/>
      <family val="2"/>
      <charset val="1"/>
    </font>
    <font>
      <sz val="14"/>
      <name val="Geneva"/>
      <family val="2"/>
      <charset val="1"/>
    </font>
    <font>
      <i/>
      <sz val="12"/>
      <color indexed="8"/>
      <name val="Calibri"/>
      <family val="2"/>
    </font>
    <font>
      <i/>
      <vertAlign val="subscript"/>
      <sz val="12"/>
      <color indexed="8"/>
      <name val="Calibri"/>
      <family val="2"/>
    </font>
    <font>
      <i/>
      <sz val="8"/>
      <name val="Arial"/>
      <family val="2"/>
    </font>
    <font>
      <sz val="8"/>
      <name val="Arial"/>
      <family val="2"/>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4"/>
      <color theme="1"/>
      <name val="Calibri"/>
      <family val="2"/>
      <scheme val="minor"/>
    </font>
    <font>
      <sz val="10"/>
      <color rgb="FFFF0000"/>
      <name val="Arial"/>
      <family val="2"/>
    </font>
    <font>
      <sz val="12"/>
      <color rgb="FFFF0000"/>
      <name val="Calibri"/>
      <family val="2"/>
      <scheme val="minor"/>
    </font>
    <font>
      <sz val="10"/>
      <color rgb="FF000000"/>
      <name val="Calibri"/>
      <family val="2"/>
      <scheme val="minor"/>
    </font>
    <font>
      <sz val="10"/>
      <color theme="1"/>
      <name val="Calibri"/>
      <family val="2"/>
      <scheme val="minor"/>
    </font>
    <font>
      <sz val="10"/>
      <color rgb="FF46A7F1"/>
      <name val="Calibri"/>
      <family val="2"/>
      <scheme val="minor"/>
    </font>
    <font>
      <i/>
      <sz val="12"/>
      <color rgb="FF000000"/>
      <name val="Calibri"/>
      <family val="2"/>
    </font>
    <font>
      <i/>
      <sz val="12"/>
      <color rgb="FF000000"/>
      <name val="Symbol"/>
      <charset val="2"/>
    </font>
    <font>
      <sz val="12"/>
      <color rgb="FF000000"/>
      <name val="Calibri"/>
      <family val="2"/>
    </font>
    <font>
      <b/>
      <sz val="12"/>
      <color rgb="FF000000"/>
      <name val="Calibri"/>
      <family val="2"/>
    </font>
    <font>
      <sz val="15"/>
      <color rgb="FF333333"/>
      <name val="Helvetica Neue"/>
      <family val="2"/>
    </font>
    <font>
      <sz val="15"/>
      <color rgb="FF8B0000"/>
      <name val="Helvetica Neue"/>
      <family val="2"/>
    </font>
    <font>
      <sz val="15"/>
      <color rgb="FF006400"/>
      <name val="Helvetica Neue"/>
      <family val="2"/>
    </font>
    <font>
      <b/>
      <sz val="15"/>
      <color rgb="FF333333"/>
      <name val="Helvetica Neue"/>
      <family val="2"/>
    </font>
    <font>
      <sz val="10"/>
      <color rgb="FF00263A"/>
      <name val="Arial"/>
      <family val="2"/>
    </font>
    <font>
      <b/>
      <sz val="10"/>
      <color rgb="FF000000"/>
      <name val="Calibri"/>
      <family val="2"/>
    </font>
    <font>
      <sz val="10"/>
      <color rgb="FF000000"/>
      <name val="Calibri"/>
      <family val="2"/>
    </font>
    <font>
      <b/>
      <sz val="10"/>
      <name val="Helvetica"/>
      <family val="2"/>
    </font>
    <font>
      <sz val="10"/>
      <name val="Helvetica"/>
      <family val="2"/>
    </font>
    <font>
      <sz val="10"/>
      <color rgb="FF232A31"/>
      <name val="Helvetica Neue"/>
      <family val="2"/>
    </font>
    <font>
      <sz val="12"/>
      <name val="Helvetica"/>
      <family val="2"/>
    </font>
    <font>
      <i/>
      <sz val="12"/>
      <name val="Helvetica"/>
      <family val="2"/>
    </font>
    <font>
      <b/>
      <sz val="12"/>
      <name val="Geneva"/>
      <family val="2"/>
    </font>
    <font>
      <b/>
      <sz val="12"/>
      <name val="Helvetica"/>
      <family val="2"/>
    </font>
    <font>
      <sz val="16"/>
      <color rgb="FF0A0A0A"/>
      <name val="Arial"/>
      <family val="2"/>
    </font>
    <font>
      <sz val="12"/>
      <color rgb="FF0A0A0A"/>
      <name val="Arial"/>
      <family val="2"/>
    </font>
    <font>
      <b/>
      <sz val="16"/>
      <color rgb="FF959595"/>
      <name val="Arial"/>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
      <left style="thin">
        <color indexed="64"/>
      </left>
      <right style="thin">
        <color indexed="64"/>
      </right>
      <top/>
      <bottom/>
      <diagonal/>
    </border>
  </borders>
  <cellStyleXfs count="9">
    <xf numFmtId="0" fontId="0" fillId="0" borderId="0"/>
    <xf numFmtId="0" fontId="28" fillId="4" borderId="0"/>
    <xf numFmtId="43" fontId="12"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alignment vertical="top"/>
      <protection locked="0"/>
    </xf>
    <xf numFmtId="0" fontId="12" fillId="0" borderId="0"/>
    <xf numFmtId="0" fontId="12" fillId="0" borderId="0"/>
    <xf numFmtId="0" fontId="12" fillId="0" borderId="0"/>
    <xf numFmtId="9" fontId="5" fillId="0" borderId="0" applyFont="0" applyFill="0" applyBorder="0" applyAlignment="0" applyProtection="0"/>
  </cellStyleXfs>
  <cellXfs count="272">
    <xf numFmtId="0" fontId="0" fillId="0" borderId="0" xfId="0"/>
    <xf numFmtId="0" fontId="3" fillId="0" borderId="0" xfId="0" applyFont="1"/>
    <xf numFmtId="0" fontId="4" fillId="0" borderId="0" xfId="0" applyFont="1"/>
    <xf numFmtId="0" fontId="6" fillId="0" borderId="0" xfId="0" applyFont="1" applyAlignment="1">
      <alignment horizontal="center"/>
    </xf>
    <xf numFmtId="0" fontId="0" fillId="0" borderId="1" xfId="0" applyBorder="1" applyAlignment="1">
      <alignment horizontal="center"/>
    </xf>
    <xf numFmtId="0" fontId="7" fillId="0" borderId="0" xfId="0" applyFont="1" applyAlignment="1">
      <alignment horizontal="left"/>
    </xf>
    <xf numFmtId="0" fontId="6" fillId="0" borderId="0" xfId="0" applyFont="1" applyAlignment="1">
      <alignment horizontal="centerContinuous"/>
    </xf>
    <xf numFmtId="0" fontId="10" fillId="0" borderId="1" xfId="0" applyFont="1" applyBorder="1"/>
    <xf numFmtId="0" fontId="7" fillId="0" borderId="1" xfId="0" applyFont="1" applyBorder="1"/>
    <xf numFmtId="0" fontId="7" fillId="0" borderId="1" xfId="0" applyFont="1" applyBorder="1" applyAlignment="1">
      <alignment horizontal="center"/>
    </xf>
    <xf numFmtId="10" fontId="7" fillId="0" borderId="1" xfId="8" applyNumberFormat="1" applyFont="1" applyBorder="1"/>
    <xf numFmtId="10" fontId="7"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7" fillId="0" borderId="2" xfId="0" applyNumberFormat="1" applyFont="1" applyBorder="1" applyAlignment="1">
      <alignment horizontal="center"/>
    </xf>
    <xf numFmtId="0" fontId="0" fillId="0" borderId="1" xfId="0" applyBorder="1"/>
    <xf numFmtId="0" fontId="15" fillId="0" borderId="0" xfId="0" applyFont="1"/>
    <xf numFmtId="0" fontId="3"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6" fillId="0" borderId="0" xfId="0" applyFont="1"/>
    <xf numFmtId="10" fontId="7" fillId="0" borderId="1" xfId="8" applyNumberFormat="1" applyFont="1" applyBorder="1" applyAlignment="1">
      <alignment horizontal="center"/>
    </xf>
    <xf numFmtId="0" fontId="0" fillId="0" borderId="0" xfId="0" pivotButton="1"/>
    <xf numFmtId="10" fontId="0" fillId="0" borderId="0" xfId="0" applyNumberFormat="1"/>
    <xf numFmtId="10" fontId="38" fillId="0" borderId="1" xfId="0" applyNumberFormat="1" applyFont="1" applyBorder="1" applyAlignment="1">
      <alignment horizontal="center"/>
    </xf>
    <xf numFmtId="0" fontId="0" fillId="0" borderId="0" xfId="0" applyAlignment="1">
      <alignment horizontal="center"/>
    </xf>
    <xf numFmtId="10" fontId="7" fillId="0" borderId="0" xfId="8" applyNumberFormat="1" applyFont="1" applyBorder="1"/>
    <xf numFmtId="10" fontId="7" fillId="0" borderId="0" xfId="0" applyNumberFormat="1" applyFont="1" applyAlignment="1">
      <alignment horizontal="center"/>
    </xf>
    <xf numFmtId="0" fontId="39" fillId="0" borderId="1" xfId="0" applyFont="1" applyBorder="1"/>
    <xf numFmtId="0" fontId="40" fillId="0" borderId="1" xfId="0" applyFont="1" applyBorder="1"/>
    <xf numFmtId="0" fontId="41" fillId="0" borderId="1" xfId="0" applyFont="1" applyBorder="1"/>
    <xf numFmtId="0" fontId="19" fillId="0" borderId="0" xfId="0" applyFont="1"/>
    <xf numFmtId="0" fontId="42" fillId="0" borderId="0" xfId="0" applyFont="1"/>
    <xf numFmtId="0" fontId="38" fillId="0" borderId="1" xfId="7" applyFont="1" applyBorder="1"/>
    <xf numFmtId="0" fontId="38" fillId="0" borderId="1" xfId="7" applyFont="1" applyBorder="1" applyAlignment="1">
      <alignment horizontal="left"/>
    </xf>
    <xf numFmtId="0" fontId="43" fillId="0" borderId="0" xfId="0" applyFont="1"/>
    <xf numFmtId="0" fontId="17" fillId="0" borderId="1" xfId="7" applyFont="1" applyBorder="1" applyAlignment="1">
      <alignment horizontal="left"/>
    </xf>
    <xf numFmtId="0" fontId="44" fillId="0" borderId="0" xfId="0" applyFont="1"/>
    <xf numFmtId="0" fontId="38" fillId="0" borderId="0" xfId="0" applyFont="1"/>
    <xf numFmtId="0" fontId="38" fillId="6" borderId="1" xfId="0" applyFont="1" applyFill="1" applyBorder="1"/>
    <xf numFmtId="0" fontId="38" fillId="0" borderId="0" xfId="0" applyFont="1" applyAlignment="1">
      <alignment horizontal="center"/>
    </xf>
    <xf numFmtId="0" fontId="38" fillId="7" borderId="1" xfId="0" applyFont="1" applyFill="1" applyBorder="1" applyAlignment="1">
      <alignment horizontal="center"/>
    </xf>
    <xf numFmtId="10" fontId="38" fillId="7" borderId="1" xfId="8" applyNumberFormat="1" applyFont="1" applyFill="1" applyBorder="1" applyAlignment="1">
      <alignment horizontal="center"/>
    </xf>
    <xf numFmtId="0" fontId="0" fillId="6" borderId="1" xfId="0" applyFill="1" applyBorder="1"/>
    <xf numFmtId="10" fontId="5" fillId="7" borderId="1" xfId="8" applyNumberFormat="1" applyFont="1" applyFill="1" applyBorder="1"/>
    <xf numFmtId="0" fontId="38" fillId="0" borderId="3" xfId="0" applyFont="1" applyBorder="1"/>
    <xf numFmtId="0" fontId="38" fillId="0" borderId="1" xfId="0" applyFont="1" applyBorder="1"/>
    <xf numFmtId="10" fontId="0" fillId="0" borderId="0" xfId="8" applyNumberFormat="1" applyFont="1"/>
    <xf numFmtId="10" fontId="0" fillId="0" borderId="0" xfId="8" applyNumberFormat="1" applyFont="1" applyAlignment="1">
      <alignment horizontal="center"/>
    </xf>
    <xf numFmtId="0" fontId="20" fillId="8" borderId="0" xfId="0" applyFont="1" applyFill="1" applyAlignment="1">
      <alignment horizontal="left" vertical="center" wrapText="1"/>
    </xf>
    <xf numFmtId="0" fontId="18" fillId="0" borderId="3" xfId="0" applyFont="1" applyBorder="1"/>
    <xf numFmtId="0" fontId="21" fillId="0" borderId="1" xfId="0" applyFont="1" applyBorder="1"/>
    <xf numFmtId="0" fontId="21" fillId="0" borderId="2" xfId="0" applyFont="1" applyBorder="1" applyAlignment="1">
      <alignment horizontal="center"/>
    </xf>
    <xf numFmtId="0" fontId="42" fillId="0" borderId="1" xfId="0" applyFont="1" applyBorder="1" applyAlignment="1">
      <alignment horizontal="center"/>
    </xf>
    <xf numFmtId="10" fontId="42" fillId="0" borderId="1" xfId="8" applyNumberFormat="1" applyFont="1" applyBorder="1" applyAlignment="1">
      <alignment horizontal="center"/>
    </xf>
    <xf numFmtId="10" fontId="42" fillId="0" borderId="2" xfId="0" applyNumberFormat="1" applyFont="1" applyBorder="1" applyAlignment="1">
      <alignment horizontal="center"/>
    </xf>
    <xf numFmtId="0" fontId="38" fillId="0" borderId="1" xfId="0" applyFont="1" applyBorder="1" applyAlignment="1">
      <alignment horizontal="center"/>
    </xf>
    <xf numFmtId="10" fontId="38" fillId="0" borderId="1" xfId="8" applyNumberFormat="1" applyFont="1" applyBorder="1" applyAlignment="1">
      <alignment horizontal="center"/>
    </xf>
    <xf numFmtId="0" fontId="42" fillId="0" borderId="1" xfId="0" applyFont="1" applyBorder="1"/>
    <xf numFmtId="0" fontId="45" fillId="0" borderId="0" xfId="0" applyFont="1"/>
    <xf numFmtId="10" fontId="38" fillId="0" borderId="0" xfId="8" applyNumberFormat="1" applyFont="1"/>
    <xf numFmtId="10" fontId="42" fillId="0" borderId="0" xfId="0" applyNumberFormat="1" applyFont="1"/>
    <xf numFmtId="10" fontId="42" fillId="0" borderId="1" xfId="0" applyNumberFormat="1" applyFont="1" applyBorder="1" applyAlignment="1">
      <alignment horizontal="center"/>
    </xf>
    <xf numFmtId="10" fontId="0" fillId="0" borderId="0" xfId="0" applyNumberFormat="1" applyAlignment="1">
      <alignment horizontal="center"/>
    </xf>
    <xf numFmtId="0" fontId="3" fillId="0" borderId="1" xfId="0" applyFont="1" applyBorder="1"/>
    <xf numFmtId="10" fontId="0" fillId="0" borderId="1" xfId="0" applyNumberFormat="1" applyBorder="1" applyAlignment="1">
      <alignment horizontal="center"/>
    </xf>
    <xf numFmtId="0" fontId="42" fillId="8" borderId="1" xfId="0" applyFont="1" applyFill="1" applyBorder="1" applyAlignment="1">
      <alignment horizontal="left" vertical="center" wrapText="1"/>
    </xf>
    <xf numFmtId="0" fontId="42" fillId="8" borderId="1" xfId="0" applyFont="1" applyFill="1" applyBorder="1" applyAlignment="1">
      <alignment horizontal="center" vertical="center" wrapText="1"/>
    </xf>
    <xf numFmtId="0" fontId="16" fillId="0" borderId="1" xfId="0" applyFont="1" applyBorder="1" applyAlignment="1">
      <alignment horizontal="center"/>
    </xf>
    <xf numFmtId="0" fontId="41" fillId="0" borderId="1" xfId="0" applyFont="1" applyBorder="1" applyAlignment="1">
      <alignment horizontal="center"/>
    </xf>
    <xf numFmtId="0" fontId="46" fillId="0" borderId="0" xfId="0" applyFont="1"/>
    <xf numFmtId="0" fontId="47" fillId="0" borderId="0" xfId="4" applyFont="1" applyAlignment="1" applyProtection="1"/>
    <xf numFmtId="10" fontId="0" fillId="0" borderId="1" xfId="8" applyNumberFormat="1" applyFont="1" applyBorder="1" applyAlignment="1">
      <alignment horizontal="center"/>
    </xf>
    <xf numFmtId="0" fontId="25" fillId="0" borderId="0" xfId="0" applyFont="1"/>
    <xf numFmtId="0" fontId="48" fillId="0" borderId="0" xfId="0" applyFont="1"/>
    <xf numFmtId="165" fontId="24" fillId="0" borderId="0" xfId="0" applyNumberFormat="1" applyFont="1" applyAlignment="1">
      <alignment horizontal="center"/>
    </xf>
    <xf numFmtId="10" fontId="38" fillId="7" borderId="0" xfId="8"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6" fillId="0" borderId="0" xfId="0" applyFont="1"/>
    <xf numFmtId="14" fontId="26" fillId="0" borderId="0" xfId="0" applyNumberFormat="1" applyFont="1" applyAlignment="1">
      <alignment wrapText="1"/>
    </xf>
    <xf numFmtId="0" fontId="26"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8" fillId="0" borderId="0" xfId="0" applyFont="1" applyAlignment="1">
      <alignment horizontal="left"/>
    </xf>
    <xf numFmtId="2" fontId="5" fillId="7" borderId="1" xfId="8" applyNumberFormat="1" applyFont="1" applyFill="1" applyBorder="1" applyAlignment="1">
      <alignment horizontal="center"/>
    </xf>
    <xf numFmtId="10" fontId="5" fillId="7" borderId="1" xfId="8" applyNumberFormat="1" applyFont="1" applyFill="1" applyBorder="1" applyAlignment="1">
      <alignment horizontal="center"/>
    </xf>
    <xf numFmtId="0" fontId="27" fillId="0" borderId="0" xfId="0" applyFont="1"/>
    <xf numFmtId="0" fontId="18" fillId="0" borderId="0" xfId="0" applyFont="1"/>
    <xf numFmtId="0" fontId="7" fillId="0" borderId="4" xfId="0" applyFont="1" applyBorder="1" applyAlignment="1">
      <alignment horizontal="center"/>
    </xf>
    <xf numFmtId="0" fontId="18" fillId="0" borderId="0" xfId="0" applyFont="1" applyAlignment="1">
      <alignment horizontal="left"/>
    </xf>
    <xf numFmtId="10" fontId="7" fillId="0" borderId="5" xfId="0" applyNumberFormat="1" applyFont="1" applyBorder="1" applyAlignment="1">
      <alignment horizontal="center"/>
    </xf>
    <xf numFmtId="10" fontId="49" fillId="0" borderId="1" xfId="8" applyNumberFormat="1" applyFont="1" applyBorder="1" applyAlignment="1">
      <alignment horizontal="center"/>
    </xf>
    <xf numFmtId="10" fontId="0" fillId="0" borderId="1" xfId="8" applyNumberFormat="1" applyFont="1" applyBorder="1"/>
    <xf numFmtId="0" fontId="3" fillId="5" borderId="0" xfId="0" applyFont="1" applyFill="1" applyAlignment="1">
      <alignment horizontal="left"/>
    </xf>
    <xf numFmtId="0" fontId="3" fillId="0" borderId="0" xfId="0" applyFont="1" applyAlignment="1">
      <alignment horizontal="center"/>
    </xf>
    <xf numFmtId="0" fontId="46" fillId="0" borderId="1" xfId="0" applyFont="1" applyBorder="1"/>
    <xf numFmtId="10" fontId="38" fillId="0" borderId="1" xfId="0" applyNumberFormat="1" applyFont="1" applyBorder="1"/>
    <xf numFmtId="166" fontId="0" fillId="0" borderId="1" xfId="0" applyNumberFormat="1" applyBorder="1"/>
    <xf numFmtId="10" fontId="21" fillId="0" borderId="0" xfId="0" applyNumberFormat="1" applyFont="1" applyAlignment="1">
      <alignment horizontal="center"/>
    </xf>
    <xf numFmtId="0" fontId="8" fillId="0" borderId="0" xfId="4" applyAlignment="1" applyProtection="1"/>
    <xf numFmtId="0" fontId="50" fillId="3" borderId="6" xfId="7" applyFont="1" applyFill="1" applyBorder="1" applyAlignment="1">
      <alignment vertical="center"/>
    </xf>
    <xf numFmtId="0" fontId="0" fillId="0" borderId="1" xfId="0" applyBorder="1" applyAlignment="1">
      <alignment horizontal="left"/>
    </xf>
    <xf numFmtId="0" fontId="6" fillId="0" borderId="0" xfId="0" applyFont="1" applyAlignment="1">
      <alignment horizontal="left"/>
    </xf>
    <xf numFmtId="0" fontId="0" fillId="0" borderId="4" xfId="0" applyBorder="1" applyAlignment="1">
      <alignment horizontal="left"/>
    </xf>
    <xf numFmtId="0" fontId="3" fillId="0" borderId="0" xfId="0" applyFont="1" applyAlignment="1">
      <alignment horizontal="left"/>
    </xf>
    <xf numFmtId="165" fontId="18" fillId="0" borderId="5" xfId="0" applyNumberFormat="1" applyFont="1" applyBorder="1" applyAlignment="1">
      <alignment horizontal="left"/>
    </xf>
    <xf numFmtId="0" fontId="7" fillId="0" borderId="7" xfId="0" applyFont="1" applyBorder="1" applyAlignment="1">
      <alignment horizontal="left"/>
    </xf>
    <xf numFmtId="0" fontId="10" fillId="0" borderId="8" xfId="0" applyFont="1" applyBorder="1" applyAlignment="1">
      <alignment horizontal="left"/>
    </xf>
    <xf numFmtId="0" fontId="0" fillId="0" borderId="5" xfId="0" applyBorder="1" applyAlignment="1">
      <alignment horizontal="left"/>
    </xf>
    <xf numFmtId="0" fontId="7" fillId="0" borderId="5" xfId="0" applyFont="1" applyBorder="1" applyAlignment="1">
      <alignment horizontal="center"/>
    </xf>
    <xf numFmtId="0" fontId="10" fillId="0" borderId="5" xfId="0" applyFont="1" applyBorder="1" applyAlignment="1">
      <alignment horizontal="center"/>
    </xf>
    <xf numFmtId="0" fontId="10" fillId="0" borderId="5" xfId="0" applyFont="1" applyBorder="1" applyAlignment="1">
      <alignment horizontal="center" wrapText="1"/>
    </xf>
    <xf numFmtId="0" fontId="10" fillId="0" borderId="9" xfId="0" applyFont="1" applyBorder="1" applyAlignment="1">
      <alignment horizontal="center"/>
    </xf>
    <xf numFmtId="0" fontId="7" fillId="0" borderId="10" xfId="0" applyFont="1" applyBorder="1" applyAlignment="1">
      <alignment horizontal="left"/>
    </xf>
    <xf numFmtId="10" fontId="7" fillId="0" borderId="4" xfId="8" applyNumberFormat="1" applyFont="1" applyBorder="1" applyAlignment="1">
      <alignment horizontal="center"/>
    </xf>
    <xf numFmtId="10" fontId="7" fillId="0" borderId="4" xfId="0" applyNumberFormat="1" applyFont="1" applyBorder="1" applyAlignment="1">
      <alignment horizontal="center"/>
    </xf>
    <xf numFmtId="10" fontId="7" fillId="0" borderId="11" xfId="0" applyNumberFormat="1" applyFont="1" applyBorder="1" applyAlignment="1">
      <alignment horizontal="center"/>
    </xf>
    <xf numFmtId="0" fontId="51" fillId="0" borderId="1" xfId="0" applyFont="1" applyBorder="1"/>
    <xf numFmtId="10" fontId="51" fillId="0" borderId="1" xfId="0" applyNumberFormat="1" applyFont="1" applyBorder="1" applyAlignment="1">
      <alignment horizontal="center"/>
    </xf>
    <xf numFmtId="0" fontId="0" fillId="0" borderId="5" xfId="0" applyBorder="1" applyAlignment="1">
      <alignment horizontal="center"/>
    </xf>
    <xf numFmtId="0" fontId="42" fillId="0" borderId="1" xfId="0" applyFont="1" applyBorder="1" applyAlignment="1">
      <alignment horizontal="center" vertical="center" wrapText="1"/>
    </xf>
    <xf numFmtId="10" fontId="38" fillId="0" borderId="1" xfId="8" applyNumberFormat="1" applyFont="1" applyFill="1" applyBorder="1" applyAlignment="1">
      <alignment horizontal="center"/>
    </xf>
    <xf numFmtId="0" fontId="42" fillId="0" borderId="1" xfId="0" applyFont="1" applyBorder="1" applyAlignment="1">
      <alignment horizontal="center" wrapText="1"/>
    </xf>
    <xf numFmtId="2" fontId="7" fillId="0" borderId="1" xfId="0" applyNumberFormat="1" applyFont="1" applyBorder="1" applyAlignment="1">
      <alignment horizontal="center"/>
    </xf>
    <xf numFmtId="2" fontId="0" fillId="0" borderId="0" xfId="0" applyNumberFormat="1" applyAlignment="1">
      <alignment horizontal="center"/>
    </xf>
    <xf numFmtId="0" fontId="29"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5" fillId="9" borderId="1" xfId="8" applyNumberFormat="1" applyFont="1" applyFill="1" applyBorder="1" applyAlignment="1">
      <alignment horizontal="center"/>
    </xf>
    <xf numFmtId="2" fontId="46" fillId="0" borderId="1" xfId="0" applyNumberFormat="1" applyFont="1" applyBorder="1"/>
    <xf numFmtId="2" fontId="38" fillId="0" borderId="1" xfId="0" applyNumberFormat="1" applyFont="1" applyBorder="1" applyAlignment="1">
      <alignment horizontal="center" wrapText="1"/>
    </xf>
    <xf numFmtId="2" fontId="17" fillId="0" borderId="1" xfId="0" applyNumberFormat="1" applyFont="1" applyBorder="1" applyAlignment="1">
      <alignment horizontal="center"/>
    </xf>
    <xf numFmtId="2" fontId="38" fillId="0" borderId="0" xfId="0" applyNumberFormat="1" applyFont="1" applyAlignment="1">
      <alignment horizontal="center"/>
    </xf>
    <xf numFmtId="0" fontId="52" fillId="10" borderId="28" xfId="0" applyFont="1" applyFill="1" applyBorder="1"/>
    <xf numFmtId="0" fontId="52" fillId="10" borderId="29" xfId="0" applyFont="1" applyFill="1" applyBorder="1"/>
    <xf numFmtId="0" fontId="52" fillId="11" borderId="30" xfId="0" applyFont="1" applyFill="1" applyBorder="1" applyAlignment="1">
      <alignment horizontal="left"/>
    </xf>
    <xf numFmtId="10" fontId="52" fillId="11" borderId="30" xfId="0" applyNumberFormat="1" applyFont="1" applyFill="1" applyBorder="1"/>
    <xf numFmtId="0" fontId="53" fillId="0" borderId="1" xfId="0" applyFont="1" applyBorder="1"/>
    <xf numFmtId="0" fontId="49" fillId="0" borderId="1" xfId="0" applyFont="1" applyBorder="1"/>
    <xf numFmtId="14" fontId="42" fillId="0" borderId="1" xfId="8" applyNumberFormat="1" applyFont="1" applyBorder="1" applyAlignment="1">
      <alignment horizontal="center" vertical="center" wrapText="1"/>
    </xf>
    <xf numFmtId="0" fontId="50" fillId="3" borderId="1" xfId="7" applyFont="1" applyFill="1" applyBorder="1" applyAlignment="1">
      <alignment vertical="center"/>
    </xf>
    <xf numFmtId="10" fontId="46" fillId="0" borderId="1" xfId="8" applyNumberFormat="1" applyFont="1" applyBorder="1" applyAlignment="1">
      <alignment horizontal="center"/>
    </xf>
    <xf numFmtId="10" fontId="10" fillId="0" borderId="0" xfId="8" applyNumberFormat="1" applyFont="1" applyFill="1" applyBorder="1" applyAlignment="1">
      <alignment horizontal="center"/>
    </xf>
    <xf numFmtId="0" fontId="4" fillId="0" borderId="1" xfId="0" applyFont="1" applyBorder="1"/>
    <xf numFmtId="0" fontId="0" fillId="12" borderId="0" xfId="0" applyFill="1"/>
    <xf numFmtId="0" fontId="7" fillId="0" borderId="1" xfId="0" applyFont="1" applyBorder="1" applyAlignment="1">
      <alignment horizontal="left"/>
    </xf>
    <xf numFmtId="0" fontId="7" fillId="13" borderId="1" xfId="0" applyFont="1" applyFill="1" applyBorder="1" applyAlignment="1">
      <alignment horizontal="left"/>
    </xf>
    <xf numFmtId="0" fontId="0" fillId="13" borderId="1" xfId="0" applyFill="1" applyBorder="1" applyAlignment="1">
      <alignment horizontal="left"/>
    </xf>
    <xf numFmtId="0" fontId="7" fillId="13" borderId="1" xfId="0" applyFont="1" applyFill="1" applyBorder="1" applyAlignment="1">
      <alignment horizontal="center"/>
    </xf>
    <xf numFmtId="10" fontId="7" fillId="13" borderId="1" xfId="8" applyNumberFormat="1" applyFont="1" applyFill="1" applyBorder="1" applyAlignment="1">
      <alignment horizontal="center"/>
    </xf>
    <xf numFmtId="10" fontId="7" fillId="13" borderId="1" xfId="0" applyNumberFormat="1" applyFont="1" applyFill="1" applyBorder="1" applyAlignment="1">
      <alignment horizontal="center"/>
    </xf>
    <xf numFmtId="2" fontId="42" fillId="0" borderId="1" xfId="0" applyNumberFormat="1" applyFont="1" applyBorder="1" applyAlignment="1">
      <alignment horizontal="center"/>
    </xf>
    <xf numFmtId="0" fontId="18" fillId="0" borderId="3" xfId="0" quotePrefix="1" applyFont="1" applyBorder="1"/>
    <xf numFmtId="0" fontId="41" fillId="0" borderId="12" xfId="0" applyFont="1" applyBorder="1" applyAlignment="1">
      <alignment vertical="center"/>
    </xf>
    <xf numFmtId="10" fontId="0" fillId="0" borderId="13" xfId="8" applyNumberFormat="1" applyFont="1" applyBorder="1"/>
    <xf numFmtId="2" fontId="0" fillId="0" borderId="13" xfId="0" applyNumberFormat="1" applyBorder="1" applyAlignment="1">
      <alignment horizontal="center"/>
    </xf>
    <xf numFmtId="0" fontId="0" fillId="0" borderId="13" xfId="0" applyBorder="1"/>
    <xf numFmtId="10" fontId="54" fillId="0" borderId="13" xfId="8" applyNumberFormat="1" applyFont="1" applyBorder="1" applyAlignment="1">
      <alignment horizontal="center"/>
    </xf>
    <xf numFmtId="2" fontId="0" fillId="0" borderId="14" xfId="0" applyNumberFormat="1" applyBorder="1" applyAlignment="1">
      <alignment horizontal="center"/>
    </xf>
    <xf numFmtId="0" fontId="32" fillId="0" borderId="1" xfId="0" applyFont="1" applyBorder="1" applyAlignment="1">
      <alignment horizontal="left"/>
    </xf>
    <xf numFmtId="17" fontId="32" fillId="0" borderId="1" xfId="0" applyNumberFormat="1" applyFont="1" applyBorder="1"/>
    <xf numFmtId="0" fontId="27" fillId="0" borderId="1" xfId="0" applyFont="1" applyBorder="1" applyAlignment="1">
      <alignment horizontal="left"/>
    </xf>
    <xf numFmtId="17" fontId="27" fillId="0" borderId="1" xfId="0" applyNumberFormat="1" applyFont="1" applyBorder="1"/>
    <xf numFmtId="0" fontId="33" fillId="0" borderId="0" xfId="0" applyFont="1"/>
    <xf numFmtId="0" fontId="7" fillId="0" borderId="15" xfId="0" applyFont="1" applyBorder="1"/>
    <xf numFmtId="0" fontId="50" fillId="3" borderId="1" xfId="7" applyFont="1" applyFill="1" applyBorder="1" applyAlignment="1">
      <alignment horizontal="center" vertical="center"/>
    </xf>
    <xf numFmtId="0" fontId="50" fillId="5" borderId="1" xfId="7" applyFont="1" applyFill="1" applyBorder="1" applyAlignment="1">
      <alignment vertical="center"/>
    </xf>
    <xf numFmtId="0" fontId="50" fillId="3" borderId="1" xfId="7"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2" fillId="0" borderId="0" xfId="0" applyFont="1"/>
    <xf numFmtId="0" fontId="55" fillId="3" borderId="1" xfId="7" applyFont="1" applyFill="1" applyBorder="1" applyAlignment="1">
      <alignment vertical="center"/>
    </xf>
    <xf numFmtId="0" fontId="56" fillId="0" borderId="1" xfId="0" applyFont="1" applyBorder="1"/>
    <xf numFmtId="0" fontId="57" fillId="0" borderId="1" xfId="0" applyFont="1" applyBorder="1" applyAlignment="1">
      <alignment horizontal="center"/>
    </xf>
    <xf numFmtId="0" fontId="19" fillId="0" borderId="1" xfId="0" applyFont="1" applyBorder="1" applyAlignment="1">
      <alignment horizontal="center"/>
    </xf>
    <xf numFmtId="10" fontId="43" fillId="0" borderId="0" xfId="8" applyNumberFormat="1" applyFont="1" applyAlignment="1">
      <alignment horizontal="center"/>
    </xf>
    <xf numFmtId="10" fontId="56" fillId="0" borderId="1" xfId="0" applyNumberFormat="1" applyFont="1" applyBorder="1" applyAlignment="1">
      <alignment horizontal="center"/>
    </xf>
    <xf numFmtId="167" fontId="7" fillId="6" borderId="1" xfId="0" applyNumberFormat="1" applyFont="1" applyFill="1" applyBorder="1" applyAlignment="1">
      <alignment horizontal="center"/>
    </xf>
    <xf numFmtId="0" fontId="60" fillId="0" borderId="16" xfId="0" applyFont="1" applyBorder="1" applyAlignment="1">
      <alignment horizontal="justify" vertical="center"/>
    </xf>
    <xf numFmtId="10" fontId="60" fillId="12" borderId="17" xfId="8" applyNumberFormat="1" applyFont="1" applyFill="1" applyBorder="1" applyAlignment="1">
      <alignment horizontal="center" vertical="center" wrapText="1"/>
    </xf>
    <xf numFmtId="0" fontId="61" fillId="0" borderId="17" xfId="0" applyFont="1" applyBorder="1" applyAlignment="1">
      <alignment horizontal="center" vertical="center"/>
    </xf>
    <xf numFmtId="0" fontId="60" fillId="12" borderId="17" xfId="0" applyFont="1" applyFill="1" applyBorder="1" applyAlignment="1">
      <alignment horizontal="center" vertical="center"/>
    </xf>
    <xf numFmtId="0" fontId="62" fillId="0" borderId="17" xfId="0" applyFont="1" applyBorder="1" applyAlignment="1">
      <alignment horizontal="justify" vertical="center"/>
    </xf>
    <xf numFmtId="2" fontId="61" fillId="0" borderId="17" xfId="0" applyNumberFormat="1" applyFont="1" applyBorder="1" applyAlignment="1">
      <alignment horizontal="center" vertical="center"/>
    </xf>
    <xf numFmtId="0" fontId="62" fillId="0" borderId="18" xfId="0" applyFont="1" applyBorder="1" applyAlignment="1">
      <alignment horizontal="justify" vertical="center"/>
    </xf>
    <xf numFmtId="10" fontId="62" fillId="12" borderId="19" xfId="8" applyNumberFormat="1" applyFont="1" applyFill="1" applyBorder="1" applyAlignment="1">
      <alignment horizontal="center" vertical="center"/>
    </xf>
    <xf numFmtId="0" fontId="62" fillId="0" borderId="19" xfId="0" applyFont="1" applyBorder="1" applyAlignment="1">
      <alignment horizontal="center" vertical="center"/>
    </xf>
    <xf numFmtId="10" fontId="62" fillId="0" borderId="19" xfId="0" applyNumberFormat="1" applyFont="1" applyBorder="1" applyAlignment="1">
      <alignment horizontal="center" vertical="center"/>
    </xf>
    <xf numFmtId="10" fontId="62" fillId="12" borderId="19" xfId="0" applyNumberFormat="1" applyFont="1" applyFill="1" applyBorder="1" applyAlignment="1">
      <alignment horizontal="center" vertical="center"/>
    </xf>
    <xf numFmtId="2" fontId="62" fillId="0" borderId="19" xfId="0" applyNumberFormat="1" applyFont="1" applyBorder="1" applyAlignment="1">
      <alignment horizontal="center" vertical="center"/>
    </xf>
    <xf numFmtId="2" fontId="62" fillId="12" borderId="19" xfId="0" applyNumberFormat="1" applyFont="1" applyFill="1" applyBorder="1" applyAlignment="1">
      <alignment horizontal="center" vertical="center"/>
    </xf>
    <xf numFmtId="0" fontId="63" fillId="0" borderId="18" xfId="0" applyFont="1" applyBorder="1" applyAlignment="1">
      <alignment horizontal="justify" vertical="center"/>
    </xf>
    <xf numFmtId="10" fontId="62" fillId="12" borderId="19" xfId="8" applyNumberFormat="1" applyFont="1" applyFill="1" applyBorder="1" applyAlignment="1">
      <alignment horizontal="justify" vertical="center"/>
    </xf>
    <xf numFmtId="0" fontId="62" fillId="0" borderId="19" xfId="0" applyFont="1" applyBorder="1" applyAlignment="1">
      <alignment horizontal="justify" vertical="center"/>
    </xf>
    <xf numFmtId="0" fontId="62" fillId="12" borderId="19" xfId="0" applyFont="1" applyFill="1" applyBorder="1" applyAlignment="1">
      <alignment horizontal="justify" vertical="center"/>
    </xf>
    <xf numFmtId="0" fontId="40" fillId="0" borderId="0" xfId="0" applyFont="1"/>
    <xf numFmtId="0" fontId="0" fillId="0" borderId="0" xfId="0" applyAlignment="1">
      <alignment horizontal="center" wrapText="1"/>
    </xf>
    <xf numFmtId="1" fontId="0" fillId="0" borderId="0" xfId="0" applyNumberFormat="1" applyAlignment="1">
      <alignment horizontal="center"/>
    </xf>
    <xf numFmtId="0" fontId="24"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64" fillId="0" borderId="0" xfId="0" applyFont="1"/>
    <xf numFmtId="0" fontId="65" fillId="0" borderId="0" xfId="0" applyFont="1"/>
    <xf numFmtId="0" fontId="66"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41" fillId="0" borderId="0" xfId="0" applyFont="1"/>
    <xf numFmtId="2" fontId="49" fillId="0" borderId="1" xfId="8" applyNumberFormat="1" applyFont="1" applyBorder="1" applyAlignment="1">
      <alignment wrapText="1"/>
    </xf>
    <xf numFmtId="10" fontId="49" fillId="0" borderId="0" xfId="8" applyNumberFormat="1" applyFont="1" applyAlignment="1">
      <alignment wrapText="1"/>
    </xf>
    <xf numFmtId="10" fontId="49" fillId="0" borderId="1" xfId="8" applyNumberFormat="1" applyFont="1" applyBorder="1" applyAlignment="1">
      <alignment wrapText="1"/>
    </xf>
    <xf numFmtId="10" fontId="49" fillId="0" borderId="16" xfId="8" applyNumberFormat="1" applyFont="1" applyBorder="1"/>
    <xf numFmtId="10" fontId="0" fillId="0" borderId="0" xfId="8" applyNumberFormat="1" applyFont="1" applyBorder="1" applyAlignment="1">
      <alignment horizontal="center"/>
    </xf>
    <xf numFmtId="10" fontId="0" fillId="12" borderId="1" xfId="0" applyNumberFormat="1" applyFill="1" applyBorder="1" applyAlignment="1">
      <alignment horizontal="center"/>
    </xf>
    <xf numFmtId="0" fontId="49" fillId="14" borderId="1" xfId="0" applyFont="1" applyFill="1" applyBorder="1"/>
    <xf numFmtId="0" fontId="67" fillId="0" borderId="0" xfId="0" applyFont="1"/>
    <xf numFmtId="2" fontId="26" fillId="0" borderId="0" xfId="0" applyNumberFormat="1" applyFont="1" applyAlignment="1">
      <alignment wrapText="1"/>
    </xf>
    <xf numFmtId="10" fontId="26" fillId="0" borderId="0" xfId="8" applyNumberFormat="1" applyFont="1" applyAlignment="1">
      <alignment wrapText="1"/>
    </xf>
    <xf numFmtId="1" fontId="20" fillId="8" borderId="0" xfId="0" applyNumberFormat="1" applyFont="1" applyFill="1" applyAlignment="1">
      <alignment vertical="center" wrapText="1"/>
    </xf>
    <xf numFmtId="1" fontId="18" fillId="0" borderId="3" xfId="0" applyNumberFormat="1" applyFont="1" applyBorder="1"/>
    <xf numFmtId="1" fontId="16" fillId="0" borderId="0" xfId="0" applyNumberFormat="1" applyFont="1"/>
    <xf numFmtId="168" fontId="8" fillId="0" borderId="0" xfId="8" applyNumberFormat="1" applyFont="1" applyAlignment="1" applyProtection="1"/>
    <xf numFmtId="0" fontId="68" fillId="0" borderId="0" xfId="0" applyFont="1"/>
    <xf numFmtId="0" fontId="73" fillId="0" borderId="0" xfId="0" applyFont="1" applyAlignment="1">
      <alignment horizontal="center"/>
    </xf>
    <xf numFmtId="0" fontId="74" fillId="0" borderId="0" xfId="0" applyFont="1" applyAlignment="1">
      <alignment vertical="center"/>
    </xf>
    <xf numFmtId="0" fontId="74" fillId="0" borderId="1" xfId="0" applyFont="1" applyBorder="1" applyAlignment="1">
      <alignment vertical="center"/>
    </xf>
    <xf numFmtId="0" fontId="75" fillId="0" borderId="1" xfId="0" applyFont="1" applyBorder="1" applyAlignment="1">
      <alignment vertical="center"/>
    </xf>
    <xf numFmtId="0" fontId="74" fillId="12" borderId="1" xfId="0" applyFont="1" applyFill="1" applyBorder="1" applyAlignment="1">
      <alignment vertical="center" wrapText="1"/>
    </xf>
    <xf numFmtId="0" fontId="75" fillId="0" borderId="1" xfId="0" applyFont="1" applyBorder="1" applyAlignment="1">
      <alignment horizontal="center" vertical="center" wrapText="1"/>
    </xf>
    <xf numFmtId="0" fontId="16" fillId="12" borderId="1" xfId="0" applyFont="1" applyFill="1" applyBorder="1" applyAlignment="1">
      <alignment vertical="center" wrapText="1"/>
    </xf>
    <xf numFmtId="0" fontId="16" fillId="0" borderId="0" xfId="0" applyFont="1" applyAlignment="1">
      <alignment vertical="center" wrapText="1"/>
    </xf>
    <xf numFmtId="14" fontId="0" fillId="0" borderId="0" xfId="0" applyNumberFormat="1"/>
    <xf numFmtId="0" fontId="50" fillId="3" borderId="6" xfId="7" applyFont="1" applyFill="1" applyBorder="1" applyAlignment="1">
      <alignment horizontal="center" vertical="center"/>
    </xf>
    <xf numFmtId="0" fontId="50" fillId="5" borderId="6" xfId="7" applyFont="1" applyFill="1" applyBorder="1" applyAlignment="1">
      <alignment vertical="center"/>
    </xf>
    <xf numFmtId="0" fontId="50" fillId="5" borderId="6" xfId="7" applyFont="1" applyFill="1" applyBorder="1" applyAlignment="1">
      <alignment horizontal="center" vertical="center"/>
    </xf>
    <xf numFmtId="0" fontId="50" fillId="3" borderId="6" xfId="7" applyFont="1" applyFill="1" applyBorder="1" applyAlignment="1">
      <alignment horizontal="left" vertical="center"/>
    </xf>
    <xf numFmtId="0" fontId="50" fillId="0" borderId="6" xfId="7" applyFont="1" applyBorder="1" applyAlignment="1">
      <alignment vertical="center"/>
    </xf>
    <xf numFmtId="0" fontId="50" fillId="0" borderId="6" xfId="7" applyFont="1" applyBorder="1" applyAlignment="1">
      <alignment horizontal="center" vertical="center"/>
    </xf>
    <xf numFmtId="0" fontId="50" fillId="0" borderId="6" xfId="7" applyFont="1" applyBorder="1" applyAlignment="1">
      <alignment horizontal="left" vertical="center"/>
    </xf>
    <xf numFmtId="0" fontId="78" fillId="0" borderId="0" xfId="0" applyFont="1"/>
    <xf numFmtId="0" fontId="79" fillId="0" borderId="0" xfId="0" applyFont="1"/>
    <xf numFmtId="0" fontId="80" fillId="0" borderId="0" xfId="0" applyFont="1"/>
    <xf numFmtId="169" fontId="36" fillId="3" borderId="20" xfId="5" applyNumberFormat="1" applyFont="1" applyFill="1" applyBorder="1" applyAlignment="1">
      <alignment horizontal="right" vertical="center"/>
    </xf>
    <xf numFmtId="169" fontId="37" fillId="3" borderId="0" xfId="2" applyNumberFormat="1" applyFont="1" applyFill="1" applyAlignment="1">
      <alignment vertical="center"/>
    </xf>
    <xf numFmtId="169" fontId="36" fillId="3" borderId="0" xfId="2" applyNumberFormat="1" applyFont="1" applyFill="1" applyAlignment="1">
      <alignment vertical="center"/>
    </xf>
    <xf numFmtId="169" fontId="0" fillId="0" borderId="0" xfId="0" applyNumberFormat="1"/>
    <xf numFmtId="169" fontId="58" fillId="0" borderId="0" xfId="3" applyNumberFormat="1" applyFont="1" applyAlignment="1">
      <alignment wrapText="1"/>
    </xf>
    <xf numFmtId="169" fontId="59" fillId="0" borderId="0" xfId="3" applyNumberFormat="1" applyFont="1" applyAlignment="1">
      <alignment wrapText="1"/>
    </xf>
    <xf numFmtId="0" fontId="2" fillId="0" borderId="1" xfId="0" applyFont="1" applyBorder="1"/>
    <xf numFmtId="10" fontId="52" fillId="0" borderId="0" xfId="8" applyNumberFormat="1" applyFont="1" applyAlignment="1">
      <alignment horizontal="center"/>
    </xf>
    <xf numFmtId="10" fontId="2" fillId="0" borderId="1" xfId="0" applyNumberFormat="1" applyFont="1" applyBorder="1" applyAlignment="1">
      <alignment horizontal="center"/>
    </xf>
    <xf numFmtId="0" fontId="41" fillId="0" borderId="31" xfId="0" applyFont="1" applyBorder="1"/>
    <xf numFmtId="0" fontId="0" fillId="0" borderId="31" xfId="0" applyBorder="1"/>
    <xf numFmtId="10" fontId="1" fillId="14" borderId="1" xfId="8" applyNumberFormat="1" applyFont="1" applyFill="1" applyBorder="1" applyAlignment="1">
      <alignment horizontal="center"/>
    </xf>
    <xf numFmtId="0" fontId="8" fillId="0" borderId="0" xfId="4" applyAlignment="1" applyProtection="1">
      <alignment horizontal="left" wrapText="1"/>
    </xf>
    <xf numFmtId="0" fontId="47" fillId="0" borderId="0" xfId="4" applyFont="1" applyAlignment="1" applyProtection="1">
      <alignment horizontal="left" wrapText="1"/>
    </xf>
    <xf numFmtId="0" fontId="6" fillId="0" borderId="0" xfId="0" applyFont="1" applyAlignment="1">
      <alignment horizontal="center"/>
    </xf>
    <xf numFmtId="0" fontId="72" fillId="12" borderId="21" xfId="0" applyFont="1" applyFill="1" applyBorder="1" applyAlignment="1">
      <alignment horizontal="left" vertical="top" wrapText="1"/>
    </xf>
    <xf numFmtId="0" fontId="16" fillId="12" borderId="22" xfId="0" applyFont="1" applyFill="1" applyBorder="1" applyAlignment="1">
      <alignment horizontal="left" vertical="top" wrapText="1"/>
    </xf>
    <xf numFmtId="0" fontId="16" fillId="12" borderId="23" xfId="0" applyFont="1" applyFill="1" applyBorder="1" applyAlignment="1">
      <alignment horizontal="left" vertical="top" wrapText="1"/>
    </xf>
    <xf numFmtId="0" fontId="16" fillId="12" borderId="24" xfId="0" applyFont="1" applyFill="1" applyBorder="1" applyAlignment="1">
      <alignment horizontal="left" vertical="top" wrapText="1"/>
    </xf>
    <xf numFmtId="0" fontId="16" fillId="12" borderId="0" xfId="0" applyFont="1" applyFill="1" applyAlignment="1">
      <alignment horizontal="left" vertical="top" wrapText="1"/>
    </xf>
    <xf numFmtId="0" fontId="16" fillId="12" borderId="25" xfId="0" applyFont="1" applyFill="1" applyBorder="1" applyAlignment="1">
      <alignment horizontal="left" vertical="top" wrapText="1"/>
    </xf>
    <xf numFmtId="0" fontId="16" fillId="12" borderId="26" xfId="0" applyFont="1" applyFill="1" applyBorder="1" applyAlignment="1">
      <alignment horizontal="left" vertical="top" wrapText="1"/>
    </xf>
    <xf numFmtId="0" fontId="16" fillId="12" borderId="27" xfId="0" applyFont="1" applyFill="1" applyBorder="1" applyAlignment="1">
      <alignment horizontal="left" vertical="top" wrapText="1"/>
    </xf>
    <xf numFmtId="0" fontId="16" fillId="12" borderId="19" xfId="0" applyFont="1" applyFill="1" applyBorder="1" applyAlignment="1">
      <alignment horizontal="left" vertical="top" wrapText="1"/>
    </xf>
    <xf numFmtId="0" fontId="3" fillId="0" borderId="0" xfId="0" applyFont="1" applyAlignment="1">
      <alignment horizontal="center"/>
    </xf>
    <xf numFmtId="0" fontId="13" fillId="13" borderId="0" xfId="7" applyFont="1" applyFill="1" applyAlignment="1">
      <alignment horizontal="center"/>
    </xf>
    <xf numFmtId="164" fontId="14" fillId="13" borderId="0" xfId="7" applyNumberFormat="1" applyFont="1" applyFill="1" applyAlignment="1">
      <alignment horizontal="left" wrapText="1"/>
    </xf>
    <xf numFmtId="0" fontId="4" fillId="0" borderId="1" xfId="0" applyFont="1" applyBorder="1" applyAlignment="1">
      <alignment horizontal="center"/>
    </xf>
  </cellXfs>
  <cellStyles count="9">
    <cellStyle name="blp_column_header" xfId="1" xr:uid="{00000000-0005-0000-0000-000000000000}"/>
    <cellStyle name="Comma 2 2" xfId="2" xr:uid="{00000000-0005-0000-0000-000001000000}"/>
    <cellStyle name="Currency" xfId="3" builtinId="4"/>
    <cellStyle name="Hyperlink" xfId="4" builtinId="8"/>
    <cellStyle name="Normal" xfId="0" builtinId="0"/>
    <cellStyle name="Normal 2" xfId="5" xr:uid="{00000000-0005-0000-0000-000005000000}"/>
    <cellStyle name="Normal 2 2" xfId="6" xr:uid="{00000000-0005-0000-0000-000006000000}"/>
    <cellStyle name="Normal_Sovereign Ratings Summary 11-7-06" xfId="7" xr:uid="{00000000-0005-0000-0000-000007000000}"/>
    <cellStyle name="Percent" xfId="8" builtinId="5"/>
  </cellStyles>
  <dxfs count="22">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5"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34.400079282408" createdVersion="4" refreshedVersion="8" minRefreshableVersion="3" recordCount="157" xr:uid="{00000000-000A-0000-FFFF-FFFF1E000000}">
  <cacheSource type="worksheet">
    <worksheetSource ref="A1:I158" sheet="Regional breakdown"/>
  </cacheSource>
  <cacheFields count="9">
    <cacheField name="Country" numFmtId="0">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2" numFmtId="2">
      <sharedItems containsSemiMixedTypes="0" containsString="0" containsNumber="1" minValue="1138.8088811" maxValue="25439700"/>
    </cacheField>
    <cacheField name="Moody's rating" numFmtId="0">
      <sharedItems/>
    </cacheField>
    <cacheField name="Sovereign CDS" numFmtId="10">
      <sharedItems containsMixedTypes="1" containsNumber="1" minValue="2.2000000000000001E-3" maxValue="0.59360000000000002"/>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4.5999999999999999E-2" maxValue="0.28092692770782934"/>
    </cacheField>
    <cacheField name="Country Risk Premium" numFmtId="10">
      <sharedItems containsSemiMixedTypes="0" containsString="0" containsNumber="1" minValue="0" maxValue="0.23492692770782936"/>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299500"/>
    <s v="Aa2"/>
    <n v="7.4999999999999997E-3"/>
    <n v="5.3778762707661788E-3"/>
    <n v="5.3219473999336783E-2"/>
    <n v="7.2194739993367832E-3"/>
    <n v="0.15"/>
    <x v="0"/>
  </r>
  <r>
    <x v="1"/>
    <n v="18916.37886054883"/>
    <s v="B1"/>
    <s v="NA"/>
    <n v="4.9041109802463012E-2"/>
    <n v="0.11183472718442829"/>
    <n v="6.5834727184428288E-2"/>
    <n v="0.15"/>
    <x v="1"/>
  </r>
  <r>
    <x v="2"/>
    <n v="3330"/>
    <s v="Baa2"/>
    <s v="NA"/>
    <n v="2.0743237044383835E-2"/>
    <n v="7.3846542568870452E-2"/>
    <n v="2.7846542568870453E-2"/>
    <n v="0.1898"/>
    <x v="2"/>
  </r>
  <r>
    <x v="3"/>
    <n v="106782.77071461857"/>
    <s v="B3"/>
    <n v="7.8200000000000006E-2"/>
    <n v="7.0808704231754685E-2"/>
    <n v="0.14105640765793431"/>
    <n v="9.5056407657934314E-2"/>
    <n v="0.25"/>
    <x v="3"/>
  </r>
  <r>
    <x v="4"/>
    <n v="631133.38443994441"/>
    <s v="Ca"/>
    <s v="NA"/>
    <n v="0.13073361124886354"/>
    <n v="0.22150197507911562"/>
    <n v="0.17550197507911564"/>
    <n v="0.35"/>
    <x v="4"/>
  </r>
  <r>
    <x v="5"/>
    <n v="19513.474648242936"/>
    <s v="Ba3"/>
    <s v="NA"/>
    <n v="3.9181669972725021E-2"/>
    <n v="9.8599024852310854E-2"/>
    <n v="5.2599024852310855E-2"/>
    <n v="0.18"/>
    <x v="1"/>
  </r>
  <r>
    <x v="6"/>
    <n v="3544.7077880566426"/>
    <s v="Baa2"/>
    <s v="NA"/>
    <n v="2.0743237044383835E-2"/>
    <n v="7.3846542568870452E-2"/>
    <n v="2.7846542568870453E-2"/>
    <n v="0.25"/>
    <x v="5"/>
  </r>
  <r>
    <x v="7"/>
    <n v="1692956.6468557017"/>
    <s v="Aaa"/>
    <n v="2.5999999999999999E-3"/>
    <n v="0"/>
    <n v="4.5999999999999999E-2"/>
    <n v="0"/>
    <n v="0.3"/>
    <x v="6"/>
  </r>
  <r>
    <x v="8"/>
    <n v="470941.92675074114"/>
    <s v="Aa1"/>
    <n v="2.7000000000000001E-3"/>
    <n v="4.3535188858583353E-3"/>
    <n v="5.1844336094701203E-2"/>
    <n v="5.8443360947012055E-3"/>
    <n v="0.24"/>
    <x v="2"/>
  </r>
  <r>
    <x v="9"/>
    <n v="78721.058823529398"/>
    <s v="Ba1"/>
    <s v="NA"/>
    <n v="2.7273515373171343E-2"/>
    <n v="8.2613046710922261E-2"/>
    <n v="3.6613046710922269E-2"/>
    <n v="0.2"/>
    <x v="1"/>
  </r>
  <r>
    <x v="10"/>
    <n v="11210"/>
    <s v="B1"/>
    <s v="NA"/>
    <n v="4.9041109802463012E-2"/>
    <n v="0.11183472718442829"/>
    <n v="6.5834727184428288E-2"/>
    <n v="0"/>
    <x v="5"/>
  </r>
  <r>
    <x v="11"/>
    <n v="44383.297872340423"/>
    <s v="B2"/>
    <n v="2.7400000000000001E-2"/>
    <n v="5.9924907017108855E-2"/>
    <n v="0.12644556742118129"/>
    <n v="8.0445567421181308E-2"/>
    <n v="0"/>
    <x v="0"/>
  </r>
  <r>
    <x v="12"/>
    <n v="460201.26552797732"/>
    <s v="B1"/>
    <s v="NA"/>
    <n v="4.9041109802463012E-2"/>
    <n v="0.11183472718442829"/>
    <n v="6.5834727184428288E-2"/>
    <n v="0.3"/>
    <x v="7"/>
  </r>
  <r>
    <x v="13"/>
    <n v="5699.95"/>
    <s v="B3"/>
    <s v="NA"/>
    <n v="7.0808704231754685E-2"/>
    <n v="0.14105640765793431"/>
    <n v="9.5056407657934314E-2"/>
    <n v="5.5E-2"/>
    <x v="5"/>
  </r>
  <r>
    <x v="14"/>
    <n v="72793.457588436664"/>
    <s v="C"/>
    <s v="NA"/>
    <n v="0.17499999999999999"/>
    <n v="0.28092692770782934"/>
    <n v="0.23492692770782936"/>
    <n v="0.18"/>
    <x v="1"/>
  </r>
  <r>
    <x v="15"/>
    <n v="583435.59557996341"/>
    <s v="Aa3"/>
    <n v="3.3E-3"/>
    <n v="6.5302783287875029E-3"/>
    <n v="5.4766504142051808E-2"/>
    <n v="8.7665041420518092E-3"/>
    <n v="0.25"/>
    <x v="2"/>
  </r>
  <r>
    <x v="16"/>
    <n v="2830.5075756840952"/>
    <s v="Caa2"/>
    <s v="NA"/>
    <n v="9.8082219604926024E-2"/>
    <n v="0.17766945436885656"/>
    <n v="0.13166945436885658"/>
    <n v="0.2853"/>
    <x v="4"/>
  </r>
  <r>
    <x v="17"/>
    <n v="17396.7926995489"/>
    <s v="B1"/>
    <s v="NA"/>
    <n v="4.9041109802463012E-2"/>
    <n v="0.11183472718442829"/>
    <n v="6.5834727184428288E-2"/>
    <n v="0.3"/>
    <x v="3"/>
  </r>
  <r>
    <x v="18"/>
    <n v="7546"/>
    <s v="A2"/>
    <s v="NA"/>
    <n v="9.2192164641705932E-3"/>
    <n v="5.83762411417202E-2"/>
    <n v="1.2376241141720201E-2"/>
    <n v="0"/>
    <x v="5"/>
  </r>
  <r>
    <x v="19"/>
    <n v="44008.282877960643"/>
    <s v="Caa1"/>
    <s v="NA"/>
    <n v="8.1692501446400528E-2"/>
    <n v="0.15566724789468733"/>
    <n v="0.10966724789468733"/>
    <n v="0.25"/>
    <x v="4"/>
  </r>
  <r>
    <x v="20"/>
    <n v="24473.906673708643"/>
    <s v="B3"/>
    <s v="NA"/>
    <n v="7.0808704231754685E-2"/>
    <n v="0.14105640765793431"/>
    <n v="9.5056407657934314E-2"/>
    <n v="0.1"/>
    <x v="1"/>
  </r>
  <r>
    <x v="21"/>
    <n v="20355.541962851221"/>
    <s v="A3"/>
    <s v="NA"/>
    <n v="1.3060556657575006E-2"/>
    <n v="6.3533008284103618E-2"/>
    <n v="1.7533008284103618E-2"/>
    <n v="0.22"/>
    <x v="3"/>
  </r>
  <r>
    <x v="22"/>
    <n v="1920095.7790227288"/>
    <s v="Ba2"/>
    <n v="2.3900000000000001E-2"/>
    <n v="3.2779436317050999E-2"/>
    <n v="9.0004412948338497E-2"/>
    <n v="4.4004412948338498E-2"/>
    <n v="0.34"/>
    <x v="4"/>
  </r>
  <r>
    <x v="23"/>
    <n v="90346.169914934857"/>
    <s v="Baa1"/>
    <n v="1.47E-2"/>
    <n v="1.7414075543433341E-2"/>
    <n v="6.9377344378804828E-2"/>
    <n v="2.3377344378804822E-2"/>
    <n v="0.1"/>
    <x v="1"/>
  </r>
  <r>
    <x v="24"/>
    <n v="18820.064797837909"/>
    <s v="Caa1"/>
    <s v="NA"/>
    <n v="8.1692501446400528E-2"/>
    <n v="0.15566724789468733"/>
    <n v="0.10966724789468733"/>
    <n v="0.28000000000000003"/>
    <x v="3"/>
  </r>
  <r>
    <x v="25"/>
    <n v="29504.829319316876"/>
    <s v="B2"/>
    <s v="NA"/>
    <n v="5.9924907017108855E-2"/>
    <n v="0.12644556742118129"/>
    <n v="8.0445567421181308E-2"/>
    <n v="0.2"/>
    <x v="7"/>
  </r>
  <r>
    <x v="26"/>
    <n v="43644.068310851013"/>
    <s v="Caa1"/>
    <n v="9.1399999999999995E-2"/>
    <n v="8.1692501446400528E-2"/>
    <n v="0.15566724789468733"/>
    <n v="0.10966724789468733"/>
    <n v="0.33"/>
    <x v="3"/>
  </r>
  <r>
    <x v="27"/>
    <n v="2137939.2200749093"/>
    <s v="Aaa"/>
    <n v="4.4000000000000003E-3"/>
    <n v="0"/>
    <n v="4.5999999999999999E-2"/>
    <n v="0"/>
    <n v="0.26500000000000001"/>
    <x v="8"/>
  </r>
  <r>
    <x v="28"/>
    <n v="1936"/>
    <s v="B3"/>
    <s v="NA"/>
    <n v="7.0808704231754685E-2"/>
    <n v="0.14105640765793431"/>
    <n v="9.5056407657934314E-2"/>
    <n v="0"/>
    <x v="3"/>
  </r>
  <r>
    <x v="29"/>
    <n v="6844.8273793095168"/>
    <s v="Aa3"/>
    <s v="NA"/>
    <n v="6.5302783287875029E-3"/>
    <n v="5.4766504142051808E-2"/>
    <n v="8.7665041420518092E-3"/>
    <n v="0"/>
    <x v="5"/>
  </r>
  <r>
    <x v="30"/>
    <n v="301024.7249119234"/>
    <s v="A2"/>
    <n v="1.15E-2"/>
    <n v="9.2192164641705932E-3"/>
    <n v="5.83762411417202E-2"/>
    <n v="1.2376241141720201E-2"/>
    <n v="0.27"/>
    <x v="4"/>
  </r>
  <r>
    <x v="31"/>
    <n v="17963171.479205329"/>
    <s v="A1"/>
    <n v="9.9000000000000008E-3"/>
    <n v="7.6826803868088279E-3"/>
    <n v="5.6313534284766834E-2"/>
    <n v="1.0313534284766834E-2"/>
    <n v="0.25"/>
    <x v="7"/>
  </r>
  <r>
    <x v="32"/>
    <n v="343622.11456040916"/>
    <s v="Baa2"/>
    <n v="2.7400000000000001E-2"/>
    <n v="2.0743237044383835E-2"/>
    <n v="7.3846542568870452E-2"/>
    <n v="2.7846542568870453E-2"/>
    <n v="0.35"/>
    <x v="4"/>
  </r>
  <r>
    <x v="33"/>
    <n v="64718.641221216043"/>
    <s v="B3"/>
    <s v="NA"/>
    <n v="7.0808704231754685E-2"/>
    <n v="0.14105640765793431"/>
    <n v="9.5056407657934314E-2"/>
    <n v="0.3"/>
    <x v="3"/>
  </r>
  <r>
    <x v="34"/>
    <n v="14616"/>
    <s v="Caa2"/>
    <s v="NA"/>
    <n v="9.8082219604926024E-2"/>
    <n v="0.17766945436885656"/>
    <n v="0.13166945436885658"/>
    <n v="0.28000000000000003"/>
    <x v="3"/>
  </r>
  <r>
    <x v="35"/>
    <n v="1414"/>
    <s v="B1"/>
    <s v="NA"/>
    <n v="4.9041109802463012E-2"/>
    <n v="0.11183472718442829"/>
    <n v="6.5834727184428288E-2"/>
    <n v="0.2974"/>
    <x v="6"/>
  </r>
  <r>
    <x v="36"/>
    <n v="69243.62602866962"/>
    <s v="B1"/>
    <n v="3.1099999999999999E-2"/>
    <n v="4.9041109802463012E-2"/>
    <n v="0.11183472718442829"/>
    <n v="6.5834727184428288E-2"/>
    <n v="0.3"/>
    <x v="4"/>
  </r>
  <r>
    <x v="37"/>
    <n v="70019"/>
    <s v="Ba3"/>
    <s v="NA"/>
    <n v="3.9181669972725021E-2"/>
    <n v="9.8599024852310854E-2"/>
    <n v="5.2599024852310855E-2"/>
    <n v="0.25"/>
    <x v="3"/>
  </r>
  <r>
    <x v="38"/>
    <n v="71600.049650194982"/>
    <s v="Baa2"/>
    <n v="1.34E-2"/>
    <n v="2.0743237044383835E-2"/>
    <n v="7.3846542568870452E-2"/>
    <n v="2.7846542568870453E-2"/>
    <n v="0.18"/>
    <x v="1"/>
  </r>
  <r>
    <x v="39"/>
    <n v="633442.30000000005"/>
    <s v="Ca"/>
    <s v="NA"/>
    <n v="0.13073361124886354"/>
    <n v="0.22150197507911562"/>
    <n v="0.17550197507911564"/>
    <n v="0.2853"/>
    <x v="5"/>
  </r>
  <r>
    <x v="40"/>
    <n v="3075.1808347241672"/>
    <s v="Baa2"/>
    <s v="NA"/>
    <n v="2.0743237044383835E-2"/>
    <n v="7.3846542568870452E-2"/>
    <n v="2.7846542568870453E-2"/>
    <n v="0.22"/>
    <x v="5"/>
  </r>
  <r>
    <x v="41"/>
    <n v="29250.524418085472"/>
    <s v="Baa2"/>
    <n v="1.11E-2"/>
    <n v="2.0743237044383835E-2"/>
    <n v="7.3846542568870452E-2"/>
    <n v="2.7846542568870453E-2"/>
    <n v="0.125"/>
    <x v="2"/>
  </r>
  <r>
    <x v="42"/>
    <n v="290527.55062722095"/>
    <s v="Aa3"/>
    <n v="5.5999999999999999E-3"/>
    <n v="6.5302783287875029E-3"/>
    <n v="5.4766504142051808E-2"/>
    <n v="8.7665041420518092E-3"/>
    <n v="0.19"/>
    <x v="1"/>
  </r>
  <r>
    <x v="43"/>
    <n v="400167.19694870739"/>
    <s v="Aaa"/>
    <n v="2.3999999999999998E-3"/>
    <n v="0"/>
    <n v="4.5999999999999999E-2"/>
    <n v="0"/>
    <n v="0.22"/>
    <x v="2"/>
  </r>
  <r>
    <x v="44"/>
    <n v="113537.3681761303"/>
    <s v="Ba3"/>
    <s v="NA"/>
    <n v="3.9181669972725021E-2"/>
    <n v="9.8599024852310854E-2"/>
    <n v="5.2599024852310855E-2"/>
    <n v="0.27"/>
    <x v="5"/>
  </r>
  <r>
    <x v="45"/>
    <n v="115049.476"/>
    <s v="Caa3"/>
    <n v="0.52739999999999998"/>
    <n v="0.10896601681957188"/>
    <n v="0.19228029460560964"/>
    <n v="0.14628029460560962"/>
    <n v="0.25"/>
    <x v="4"/>
  </r>
  <r>
    <x v="46"/>
    <n v="476747.72036474163"/>
    <s v="Caa1"/>
    <n v="0.1013"/>
    <n v="8.1692501446400528E-2"/>
    <n v="0.15566724789468733"/>
    <n v="0.10966724789468733"/>
    <n v="0.22500000000000001"/>
    <x v="3"/>
  </r>
  <r>
    <x v="47"/>
    <n v="32488.720000000001"/>
    <s v="Caa3"/>
    <n v="8.4000000000000005E-2"/>
    <n v="0.10896601681957188"/>
    <n v="0.19228029460560964"/>
    <n v="0.14628029460560962"/>
    <n v="0.3"/>
    <x v="4"/>
  </r>
  <r>
    <x v="48"/>
    <n v="38100.8129585196"/>
    <s v="A1"/>
    <n v="6.0000000000000001E-3"/>
    <n v="7.6826803868088279E-3"/>
    <n v="5.6313534284766834E-2"/>
    <n v="1.0313534284766834E-2"/>
    <n v="0.2"/>
    <x v="1"/>
  </r>
  <r>
    <x v="49"/>
    <n v="126783.47159767149"/>
    <s v="Caa2"/>
    <n v="0.3231"/>
    <n v="9.8082219604926024E-2"/>
    <n v="0.17766945436885656"/>
    <n v="0.13166945436885658"/>
    <n v="0.3"/>
    <x v="3"/>
  </r>
  <r>
    <x v="50"/>
    <n v="4979.9795460122996"/>
    <s v="B1"/>
    <s v="NA"/>
    <n v="4.9041109802463012E-2"/>
    <n v="0.11183472718442829"/>
    <n v="6.5834727184428288E-2"/>
    <n v="0.2"/>
    <x v="7"/>
  </r>
  <r>
    <x v="51"/>
    <n v="282896.25139105169"/>
    <s v="Aa1"/>
    <n v="3.3999999999999998E-3"/>
    <n v="4.3535188858583353E-3"/>
    <n v="5.1844336094701203E-2"/>
    <n v="5.8443360947012055E-3"/>
    <n v="0.2"/>
    <x v="2"/>
  </r>
  <r>
    <x v="52"/>
    <n v="2779092.236505847"/>
    <s v="Aa2"/>
    <n v="4.3E-3"/>
    <n v="5.3778762707661788E-3"/>
    <n v="5.3219473999336783E-2"/>
    <n v="7.2194739993367832E-3"/>
    <n v="0.25"/>
    <x v="2"/>
  </r>
  <r>
    <x v="53"/>
    <n v="21071.73922489183"/>
    <s v="Caa1"/>
    <s v="NA"/>
    <n v="8.1692501446400528E-2"/>
    <n v="0.15566724789468733"/>
    <n v="0.10966724789468733"/>
    <n v="0.3"/>
    <x v="3"/>
  </r>
  <r>
    <x v="54"/>
    <n v="24780.791063713052"/>
    <s v="Ba2"/>
    <s v="NA"/>
    <n v="3.2779436317050999E-2"/>
    <n v="9.0004412948338497E-2"/>
    <n v="4.4004412948338498E-2"/>
    <n v="0.15"/>
    <x v="1"/>
  </r>
  <r>
    <x v="55"/>
    <n v="4082469.4907976813"/>
    <s v="Aaa"/>
    <n v="2.8999999999999998E-3"/>
    <n v="0"/>
    <n v="4.5999999999999999E-2"/>
    <n v="0"/>
    <n v="0.3"/>
    <x v="2"/>
  </r>
  <r>
    <x v="56"/>
    <n v="73766.052451525553"/>
    <s v="Caa3"/>
    <s v="NA"/>
    <n v="0.10896601681957188"/>
    <n v="0.19228029460560964"/>
    <n v="0.14628029460560962"/>
    <n v="0.25"/>
    <x v="3"/>
  </r>
  <r>
    <x v="57"/>
    <n v="217581.32451205922"/>
    <s v="Ba1"/>
    <n v="1.2800000000000001E-2"/>
    <n v="2.7273515373171343E-2"/>
    <n v="8.2613046710922261E-2"/>
    <n v="3.6613046710922269E-2"/>
    <n v="0.22"/>
    <x v="2"/>
  </r>
  <r>
    <x v="58"/>
    <n v="95003.330315875442"/>
    <s v="Ba1"/>
    <s v="NA"/>
    <n v="2.7273515373171343E-2"/>
    <n v="8.2613046710922261E-2"/>
    <n v="3.6613046710922269E-2"/>
    <n v="0.25"/>
    <x v="4"/>
  </r>
  <r>
    <x v="59"/>
    <n v="3446"/>
    <s v="A1"/>
    <s v="NA"/>
    <n v="7.6826803868088279E-3"/>
    <n v="5.6313534284766834E-2"/>
    <n v="1.0313534284766834E-2"/>
    <n v="0"/>
    <x v="2"/>
  </r>
  <r>
    <x v="60"/>
    <n v="31717.6997643621"/>
    <s v="B1"/>
    <s v="NA"/>
    <n v="4.9041109802463012E-2"/>
    <n v="0.11183472718442829"/>
    <n v="6.5834727184428288E-2"/>
    <n v="0.25"/>
    <x v="4"/>
  </r>
  <r>
    <x v="61"/>
    <n v="359838.58349006315"/>
    <s v="Aa3"/>
    <n v="6.0000000000000001E-3"/>
    <n v="6.5302783287875029E-3"/>
    <n v="5.4766504142051808E-2"/>
    <n v="8.7665041420518092E-3"/>
    <n v="0.16500000000000001"/>
    <x v="7"/>
  </r>
  <r>
    <x v="62"/>
    <n v="177337.43667736501"/>
    <s v="Baa2"/>
    <n v="1.95E-2"/>
    <n v="2.0743237044383835E-2"/>
    <n v="7.3846542568870452E-2"/>
    <n v="2.7846542568870453E-2"/>
    <n v="0.09"/>
    <x v="1"/>
  </r>
  <r>
    <x v="63"/>
    <n v="28064.52985130985"/>
    <s v="A2"/>
    <n v="8.8000000000000005E-3"/>
    <n v="9.2192164641705932E-3"/>
    <n v="5.83762411417202E-2"/>
    <n v="1.2376241141720201E-2"/>
    <n v="0.2"/>
    <x v="2"/>
  </r>
  <r>
    <x v="64"/>
    <n v="3416645.8260528739"/>
    <s v="Baa3"/>
    <n v="9.9000000000000008E-3"/>
    <n v="2.3944353872220846E-2"/>
    <n v="7.8143848520856624E-2"/>
    <n v="3.2143848520856631E-2"/>
    <n v="0.3"/>
    <x v="7"/>
  </r>
  <r>
    <x v="65"/>
    <n v="1319100.2204077167"/>
    <s v="Baa2"/>
    <n v="1.32E-2"/>
    <n v="2.0743237044383835E-2"/>
    <n v="7.3846542568870452E-2"/>
    <n v="2.7846542568870453E-2"/>
    <n v="0.22"/>
    <x v="7"/>
  </r>
  <r>
    <x v="66"/>
    <n v="264182.17379310343"/>
    <s v="Caa1"/>
    <n v="5.1400000000000001E-2"/>
    <n v="8.1692501446400528E-2"/>
    <n v="0.15566724789468733"/>
    <n v="0.10966724789468733"/>
    <n v="0.15"/>
    <x v="0"/>
  </r>
  <r>
    <x v="67"/>
    <n v="533140.0118382764"/>
    <s v="Aa3"/>
    <n v="4.1000000000000003E-3"/>
    <n v="6.5302783287875029E-3"/>
    <n v="5.4766504142051808E-2"/>
    <n v="8.7665041420518092E-3"/>
    <n v="0.125"/>
    <x v="2"/>
  </r>
  <r>
    <x v="68"/>
    <n v="6684.2292685054481"/>
    <s v="Aa3"/>
    <s v="NA"/>
    <n v="6.5302783287875029E-3"/>
    <n v="5.4766504142051808E-2"/>
    <n v="8.7665041420518092E-3"/>
    <n v="0"/>
    <x v="2"/>
  </r>
  <r>
    <x v="69"/>
    <n v="525002.44765277347"/>
    <s v="A1"/>
    <n v="1.5699999999999999E-2"/>
    <n v="7.6826803868088279E-3"/>
    <n v="5.6313534284766834E-2"/>
    <n v="1.0313534284766834E-2"/>
    <n v="0.23"/>
    <x v="0"/>
  </r>
  <r>
    <x v="70"/>
    <n v="2049737.1654079845"/>
    <s v="Baa3"/>
    <n v="1.34E-2"/>
    <n v="2.3944353872220846E-2"/>
    <n v="7.8143848520856624E-2"/>
    <n v="3.2143848520856631E-2"/>
    <n v="0.24"/>
    <x v="2"/>
  </r>
  <r>
    <x v="71"/>
    <n v="17097.760723920146"/>
    <s v="B1"/>
    <s v="NA"/>
    <n v="4.9041109802463012E-2"/>
    <n v="0.11183472718442829"/>
    <n v="6.5834727184428288E-2"/>
    <n v="0.25"/>
    <x v="5"/>
  </r>
  <r>
    <x v="72"/>
    <n v="4232173.9160866737"/>
    <s v="A1"/>
    <n v="4.3E-3"/>
    <n v="7.6826803868088279E-3"/>
    <n v="5.6313534284766834E-2"/>
    <n v="1.0313534284766834E-2"/>
    <n v="0.30620000000000003"/>
    <x v="7"/>
  </r>
  <r>
    <x v="73"/>
    <n v="4890"/>
    <s v="Aa3"/>
    <s v="NA"/>
    <n v="6.5302783287875029E-3"/>
    <n v="5.4766504142051808E-2"/>
    <n v="8.7665041420518092E-3"/>
    <n v="0"/>
    <x v="2"/>
  </r>
  <r>
    <x v="74"/>
    <n v="48653.38178063972"/>
    <s v="B1"/>
    <s v="NA"/>
    <n v="4.9041109802463012E-2"/>
    <n v="0.11183472718442829"/>
    <n v="6.5834727184428288E-2"/>
    <n v="0.2"/>
    <x v="0"/>
  </r>
  <r>
    <x v="75"/>
    <n v="225496.3289254941"/>
    <s v="Baa2"/>
    <n v="1.7600000000000001E-2"/>
    <n v="2.0743237044383835E-2"/>
    <n v="7.3846542568870452E-2"/>
    <n v="2.7846542568870453E-2"/>
    <n v="0.2"/>
    <x v="1"/>
  </r>
  <r>
    <x v="76"/>
    <n v="113420.00817879318"/>
    <s v="B3"/>
    <n v="7.0400000000000004E-2"/>
    <n v="7.0808704231754685E-2"/>
    <n v="0.14105640765793431"/>
    <n v="9.5056407657934314E-2"/>
    <n v="0.3"/>
    <x v="3"/>
  </r>
  <r>
    <x v="77"/>
    <n v="1673916.4690265576"/>
    <s v="Aa2"/>
    <n v="3.7000000000000002E-3"/>
    <n v="5.3778762707661788E-3"/>
    <n v="5.3219473999336783E-2"/>
    <n v="7.2194739993367832E-3"/>
    <n v="0.25"/>
    <x v="7"/>
  </r>
  <r>
    <x v="78"/>
    <n v="175363.26530612243"/>
    <s v="A1"/>
    <n v="8.3000000000000001E-3"/>
    <n v="7.6826803868088279E-3"/>
    <n v="5.6313534284766834E-2"/>
    <n v="1.0313534284766834E-2"/>
    <n v="0.15"/>
    <x v="0"/>
  </r>
  <r>
    <x v="79"/>
    <n v="11543.966558842048"/>
    <s v="B3"/>
    <s v="NA"/>
    <n v="7.0808704231754685E-2"/>
    <n v="0.14105640765793431"/>
    <n v="9.5056407657934314E-2"/>
    <n v="0.1"/>
    <x v="1"/>
  </r>
  <r>
    <x v="80"/>
    <n v="15468.785203753174"/>
    <s v="Caa3"/>
    <s v="NA"/>
    <n v="0.10896601681957188"/>
    <n v="0.19228029460560964"/>
    <n v="0.14628029460560962"/>
    <n v="0.26860000000000001"/>
    <x v="7"/>
  </r>
  <r>
    <x v="81"/>
    <n v="40932.030049564361"/>
    <s v="A3"/>
    <n v="9.4000000000000004E-3"/>
    <n v="1.3060556657575006E-2"/>
    <n v="6.3533008284103618E-2"/>
    <n v="1.7533008284103618E-2"/>
    <n v="0.2"/>
    <x v="1"/>
  </r>
  <r>
    <x v="82"/>
    <n v="23131.941556784346"/>
    <s v="C"/>
    <s v="NA"/>
    <n v="0.17499999999999999"/>
    <n v="0.28092692770782934"/>
    <n v="0.23492692770782936"/>
    <n v="0.17"/>
    <x v="0"/>
  </r>
  <r>
    <x v="83"/>
    <n v="7710.380085922573"/>
    <s v="Aaa"/>
    <s v="NA"/>
    <n v="0"/>
    <n v="4.5999999999999999E-2"/>
    <n v="0"/>
    <n v="0.125"/>
    <x v="2"/>
  </r>
  <r>
    <x v="84"/>
    <n v="70974.490450494442"/>
    <s v="A2"/>
    <n v="8.9999999999999993E-3"/>
    <n v="9.2192164641705932E-3"/>
    <n v="5.83762411417202E-2"/>
    <n v="1.2376241141720201E-2"/>
    <n v="0.15"/>
    <x v="1"/>
  </r>
  <r>
    <x v="85"/>
    <n v="81641.807865759081"/>
    <s v="Aaa"/>
    <s v="NA"/>
    <n v="0"/>
    <n v="4.5999999999999999E-2"/>
    <n v="0"/>
    <n v="0.24940000000000001"/>
    <x v="2"/>
  </r>
  <r>
    <x v="86"/>
    <n v="24042.287326572936"/>
    <s v="Aa3"/>
    <s v="NA"/>
    <n v="6.5302783287875029E-3"/>
    <n v="5.4766504142051808E-2"/>
    <n v="8.7665041420518092E-3"/>
    <n v="0.26860000000000001"/>
    <x v="7"/>
  </r>
  <r>
    <x v="87"/>
    <n v="13563.132102166315"/>
    <s v="Ba3"/>
    <s v="NA"/>
    <n v="3.9181669972725021E-2"/>
    <n v="9.8599024852310854E-2"/>
    <n v="5.2599024852310855E-2"/>
    <n v="0.1"/>
    <x v="1"/>
  </r>
  <r>
    <x v="88"/>
    <n v="407027.45171461598"/>
    <s v="A3"/>
    <n v="8.6E-3"/>
    <n v="1.3060556657575006E-2"/>
    <n v="6.3533008284103618E-2"/>
    <n v="1.7533008284103618E-2"/>
    <n v="0.24"/>
    <x v="7"/>
  </r>
  <r>
    <x v="89"/>
    <n v="6170.6387469650035"/>
    <s v="Caa1"/>
    <s v="NA"/>
    <n v="8.1692501446400528E-2"/>
    <n v="0.15566724789468733"/>
    <n v="0.10966724789468733"/>
    <n v="0.26860000000000001"/>
    <x v="7"/>
  </r>
  <r>
    <x v="90"/>
    <n v="18827.176529698252"/>
    <s v="Caa2"/>
    <s v="NA"/>
    <n v="9.8082219604926024E-2"/>
    <n v="0.17766945436885656"/>
    <n v="0.13166945436885658"/>
    <n v="0.26860000000000001"/>
    <x v="3"/>
  </r>
  <r>
    <x v="91"/>
    <n v="18125.564514266385"/>
    <s v="A2"/>
    <s v="NA"/>
    <n v="9.2192164641705932E-3"/>
    <n v="5.83762411417202E-2"/>
    <n v="1.2376241141720201E-2"/>
    <n v="0.35"/>
    <x v="2"/>
  </r>
  <r>
    <x v="92"/>
    <n v="12948.726653810985"/>
    <s v="Baa3"/>
    <s v="NA"/>
    <n v="2.3944353872220846E-2"/>
    <n v="7.8143848520856624E-2"/>
    <n v="3.2143848520856631E-2"/>
    <n v="0.15"/>
    <x v="3"/>
  </r>
  <r>
    <x v="93"/>
    <n v="1465854.0892864685"/>
    <s v="Baa2"/>
    <n v="1.6799999999999999E-2"/>
    <n v="2.0743237044383835E-2"/>
    <n v="7.3846542568870452E-2"/>
    <n v="2.7846542568870453E-2"/>
    <n v="0.3"/>
    <x v="4"/>
  </r>
  <r>
    <x v="94"/>
    <n v="14508.333280423281"/>
    <s v="B3"/>
    <s v="NA"/>
    <n v="7.0808704231754685E-2"/>
    <n v="0.14105640765793431"/>
    <n v="9.5056407657934314E-2"/>
    <n v="0.12"/>
    <x v="1"/>
  </r>
  <r>
    <x v="95"/>
    <n v="17146.471626396327"/>
    <s v="B3"/>
    <s v="NA"/>
    <n v="7.0808704231754685E-2"/>
    <n v="0.14105640765793431"/>
    <n v="9.5056407657934314E-2"/>
    <n v="0.25"/>
    <x v="7"/>
  </r>
  <r>
    <x v="96"/>
    <n v="6229.8015807915735"/>
    <s v="B1"/>
    <s v="NA"/>
    <n v="4.9041109802463012E-2"/>
    <n v="0.11183472718442829"/>
    <n v="6.5834727184428288E-2"/>
    <n v="0.15"/>
    <x v="1"/>
  </r>
  <r>
    <x v="97"/>
    <n v="16199"/>
    <s v="Baa3"/>
    <s v="NA"/>
    <n v="2.3944353872220846E-2"/>
    <n v="7.8143848520856624E-2"/>
    <n v="3.2143848520856631E-2"/>
    <n v="0.2853"/>
    <x v="5"/>
  </r>
  <r>
    <x v="98"/>
    <n v="130912.55882983979"/>
    <s v="Ba1"/>
    <n v="1.9E-2"/>
    <n v="2.7273515373171343E-2"/>
    <n v="8.2613046710922261E-2"/>
    <n v="3.6613046710922269E-2"/>
    <n v="0.32"/>
    <x v="3"/>
  </r>
  <r>
    <x v="99"/>
    <n v="18406.835954669532"/>
    <s v="Caa2"/>
    <s v="NA"/>
    <n v="9.8082219604926024E-2"/>
    <n v="0.17766945436885656"/>
    <n v="0.13166945436885658"/>
    <n v="0.32"/>
    <x v="3"/>
  </r>
  <r>
    <x v="100"/>
    <n v="12914.932655685012"/>
    <s v="B1"/>
    <s v="NA"/>
    <n v="4.9041109802463012E-2"/>
    <n v="0.11183472718442829"/>
    <n v="6.5834727184428288E-2"/>
    <n v="0.32"/>
    <x v="3"/>
  </r>
  <r>
    <x v="101"/>
    <n v="1009398.7190330778"/>
    <s v="Aaa"/>
    <n v="2.3999999999999998E-3"/>
    <n v="0"/>
    <n v="4.5999999999999999E-2"/>
    <n v="0"/>
    <n v="0.25800000000000001"/>
    <x v="2"/>
  </r>
  <r>
    <x v="102"/>
    <n v="248101.70554139902"/>
    <s v="Aaa"/>
    <n v="2.8999999999999998E-3"/>
    <n v="0"/>
    <n v="4.5999999999999999E-2"/>
    <n v="0"/>
    <n v="0.28000000000000003"/>
    <x v="6"/>
  </r>
  <r>
    <x v="103"/>
    <n v="15671.583939988886"/>
    <s v="B3"/>
    <n v="4.8899999999999999E-2"/>
    <n v="7.0808704231754685E-2"/>
    <n v="0.14105640765793431"/>
    <n v="9.5056407657934314E-2"/>
    <n v="0.3"/>
    <x v="4"/>
  </r>
  <r>
    <x v="104"/>
    <n v="15342.278919400891"/>
    <s v="Caa2"/>
    <s v="NA"/>
    <n v="9.8082219604926024E-2"/>
    <n v="0.17766945436885656"/>
    <n v="0.13166945436885658"/>
    <n v="0.26860000000000001"/>
    <x v="3"/>
  </r>
  <r>
    <x v="105"/>
    <n v="472624.59740289778"/>
    <s v="Caa1"/>
    <n v="6.4399999999999999E-2"/>
    <n v="8.1692501446400528E-2"/>
    <n v="0.15566724789468733"/>
    <n v="0.10966724789468733"/>
    <n v="0.3"/>
    <x v="3"/>
  </r>
  <r>
    <x v="106"/>
    <n v="579422.44951027108"/>
    <s v="Aaa"/>
    <n v="2.3999999999999998E-3"/>
    <n v="0"/>
    <n v="4.5999999999999999E-2"/>
    <n v="0"/>
    <n v="0.22"/>
    <x v="2"/>
  </r>
  <r>
    <x v="107"/>
    <n v="114667.36020806243"/>
    <s v="Ba1"/>
    <n v="1.9199999999999998E-2"/>
    <n v="2.7273515373171343E-2"/>
    <n v="8.2613046710922261E-2"/>
    <n v="3.6613046710922269E-2"/>
    <n v="0.15"/>
    <x v="0"/>
  </r>
  <r>
    <x v="108"/>
    <n v="374697.36635924398"/>
    <s v="Caa3"/>
    <n v="0.41039999999999999"/>
    <n v="0.10896601681957188"/>
    <n v="0.19228029460560964"/>
    <n v="0.14628029460560962"/>
    <n v="0.28999999999999998"/>
    <x v="7"/>
  </r>
  <r>
    <x v="109"/>
    <n v="76522.511799999993"/>
    <s v="Baa2"/>
    <n v="2.3099999999999999E-2"/>
    <n v="2.0743237044383835E-2"/>
    <n v="7.3846542568870452E-2"/>
    <n v="2.7846542568870453E-2"/>
    <n v="0.25"/>
    <x v="4"/>
  </r>
  <r>
    <x v="110"/>
    <n v="31603.619041790265"/>
    <s v="B2"/>
    <s v="NA"/>
    <n v="5.9924907017108855E-2"/>
    <n v="0.12644556742118129"/>
    <n v="8.0445567421181308E-2"/>
    <n v="0.3"/>
    <x v="7"/>
  </r>
  <r>
    <x v="111"/>
    <n v="41722.295229227944"/>
    <s v="Ba1"/>
    <s v="NA"/>
    <n v="2.7273515373171343E-2"/>
    <n v="8.2613046710922261E-2"/>
    <n v="3.6613046710922269E-2"/>
    <n v="0.1"/>
    <x v="4"/>
  </r>
  <r>
    <x v="112"/>
    <n v="242631.57332078982"/>
    <s v="Baa1"/>
    <n v="1.37E-2"/>
    <n v="1.7414075543433341E-2"/>
    <n v="6.9377344378804828E-2"/>
    <n v="2.3377344378804822E-2"/>
    <n v="0.29499999999999998"/>
    <x v="4"/>
  </r>
  <r>
    <x v="113"/>
    <n v="404284.32611046272"/>
    <s v="Baa2"/>
    <n v="1.18E-2"/>
    <n v="2.0743237044383835E-2"/>
    <n v="7.3846542568870452E-2"/>
    <n v="2.7846542568870453E-2"/>
    <n v="0.25"/>
    <x v="7"/>
  </r>
  <r>
    <x v="114"/>
    <n v="688125.01052052039"/>
    <s v="A2"/>
    <n v="1.06E-2"/>
    <n v="9.2192164641705932E-3"/>
    <n v="5.83762411417202E-2"/>
    <n v="1.2376241141720201E-2"/>
    <n v="0.19"/>
    <x v="1"/>
  </r>
  <r>
    <x v="115"/>
    <n v="255196.66098742705"/>
    <s v="A3"/>
    <n v="7.4999999999999997E-3"/>
    <n v="1.3060556657575006E-2"/>
    <n v="6.3533008284103618E-2"/>
    <n v="1.7533008284103618E-2"/>
    <n v="0.21"/>
    <x v="2"/>
  </r>
  <r>
    <x v="116"/>
    <n v="236258.30283965328"/>
    <s v="Aa3"/>
    <n v="8.3000000000000001E-3"/>
    <n v="6.5302783287875029E-3"/>
    <n v="5.4766504142051808E-2"/>
    <n v="8.7665041420518092E-3"/>
    <n v="0.1"/>
    <x v="0"/>
  </r>
  <r>
    <x v="117"/>
    <n v="11000"/>
    <s v="A3"/>
    <s v="NA"/>
    <n v="1.3060556657575006E-2"/>
    <n v="6.3533008284103618E-2"/>
    <n v="1.7533008284103618E-2"/>
    <n v="0"/>
    <x v="0"/>
  </r>
  <r>
    <x v="118"/>
    <n v="300691.35486485471"/>
    <s v="Baa3"/>
    <n v="2.3099999999999999E-2"/>
    <n v="2.3944353872220846E-2"/>
    <n v="7.8143848520856624E-2"/>
    <n v="3.2143848520856631E-2"/>
    <n v="0.16"/>
    <x v="1"/>
  </r>
  <r>
    <x v="119"/>
    <n v="2240422.4274585792"/>
    <s v="NA"/>
    <s v="NA"/>
    <n v="4.9000000000000002E-2"/>
    <n v="0.1118"/>
    <n v="6.5799999999999997E-2"/>
    <n v="0.2"/>
    <x v="1"/>
  </r>
  <r>
    <x v="120"/>
    <n v="13311.487445068627"/>
    <s v="B2"/>
    <n v="5.5300000000000002E-2"/>
    <n v="5.9924907017108855E-2"/>
    <n v="0.12644556742118129"/>
    <n v="8.0445567421181308E-2"/>
    <n v="0.3"/>
    <x v="3"/>
  </r>
  <r>
    <x v="121"/>
    <n v="1108571.5172853814"/>
    <s v="A1"/>
    <n v="8.5000000000000006E-3"/>
    <n v="7.6826803868088279E-3"/>
    <n v="5.6313534284766834E-2"/>
    <n v="1.0313534284766834E-2"/>
    <n v="0.2"/>
    <x v="0"/>
  </r>
  <r>
    <x v="122"/>
    <n v="27684.264748232432"/>
    <s v="Ba3"/>
    <n v="6.8900000000000003E-2"/>
    <n v="3.9181669972725021E-2"/>
    <n v="9.8599024852310854E-2"/>
    <n v="5.2599024852310855E-2"/>
    <n v="0.3"/>
    <x v="3"/>
  </r>
  <r>
    <x v="123"/>
    <n v="63563.401043504426"/>
    <s v="Ba2"/>
    <n v="2.86E-2"/>
    <n v="3.2779436317050999E-2"/>
    <n v="9.0004412948338497E-2"/>
    <n v="4.4004412948338498E-2"/>
    <n v="0.15"/>
    <x v="1"/>
  </r>
  <r>
    <x v="124"/>
    <n v="24800"/>
    <s v="Ba1"/>
    <s v="NA"/>
    <n v="2.7273515373171343E-2"/>
    <n v="8.2613046710922261E-2"/>
    <n v="3.6613046710922269E-2"/>
    <n v="0"/>
    <x v="0"/>
  </r>
  <r>
    <x v="125"/>
    <n v="466788.42679196643"/>
    <s v="Aaa"/>
    <s v="NA"/>
    <n v="0"/>
    <n v="4.5999999999999999E-2"/>
    <n v="0"/>
    <n v="0.17"/>
    <x v="7"/>
  </r>
  <r>
    <x v="126"/>
    <n v="115461.71168896543"/>
    <s v="A2"/>
    <n v="6.0000000000000001E-3"/>
    <n v="9.2192164641705932E-3"/>
    <n v="5.83762411417202E-2"/>
    <n v="1.2376241141720201E-2"/>
    <n v="0.21"/>
    <x v="1"/>
  </r>
  <r>
    <x v="127"/>
    <n v="60063.475466344593"/>
    <s v="A3"/>
    <n v="7.6E-3"/>
    <n v="1.3060556657575006E-2"/>
    <n v="6.3533008284103618E-2"/>
    <n v="1.7533008284103618E-2"/>
    <n v="0.19"/>
    <x v="1"/>
  </r>
  <r>
    <x v="128"/>
    <n v="1597.2043406290234"/>
    <s v="Caa1"/>
    <s v="NA"/>
    <n v="8.1692501446400528E-2"/>
    <n v="0.15566724789468733"/>
    <n v="0.10966724789468733"/>
    <n v="0.3"/>
    <x v="7"/>
  </r>
  <r>
    <x v="129"/>
    <n v="405270.85009938711"/>
    <s v="Ba2"/>
    <n v="3.1600000000000003E-2"/>
    <n v="3.2779436317050999E-2"/>
    <n v="9.0004412948338497E-2"/>
    <n v="4.4004412948338498E-2"/>
    <n v="0.27"/>
    <x v="3"/>
  </r>
  <r>
    <x v="130"/>
    <n v="1417800.4662626514"/>
    <s v="Baa1"/>
    <n v="7.7999999999999996E-3"/>
    <n v="1.7414075543433341E-2"/>
    <n v="6.9377344378804828E-2"/>
    <n v="2.3377344378804822E-2"/>
    <n v="0.25"/>
    <x v="2"/>
  </r>
  <r>
    <x v="131"/>
    <n v="74403.578363435474"/>
    <s v="Ca"/>
    <n v="0.59360000000000002"/>
    <n v="0.13073361124886354"/>
    <n v="0.22150197507911562"/>
    <n v="0.17550197507911564"/>
    <n v="0.24"/>
    <x v="7"/>
  </r>
  <r>
    <x v="132"/>
    <n v="11900"/>
    <s v="Ba2"/>
    <s v="NA"/>
    <n v="3.2779436317050999E-2"/>
    <n v="9.0004412948338497E-2"/>
    <n v="4.4004412948338498E-2"/>
    <n v="0.2853"/>
    <x v="5"/>
  </r>
  <r>
    <x v="133"/>
    <n v="8100"/>
    <s v="B3"/>
    <s v="NA"/>
    <n v="7.0808704231754685E-2"/>
    <n v="0.14105640765793431"/>
    <n v="9.5056407657934314E-2"/>
    <n v="0.2853"/>
    <x v="5"/>
  </r>
  <r>
    <x v="134"/>
    <n v="3620.987993326366"/>
    <s v="Caa3"/>
    <s v="NA"/>
    <n v="0.10896601681957188"/>
    <n v="0.19228029460560964"/>
    <n v="0.14628029460560962"/>
    <n v="0.36"/>
    <x v="4"/>
  </r>
  <r>
    <x v="135"/>
    <n v="4790.9220656100979"/>
    <s v="B3"/>
    <s v="NA"/>
    <n v="7.0808704231754685E-2"/>
    <n v="0.14105640765793431"/>
    <n v="9.5056407657934314E-2"/>
    <n v="0.27500000000000002"/>
    <x v="3"/>
  </r>
  <r>
    <x v="136"/>
    <n v="591188.59477655136"/>
    <s v="Aaa"/>
    <n v="2.8E-3"/>
    <n v="0"/>
    <n v="4.5999999999999999E-2"/>
    <n v="0"/>
    <n v="0.20600000000000002"/>
    <x v="2"/>
  </r>
  <r>
    <x v="137"/>
    <n v="818426.55020644981"/>
    <s v="Aaa"/>
    <n v="2.2000000000000001E-3"/>
    <n v="0"/>
    <n v="4.5999999999999999E-2"/>
    <n v="0"/>
    <n v="0.14599999999999999"/>
    <x v="2"/>
  </r>
  <r>
    <x v="138"/>
    <n v="761690"/>
    <s v="Aa3"/>
    <s v="NA"/>
    <n v="6.5302783287875029E-3"/>
    <n v="5.4766504142051808E-2"/>
    <n v="8.7665041420518092E-3"/>
    <n v="0.2"/>
    <x v="7"/>
  </r>
  <r>
    <x v="139"/>
    <n v="10492.123387793121"/>
    <s v="B3"/>
    <s v="NA"/>
    <n v="7.0808704231754685E-2"/>
    <n v="0.14105640765793431"/>
    <n v="9.5056407657934314E-2"/>
    <n v="0.18"/>
    <x v="1"/>
  </r>
  <r>
    <x v="140"/>
    <n v="75732.311666039022"/>
    <s v="B2"/>
    <s v="NA"/>
    <n v="5.9924907017108855E-2"/>
    <n v="0.12644556742118129"/>
    <n v="8.0445567421181308E-2"/>
    <n v="0.3"/>
    <x v="3"/>
  </r>
  <r>
    <x v="141"/>
    <n v="495423.3430496215"/>
    <s v="Baa1"/>
    <n v="6.4999999999999997E-3"/>
    <n v="1.7414075543433341E-2"/>
    <n v="6.9377344378804828E-2"/>
    <n v="2.3377344378804822E-2"/>
    <n v="0.2"/>
    <x v="7"/>
  </r>
  <r>
    <x v="142"/>
    <n v="8341.2252414569357"/>
    <s v="B3"/>
    <s v="NA"/>
    <n v="7.0808704231754685E-2"/>
    <n v="0.14105640765793431"/>
    <n v="9.5056407657934314E-2"/>
    <n v="0.26860000000000001"/>
    <x v="3"/>
  </r>
  <r>
    <x v="143"/>
    <n v="30053.575132141956"/>
    <s v="Ba2"/>
    <s v="NA"/>
    <n v="3.2779436317050999E-2"/>
    <n v="9.0004412948338497E-2"/>
    <n v="4.4004412948338498E-2"/>
    <n v="0.3"/>
    <x v="5"/>
  </r>
  <r>
    <x v="144"/>
    <n v="46303.55244935424"/>
    <s v="Caa2"/>
    <n v="9.7799999999999998E-2"/>
    <n v="9.8082219604926024E-2"/>
    <n v="0.17766945436885656"/>
    <n v="0.13166945436885658"/>
    <n v="0.15"/>
    <x v="3"/>
  </r>
  <r>
    <x v="145"/>
    <n v="907118.43595268787"/>
    <s v="B3"/>
    <n v="3.8600000000000002E-2"/>
    <n v="7.0808704231754685E-2"/>
    <n v="0.14105640765793431"/>
    <n v="9.5056407657934314E-2"/>
    <n v="0.25"/>
    <x v="2"/>
  </r>
  <r>
    <x v="146"/>
    <n v="1138.8088811"/>
    <s v="Baa1"/>
    <s v="NA"/>
    <n v="1.7414075543433341E-2"/>
    <n v="6.9377344378804828E-2"/>
    <n v="2.3377344378804822E-2"/>
    <n v="0"/>
    <x v="5"/>
  </r>
  <r>
    <x v="147"/>
    <n v="45567.30460847645"/>
    <s v="B2"/>
    <s v="NA"/>
    <n v="5.9924907017108855E-2"/>
    <n v="0.12644556742118129"/>
    <n v="8.0445567421181308E-2"/>
    <n v="0.3"/>
    <x v="3"/>
  </r>
  <r>
    <x v="148"/>
    <n v="160502.73725104667"/>
    <s v="Ca"/>
    <s v="NA"/>
    <n v="0.13073361124886354"/>
    <n v="0.22150197507911562"/>
    <n v="0.17550197507911564"/>
    <n v="0.18"/>
    <x v="1"/>
  </r>
  <r>
    <x v="149"/>
    <n v="507063.96827331249"/>
    <s v="Aa2"/>
    <s v="NA"/>
    <n v="5.3778762707661788E-3"/>
    <n v="5.3219473999336783E-2"/>
    <n v="7.2194739993367832E-3"/>
    <n v="0.25"/>
    <x v="0"/>
  </r>
  <r>
    <x v="150"/>
    <n v="3089072.7224001358"/>
    <s v="Aa3"/>
    <n v="5.1000000000000004E-3"/>
    <n v="6.5302783287875029E-3"/>
    <n v="5.4766504142051808E-2"/>
    <n v="8.7665041420518092E-3"/>
    <n v="0.25"/>
    <x v="2"/>
  </r>
  <r>
    <x v="151"/>
    <n v="25439700"/>
    <s v="Aaa"/>
    <n v="5.7999999999999996E-3"/>
    <n v="0"/>
    <n v="4.5999999999999999E-2"/>
    <n v="0"/>
    <n v="0.25"/>
    <x v="8"/>
  </r>
  <r>
    <x v="152"/>
    <n v="71177.146197495123"/>
    <s v="Baa2"/>
    <n v="1.14E-2"/>
    <n v="2.0743237044383835E-2"/>
    <n v="7.3846542568870452E-2"/>
    <n v="2.7846542568870453E-2"/>
    <n v="0.25"/>
    <x v="4"/>
  </r>
  <r>
    <x v="153"/>
    <n v="80391.853887404897"/>
    <s v="Ba3"/>
    <s v="NA"/>
    <n v="3.9181669972725021E-2"/>
    <n v="9.8599024852310854E-2"/>
    <n v="5.2599024852310855E-2"/>
    <n v="0.15"/>
    <x v="1"/>
  </r>
  <r>
    <x v="154"/>
    <n v="98400"/>
    <s v="C"/>
    <n v="0.1125"/>
    <n v="0.17499999999999999"/>
    <n v="0.28092692770782934"/>
    <n v="0.23492692770782936"/>
    <n v="0.34"/>
    <x v="4"/>
  </r>
  <r>
    <x v="155"/>
    <n v="408802"/>
    <s v="Ba2"/>
    <n v="1.84E-2"/>
    <n v="3.2779436317050999E-2"/>
    <n v="9.0004412948338497E-2"/>
    <n v="4.4004412948338498E-2"/>
    <n v="0.2"/>
    <x v="7"/>
  </r>
  <r>
    <x v="156"/>
    <n v="29163.782138341488"/>
    <s v="Caa3"/>
    <s v="NA"/>
    <n v="0.10896601681957188"/>
    <n v="0.19228029460560964"/>
    <n v="0.14628029460560962"/>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2"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1"/>
        <item x="102"/>
        <item x="103"/>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4"/>
        <item x="80"/>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
    <format dxfId="0">
      <pivotArea outline="0" collapsedLevelsAreSubtotals="1" fieldPosition="0"/>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59" totalsRowShown="0" headerRowDxfId="21" dataDxfId="19" headerRowBorderDxfId="20" tableBorderDxfId="18" totalsRowBorderDxfId="17">
  <autoFilter ref="A7:I159" xr:uid="{00000000-0009-0000-0100-000001000000}"/>
  <tableColumns count="9">
    <tableColumn id="1" xr3:uid="{00000000-0010-0000-0000-000001000000}" name="Country" dataDxfId="16"/>
    <tableColumn id="2" xr3:uid="{00000000-0010-0000-0000-000002000000}" name="Africa" dataDxfId="15"/>
    <tableColumn id="3" xr3:uid="{00000000-0010-0000-0000-000003000000}" name="Moody's rating" dataDxfId="14"/>
    <tableColumn id="4" xr3:uid="{00000000-0010-0000-0000-000004000000}" name="Rating-based Default Spread" dataDxfId="13" dataCellStyle="Percent"/>
    <tableColumn id="5" xr3:uid="{00000000-0010-0000-0000-000005000000}" name="Total Equity Risk Premium" dataDxfId="12" dataCellStyle="Percent"/>
    <tableColumn id="6" xr3:uid="{00000000-0010-0000-0000-000006000000}" name="Country Risk Premium" dataDxfId="11"/>
    <tableColumn id="7" xr3:uid="{00000000-0010-0000-0000-000007000000}" name="Sovereign CDS, net of US" dataDxfId="10"/>
    <tableColumn id="8" xr3:uid="{00000000-0010-0000-0000-000008000000}" name="Total Equity Risk Premium2" dataDxfId="9"/>
    <tableColumn id="9" xr3:uid="{00000000-0010-0000-0000-000009000000}"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5:E186" totalsRowShown="0" headerRowDxfId="7" tableBorderDxfId="6">
  <autoFilter ref="A165:E186" xr:uid="{00000000-0009-0000-0100-000002000000}"/>
  <tableColumns count="5">
    <tableColumn id="1" xr3:uid="{00000000-0010-0000-0100-000001000000}" name="Country" dataDxfId="5"/>
    <tableColumn id="2" xr3:uid="{00000000-0010-0000-0100-000002000000}" name="PRS Composite Risk Score" dataDxfId="4"/>
    <tableColumn id="3" xr3:uid="{00000000-0010-0000-0100-000003000000}" name="ERP" dataDxfId="3" dataCellStyle="Percent"/>
    <tableColumn id="4" xr3:uid="{00000000-0010-0000-0100-000004000000}" name="CRP" dataDxfId="2" dataCellStyle="Percent"/>
    <tableColumn id="5" xr3:uid="{00000000-0010-0000-0100-000005000000}"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4" Type="http://schemas.openxmlformats.org/officeDocument/2006/relationships/hyperlink" Target="https://papers.ssrn.com/sol3/papers.cfm?abstract_id=439888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finance.yahoo.com/quote/EMB/" TargetMode="External"/><Relationship Id="rId1" Type="http://schemas.openxmlformats.org/officeDocument/2006/relationships/hyperlink" Target="https://www.spglobal.com/spdji/en/indices/equity/sp-emerging-bmi/"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workbookViewId="0">
      <selection activeCell="E35" sqref="E35"/>
    </sheetView>
  </sheetViews>
  <sheetFormatPr baseColWidth="10" defaultRowHeight="13"/>
  <cols>
    <col min="1" max="1" width="24.6640625" customWidth="1"/>
  </cols>
  <sheetData>
    <row r="1" spans="1:4" s="38" customFormat="1" ht="16">
      <c r="A1" s="32" t="s">
        <v>150</v>
      </c>
    </row>
    <row r="2" spans="1:4" s="38" customFormat="1" ht="16">
      <c r="A2" s="38" t="s">
        <v>151</v>
      </c>
    </row>
    <row r="3" spans="1:4" s="38" customFormat="1" ht="16">
      <c r="A3" s="38" t="s">
        <v>268</v>
      </c>
    </row>
    <row r="4" spans="1:4" s="38" customFormat="1" ht="16"/>
    <row r="5" spans="1:4" s="59" customFormat="1" ht="16">
      <c r="A5" s="70" t="s">
        <v>152</v>
      </c>
    </row>
    <row r="6" spans="1:4" s="38" customFormat="1" ht="16">
      <c r="A6" s="38" t="s">
        <v>153</v>
      </c>
    </row>
    <row r="7" spans="1:4" s="38" customFormat="1" ht="16">
      <c r="A7" s="38" t="s">
        <v>155</v>
      </c>
      <c r="B7" s="71" t="s">
        <v>154</v>
      </c>
    </row>
    <row r="8" spans="1:4" s="38" customFormat="1" ht="16">
      <c r="A8" s="38" t="s">
        <v>156</v>
      </c>
      <c r="B8" s="71" t="s">
        <v>525</v>
      </c>
    </row>
    <row r="9" spans="1:4" s="38" customFormat="1" ht="16"/>
    <row r="10" spans="1:4" s="59" customFormat="1" ht="16">
      <c r="A10" s="70" t="s">
        <v>157</v>
      </c>
    </row>
    <row r="11" spans="1:4" s="38" customFormat="1" ht="16">
      <c r="A11" s="38" t="s">
        <v>158</v>
      </c>
      <c r="B11" s="71" t="s">
        <v>162</v>
      </c>
      <c r="D11" s="38" t="s">
        <v>163</v>
      </c>
    </row>
    <row r="12" spans="1:4" s="38" customFormat="1" ht="16">
      <c r="A12" s="38" t="s">
        <v>159</v>
      </c>
      <c r="B12" s="38" t="s">
        <v>164</v>
      </c>
    </row>
    <row r="13" spans="1:4" s="38" customFormat="1" ht="16">
      <c r="A13" s="38" t="s">
        <v>160</v>
      </c>
      <c r="B13" s="38" t="s">
        <v>161</v>
      </c>
    </row>
    <row r="14" spans="1:4" s="38" customFormat="1" ht="16">
      <c r="A14" s="73" t="s">
        <v>340</v>
      </c>
    </row>
    <row r="15" spans="1:4" s="38" customFormat="1" ht="16">
      <c r="A15" s="1"/>
    </row>
    <row r="16" spans="1:4" s="59" customFormat="1" ht="16">
      <c r="A16" s="70" t="s">
        <v>165</v>
      </c>
    </row>
    <row r="17" spans="1:9" s="59" customFormat="1" ht="16">
      <c r="A17" s="59" t="s">
        <v>193</v>
      </c>
    </row>
    <row r="18" spans="1:9" s="38" customFormat="1" ht="16">
      <c r="A18" s="38" t="s">
        <v>302</v>
      </c>
    </row>
    <row r="19" spans="1:9" s="38" customFormat="1" ht="16">
      <c r="A19" s="89" t="s">
        <v>595</v>
      </c>
    </row>
    <row r="20" spans="1:9" s="59" customFormat="1" ht="16">
      <c r="A20" s="59" t="s">
        <v>194</v>
      </c>
    </row>
    <row r="21" spans="1:9" s="38" customFormat="1" ht="16">
      <c r="A21" s="38" t="s">
        <v>303</v>
      </c>
    </row>
    <row r="22" spans="1:9" s="38" customFormat="1" ht="16">
      <c r="A22" s="38" t="s">
        <v>467</v>
      </c>
    </row>
    <row r="23" spans="1:9" s="38" customFormat="1" ht="16">
      <c r="A23" s="89" t="s">
        <v>460</v>
      </c>
    </row>
    <row r="24" spans="1:9" s="38" customFormat="1" ht="16">
      <c r="A24" s="38" t="s">
        <v>250</v>
      </c>
    </row>
    <row r="25" spans="1:9" s="38" customFormat="1" ht="16"/>
    <row r="26" spans="1:9" s="59" customFormat="1" ht="16">
      <c r="A26" s="70" t="s">
        <v>246</v>
      </c>
    </row>
    <row r="27" spans="1:9" s="38" customFormat="1" ht="16">
      <c r="A27" s="38" t="s">
        <v>166</v>
      </c>
    </row>
    <row r="28" spans="1:9" s="38" customFormat="1" ht="16"/>
    <row r="29" spans="1:9" s="70" customFormat="1" ht="16">
      <c r="A29" s="70" t="s">
        <v>247</v>
      </c>
    </row>
    <row r="30" spans="1:9" s="38" customFormat="1" ht="16">
      <c r="A30" s="38" t="s">
        <v>248</v>
      </c>
    </row>
    <row r="31" spans="1:9" s="38" customFormat="1" ht="16">
      <c r="A31" s="38" t="s">
        <v>249</v>
      </c>
      <c r="I31" s="101" t="s">
        <v>607</v>
      </c>
    </row>
    <row r="32" spans="1:9" s="38" customFormat="1" ht="16"/>
    <row r="33" spans="1:12" s="38" customFormat="1" ht="16">
      <c r="A33" s="38" t="s">
        <v>167</v>
      </c>
    </row>
    <row r="34" spans="1:12" s="38" customFormat="1" ht="22" customHeight="1">
      <c r="A34" s="59" t="s">
        <v>168</v>
      </c>
      <c r="E34" s="256" t="s">
        <v>526</v>
      </c>
      <c r="F34" s="257"/>
      <c r="G34" s="257"/>
      <c r="H34" s="257"/>
      <c r="I34" s="257"/>
      <c r="J34" s="257"/>
      <c r="K34" s="257"/>
      <c r="L34" s="257"/>
    </row>
    <row r="35" spans="1:12" s="38" customFormat="1" ht="16">
      <c r="A35" s="59" t="s">
        <v>466</v>
      </c>
      <c r="E35" s="101" t="s">
        <v>662</v>
      </c>
    </row>
    <row r="36" spans="1:12" s="38" customFormat="1" ht="16">
      <c r="A36" s="59" t="s">
        <v>169</v>
      </c>
      <c r="E36" s="71" t="s">
        <v>461</v>
      </c>
    </row>
    <row r="37" spans="1:12" s="38" customFormat="1" ht="16">
      <c r="E37" s="71" t="s">
        <v>462</v>
      </c>
    </row>
  </sheetData>
  <mergeCells count="1">
    <mergeCell ref="E34:L34"/>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E34" r:id="rId4" xr:uid="{DBAAE8A0-1687-1D45-9531-5660C15203F9}"/>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81" workbookViewId="0">
      <selection activeCell="B96" sqref="B96"/>
    </sheetView>
  </sheetViews>
  <sheetFormatPr baseColWidth="10" defaultRowHeight="13"/>
  <cols>
    <col min="1" max="1" width="32.5" customWidth="1"/>
    <col min="2" max="2" width="23" bestFit="1" customWidth="1"/>
    <col min="5" max="5" width="23.33203125" bestFit="1" customWidth="1"/>
  </cols>
  <sheetData>
    <row r="1" spans="1:2" ht="16">
      <c r="A1" s="7" t="s">
        <v>75</v>
      </c>
      <c r="B1" s="7" t="s">
        <v>52</v>
      </c>
    </row>
    <row r="2" spans="1:2" ht="16">
      <c r="A2" s="45" t="s">
        <v>271</v>
      </c>
      <c r="B2" s="8" t="s">
        <v>127</v>
      </c>
    </row>
    <row r="3" spans="1:2" ht="16">
      <c r="A3" s="8" t="s">
        <v>4</v>
      </c>
      <c r="B3" s="15" t="s">
        <v>125</v>
      </c>
    </row>
    <row r="4" spans="1:2" ht="16">
      <c r="A4" s="33" t="s">
        <v>196</v>
      </c>
      <c r="B4" s="15" t="s">
        <v>126</v>
      </c>
    </row>
    <row r="5" spans="1:2" ht="16">
      <c r="A5" s="8" t="s">
        <v>131</v>
      </c>
      <c r="B5" s="15" t="s">
        <v>128</v>
      </c>
    </row>
    <row r="6" spans="1:2" ht="16">
      <c r="A6" s="8" t="s">
        <v>84</v>
      </c>
      <c r="B6" s="15" t="s">
        <v>51</v>
      </c>
    </row>
    <row r="7" spans="1:2" ht="16">
      <c r="A7" s="8" t="s">
        <v>19</v>
      </c>
      <c r="B7" s="15" t="s">
        <v>125</v>
      </c>
    </row>
    <row r="8" spans="1:2" ht="16">
      <c r="A8" s="33" t="s">
        <v>200</v>
      </c>
      <c r="B8" s="8" t="s">
        <v>54</v>
      </c>
    </row>
    <row r="9" spans="1:2" ht="16">
      <c r="A9" s="8" t="s">
        <v>85</v>
      </c>
      <c r="B9" s="15" t="s">
        <v>53</v>
      </c>
    </row>
    <row r="10" spans="1:2" ht="16">
      <c r="A10" s="8" t="s">
        <v>175</v>
      </c>
      <c r="B10" s="8" t="s">
        <v>126</v>
      </c>
    </row>
    <row r="11" spans="1:2" ht="16">
      <c r="A11" s="8" t="s">
        <v>20</v>
      </c>
      <c r="B11" s="8" t="s">
        <v>125</v>
      </c>
    </row>
    <row r="12" spans="1:2" ht="16">
      <c r="A12" s="8" t="s">
        <v>86</v>
      </c>
      <c r="B12" s="15" t="s">
        <v>54</v>
      </c>
    </row>
    <row r="13" spans="1:2" ht="16">
      <c r="A13" s="8" t="s">
        <v>87</v>
      </c>
      <c r="B13" s="8" t="s">
        <v>127</v>
      </c>
    </row>
    <row r="14" spans="1:2" ht="16">
      <c r="A14" s="8" t="s">
        <v>132</v>
      </c>
      <c r="B14" s="8" t="s">
        <v>129</v>
      </c>
    </row>
    <row r="15" spans="1:2" ht="16">
      <c r="A15" s="8" t="s">
        <v>88</v>
      </c>
      <c r="B15" s="8" t="s">
        <v>54</v>
      </c>
    </row>
    <row r="16" spans="1:2" ht="16">
      <c r="A16" s="8" t="s">
        <v>5</v>
      </c>
      <c r="B16" s="8" t="s">
        <v>125</v>
      </c>
    </row>
    <row r="17" spans="1:2" ht="16">
      <c r="A17" s="8" t="s">
        <v>176</v>
      </c>
      <c r="B17" s="8" t="s">
        <v>126</v>
      </c>
    </row>
    <row r="18" spans="1:2" ht="16">
      <c r="A18" s="8" t="s">
        <v>89</v>
      </c>
      <c r="B18" s="8" t="s">
        <v>51</v>
      </c>
    </row>
    <row r="19" spans="1:2" ht="16">
      <c r="A19" s="8" t="s">
        <v>207</v>
      </c>
      <c r="B19" s="8" t="s">
        <v>128</v>
      </c>
    </row>
    <row r="20" spans="1:2" ht="16">
      <c r="A20" s="8" t="s">
        <v>90</v>
      </c>
      <c r="B20" s="8" t="s">
        <v>54</v>
      </c>
    </row>
    <row r="21" spans="1:2" ht="16">
      <c r="A21" s="8" t="s">
        <v>91</v>
      </c>
      <c r="B21" s="8" t="s">
        <v>51</v>
      </c>
    </row>
    <row r="22" spans="1:2" ht="16">
      <c r="A22" s="8" t="s">
        <v>7</v>
      </c>
      <c r="B22" s="8" t="s">
        <v>125</v>
      </c>
    </row>
    <row r="23" spans="1:2" ht="16">
      <c r="A23" s="8" t="s">
        <v>123</v>
      </c>
      <c r="B23" s="8" t="s">
        <v>128</v>
      </c>
    </row>
    <row r="24" spans="1:2" ht="16">
      <c r="A24" s="8" t="s">
        <v>92</v>
      </c>
      <c r="B24" s="8" t="s">
        <v>51</v>
      </c>
    </row>
    <row r="25" spans="1:2" ht="16">
      <c r="A25" s="8" t="s">
        <v>94</v>
      </c>
      <c r="B25" s="8" t="s">
        <v>125</v>
      </c>
    </row>
    <row r="26" spans="1:2" ht="16">
      <c r="A26" s="33" t="s">
        <v>210</v>
      </c>
      <c r="B26" s="8" t="s">
        <v>128</v>
      </c>
    </row>
    <row r="27" spans="1:2" ht="16">
      <c r="A27" s="8" t="s">
        <v>6</v>
      </c>
      <c r="B27" s="8" t="s">
        <v>129</v>
      </c>
    </row>
    <row r="28" spans="1:2" ht="16">
      <c r="A28" s="34" t="s">
        <v>211</v>
      </c>
      <c r="B28" s="8" t="s">
        <v>128</v>
      </c>
    </row>
    <row r="29" spans="1:2" ht="16">
      <c r="A29" s="8" t="s">
        <v>95</v>
      </c>
      <c r="B29" s="8" t="s">
        <v>130</v>
      </c>
    </row>
    <row r="30" spans="1:2" ht="16">
      <c r="A30" s="8" t="s">
        <v>212</v>
      </c>
      <c r="B30" s="8" t="s">
        <v>128</v>
      </c>
    </row>
    <row r="31" spans="1:2" ht="16">
      <c r="A31" s="8" t="s">
        <v>55</v>
      </c>
      <c r="B31" s="8" t="s">
        <v>54</v>
      </c>
    </row>
    <row r="32" spans="1:2" ht="16">
      <c r="A32" s="8" t="s">
        <v>96</v>
      </c>
      <c r="B32" s="8" t="s">
        <v>51</v>
      </c>
    </row>
    <row r="33" spans="1:2" ht="16">
      <c r="A33" s="8" t="s">
        <v>97</v>
      </c>
      <c r="B33" s="8" t="s">
        <v>129</v>
      </c>
    </row>
    <row r="34" spans="1:2" ht="16">
      <c r="A34" s="8" t="s">
        <v>50</v>
      </c>
      <c r="B34" s="8" t="s">
        <v>51</v>
      </c>
    </row>
    <row r="35" spans="1:2" ht="16">
      <c r="A35" s="45" t="s">
        <v>286</v>
      </c>
      <c r="B35" s="8" t="s">
        <v>128</v>
      </c>
    </row>
    <row r="36" spans="1:2" ht="16">
      <c r="A36" s="45" t="s">
        <v>287</v>
      </c>
      <c r="B36" s="8" t="s">
        <v>128</v>
      </c>
    </row>
    <row r="37" spans="1:2" ht="16">
      <c r="A37" s="34" t="s">
        <v>213</v>
      </c>
      <c r="B37" s="8" t="s">
        <v>53</v>
      </c>
    </row>
    <row r="38" spans="1:2" ht="16">
      <c r="A38" s="8" t="s">
        <v>56</v>
      </c>
      <c r="B38" s="8" t="s">
        <v>51</v>
      </c>
    </row>
    <row r="39" spans="1:2" ht="16">
      <c r="A39" s="45" t="s">
        <v>282</v>
      </c>
      <c r="B39" s="8" t="s">
        <v>128</v>
      </c>
    </row>
    <row r="40" spans="1:2" ht="16">
      <c r="A40" s="8" t="s">
        <v>98</v>
      </c>
      <c r="B40" s="8" t="s">
        <v>125</v>
      </c>
    </row>
    <row r="41" spans="1:2" ht="16">
      <c r="A41" s="8" t="s">
        <v>99</v>
      </c>
      <c r="B41" s="8" t="s">
        <v>54</v>
      </c>
    </row>
    <row r="42" spans="1:2" ht="16">
      <c r="A42" s="33" t="s">
        <v>216</v>
      </c>
      <c r="B42" s="8" t="s">
        <v>54</v>
      </c>
    </row>
    <row r="43" spans="1:2" ht="16">
      <c r="A43" s="8" t="s">
        <v>177</v>
      </c>
      <c r="B43" s="8" t="s">
        <v>126</v>
      </c>
    </row>
    <row r="44" spans="1:2" ht="16">
      <c r="A44" s="8" t="s">
        <v>101</v>
      </c>
      <c r="B44" s="8" t="s">
        <v>125</v>
      </c>
    </row>
    <row r="45" spans="1:2" ht="16">
      <c r="A45" s="38" t="s">
        <v>274</v>
      </c>
      <c r="B45" s="8" t="s">
        <v>128</v>
      </c>
    </row>
    <row r="46" spans="1:2" ht="16">
      <c r="A46" s="8" t="s">
        <v>102</v>
      </c>
      <c r="B46" s="8" t="s">
        <v>126</v>
      </c>
    </row>
    <row r="47" spans="1:2" ht="16">
      <c r="A47" s="8" t="s">
        <v>103</v>
      </c>
      <c r="B47" s="8" t="s">
        <v>54</v>
      </c>
    </row>
    <row r="48" spans="1:2" ht="16">
      <c r="A48" s="8" t="s">
        <v>104</v>
      </c>
      <c r="B48" s="8" t="s">
        <v>51</v>
      </c>
    </row>
    <row r="49" spans="1:2" ht="16">
      <c r="A49" s="8" t="s">
        <v>105</v>
      </c>
      <c r="B49" s="8" t="s">
        <v>128</v>
      </c>
    </row>
    <row r="50" spans="1:2" ht="16">
      <c r="A50" s="8" t="s">
        <v>31</v>
      </c>
      <c r="B50" s="8" t="s">
        <v>51</v>
      </c>
    </row>
    <row r="51" spans="1:2" ht="16">
      <c r="A51" s="8" t="s">
        <v>106</v>
      </c>
      <c r="B51" s="8" t="s">
        <v>125</v>
      </c>
    </row>
    <row r="52" spans="1:2" ht="16">
      <c r="A52" s="45" t="s">
        <v>283</v>
      </c>
      <c r="B52" s="8" t="s">
        <v>128</v>
      </c>
    </row>
    <row r="53" spans="1:2" ht="16">
      <c r="A53" s="8" t="s">
        <v>218</v>
      </c>
      <c r="B53" s="8" t="s">
        <v>129</v>
      </c>
    </row>
    <row r="54" spans="1:2" ht="16">
      <c r="A54" s="8" t="s">
        <v>178</v>
      </c>
      <c r="B54" s="8" t="s">
        <v>126</v>
      </c>
    </row>
    <row r="55" spans="1:2" ht="16">
      <c r="A55" s="8" t="s">
        <v>179</v>
      </c>
      <c r="B55" s="8" t="s">
        <v>126</v>
      </c>
    </row>
    <row r="56" spans="1:2" ht="16">
      <c r="A56" s="33" t="s">
        <v>219</v>
      </c>
      <c r="B56" s="8" t="s">
        <v>128</v>
      </c>
    </row>
    <row r="57" spans="1:2" ht="16">
      <c r="A57" s="8" t="s">
        <v>133</v>
      </c>
      <c r="B57" s="8" t="s">
        <v>125</v>
      </c>
    </row>
    <row r="58" spans="1:2" ht="16">
      <c r="A58" s="8" t="s">
        <v>180</v>
      </c>
      <c r="B58" s="8" t="s">
        <v>126</v>
      </c>
    </row>
    <row r="59" spans="1:2" ht="16">
      <c r="A59" s="8" t="s">
        <v>220</v>
      </c>
      <c r="B59" s="8" t="s">
        <v>128</v>
      </c>
    </row>
    <row r="60" spans="1:2" ht="16">
      <c r="A60" s="8" t="s">
        <v>181</v>
      </c>
      <c r="B60" s="8" t="s">
        <v>126</v>
      </c>
    </row>
    <row r="61" spans="1:2" ht="16">
      <c r="A61" s="8" t="s">
        <v>107</v>
      </c>
      <c r="B61" s="8" t="s">
        <v>51</v>
      </c>
    </row>
    <row r="62" spans="1:2" ht="16">
      <c r="A62" s="45" t="s">
        <v>288</v>
      </c>
      <c r="B62" s="8" t="s">
        <v>126</v>
      </c>
    </row>
    <row r="63" spans="1:2" ht="16">
      <c r="A63" s="8" t="s">
        <v>108</v>
      </c>
      <c r="B63" s="8" t="s">
        <v>51</v>
      </c>
    </row>
    <row r="64" spans="1:2" ht="16">
      <c r="A64" s="8" t="s">
        <v>59</v>
      </c>
      <c r="B64" s="8" t="s">
        <v>129</v>
      </c>
    </row>
    <row r="65" spans="1:2" ht="16">
      <c r="A65" s="8" t="s">
        <v>109</v>
      </c>
      <c r="B65" s="8" t="s">
        <v>125</v>
      </c>
    </row>
    <row r="66" spans="1:2" ht="16">
      <c r="A66" s="8" t="s">
        <v>110</v>
      </c>
      <c r="B66" s="8" t="s">
        <v>126</v>
      </c>
    </row>
    <row r="67" spans="1:2" ht="16">
      <c r="A67" s="8" t="s">
        <v>111</v>
      </c>
      <c r="B67" s="8" t="s">
        <v>129</v>
      </c>
    </row>
    <row r="68" spans="1:2" ht="16">
      <c r="A68" s="8" t="s">
        <v>112</v>
      </c>
      <c r="B68" s="8" t="s">
        <v>129</v>
      </c>
    </row>
    <row r="69" spans="1:2" ht="16">
      <c r="A69" s="8" t="s">
        <v>330</v>
      </c>
      <c r="B69" s="8" t="s">
        <v>127</v>
      </c>
    </row>
    <row r="70" spans="1:2" ht="16">
      <c r="A70" s="8" t="s">
        <v>182</v>
      </c>
      <c r="B70" s="8" t="s">
        <v>126</v>
      </c>
    </row>
    <row r="71" spans="1:2" ht="16">
      <c r="A71" s="8" t="s">
        <v>113</v>
      </c>
      <c r="B71" s="8" t="s">
        <v>126</v>
      </c>
    </row>
    <row r="72" spans="1:2" ht="16">
      <c r="A72" s="8" t="s">
        <v>114</v>
      </c>
      <c r="B72" s="8" t="s">
        <v>127</v>
      </c>
    </row>
    <row r="73" spans="1:2" ht="16">
      <c r="A73" s="8" t="s">
        <v>145</v>
      </c>
      <c r="B73" s="8" t="s">
        <v>126</v>
      </c>
    </row>
    <row r="74" spans="1:2" ht="16">
      <c r="A74" s="8" t="s">
        <v>115</v>
      </c>
      <c r="B74" s="8" t="s">
        <v>54</v>
      </c>
    </row>
    <row r="75" spans="1:2" ht="16">
      <c r="A75" s="8" t="s">
        <v>116</v>
      </c>
      <c r="B75" s="8" t="s">
        <v>129</v>
      </c>
    </row>
    <row r="76" spans="1:2" ht="16">
      <c r="A76" s="45" t="s">
        <v>289</v>
      </c>
      <c r="B76" s="8" t="s">
        <v>126</v>
      </c>
    </row>
    <row r="77" spans="1:2" ht="16">
      <c r="A77" s="8" t="s">
        <v>117</v>
      </c>
      <c r="B77" s="8" t="s">
        <v>127</v>
      </c>
    </row>
    <row r="78" spans="1:2" ht="16">
      <c r="A78" s="8" t="s">
        <v>118</v>
      </c>
      <c r="B78" s="8" t="s">
        <v>125</v>
      </c>
    </row>
    <row r="79" spans="1:2" ht="16">
      <c r="A79" s="8" t="s">
        <v>183</v>
      </c>
      <c r="B79" s="8" t="s">
        <v>128</v>
      </c>
    </row>
    <row r="80" spans="1:2" ht="16">
      <c r="A80" s="8" t="s">
        <v>119</v>
      </c>
      <c r="B80" s="8" t="s">
        <v>129</v>
      </c>
    </row>
    <row r="81" spans="1:2" ht="16">
      <c r="A81" s="8" t="s">
        <v>120</v>
      </c>
      <c r="B81" s="8" t="s">
        <v>127</v>
      </c>
    </row>
    <row r="82" spans="1:2" ht="16">
      <c r="A82" t="s">
        <v>352</v>
      </c>
      <c r="B82" s="8" t="s">
        <v>125</v>
      </c>
    </row>
    <row r="83" spans="1:2" ht="16">
      <c r="A83" s="166" t="s">
        <v>342</v>
      </c>
      <c r="B83" s="8" t="s">
        <v>129</v>
      </c>
    </row>
    <row r="84" spans="1:2" ht="16">
      <c r="A84" s="8" t="s">
        <v>121</v>
      </c>
      <c r="B84" s="8" t="s">
        <v>125</v>
      </c>
    </row>
    <row r="85" spans="1:2" ht="16">
      <c r="A85" s="8" t="s">
        <v>122</v>
      </c>
      <c r="B85" s="8" t="s">
        <v>127</v>
      </c>
    </row>
    <row r="86" spans="1:2" ht="16">
      <c r="A86" s="34" t="s">
        <v>222</v>
      </c>
      <c r="B86" s="8" t="s">
        <v>126</v>
      </c>
    </row>
    <row r="87" spans="1:2" ht="16">
      <c r="A87" s="8" t="s">
        <v>13</v>
      </c>
      <c r="B87" s="8" t="s">
        <v>125</v>
      </c>
    </row>
    <row r="88" spans="1:2" ht="16">
      <c r="A88" s="8" t="s">
        <v>184</v>
      </c>
      <c r="B88" s="8" t="s">
        <v>126</v>
      </c>
    </row>
    <row r="89" spans="1:2" ht="16">
      <c r="A89" s="8" t="s">
        <v>32</v>
      </c>
      <c r="B89" s="8" t="s">
        <v>129</v>
      </c>
    </row>
    <row r="90" spans="1:2" ht="16">
      <c r="A90" s="34" t="s">
        <v>146</v>
      </c>
      <c r="B90" s="8" t="s">
        <v>125</v>
      </c>
    </row>
    <row r="91" spans="1:2" ht="16">
      <c r="A91" s="8" t="s">
        <v>14</v>
      </c>
      <c r="B91" s="8" t="s">
        <v>129</v>
      </c>
    </row>
    <row r="92" spans="1:2" ht="16">
      <c r="A92" s="8" t="s">
        <v>392</v>
      </c>
      <c r="B92" s="8" t="s">
        <v>129</v>
      </c>
    </row>
    <row r="93" spans="1:2" ht="16">
      <c r="A93" s="8" t="s">
        <v>324</v>
      </c>
      <c r="B93" s="8" t="s">
        <v>128</v>
      </c>
    </row>
    <row r="94" spans="1:2" ht="16">
      <c r="A94" s="8" t="s">
        <v>185</v>
      </c>
      <c r="B94" s="8" t="s">
        <v>126</v>
      </c>
    </row>
    <row r="95" spans="1:2" ht="16">
      <c r="A95" s="8" t="s">
        <v>15</v>
      </c>
      <c r="B95" s="8" t="s">
        <v>128</v>
      </c>
    </row>
    <row r="96" spans="1:2" ht="16">
      <c r="A96" s="8" t="s">
        <v>16</v>
      </c>
      <c r="B96" s="8" t="s">
        <v>51</v>
      </c>
    </row>
    <row r="97" spans="1:2" ht="16">
      <c r="A97" s="8" t="s">
        <v>17</v>
      </c>
      <c r="B97" s="8" t="s">
        <v>125</v>
      </c>
    </row>
    <row r="98" spans="1:2" ht="16">
      <c r="A98" s="8" t="s">
        <v>63</v>
      </c>
      <c r="B98" s="8" t="s">
        <v>129</v>
      </c>
    </row>
    <row r="99" spans="1:2" ht="16">
      <c r="A99" s="8" t="s">
        <v>8</v>
      </c>
      <c r="B99" s="8" t="s">
        <v>125</v>
      </c>
    </row>
    <row r="100" spans="1:2" ht="16">
      <c r="A100" s="33" t="s">
        <v>224</v>
      </c>
      <c r="B100" s="8" t="s">
        <v>54</v>
      </c>
    </row>
    <row r="101" spans="1:2" ht="16">
      <c r="A101" s="8" t="s">
        <v>18</v>
      </c>
      <c r="B101" s="8" t="s">
        <v>128</v>
      </c>
    </row>
    <row r="102" spans="1:2" ht="16">
      <c r="A102" s="34" t="s">
        <v>225</v>
      </c>
      <c r="B102" s="8" t="s">
        <v>128</v>
      </c>
    </row>
    <row r="103" spans="1:2" ht="16">
      <c r="A103" s="8" t="s">
        <v>136</v>
      </c>
      <c r="B103" s="8" t="s">
        <v>128</v>
      </c>
    </row>
    <row r="104" spans="1:2" ht="16">
      <c r="A104" s="8" t="s">
        <v>186</v>
      </c>
      <c r="B104" s="8" t="s">
        <v>126</v>
      </c>
    </row>
    <row r="105" spans="1:2" ht="16">
      <c r="A105" s="8" t="s">
        <v>21</v>
      </c>
      <c r="B105" s="8" t="s">
        <v>53</v>
      </c>
    </row>
    <row r="106" spans="1:2" ht="16">
      <c r="A106" s="8" t="s">
        <v>22</v>
      </c>
      <c r="B106" s="8" t="s">
        <v>51</v>
      </c>
    </row>
    <row r="107" spans="1:2" ht="16">
      <c r="A107" s="8" t="s">
        <v>320</v>
      </c>
      <c r="B107" s="8" t="s">
        <v>128</v>
      </c>
    </row>
    <row r="108" spans="1:2" ht="16">
      <c r="A108" s="8" t="s">
        <v>187</v>
      </c>
      <c r="B108" s="8" t="s">
        <v>128</v>
      </c>
    </row>
    <row r="109" spans="1:2" ht="16">
      <c r="A109" s="8" t="s">
        <v>23</v>
      </c>
      <c r="B109" s="8" t="s">
        <v>126</v>
      </c>
    </row>
    <row r="110" spans="1:2" ht="16">
      <c r="A110" s="8" t="s">
        <v>24</v>
      </c>
      <c r="B110" s="8" t="s">
        <v>127</v>
      </c>
    </row>
    <row r="111" spans="1:2" ht="16">
      <c r="A111" s="8" t="s">
        <v>25</v>
      </c>
      <c r="B111" s="8" t="s">
        <v>129</v>
      </c>
    </row>
    <row r="112" spans="1:2" ht="16">
      <c r="A112" s="8" t="s">
        <v>26</v>
      </c>
      <c r="B112" s="8" t="s">
        <v>51</v>
      </c>
    </row>
    <row r="113" spans="1:2" ht="16">
      <c r="A113" s="8" t="s">
        <v>9</v>
      </c>
      <c r="B113" s="8" t="s">
        <v>129</v>
      </c>
    </row>
    <row r="114" spans="1:2" ht="16">
      <c r="A114" s="8" t="s">
        <v>27</v>
      </c>
      <c r="B114" s="8" t="s">
        <v>51</v>
      </c>
    </row>
    <row r="115" spans="1:2" ht="16">
      <c r="A115" s="8" t="s">
        <v>28</v>
      </c>
      <c r="B115" s="8" t="s">
        <v>51</v>
      </c>
    </row>
    <row r="116" spans="1:2" ht="16">
      <c r="A116" s="8" t="s">
        <v>29</v>
      </c>
      <c r="B116" s="8" t="s">
        <v>129</v>
      </c>
    </row>
    <row r="117" spans="1:2" ht="16">
      <c r="A117" s="8" t="s">
        <v>30</v>
      </c>
      <c r="B117" s="8" t="s">
        <v>125</v>
      </c>
    </row>
    <row r="118" spans="1:2" ht="16">
      <c r="A118" s="8" t="s">
        <v>188</v>
      </c>
      <c r="B118" s="8" t="s">
        <v>126</v>
      </c>
    </row>
    <row r="119" spans="1:2" ht="16">
      <c r="A119" s="8" t="s">
        <v>74</v>
      </c>
      <c r="B119" s="8" t="s">
        <v>127</v>
      </c>
    </row>
    <row r="120" spans="1:2" ht="16">
      <c r="A120" s="38" t="s">
        <v>272</v>
      </c>
      <c r="B120" s="8" t="s">
        <v>127</v>
      </c>
    </row>
    <row r="121" spans="1:2" ht="16">
      <c r="A121" s="38" t="s">
        <v>273</v>
      </c>
      <c r="B121" s="8" t="s">
        <v>128</v>
      </c>
    </row>
    <row r="122" spans="1:2" ht="16">
      <c r="A122" s="8" t="s">
        <v>0</v>
      </c>
      <c r="B122" s="8" t="s">
        <v>125</v>
      </c>
    </row>
    <row r="123" spans="1:2" ht="16">
      <c r="A123" s="8" t="s">
        <v>1</v>
      </c>
      <c r="B123" s="8" t="s">
        <v>125</v>
      </c>
    </row>
    <row r="124" spans="1:2" ht="16">
      <c r="A124" s="34" t="s">
        <v>226</v>
      </c>
      <c r="B124" s="8" t="s">
        <v>128</v>
      </c>
    </row>
    <row r="125" spans="1:2" ht="16">
      <c r="A125" s="8" t="s">
        <v>2</v>
      </c>
      <c r="B125" s="8" t="s">
        <v>127</v>
      </c>
    </row>
    <row r="126" spans="1:2" ht="16">
      <c r="A126" s="8" t="s">
        <v>135</v>
      </c>
      <c r="B126" s="8" t="s">
        <v>128</v>
      </c>
    </row>
    <row r="127" spans="1:2" ht="16">
      <c r="A127" s="34" t="s">
        <v>147</v>
      </c>
      <c r="B127" s="8" t="s">
        <v>125</v>
      </c>
    </row>
    <row r="128" spans="1:2" ht="16">
      <c r="A128" s="45" t="s">
        <v>284</v>
      </c>
      <c r="B128" s="8" t="s">
        <v>127</v>
      </c>
    </row>
    <row r="129" spans="1:2" ht="16">
      <c r="A129" s="8" t="s">
        <v>3</v>
      </c>
      <c r="B129" s="8" t="s">
        <v>129</v>
      </c>
    </row>
    <row r="130" spans="1:2" ht="16">
      <c r="A130" s="8" t="s">
        <v>61</v>
      </c>
      <c r="B130" s="8" t="s">
        <v>125</v>
      </c>
    </row>
    <row r="131" spans="1:2" ht="16">
      <c r="A131" s="8" t="s">
        <v>189</v>
      </c>
      <c r="B131" s="8" t="s">
        <v>125</v>
      </c>
    </row>
    <row r="132" spans="1:2" ht="16">
      <c r="A132" s="8" t="s">
        <v>404</v>
      </c>
      <c r="B132" s="8" t="s">
        <v>129</v>
      </c>
    </row>
    <row r="133" spans="1:2" ht="16">
      <c r="A133" s="8" t="s">
        <v>76</v>
      </c>
      <c r="B133" s="8" t="s">
        <v>128</v>
      </c>
    </row>
    <row r="134" spans="1:2" ht="16">
      <c r="A134" s="8" t="s">
        <v>138</v>
      </c>
      <c r="B134" s="8" t="s">
        <v>126</v>
      </c>
    </row>
    <row r="135" spans="1:2" ht="16">
      <c r="A135" s="8" t="s">
        <v>134</v>
      </c>
      <c r="B135" s="8" t="s">
        <v>129</v>
      </c>
    </row>
    <row r="136" spans="1:2" ht="16">
      <c r="A136" s="36" t="s">
        <v>190</v>
      </c>
      <c r="B136" s="8" t="s">
        <v>54</v>
      </c>
    </row>
    <row r="137" spans="1:2" ht="16">
      <c r="A137" s="8" t="s">
        <v>10</v>
      </c>
      <c r="B137" s="8" t="s">
        <v>54</v>
      </c>
    </row>
    <row r="138" spans="1:2" ht="16">
      <c r="A138" s="8" t="s">
        <v>33</v>
      </c>
      <c r="B138" s="8" t="s">
        <v>51</v>
      </c>
    </row>
    <row r="139" spans="1:2" ht="16">
      <c r="A139" s="8" t="s">
        <v>391</v>
      </c>
      <c r="B139" s="8" t="s">
        <v>128</v>
      </c>
    </row>
    <row r="140" spans="1:2" ht="16">
      <c r="A140" s="8" t="s">
        <v>34</v>
      </c>
      <c r="B140" s="8" t="s">
        <v>126</v>
      </c>
    </row>
    <row r="141" spans="1:2" ht="16">
      <c r="A141" s="8" t="s">
        <v>35</v>
      </c>
      <c r="B141" s="8" t="s">
        <v>126</v>
      </c>
    </row>
    <row r="142" spans="1:2" ht="16">
      <c r="A142" s="8" t="s">
        <v>64</v>
      </c>
      <c r="B142" s="8" t="s">
        <v>129</v>
      </c>
    </row>
    <row r="143" spans="1:2" ht="16">
      <c r="A143" s="8" t="s">
        <v>388</v>
      </c>
      <c r="B143" s="8" t="s">
        <v>125</v>
      </c>
    </row>
    <row r="144" spans="1:2" ht="16">
      <c r="A144" s="8" t="s">
        <v>331</v>
      </c>
      <c r="B144" s="8" t="s">
        <v>128</v>
      </c>
    </row>
    <row r="145" spans="1:2" ht="16">
      <c r="A145" s="8" t="s">
        <v>65</v>
      </c>
      <c r="B145" s="8" t="s">
        <v>129</v>
      </c>
    </row>
    <row r="146" spans="1:2" ht="16">
      <c r="A146" s="8" t="s">
        <v>323</v>
      </c>
      <c r="B146" s="8" t="s">
        <v>128</v>
      </c>
    </row>
    <row r="147" spans="1:2" ht="16">
      <c r="A147" s="8" t="s">
        <v>11</v>
      </c>
      <c r="B147" s="8" t="s">
        <v>54</v>
      </c>
    </row>
    <row r="148" spans="1:2" ht="16">
      <c r="A148" s="8" t="s">
        <v>77</v>
      </c>
      <c r="B148" s="8" t="s">
        <v>128</v>
      </c>
    </row>
    <row r="149" spans="1:2" ht="16">
      <c r="A149" s="8" t="s">
        <v>66</v>
      </c>
      <c r="B149" s="8" t="s">
        <v>126</v>
      </c>
    </row>
    <row r="150" spans="1:2" ht="16">
      <c r="A150" s="8" t="s">
        <v>67</v>
      </c>
      <c r="B150" s="8" t="s">
        <v>125</v>
      </c>
    </row>
    <row r="151" spans="1:2" ht="16">
      <c r="A151" s="8" t="s">
        <v>297</v>
      </c>
      <c r="B151" s="8" t="s">
        <v>54</v>
      </c>
    </row>
    <row r="152" spans="1:2" ht="16">
      <c r="A152" s="8" t="s">
        <v>227</v>
      </c>
      <c r="B152" s="8" t="s">
        <v>128</v>
      </c>
    </row>
    <row r="153" spans="1:2" ht="16">
      <c r="A153" s="8" t="s">
        <v>68</v>
      </c>
      <c r="B153" s="8" t="s">
        <v>125</v>
      </c>
    </row>
    <row r="154" spans="1:2" ht="16">
      <c r="A154" s="8" t="s">
        <v>60</v>
      </c>
      <c r="B154" s="8" t="s">
        <v>127</v>
      </c>
    </row>
    <row r="155" spans="1:2" ht="16">
      <c r="A155" s="8" t="s">
        <v>57</v>
      </c>
      <c r="B155" s="8" t="s">
        <v>126</v>
      </c>
    </row>
    <row r="156" spans="1:2" ht="16">
      <c r="A156" s="8" t="s">
        <v>355</v>
      </c>
      <c r="B156" s="8" t="s">
        <v>130</v>
      </c>
    </row>
    <row r="157" spans="1:2" ht="16">
      <c r="A157" s="8" t="s">
        <v>69</v>
      </c>
      <c r="B157" s="8" t="s">
        <v>51</v>
      </c>
    </row>
    <row r="158" spans="1:2" ht="16">
      <c r="A158" s="8" t="s">
        <v>380</v>
      </c>
      <c r="B158" s="8" t="s">
        <v>125</v>
      </c>
    </row>
    <row r="159" spans="1:2" ht="16">
      <c r="A159" s="8" t="s">
        <v>70</v>
      </c>
      <c r="B159" s="8" t="s">
        <v>51</v>
      </c>
    </row>
    <row r="160" spans="1:2" ht="16">
      <c r="A160" s="8" t="s">
        <v>71</v>
      </c>
      <c r="B160" s="8" t="s">
        <v>129</v>
      </c>
    </row>
    <row r="161" spans="1:2" ht="16">
      <c r="A161" s="8" t="s">
        <v>191</v>
      </c>
      <c r="B161" s="8" t="s">
        <v>128</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91"/>
  <sheetViews>
    <sheetView workbookViewId="0">
      <selection activeCell="C1" sqref="C1"/>
    </sheetView>
  </sheetViews>
  <sheetFormatPr baseColWidth="10" defaultRowHeight="13"/>
  <cols>
    <col min="1" max="1" width="11.83203125" bestFit="1" customWidth="1"/>
    <col min="2" max="2" width="16.33203125" style="25" bestFit="1" customWidth="1"/>
    <col min="3" max="3" width="19" style="25" bestFit="1" customWidth="1"/>
    <col min="5" max="5" width="19.6640625" customWidth="1"/>
    <col min="7" max="7" width="10.83203125" style="25"/>
  </cols>
  <sheetData>
    <row r="1" spans="1:12" ht="34">
      <c r="A1" s="17" t="s">
        <v>39</v>
      </c>
      <c r="B1" s="198" t="s">
        <v>529</v>
      </c>
      <c r="C1" s="201" t="s">
        <v>660</v>
      </c>
      <c r="E1" s="66" t="s">
        <v>75</v>
      </c>
      <c r="F1" s="67" t="s">
        <v>270</v>
      </c>
      <c r="G1" s="141">
        <v>43464</v>
      </c>
      <c r="H1" s="141">
        <v>43829</v>
      </c>
      <c r="I1" s="67" t="s">
        <v>435</v>
      </c>
      <c r="K1" s="66" t="s">
        <v>75</v>
      </c>
      <c r="L1" s="141">
        <v>43829</v>
      </c>
    </row>
    <row r="2" spans="1:12" ht="16">
      <c r="A2" s="4" t="s">
        <v>41</v>
      </c>
      <c r="B2" s="199">
        <v>86.284403669724782</v>
      </c>
      <c r="C2" s="202">
        <f t="shared" ref="C2:C21" si="0">B2*(1+$I$84)</f>
        <v>76.826803868088277</v>
      </c>
      <c r="E2" s="46" t="s">
        <v>271</v>
      </c>
      <c r="F2" s="56" t="s">
        <v>45</v>
      </c>
      <c r="G2" s="48">
        <v>7.7999999999999996E-3</v>
      </c>
      <c r="H2" s="48">
        <f>VLOOKUP(E2,$K$2:$L$91,2,FALSE)</f>
        <v>7.4999999999999997E-3</v>
      </c>
      <c r="I2" s="72">
        <f t="shared" ref="I2:I68" si="1">IF(H2="NA","NA",H2/G2-1)</f>
        <v>-3.8461538461538436E-2</v>
      </c>
      <c r="K2" s="46" t="s">
        <v>271</v>
      </c>
      <c r="L2" s="48">
        <v>7.4999999999999997E-3</v>
      </c>
    </row>
    <row r="3" spans="1:12" ht="16">
      <c r="A3" s="4" t="s">
        <v>42</v>
      </c>
      <c r="B3" s="199">
        <v>103.54128440366974</v>
      </c>
      <c r="C3" s="202">
        <f t="shared" si="0"/>
        <v>92.192164641705929</v>
      </c>
      <c r="E3" s="46" t="s">
        <v>336</v>
      </c>
      <c r="F3" s="56" t="s">
        <v>143</v>
      </c>
      <c r="G3" s="48">
        <v>1.7299999999999999E-2</v>
      </c>
      <c r="H3" s="48">
        <f t="shared" ref="H3:H66" si="2">VLOOKUP(E3,$K$2:$L$91,2,FALSE)</f>
        <v>1.7000000000000001E-2</v>
      </c>
      <c r="I3" s="72">
        <f t="shared" si="1"/>
        <v>-1.7341040462427681E-2</v>
      </c>
      <c r="K3" s="46" t="s">
        <v>336</v>
      </c>
      <c r="L3" s="48">
        <v>1.7000000000000001E-2</v>
      </c>
    </row>
    <row r="4" spans="1:12" ht="16">
      <c r="A4" s="4" t="s">
        <v>43</v>
      </c>
      <c r="B4" s="199">
        <v>146.68348623853211</v>
      </c>
      <c r="C4" s="202">
        <f t="shared" si="0"/>
        <v>130.60556657575006</v>
      </c>
      <c r="E4" s="46" t="s">
        <v>131</v>
      </c>
      <c r="F4" s="56" t="s">
        <v>78</v>
      </c>
      <c r="G4" s="48">
        <v>6.5500000000000003E-2</v>
      </c>
      <c r="H4" s="48">
        <f t="shared" si="2"/>
        <v>7.8200000000000006E-2</v>
      </c>
      <c r="I4" s="72">
        <f t="shared" si="1"/>
        <v>0.19389312977099249</v>
      </c>
      <c r="K4" s="46" t="s">
        <v>131</v>
      </c>
      <c r="L4" s="48">
        <v>7.8200000000000006E-2</v>
      </c>
    </row>
    <row r="5" spans="1:12" ht="16">
      <c r="A5" s="4" t="s">
        <v>44</v>
      </c>
      <c r="B5" s="199">
        <v>48.894495412844037</v>
      </c>
      <c r="C5" s="202">
        <f t="shared" si="0"/>
        <v>43.535188858583354</v>
      </c>
      <c r="E5" s="46" t="s">
        <v>85</v>
      </c>
      <c r="F5" s="56" t="s">
        <v>47</v>
      </c>
      <c r="G5" s="48">
        <v>3.3999999999999998E-3</v>
      </c>
      <c r="H5" s="48">
        <f t="shared" si="2"/>
        <v>2.5999999999999999E-3</v>
      </c>
      <c r="I5" s="72">
        <f t="shared" si="1"/>
        <v>-0.23529411764705876</v>
      </c>
      <c r="K5" s="46" t="s">
        <v>84</v>
      </c>
      <c r="L5" s="48" t="s">
        <v>143</v>
      </c>
    </row>
    <row r="6" spans="1:12" ht="16">
      <c r="A6" s="4" t="s">
        <v>45</v>
      </c>
      <c r="B6" s="199">
        <v>60.399082568807344</v>
      </c>
      <c r="C6" s="202">
        <f t="shared" si="0"/>
        <v>53.778762707661791</v>
      </c>
      <c r="E6" s="46" t="s">
        <v>175</v>
      </c>
      <c r="F6" s="56" t="s">
        <v>44</v>
      </c>
      <c r="G6" s="48">
        <v>2.3999999999999998E-3</v>
      </c>
      <c r="H6" s="48">
        <f t="shared" si="2"/>
        <v>2.7000000000000001E-3</v>
      </c>
      <c r="I6" s="72">
        <f t="shared" si="1"/>
        <v>0.12500000000000022</v>
      </c>
      <c r="K6" s="46" t="s">
        <v>85</v>
      </c>
      <c r="L6" s="48">
        <v>2.5999999999999999E-3</v>
      </c>
    </row>
    <row r="7" spans="1:12" ht="16">
      <c r="A7" s="4" t="s">
        <v>46</v>
      </c>
      <c r="B7" s="199">
        <v>73.341743119266056</v>
      </c>
      <c r="C7" s="202">
        <f t="shared" si="0"/>
        <v>65.30278328787503</v>
      </c>
      <c r="E7" s="46" t="s">
        <v>87</v>
      </c>
      <c r="F7" s="56" t="s">
        <v>49</v>
      </c>
      <c r="G7" s="48">
        <v>2.7799999999999998E-2</v>
      </c>
      <c r="H7" s="48">
        <f t="shared" si="2"/>
        <v>2.7400000000000001E-2</v>
      </c>
      <c r="I7" s="72">
        <f t="shared" si="1"/>
        <v>-1.4388489208633004E-2</v>
      </c>
      <c r="K7" s="46" t="s">
        <v>175</v>
      </c>
      <c r="L7" s="48">
        <v>2.7000000000000001E-3</v>
      </c>
    </row>
    <row r="8" spans="1:12" ht="16">
      <c r="A8" s="4" t="s">
        <v>47</v>
      </c>
      <c r="B8" s="199">
        <v>0</v>
      </c>
      <c r="C8" s="202">
        <f t="shared" si="0"/>
        <v>0</v>
      </c>
      <c r="E8" s="46" t="s">
        <v>176</v>
      </c>
      <c r="F8" s="56" t="s">
        <v>46</v>
      </c>
      <c r="G8" s="48">
        <v>3.7000000000000002E-3</v>
      </c>
      <c r="H8" s="48">
        <f t="shared" si="2"/>
        <v>3.3E-3</v>
      </c>
      <c r="I8" s="72">
        <f t="shared" si="1"/>
        <v>-0.10810810810810811</v>
      </c>
      <c r="K8" s="46" t="s">
        <v>87</v>
      </c>
      <c r="L8" s="48">
        <v>2.7400000000000001E-2</v>
      </c>
    </row>
    <row r="9" spans="1:12" ht="16">
      <c r="A9" s="4" t="s">
        <v>48</v>
      </c>
      <c r="B9" s="199">
        <v>550.78211009174311</v>
      </c>
      <c r="C9" s="202">
        <f t="shared" si="0"/>
        <v>490.41109802463012</v>
      </c>
      <c r="E9" s="46" t="s">
        <v>92</v>
      </c>
      <c r="F9" s="56" t="s">
        <v>80</v>
      </c>
      <c r="G9" s="48">
        <v>3.5200000000000002E-2</v>
      </c>
      <c r="H9" s="48">
        <f t="shared" si="2"/>
        <v>2.3900000000000001E-2</v>
      </c>
      <c r="I9" s="72">
        <f t="shared" si="1"/>
        <v>-0.32102272727272729</v>
      </c>
      <c r="K9" s="46" t="s">
        <v>176</v>
      </c>
      <c r="L9" s="48">
        <v>3.3E-3</v>
      </c>
    </row>
    <row r="10" spans="1:12" ht="16">
      <c r="A10" s="4" t="s">
        <v>49</v>
      </c>
      <c r="B10" s="199">
        <v>673.01834862385329</v>
      </c>
      <c r="C10" s="202">
        <f t="shared" si="0"/>
        <v>599.24907017108853</v>
      </c>
      <c r="E10" s="46" t="s">
        <v>94</v>
      </c>
      <c r="F10" s="56" t="s">
        <v>83</v>
      </c>
      <c r="G10" s="48">
        <v>1.4999999999999999E-2</v>
      </c>
      <c r="H10" s="48">
        <f t="shared" si="2"/>
        <v>1.47E-2</v>
      </c>
      <c r="I10" s="72">
        <f t="shared" si="1"/>
        <v>-2.0000000000000018E-2</v>
      </c>
      <c r="K10" s="46" t="s">
        <v>92</v>
      </c>
      <c r="L10" s="48">
        <v>2.3900000000000001E-2</v>
      </c>
    </row>
    <row r="11" spans="1:12" ht="16">
      <c r="A11" s="4" t="s">
        <v>78</v>
      </c>
      <c r="B11" s="199">
        <v>795.25458715596335</v>
      </c>
      <c r="C11" s="202">
        <f t="shared" si="0"/>
        <v>708.08704231754689</v>
      </c>
      <c r="E11" s="46" t="s">
        <v>211</v>
      </c>
      <c r="F11" s="56" t="s">
        <v>49</v>
      </c>
      <c r="G11" s="48">
        <v>6.6799999999999998E-2</v>
      </c>
      <c r="H11" s="48">
        <f t="shared" si="2"/>
        <v>9.1399999999999995E-2</v>
      </c>
      <c r="I11" s="72">
        <f t="shared" si="1"/>
        <v>0.36826347305389229</v>
      </c>
      <c r="K11" s="46" t="s">
        <v>94</v>
      </c>
      <c r="L11" s="48">
        <v>1.47E-2</v>
      </c>
    </row>
    <row r="12" spans="1:12" ht="16">
      <c r="A12" s="4" t="s">
        <v>79</v>
      </c>
      <c r="B12" s="199">
        <v>306.30963302752298</v>
      </c>
      <c r="C12" s="202">
        <f t="shared" si="0"/>
        <v>272.73515373171341</v>
      </c>
      <c r="E12" s="46" t="s">
        <v>95</v>
      </c>
      <c r="F12" s="56" t="s">
        <v>47</v>
      </c>
      <c r="G12" s="48">
        <v>3.5999999999999999E-3</v>
      </c>
      <c r="H12" s="48">
        <f t="shared" si="2"/>
        <v>4.4000000000000003E-3</v>
      </c>
      <c r="I12" s="72">
        <f t="shared" si="1"/>
        <v>0.22222222222222232</v>
      </c>
      <c r="K12" s="46" t="s">
        <v>211</v>
      </c>
      <c r="L12" s="48">
        <v>9.1399999999999995E-2</v>
      </c>
    </row>
    <row r="13" spans="1:12" ht="16">
      <c r="A13" s="4" t="s">
        <v>80</v>
      </c>
      <c r="B13" s="199">
        <v>368.14678899082571</v>
      </c>
      <c r="C13" s="202">
        <f t="shared" si="0"/>
        <v>327.79436317051</v>
      </c>
      <c r="E13" s="46" t="s">
        <v>96</v>
      </c>
      <c r="F13" s="56" t="s">
        <v>41</v>
      </c>
      <c r="G13" s="48">
        <v>1.7600000000000001E-2</v>
      </c>
      <c r="H13" s="48">
        <f t="shared" si="2"/>
        <v>1.15E-2</v>
      </c>
      <c r="I13" s="72">
        <f t="shared" si="1"/>
        <v>-0.34659090909090917</v>
      </c>
      <c r="K13" s="46" t="s">
        <v>95</v>
      </c>
      <c r="L13" s="48">
        <v>4.4000000000000003E-3</v>
      </c>
    </row>
    <row r="14" spans="1:12" ht="16">
      <c r="A14" s="4" t="s">
        <v>81</v>
      </c>
      <c r="B14" s="199">
        <v>440.05045871559633</v>
      </c>
      <c r="C14" s="202">
        <f t="shared" si="0"/>
        <v>391.81669972725018</v>
      </c>
      <c r="E14" s="46" t="s">
        <v>97</v>
      </c>
      <c r="F14" s="56" t="s">
        <v>41</v>
      </c>
      <c r="G14" s="48">
        <v>1.11E-2</v>
      </c>
      <c r="H14" s="48">
        <f t="shared" si="2"/>
        <v>9.9000000000000008E-3</v>
      </c>
      <c r="I14" s="72">
        <f t="shared" si="1"/>
        <v>-0.10810810810810811</v>
      </c>
      <c r="K14" s="46" t="s">
        <v>96</v>
      </c>
      <c r="L14" s="48">
        <v>1.15E-2</v>
      </c>
    </row>
    <row r="15" spans="1:12" ht="16">
      <c r="A15" s="4" t="s">
        <v>82</v>
      </c>
      <c r="B15" s="199">
        <v>195.57798165137615</v>
      </c>
      <c r="C15" s="202">
        <f t="shared" si="0"/>
        <v>174.14075543433341</v>
      </c>
      <c r="E15" s="46" t="s">
        <v>50</v>
      </c>
      <c r="F15" s="56" t="s">
        <v>83</v>
      </c>
      <c r="G15" s="48">
        <v>3.6499999999999998E-2</v>
      </c>
      <c r="H15" s="48">
        <f t="shared" si="2"/>
        <v>2.7400000000000001E-2</v>
      </c>
      <c r="I15" s="72">
        <f t="shared" si="1"/>
        <v>-0.24931506849315066</v>
      </c>
      <c r="K15" s="46" t="s">
        <v>97</v>
      </c>
      <c r="L15" s="48">
        <v>9.9000000000000008E-3</v>
      </c>
    </row>
    <row r="16" spans="1:12" ht="16">
      <c r="A16" s="4" t="s">
        <v>83</v>
      </c>
      <c r="B16" s="199">
        <v>232.96788990825689</v>
      </c>
      <c r="C16" s="202">
        <f t="shared" si="0"/>
        <v>207.43237044383835</v>
      </c>
      <c r="E16" s="46" t="s">
        <v>56</v>
      </c>
      <c r="F16" s="56" t="s">
        <v>48</v>
      </c>
      <c r="G16" s="48">
        <v>4.3499999999999997E-2</v>
      </c>
      <c r="H16" s="48">
        <f t="shared" si="2"/>
        <v>3.1099999999999999E-2</v>
      </c>
      <c r="I16" s="72">
        <f t="shared" si="1"/>
        <v>-0.28505747126436776</v>
      </c>
      <c r="K16" s="46" t="s">
        <v>50</v>
      </c>
      <c r="L16" s="48">
        <v>2.7400000000000001E-2</v>
      </c>
    </row>
    <row r="17" spans="1:12" ht="16">
      <c r="A17" s="4" t="s">
        <v>124</v>
      </c>
      <c r="B17" s="199">
        <v>268.91972477064223</v>
      </c>
      <c r="C17" s="202">
        <f t="shared" si="0"/>
        <v>239.44353872220847</v>
      </c>
      <c r="E17" s="46" t="s">
        <v>98</v>
      </c>
      <c r="F17" s="56" t="s">
        <v>80</v>
      </c>
      <c r="G17" s="48">
        <v>1.34E-2</v>
      </c>
      <c r="H17" s="48">
        <f t="shared" si="2"/>
        <v>1.34E-2</v>
      </c>
      <c r="I17" s="72">
        <f t="shared" si="1"/>
        <v>0</v>
      </c>
      <c r="K17" s="46" t="s">
        <v>56</v>
      </c>
      <c r="L17" s="48">
        <v>3.1099999999999999E-2</v>
      </c>
    </row>
    <row r="18" spans="1:12" ht="16">
      <c r="A18" s="4" t="s">
        <v>345</v>
      </c>
      <c r="B18" s="199">
        <v>1468.2729357798166</v>
      </c>
      <c r="C18" s="202">
        <f t="shared" si="0"/>
        <v>1307.3361124886355</v>
      </c>
      <c r="E18" s="46" t="s">
        <v>177</v>
      </c>
      <c r="F18" s="56" t="s">
        <v>80</v>
      </c>
      <c r="G18" s="48">
        <v>1.3299999999999999E-2</v>
      </c>
      <c r="H18" s="48">
        <f t="shared" si="2"/>
        <v>1.11E-2</v>
      </c>
      <c r="I18" s="72">
        <f t="shared" si="1"/>
        <v>-0.16541353383458635</v>
      </c>
      <c r="K18" s="46" t="s">
        <v>98</v>
      </c>
      <c r="L18" s="48">
        <v>1.34E-2</v>
      </c>
    </row>
    <row r="19" spans="1:12" ht="16">
      <c r="A19" s="4" t="s">
        <v>100</v>
      </c>
      <c r="B19" s="199">
        <v>917.49082568807341</v>
      </c>
      <c r="C19" s="202">
        <f t="shared" si="0"/>
        <v>816.92501446400524</v>
      </c>
      <c r="E19" s="46" t="s">
        <v>101</v>
      </c>
      <c r="F19" s="56" t="s">
        <v>41</v>
      </c>
      <c r="G19" s="48">
        <v>6.1999999999999998E-3</v>
      </c>
      <c r="H19" s="48">
        <f t="shared" si="2"/>
        <v>5.5999999999999999E-3</v>
      </c>
      <c r="I19" s="72">
        <f t="shared" si="1"/>
        <v>-9.6774193548387122E-2</v>
      </c>
      <c r="K19" s="46" t="s">
        <v>177</v>
      </c>
      <c r="L19" s="48">
        <v>1.11E-2</v>
      </c>
    </row>
    <row r="20" spans="1:12" ht="16">
      <c r="A20" s="4" t="s">
        <v>58</v>
      </c>
      <c r="B20" s="199">
        <v>1101.5642201834862</v>
      </c>
      <c r="C20" s="202">
        <f t="shared" si="0"/>
        <v>980.82219604926024</v>
      </c>
      <c r="E20" s="46" t="s">
        <v>102</v>
      </c>
      <c r="F20" s="56" t="s">
        <v>47</v>
      </c>
      <c r="G20" s="48">
        <v>2.3E-3</v>
      </c>
      <c r="H20" s="48">
        <f t="shared" si="2"/>
        <v>2.3999999999999998E-3</v>
      </c>
      <c r="I20" s="72">
        <f t="shared" si="1"/>
        <v>4.3478260869565188E-2</v>
      </c>
      <c r="K20" s="46" t="s">
        <v>101</v>
      </c>
      <c r="L20" s="48">
        <v>5.5999999999999999E-3</v>
      </c>
    </row>
    <row r="21" spans="1:12" ht="16">
      <c r="A21" s="4" t="s">
        <v>62</v>
      </c>
      <c r="B21" s="199">
        <v>1223.8004587155965</v>
      </c>
      <c r="C21" s="202">
        <f t="shared" si="0"/>
        <v>1089.6601681957188</v>
      </c>
      <c r="E21" s="46" t="s">
        <v>446</v>
      </c>
      <c r="F21" s="56" t="s">
        <v>45</v>
      </c>
      <c r="G21" s="48">
        <v>1.26E-2</v>
      </c>
      <c r="H21" s="48">
        <f t="shared" si="2"/>
        <v>1.0999999999999999E-2</v>
      </c>
      <c r="I21" s="72">
        <f t="shared" si="1"/>
        <v>-0.12698412698412709</v>
      </c>
      <c r="K21" s="46" t="s">
        <v>102</v>
      </c>
      <c r="L21" s="48">
        <v>2.3999999999999998E-3</v>
      </c>
    </row>
    <row r="22" spans="1:12" ht="16">
      <c r="A22" s="121" t="s">
        <v>276</v>
      </c>
      <c r="B22" s="25" t="s">
        <v>143</v>
      </c>
      <c r="C22" s="203" t="s">
        <v>143</v>
      </c>
      <c r="E22" s="46" t="s">
        <v>104</v>
      </c>
      <c r="F22" s="56" t="s">
        <v>62</v>
      </c>
      <c r="G22" s="48">
        <v>0.16930000000000001</v>
      </c>
      <c r="H22" s="48" t="str">
        <f t="shared" si="2"/>
        <v>NA</v>
      </c>
      <c r="I22" s="72" t="str">
        <f t="shared" si="1"/>
        <v>NA</v>
      </c>
      <c r="K22" s="46" t="s">
        <v>446</v>
      </c>
      <c r="L22" s="48">
        <v>1.0999999999999999E-2</v>
      </c>
    </row>
    <row r="23" spans="1:12" ht="16">
      <c r="E23" s="46" t="s">
        <v>105</v>
      </c>
      <c r="F23" s="56" t="s">
        <v>49</v>
      </c>
      <c r="G23" s="48">
        <v>8.0100000000000005E-2</v>
      </c>
      <c r="H23" s="48">
        <f t="shared" si="2"/>
        <v>0.1013</v>
      </c>
      <c r="I23" s="72">
        <f t="shared" si="1"/>
        <v>0.26466916354556802</v>
      </c>
      <c r="K23" s="174" t="s">
        <v>104</v>
      </c>
      <c r="L23" s="177" t="s">
        <v>143</v>
      </c>
    </row>
    <row r="24" spans="1:12" ht="16">
      <c r="E24" s="46" t="s">
        <v>31</v>
      </c>
      <c r="F24" s="56" t="s">
        <v>78</v>
      </c>
      <c r="G24" s="48">
        <v>0.27460000000000001</v>
      </c>
      <c r="H24" s="48">
        <f t="shared" si="2"/>
        <v>8.4000000000000005E-2</v>
      </c>
      <c r="I24" s="72">
        <f t="shared" si="1"/>
        <v>-0.69410050983248361</v>
      </c>
      <c r="K24" s="140" t="s">
        <v>105</v>
      </c>
      <c r="L24" s="48">
        <v>0.1013</v>
      </c>
    </row>
    <row r="25" spans="1:12" ht="16">
      <c r="E25" s="46" t="s">
        <v>106</v>
      </c>
      <c r="F25" s="56" t="s">
        <v>41</v>
      </c>
      <c r="G25" s="48">
        <v>1.7600000000000001E-2</v>
      </c>
      <c r="H25" s="48">
        <f t="shared" si="2"/>
        <v>6.0000000000000001E-3</v>
      </c>
      <c r="I25" s="72">
        <f t="shared" si="1"/>
        <v>-0.65909090909090917</v>
      </c>
      <c r="K25" s="46" t="s">
        <v>31</v>
      </c>
      <c r="L25" s="48">
        <v>8.4000000000000005E-2</v>
      </c>
    </row>
    <row r="26" spans="1:12" ht="16">
      <c r="E26" s="46" t="s">
        <v>178</v>
      </c>
      <c r="F26" s="56" t="s">
        <v>44</v>
      </c>
      <c r="G26" s="48">
        <v>3.3999999999999998E-3</v>
      </c>
      <c r="H26" s="48">
        <f t="shared" si="2"/>
        <v>3.3999999999999998E-3</v>
      </c>
      <c r="I26" s="72">
        <f t="shared" si="1"/>
        <v>0</v>
      </c>
      <c r="K26" s="46" t="s">
        <v>106</v>
      </c>
      <c r="L26" s="48">
        <v>6.0000000000000001E-3</v>
      </c>
    </row>
    <row r="27" spans="1:12" ht="16">
      <c r="E27" s="46" t="s">
        <v>179</v>
      </c>
      <c r="F27" s="56" t="s">
        <v>45</v>
      </c>
      <c r="G27" s="48">
        <v>4.1999999999999997E-3</v>
      </c>
      <c r="H27" s="48">
        <f t="shared" si="2"/>
        <v>4.3E-3</v>
      </c>
      <c r="I27" s="72">
        <f t="shared" si="1"/>
        <v>2.3809523809523947E-2</v>
      </c>
      <c r="K27" s="46" t="s">
        <v>283</v>
      </c>
      <c r="L27" s="48">
        <v>0.3231</v>
      </c>
    </row>
    <row r="28" spans="1:12" ht="16">
      <c r="E28" s="46" t="s">
        <v>180</v>
      </c>
      <c r="F28" s="56" t="s">
        <v>47</v>
      </c>
      <c r="G28" s="48">
        <v>2.8E-3</v>
      </c>
      <c r="H28" s="48">
        <f t="shared" si="2"/>
        <v>2.8999999999999998E-3</v>
      </c>
      <c r="I28" s="72">
        <f t="shared" si="1"/>
        <v>3.5714285714285587E-2</v>
      </c>
      <c r="K28" s="46" t="s">
        <v>178</v>
      </c>
      <c r="L28" s="48">
        <v>3.3999999999999998E-3</v>
      </c>
    </row>
    <row r="29" spans="1:12" ht="16">
      <c r="E29" s="46" t="s">
        <v>181</v>
      </c>
      <c r="F29" s="56" t="s">
        <v>48</v>
      </c>
      <c r="G29" s="48">
        <v>1.9699999999999999E-2</v>
      </c>
      <c r="H29" s="48">
        <f t="shared" si="2"/>
        <v>1.2800000000000001E-2</v>
      </c>
      <c r="I29" s="72">
        <f t="shared" si="1"/>
        <v>-0.35025380710659892</v>
      </c>
      <c r="K29" s="46" t="s">
        <v>179</v>
      </c>
      <c r="L29" s="48">
        <v>4.3E-3</v>
      </c>
    </row>
    <row r="30" spans="1:12" ht="16">
      <c r="E30" s="46" t="s">
        <v>107</v>
      </c>
      <c r="F30" s="56" t="s">
        <v>79</v>
      </c>
      <c r="G30" s="48">
        <v>2.2800000000000001E-2</v>
      </c>
      <c r="H30" s="48">
        <f t="shared" si="2"/>
        <v>2.6800000000000001E-2</v>
      </c>
      <c r="I30" s="72">
        <f t="shared" si="1"/>
        <v>0.17543859649122817</v>
      </c>
      <c r="K30" s="46" t="s">
        <v>219</v>
      </c>
      <c r="L30" s="48">
        <v>6.8500000000000005E-2</v>
      </c>
    </row>
    <row r="31" spans="1:12" ht="16">
      <c r="E31" s="46" t="s">
        <v>59</v>
      </c>
      <c r="F31" s="56" t="s">
        <v>45</v>
      </c>
      <c r="G31" s="48">
        <v>7.1000000000000004E-3</v>
      </c>
      <c r="H31" s="48">
        <f t="shared" si="2"/>
        <v>6.0000000000000001E-3</v>
      </c>
      <c r="I31" s="72">
        <f t="shared" si="1"/>
        <v>-0.15492957746478875</v>
      </c>
      <c r="K31" s="46" t="s">
        <v>180</v>
      </c>
      <c r="L31" s="48">
        <v>2.8999999999999998E-3</v>
      </c>
    </row>
    <row r="32" spans="1:12" ht="16">
      <c r="E32" s="46" t="s">
        <v>109</v>
      </c>
      <c r="F32" s="56" t="s">
        <v>124</v>
      </c>
      <c r="G32" s="48">
        <v>2.4299999999999999E-2</v>
      </c>
      <c r="H32" s="48">
        <f t="shared" si="2"/>
        <v>1.95E-2</v>
      </c>
      <c r="I32" s="72">
        <f t="shared" si="1"/>
        <v>-0.19753086419753085</v>
      </c>
      <c r="K32" s="46" t="s">
        <v>181</v>
      </c>
      <c r="L32" s="48">
        <v>1.2800000000000001E-2</v>
      </c>
    </row>
    <row r="33" spans="5:12" ht="16">
      <c r="E33" s="46" t="s">
        <v>110</v>
      </c>
      <c r="F33" s="56" t="s">
        <v>43</v>
      </c>
      <c r="G33" s="48">
        <v>7.3000000000000001E-3</v>
      </c>
      <c r="H33" s="48">
        <f t="shared" si="2"/>
        <v>8.8000000000000005E-3</v>
      </c>
      <c r="I33" s="72">
        <f t="shared" si="1"/>
        <v>0.20547945205479468</v>
      </c>
      <c r="K33" s="46" t="s">
        <v>107</v>
      </c>
      <c r="L33" s="48">
        <v>2.6800000000000001E-2</v>
      </c>
    </row>
    <row r="34" spans="5:12" ht="16">
      <c r="E34" s="46" t="s">
        <v>111</v>
      </c>
      <c r="F34" s="56" t="s">
        <v>83</v>
      </c>
      <c r="G34" s="48">
        <v>1.67E-2</v>
      </c>
      <c r="H34" s="48">
        <f t="shared" si="2"/>
        <v>9.9000000000000008E-3</v>
      </c>
      <c r="I34" s="72">
        <f t="shared" si="1"/>
        <v>-0.40718562874251496</v>
      </c>
      <c r="K34" s="46" t="s">
        <v>59</v>
      </c>
      <c r="L34" s="48">
        <v>6.0000000000000001E-3</v>
      </c>
    </row>
    <row r="35" spans="5:12" ht="16">
      <c r="E35" s="46" t="s">
        <v>112</v>
      </c>
      <c r="F35" s="56" t="s">
        <v>83</v>
      </c>
      <c r="G35" s="48">
        <v>1.7500000000000002E-2</v>
      </c>
      <c r="H35" s="48">
        <f t="shared" si="2"/>
        <v>1.32E-2</v>
      </c>
      <c r="I35" s="72">
        <f t="shared" si="1"/>
        <v>-0.24571428571428577</v>
      </c>
      <c r="K35" s="46" t="s">
        <v>109</v>
      </c>
      <c r="L35" s="48">
        <v>1.95E-2</v>
      </c>
    </row>
    <row r="36" spans="5:12" ht="16">
      <c r="E36" s="46" t="s">
        <v>330</v>
      </c>
      <c r="F36" s="56" t="s">
        <v>100</v>
      </c>
      <c r="G36" s="48">
        <v>4.6899999999999997E-2</v>
      </c>
      <c r="H36" s="48">
        <f t="shared" si="2"/>
        <v>5.1400000000000001E-2</v>
      </c>
      <c r="I36" s="72">
        <f t="shared" si="1"/>
        <v>9.5948827292110961E-2</v>
      </c>
      <c r="K36" s="46" t="s">
        <v>110</v>
      </c>
      <c r="L36" s="48">
        <v>8.8000000000000005E-3</v>
      </c>
    </row>
    <row r="37" spans="5:12" ht="16">
      <c r="E37" s="46" t="s">
        <v>182</v>
      </c>
      <c r="F37" s="56" t="s">
        <v>42</v>
      </c>
      <c r="G37" s="48">
        <v>4.3E-3</v>
      </c>
      <c r="H37" s="48">
        <f t="shared" si="2"/>
        <v>4.1000000000000003E-3</v>
      </c>
      <c r="I37" s="72">
        <f t="shared" si="1"/>
        <v>-4.6511627906976716E-2</v>
      </c>
      <c r="K37" s="46" t="s">
        <v>111</v>
      </c>
      <c r="L37" s="48">
        <v>9.9000000000000008E-3</v>
      </c>
    </row>
    <row r="38" spans="5:12" ht="16">
      <c r="E38" s="46" t="s">
        <v>114</v>
      </c>
      <c r="F38" s="56" t="s">
        <v>41</v>
      </c>
      <c r="G38" s="48">
        <v>6.7000000000000002E-3</v>
      </c>
      <c r="H38" s="48">
        <f t="shared" si="2"/>
        <v>1.5699999999999999E-2</v>
      </c>
      <c r="I38" s="72">
        <f t="shared" si="1"/>
        <v>1.3432835820895521</v>
      </c>
      <c r="K38" s="46" t="s">
        <v>112</v>
      </c>
      <c r="L38" s="48">
        <v>1.32E-2</v>
      </c>
    </row>
    <row r="39" spans="5:12" ht="16">
      <c r="E39" s="46" t="s">
        <v>145</v>
      </c>
      <c r="F39" s="56" t="s">
        <v>124</v>
      </c>
      <c r="G39" s="48">
        <v>1.84E-2</v>
      </c>
      <c r="H39" s="48">
        <f t="shared" si="2"/>
        <v>1.34E-2</v>
      </c>
      <c r="I39" s="72">
        <f t="shared" si="1"/>
        <v>-0.27173913043478259</v>
      </c>
      <c r="K39" s="46" t="s">
        <v>330</v>
      </c>
      <c r="L39" s="48">
        <v>5.1400000000000001E-2</v>
      </c>
    </row>
    <row r="40" spans="5:12" ht="16">
      <c r="E40" s="46" t="s">
        <v>116</v>
      </c>
      <c r="F40" s="56" t="s">
        <v>41</v>
      </c>
      <c r="G40" s="48">
        <v>3.0999999999999999E-3</v>
      </c>
      <c r="H40" s="48">
        <f t="shared" si="2"/>
        <v>4.3E-3</v>
      </c>
      <c r="I40" s="72">
        <f t="shared" si="1"/>
        <v>0.38709677419354849</v>
      </c>
      <c r="K40" s="46" t="s">
        <v>182</v>
      </c>
      <c r="L40" s="48">
        <v>4.1000000000000003E-3</v>
      </c>
    </row>
    <row r="41" spans="5:12" ht="16">
      <c r="E41" s="46" t="s">
        <v>118</v>
      </c>
      <c r="F41" s="56" t="s">
        <v>124</v>
      </c>
      <c r="G41" s="48">
        <v>2.7E-2</v>
      </c>
      <c r="H41" s="48">
        <f t="shared" si="2"/>
        <v>1.7600000000000001E-2</v>
      </c>
      <c r="I41" s="72">
        <f t="shared" si="1"/>
        <v>-0.3481481481481481</v>
      </c>
      <c r="K41" s="46" t="s">
        <v>114</v>
      </c>
      <c r="L41" s="48">
        <v>1.5699999999999999E-2</v>
      </c>
    </row>
    <row r="42" spans="5:12" ht="16">
      <c r="E42" s="46" t="s">
        <v>183</v>
      </c>
      <c r="F42" s="56" t="s">
        <v>49</v>
      </c>
      <c r="G42" s="48">
        <v>7.5999999999999998E-2</v>
      </c>
      <c r="H42" s="48">
        <f t="shared" si="2"/>
        <v>7.0400000000000004E-2</v>
      </c>
      <c r="I42" s="72">
        <f t="shared" si="1"/>
        <v>-7.3684210526315685E-2</v>
      </c>
      <c r="K42" s="46" t="s">
        <v>145</v>
      </c>
      <c r="L42" s="48">
        <v>1.34E-2</v>
      </c>
    </row>
    <row r="43" spans="5:12" ht="16">
      <c r="E43" s="46" t="s">
        <v>119</v>
      </c>
      <c r="F43" s="56" t="s">
        <v>45</v>
      </c>
      <c r="G43" s="48">
        <v>6.7999999999999996E-3</v>
      </c>
      <c r="H43" s="48">
        <f t="shared" si="2"/>
        <v>3.7000000000000002E-3</v>
      </c>
      <c r="I43" s="72">
        <f t="shared" si="1"/>
        <v>-0.45588235294117641</v>
      </c>
      <c r="K43" s="46" t="s">
        <v>116</v>
      </c>
      <c r="L43" s="48">
        <v>4.3E-3</v>
      </c>
    </row>
    <row r="44" spans="5:12" ht="16">
      <c r="E44" s="46" t="s">
        <v>120</v>
      </c>
      <c r="F44" s="56" t="s">
        <v>45</v>
      </c>
      <c r="G44" s="48">
        <v>7.9000000000000008E-3</v>
      </c>
      <c r="H44" s="48">
        <f t="shared" si="2"/>
        <v>8.3000000000000001E-3</v>
      </c>
      <c r="I44" s="72">
        <f t="shared" si="1"/>
        <v>5.0632911392404889E-2</v>
      </c>
      <c r="K44" s="46" t="s">
        <v>118</v>
      </c>
      <c r="L44" s="48">
        <v>1.7600000000000001E-2</v>
      </c>
    </row>
    <row r="45" spans="5:12" ht="16">
      <c r="E45" s="46" t="s">
        <v>121</v>
      </c>
      <c r="F45" s="56" t="s">
        <v>43</v>
      </c>
      <c r="G45" s="48">
        <v>1.37E-2</v>
      </c>
      <c r="H45" s="48">
        <f t="shared" si="2"/>
        <v>9.4000000000000004E-3</v>
      </c>
      <c r="I45" s="72">
        <f t="shared" si="1"/>
        <v>-0.31386861313868608</v>
      </c>
      <c r="K45" s="46" t="s">
        <v>183</v>
      </c>
      <c r="L45" s="48">
        <v>7.0400000000000004E-2</v>
      </c>
    </row>
    <row r="46" spans="5:12" ht="16">
      <c r="E46" s="46" t="s">
        <v>13</v>
      </c>
      <c r="F46" s="56" t="s">
        <v>43</v>
      </c>
      <c r="G46" s="48">
        <v>1.4500000000000001E-2</v>
      </c>
      <c r="H46" s="48">
        <f t="shared" si="2"/>
        <v>8.9999999999999993E-3</v>
      </c>
      <c r="I46" s="72">
        <f t="shared" si="1"/>
        <v>-0.3793103448275863</v>
      </c>
      <c r="K46" s="46" t="s">
        <v>119</v>
      </c>
      <c r="L46" s="48">
        <v>3.7000000000000002E-3</v>
      </c>
    </row>
    <row r="47" spans="5:12" ht="16">
      <c r="E47" s="46" t="s">
        <v>14</v>
      </c>
      <c r="F47" s="56" t="s">
        <v>43</v>
      </c>
      <c r="G47" s="48">
        <v>1.24E-2</v>
      </c>
      <c r="H47" s="48">
        <f t="shared" si="2"/>
        <v>8.6E-3</v>
      </c>
      <c r="I47" s="72">
        <f t="shared" si="1"/>
        <v>-0.30645161290322576</v>
      </c>
      <c r="K47" s="46" t="s">
        <v>120</v>
      </c>
      <c r="L47" s="48">
        <v>8.3000000000000001E-3</v>
      </c>
    </row>
    <row r="48" spans="5:12" ht="16">
      <c r="E48" s="46" t="s">
        <v>16</v>
      </c>
      <c r="F48" s="56" t="s">
        <v>43</v>
      </c>
      <c r="G48" s="48">
        <v>2.1100000000000001E-2</v>
      </c>
      <c r="H48" s="48">
        <f t="shared" si="2"/>
        <v>1.6799999999999999E-2</v>
      </c>
      <c r="I48" s="72">
        <f t="shared" si="1"/>
        <v>-0.2037914691943129</v>
      </c>
      <c r="K48" s="46" t="s">
        <v>121</v>
      </c>
      <c r="L48" s="48">
        <v>9.4000000000000004E-3</v>
      </c>
    </row>
    <row r="49" spans="5:12" ht="16">
      <c r="E49" s="46" t="s">
        <v>18</v>
      </c>
      <c r="F49" s="56" t="s">
        <v>79</v>
      </c>
      <c r="G49" s="48">
        <v>2.53E-2</v>
      </c>
      <c r="H49" s="48">
        <f t="shared" si="2"/>
        <v>1.9E-2</v>
      </c>
      <c r="I49" s="72">
        <f t="shared" si="1"/>
        <v>-0.24901185770750989</v>
      </c>
      <c r="K49" s="46" t="s">
        <v>122</v>
      </c>
      <c r="L49" s="48" t="s">
        <v>143</v>
      </c>
    </row>
    <row r="50" spans="5:12" ht="16">
      <c r="E50" s="46" t="s">
        <v>136</v>
      </c>
      <c r="F50" s="56" t="s">
        <v>48</v>
      </c>
      <c r="G50" s="48">
        <v>3.8399999999999997E-2</v>
      </c>
      <c r="H50" s="48">
        <f t="shared" si="2"/>
        <v>2.1000000000000001E-2</v>
      </c>
      <c r="I50" s="72">
        <f>IF(H50="NA","NA",IF(G50="NA","NA",H50/G50-1))</f>
        <v>-0.45312499999999989</v>
      </c>
      <c r="K50" s="46" t="s">
        <v>13</v>
      </c>
      <c r="L50" s="48">
        <v>8.9999999999999993E-3</v>
      </c>
    </row>
    <row r="51" spans="5:12" ht="16">
      <c r="E51" s="46" t="s">
        <v>186</v>
      </c>
      <c r="F51" s="56" t="s">
        <v>47</v>
      </c>
      <c r="G51" s="48">
        <v>2.5999999999999999E-3</v>
      </c>
      <c r="H51" s="48">
        <f t="shared" si="2"/>
        <v>2.3999999999999998E-3</v>
      </c>
      <c r="I51" s="72">
        <f t="shared" si="1"/>
        <v>-7.6923076923076983E-2</v>
      </c>
      <c r="K51" s="46" t="s">
        <v>14</v>
      </c>
      <c r="L51" s="48">
        <v>8.6E-3</v>
      </c>
    </row>
    <row r="52" spans="5:12" ht="16">
      <c r="E52" s="46" t="s">
        <v>21</v>
      </c>
      <c r="F52" s="56" t="s">
        <v>47</v>
      </c>
      <c r="G52" s="48">
        <v>3.8999999999999998E-3</v>
      </c>
      <c r="H52" s="48">
        <f t="shared" si="2"/>
        <v>2.8999999999999998E-3</v>
      </c>
      <c r="I52" s="72">
        <f t="shared" si="1"/>
        <v>-0.25641025641025639</v>
      </c>
      <c r="K52" s="46" t="s">
        <v>16</v>
      </c>
      <c r="L52" s="48">
        <v>1.6799999999999999E-2</v>
      </c>
    </row>
    <row r="53" spans="5:12" ht="16">
      <c r="E53" s="46" t="s">
        <v>22</v>
      </c>
      <c r="F53" s="56" t="s">
        <v>78</v>
      </c>
      <c r="G53" s="177">
        <v>6.2700000000000006E-2</v>
      </c>
      <c r="H53" s="48">
        <f t="shared" si="2"/>
        <v>4.8899999999999999E-2</v>
      </c>
      <c r="I53" s="72">
        <f t="shared" si="1"/>
        <v>-0.22009569377990434</v>
      </c>
      <c r="K53" s="46" t="s">
        <v>63</v>
      </c>
      <c r="L53" s="48">
        <v>4.02E-2</v>
      </c>
    </row>
    <row r="54" spans="5:12" ht="16">
      <c r="E54" s="46" t="s">
        <v>187</v>
      </c>
      <c r="F54" s="56" t="s">
        <v>49</v>
      </c>
      <c r="G54" s="48">
        <v>8.5199999999999998E-2</v>
      </c>
      <c r="H54" s="48">
        <f t="shared" si="2"/>
        <v>6.4399999999999999E-2</v>
      </c>
      <c r="I54" s="72">
        <f t="shared" si="1"/>
        <v>-0.244131455399061</v>
      </c>
      <c r="K54" s="46" t="s">
        <v>18</v>
      </c>
      <c r="L54" s="48">
        <v>1.9E-2</v>
      </c>
    </row>
    <row r="55" spans="5:12" ht="16">
      <c r="E55" s="46" t="s">
        <v>23</v>
      </c>
      <c r="F55" s="56" t="s">
        <v>47</v>
      </c>
      <c r="G55" s="48">
        <v>2.8E-3</v>
      </c>
      <c r="H55" s="48">
        <f t="shared" si="2"/>
        <v>2.3999999999999998E-3</v>
      </c>
      <c r="I55" s="72">
        <f t="shared" si="1"/>
        <v>-0.1428571428571429</v>
      </c>
      <c r="K55" s="46" t="s">
        <v>136</v>
      </c>
      <c r="L55" s="48">
        <v>2.1000000000000001E-2</v>
      </c>
    </row>
    <row r="56" spans="5:12" ht="16">
      <c r="E56" s="46" t="s">
        <v>24</v>
      </c>
      <c r="F56" s="56" t="s">
        <v>79</v>
      </c>
      <c r="G56" s="48">
        <v>2.3699999999999999E-2</v>
      </c>
      <c r="H56" s="48">
        <f t="shared" si="2"/>
        <v>1.9199999999999998E-2</v>
      </c>
      <c r="I56" s="72">
        <f t="shared" si="1"/>
        <v>-0.189873417721519</v>
      </c>
      <c r="K56" s="250" t="s">
        <v>186</v>
      </c>
      <c r="L56" s="251">
        <v>2.3999999999999998E-3</v>
      </c>
    </row>
    <row r="57" spans="5:12" ht="16">
      <c r="E57" s="46" t="s">
        <v>25</v>
      </c>
      <c r="F57" s="56" t="s">
        <v>78</v>
      </c>
      <c r="G57" s="48" t="s">
        <v>143</v>
      </c>
      <c r="H57" s="48" t="str">
        <f t="shared" si="2"/>
        <v>NA</v>
      </c>
      <c r="I57" s="72" t="str">
        <f t="shared" si="1"/>
        <v>NA</v>
      </c>
      <c r="K57" s="46" t="s">
        <v>21</v>
      </c>
      <c r="L57" s="48">
        <v>2.8999999999999998E-3</v>
      </c>
    </row>
    <row r="58" spans="5:12" ht="16">
      <c r="E58" s="46" t="s">
        <v>26</v>
      </c>
      <c r="F58" s="56" t="s">
        <v>82</v>
      </c>
      <c r="G58" s="48">
        <v>1.7899999999999999E-2</v>
      </c>
      <c r="H58" s="48">
        <f t="shared" si="2"/>
        <v>2.3099999999999999E-2</v>
      </c>
      <c r="I58" s="72">
        <f t="shared" si="1"/>
        <v>0.2905027932960893</v>
      </c>
      <c r="K58" s="46" t="s">
        <v>22</v>
      </c>
      <c r="L58" s="48">
        <v>4.8899999999999999E-2</v>
      </c>
    </row>
    <row r="59" spans="5:12" ht="16">
      <c r="E59" s="46" t="s">
        <v>28</v>
      </c>
      <c r="F59" s="56" t="s">
        <v>43</v>
      </c>
      <c r="G59" s="48">
        <v>1.9400000000000001E-2</v>
      </c>
      <c r="H59" s="48">
        <f t="shared" si="2"/>
        <v>1.37E-2</v>
      </c>
      <c r="I59" s="72">
        <f t="shared" si="1"/>
        <v>-0.29381443298969068</v>
      </c>
      <c r="K59" s="46" t="s">
        <v>187</v>
      </c>
      <c r="L59" s="48">
        <v>6.4399999999999999E-2</v>
      </c>
    </row>
    <row r="60" spans="5:12" ht="16">
      <c r="E60" s="46" t="s">
        <v>29</v>
      </c>
      <c r="F60" s="56" t="s">
        <v>83</v>
      </c>
      <c r="G60" s="48">
        <v>1.6400000000000001E-2</v>
      </c>
      <c r="H60" s="48">
        <f t="shared" si="2"/>
        <v>1.18E-2</v>
      </c>
      <c r="I60" s="72">
        <f t="shared" si="1"/>
        <v>-0.28048780487804881</v>
      </c>
      <c r="K60" s="46" t="s">
        <v>23</v>
      </c>
      <c r="L60" s="48">
        <v>2.3999999999999998E-3</v>
      </c>
    </row>
    <row r="61" spans="5:12" ht="16">
      <c r="E61" s="46" t="s">
        <v>30</v>
      </c>
      <c r="F61" s="56" t="s">
        <v>42</v>
      </c>
      <c r="G61" s="48">
        <v>1.4500000000000001E-2</v>
      </c>
      <c r="H61" s="48">
        <f t="shared" si="2"/>
        <v>1.06E-2</v>
      </c>
      <c r="I61" s="72">
        <f t="shared" si="1"/>
        <v>-0.26896551724137929</v>
      </c>
      <c r="K61" s="46" t="s">
        <v>24</v>
      </c>
      <c r="L61" s="48">
        <v>1.9199999999999998E-2</v>
      </c>
    </row>
    <row r="62" spans="5:12" ht="16">
      <c r="E62" s="46" t="s">
        <v>188</v>
      </c>
      <c r="F62" s="56" t="s">
        <v>124</v>
      </c>
      <c r="G62" s="48">
        <v>8.0999999999999996E-3</v>
      </c>
      <c r="H62" s="48">
        <f t="shared" si="2"/>
        <v>7.4999999999999997E-3</v>
      </c>
      <c r="I62" s="72">
        <f t="shared" si="1"/>
        <v>-7.407407407407407E-2</v>
      </c>
      <c r="K62" s="46" t="s">
        <v>25</v>
      </c>
      <c r="L62" s="48" t="s">
        <v>143</v>
      </c>
    </row>
    <row r="63" spans="5:12" ht="16">
      <c r="E63" s="46" t="s">
        <v>74</v>
      </c>
      <c r="F63" s="56" t="s">
        <v>46</v>
      </c>
      <c r="G63" s="48">
        <v>7.9000000000000008E-3</v>
      </c>
      <c r="H63" s="48">
        <f t="shared" si="2"/>
        <v>8.3000000000000001E-3</v>
      </c>
      <c r="I63" s="72">
        <f t="shared" si="1"/>
        <v>5.0632911392404889E-2</v>
      </c>
      <c r="K63" s="46" t="s">
        <v>26</v>
      </c>
      <c r="L63" s="48">
        <v>2.3099999999999999E-2</v>
      </c>
    </row>
    <row r="64" spans="5:12" ht="16">
      <c r="E64" s="46" t="s">
        <v>0</v>
      </c>
      <c r="F64" s="56" t="s">
        <v>124</v>
      </c>
      <c r="G64" s="48">
        <v>3.1699999999999999E-2</v>
      </c>
      <c r="H64" s="48">
        <f t="shared" si="2"/>
        <v>2.3099999999999999E-2</v>
      </c>
      <c r="I64" s="72">
        <f t="shared" si="1"/>
        <v>-0.27129337539432175</v>
      </c>
      <c r="K64" s="46" t="s">
        <v>28</v>
      </c>
      <c r="L64" s="48">
        <v>1.37E-2</v>
      </c>
    </row>
    <row r="65" spans="5:12" ht="16">
      <c r="E65" s="46" t="s">
        <v>1</v>
      </c>
      <c r="F65" s="56" t="s">
        <v>124</v>
      </c>
      <c r="G65" s="48">
        <v>6.2100000000000002E-2</v>
      </c>
      <c r="H65" s="48" t="str">
        <f t="shared" si="2"/>
        <v>NA</v>
      </c>
      <c r="I65" s="72" t="str">
        <f t="shared" si="1"/>
        <v>NA</v>
      </c>
      <c r="K65" s="46" t="s">
        <v>29</v>
      </c>
      <c r="L65" s="48">
        <v>1.18E-2</v>
      </c>
    </row>
    <row r="66" spans="5:12" ht="16">
      <c r="E66" s="46" t="s">
        <v>226</v>
      </c>
      <c r="F66" s="56" t="s">
        <v>49</v>
      </c>
      <c r="G66" s="48">
        <v>5.4199999999999998E-2</v>
      </c>
      <c r="H66" s="48">
        <f t="shared" si="2"/>
        <v>5.5300000000000002E-2</v>
      </c>
      <c r="I66" s="72">
        <f t="shared" si="1"/>
        <v>2.0295202952029578E-2</v>
      </c>
      <c r="K66" s="46" t="s">
        <v>30</v>
      </c>
      <c r="L66" s="48">
        <v>1.06E-2</v>
      </c>
    </row>
    <row r="67" spans="5:12" ht="16">
      <c r="E67" s="46" t="s">
        <v>2</v>
      </c>
      <c r="F67" s="56" t="s">
        <v>41</v>
      </c>
      <c r="G67" s="48">
        <v>9.5999999999999992E-3</v>
      </c>
      <c r="H67" s="48">
        <f t="shared" ref="H67:H82" si="3">VLOOKUP(E67,$K$2:$L$91,2,FALSE)</f>
        <v>8.5000000000000006E-3</v>
      </c>
      <c r="I67" s="72">
        <f t="shared" si="1"/>
        <v>-0.11458333333333315</v>
      </c>
      <c r="K67" s="46" t="s">
        <v>188</v>
      </c>
      <c r="L67" s="48">
        <v>7.4999999999999997E-3</v>
      </c>
    </row>
    <row r="68" spans="5:12" ht="16">
      <c r="E68" s="46" t="s">
        <v>135</v>
      </c>
      <c r="F68" s="56" t="s">
        <v>81</v>
      </c>
      <c r="G68" s="48">
        <v>5.3900000000000003E-2</v>
      </c>
      <c r="H68" s="48">
        <f t="shared" si="3"/>
        <v>6.8900000000000003E-2</v>
      </c>
      <c r="I68" s="72">
        <f t="shared" si="1"/>
        <v>0.27829313543599254</v>
      </c>
      <c r="K68" s="46" t="s">
        <v>74</v>
      </c>
      <c r="L68" s="48">
        <v>8.3000000000000001E-3</v>
      </c>
    </row>
    <row r="69" spans="5:12" ht="16">
      <c r="E69" s="46" t="s">
        <v>147</v>
      </c>
      <c r="F69" s="56" t="s">
        <v>81</v>
      </c>
      <c r="G69" s="48">
        <v>2.93E-2</v>
      </c>
      <c r="H69" s="48">
        <f t="shared" si="3"/>
        <v>2.86E-2</v>
      </c>
      <c r="I69" s="72">
        <f t="shared" ref="I69:I82" si="4">IF(H69="NA","NA",H69/G69-1)</f>
        <v>-2.3890784982935176E-2</v>
      </c>
      <c r="K69" s="46" t="s">
        <v>0</v>
      </c>
      <c r="L69" s="48">
        <v>2.3099999999999999E-2</v>
      </c>
    </row>
    <row r="70" spans="5:12" ht="16">
      <c r="E70" s="46" t="s">
        <v>61</v>
      </c>
      <c r="F70" s="56" t="s">
        <v>42</v>
      </c>
      <c r="G70" s="48">
        <v>7.4999999999999997E-3</v>
      </c>
      <c r="H70" s="48">
        <f t="shared" si="3"/>
        <v>6.0000000000000001E-3</v>
      </c>
      <c r="I70" s="72">
        <f t="shared" si="4"/>
        <v>-0.19999999999999996</v>
      </c>
      <c r="K70" s="46" t="s">
        <v>1</v>
      </c>
      <c r="L70" s="48" t="s">
        <v>143</v>
      </c>
    </row>
    <row r="71" spans="5:12" ht="16">
      <c r="E71" s="46" t="s">
        <v>189</v>
      </c>
      <c r="F71" s="56" t="s">
        <v>82</v>
      </c>
      <c r="G71" s="48">
        <v>0.01</v>
      </c>
      <c r="H71" s="48">
        <f t="shared" si="3"/>
        <v>7.6E-3</v>
      </c>
      <c r="I71" s="72">
        <f t="shared" si="4"/>
        <v>-0.24</v>
      </c>
      <c r="K71" s="46" t="s">
        <v>226</v>
      </c>
      <c r="L71" s="48">
        <v>5.5300000000000002E-2</v>
      </c>
    </row>
    <row r="72" spans="5:12" ht="16">
      <c r="E72" s="46" t="s">
        <v>76</v>
      </c>
      <c r="F72" s="56" t="s">
        <v>124</v>
      </c>
      <c r="G72" s="48">
        <v>3.5099999999999999E-2</v>
      </c>
      <c r="H72" s="48">
        <f t="shared" si="3"/>
        <v>3.1600000000000003E-2</v>
      </c>
      <c r="I72" s="72">
        <f t="shared" si="4"/>
        <v>-9.971509971509962E-2</v>
      </c>
      <c r="K72" s="46" t="s">
        <v>2</v>
      </c>
      <c r="L72" s="48">
        <v>8.5000000000000006E-3</v>
      </c>
    </row>
    <row r="73" spans="5:12" ht="16">
      <c r="E73" s="46" t="s">
        <v>138</v>
      </c>
      <c r="F73" s="56" t="s">
        <v>82</v>
      </c>
      <c r="G73" s="48">
        <v>8.2000000000000007E-3</v>
      </c>
      <c r="H73" s="48">
        <f t="shared" si="3"/>
        <v>7.7999999999999996E-3</v>
      </c>
      <c r="I73" s="72">
        <f t="shared" si="4"/>
        <v>-4.8780487804878203E-2</v>
      </c>
      <c r="K73" s="46" t="s">
        <v>135</v>
      </c>
      <c r="L73" s="48">
        <v>6.8900000000000003E-2</v>
      </c>
    </row>
    <row r="74" spans="5:12" ht="16">
      <c r="E74" s="46" t="s">
        <v>34</v>
      </c>
      <c r="F74" s="56" t="s">
        <v>47</v>
      </c>
      <c r="G74" s="48">
        <v>2.5999999999999999E-3</v>
      </c>
      <c r="H74" s="48">
        <f t="shared" si="3"/>
        <v>2.8E-3</v>
      </c>
      <c r="I74" s="72">
        <f t="shared" si="4"/>
        <v>7.6923076923076872E-2</v>
      </c>
      <c r="K74" s="46" t="s">
        <v>147</v>
      </c>
      <c r="L74" s="48">
        <v>2.86E-2</v>
      </c>
    </row>
    <row r="75" spans="5:12" ht="16">
      <c r="E75" s="46" t="s">
        <v>35</v>
      </c>
      <c r="F75" s="56" t="s">
        <v>47</v>
      </c>
      <c r="G75" s="48">
        <v>1.6999999999999999E-3</v>
      </c>
      <c r="H75" s="48">
        <f t="shared" si="3"/>
        <v>2.2000000000000001E-3</v>
      </c>
      <c r="I75" s="72">
        <f t="shared" si="4"/>
        <v>0.29411764705882359</v>
      </c>
      <c r="K75" s="46" t="s">
        <v>61</v>
      </c>
      <c r="L75" s="48">
        <v>6.0000000000000001E-3</v>
      </c>
    </row>
    <row r="76" spans="5:12" ht="16">
      <c r="E76" s="46" t="s">
        <v>65</v>
      </c>
      <c r="F76" s="56" t="s">
        <v>82</v>
      </c>
      <c r="G76" s="48">
        <v>8.6999999999999994E-3</v>
      </c>
      <c r="H76" s="48">
        <f t="shared" si="3"/>
        <v>6.4999999999999997E-3</v>
      </c>
      <c r="I76" s="72">
        <f t="shared" si="4"/>
        <v>-0.25287356321839083</v>
      </c>
      <c r="K76" s="46" t="s">
        <v>189</v>
      </c>
      <c r="L76" s="48">
        <v>7.6E-3</v>
      </c>
    </row>
    <row r="77" spans="5:12" ht="16">
      <c r="E77" s="46" t="s">
        <v>77</v>
      </c>
      <c r="F77" s="56" t="s">
        <v>49</v>
      </c>
      <c r="G77" s="48">
        <v>8.6900000000000005E-2</v>
      </c>
      <c r="H77" s="48">
        <f t="shared" si="3"/>
        <v>9.7799999999999998E-2</v>
      </c>
      <c r="I77" s="72">
        <f t="shared" si="4"/>
        <v>0.12543153049482147</v>
      </c>
      <c r="K77" s="46" t="s">
        <v>76</v>
      </c>
      <c r="L77" s="48">
        <v>3.1600000000000003E-2</v>
      </c>
    </row>
    <row r="78" spans="5:12" ht="16">
      <c r="E78" s="46" t="s">
        <v>66</v>
      </c>
      <c r="F78" s="56" t="s">
        <v>48</v>
      </c>
      <c r="G78" s="48">
        <v>5.2999999999999999E-2</v>
      </c>
      <c r="H78" s="48">
        <f t="shared" si="3"/>
        <v>3.8600000000000002E-2</v>
      </c>
      <c r="I78" s="72">
        <f t="shared" si="4"/>
        <v>-0.27169811320754711</v>
      </c>
      <c r="K78" s="46" t="s">
        <v>138</v>
      </c>
      <c r="L78" s="48">
        <v>7.7999999999999996E-3</v>
      </c>
    </row>
    <row r="79" spans="5:12" ht="16">
      <c r="E79" s="46" t="s">
        <v>57</v>
      </c>
      <c r="F79" s="56" t="s">
        <v>45</v>
      </c>
      <c r="G79" s="48">
        <v>3.5999999999999999E-3</v>
      </c>
      <c r="H79" s="48">
        <f t="shared" si="3"/>
        <v>5.1000000000000004E-3</v>
      </c>
      <c r="I79" s="72">
        <f t="shared" si="4"/>
        <v>0.41666666666666674</v>
      </c>
      <c r="K79" s="46" t="s">
        <v>134</v>
      </c>
      <c r="L79" s="48">
        <v>0.59360000000000002</v>
      </c>
    </row>
    <row r="80" spans="5:12" ht="16">
      <c r="E80" s="46" t="s">
        <v>355</v>
      </c>
      <c r="F80" s="56" t="s">
        <v>47</v>
      </c>
      <c r="G80" s="48">
        <v>3.2000000000000002E-3</v>
      </c>
      <c r="H80" s="48">
        <f t="shared" si="3"/>
        <v>5.7999999999999996E-3</v>
      </c>
      <c r="I80" s="72">
        <f t="shared" si="4"/>
        <v>0.81249999999999978</v>
      </c>
      <c r="K80" s="46" t="s">
        <v>34</v>
      </c>
      <c r="L80" s="48">
        <v>2.8E-3</v>
      </c>
    </row>
    <row r="81" spans="5:12" ht="16">
      <c r="E81" s="46" t="s">
        <v>69</v>
      </c>
      <c r="F81" s="56" t="s">
        <v>83</v>
      </c>
      <c r="G81" s="48">
        <v>1.43E-2</v>
      </c>
      <c r="H81" s="48">
        <f t="shared" si="3"/>
        <v>1.14E-2</v>
      </c>
      <c r="I81" s="72">
        <f t="shared" si="4"/>
        <v>-0.20279720279720281</v>
      </c>
      <c r="K81" s="46" t="s">
        <v>35</v>
      </c>
      <c r="L81" s="48">
        <v>2.2000000000000001E-3</v>
      </c>
    </row>
    <row r="82" spans="5:12" ht="16">
      <c r="E82" s="46" t="s">
        <v>71</v>
      </c>
      <c r="F82" s="56" t="s">
        <v>81</v>
      </c>
      <c r="G82" s="48">
        <v>2.07E-2</v>
      </c>
      <c r="H82" s="48">
        <f t="shared" si="3"/>
        <v>1.84E-2</v>
      </c>
      <c r="I82" s="72">
        <f t="shared" si="4"/>
        <v>-0.11111111111111116</v>
      </c>
      <c r="K82" s="46" t="s">
        <v>65</v>
      </c>
      <c r="L82" s="48">
        <v>6.4999999999999997E-3</v>
      </c>
    </row>
    <row r="83" spans="5:12" ht="16">
      <c r="E83" s="119" t="s">
        <v>148</v>
      </c>
      <c r="F83" s="119"/>
      <c r="G83"/>
      <c r="I83" s="120">
        <f>AVERAGE(I2:I82)</f>
        <v>-7.5990668711299253E-2</v>
      </c>
      <c r="K83" s="46" t="s">
        <v>77</v>
      </c>
      <c r="L83" s="48">
        <v>9.7799999999999998E-2</v>
      </c>
    </row>
    <row r="84" spans="5:12" ht="16">
      <c r="E84" s="119" t="s">
        <v>149</v>
      </c>
      <c r="F84" s="119"/>
      <c r="G84"/>
      <c r="I84" s="120">
        <f>MEDIAN(I2:I82)</f>
        <v>-0.10960960960960964</v>
      </c>
      <c r="K84" s="46" t="s">
        <v>66</v>
      </c>
      <c r="L84" s="48">
        <v>3.8600000000000002E-2</v>
      </c>
    </row>
    <row r="85" spans="5:12" ht="16">
      <c r="K85" s="46" t="s">
        <v>68</v>
      </c>
      <c r="L85" s="48" t="s">
        <v>143</v>
      </c>
    </row>
    <row r="86" spans="5:12" ht="16">
      <c r="K86" s="46" t="s">
        <v>57</v>
      </c>
      <c r="L86" s="48">
        <v>5.1000000000000004E-3</v>
      </c>
    </row>
    <row r="87" spans="5:12" ht="16">
      <c r="K87" s="46" t="s">
        <v>355</v>
      </c>
      <c r="L87" s="48">
        <v>5.7999999999999996E-3</v>
      </c>
    </row>
    <row r="88" spans="5:12" ht="16">
      <c r="K88" s="46" t="s">
        <v>69</v>
      </c>
      <c r="L88" s="48">
        <v>1.14E-2</v>
      </c>
    </row>
    <row r="89" spans="5:12" ht="16">
      <c r="K89" s="46" t="s">
        <v>70</v>
      </c>
      <c r="L89" s="48">
        <v>0.1125</v>
      </c>
    </row>
    <row r="90" spans="5:12">
      <c r="K90" t="s">
        <v>71</v>
      </c>
      <c r="L90" s="23">
        <v>1.84E-2</v>
      </c>
    </row>
    <row r="91" spans="5:12">
      <c r="K91" t="s">
        <v>191</v>
      </c>
      <c r="L91" s="23" t="s">
        <v>143</v>
      </c>
    </row>
  </sheetData>
  <pageMargins left="0.75" right="0.75" top="1" bottom="1" header="0.3" footer="0.3"/>
  <pageSetup orientation="landscape" horizontalDpi="0"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topLeftCell="A3" workbookViewId="0">
      <selection activeCell="C11" sqref="C11"/>
    </sheetView>
  </sheetViews>
  <sheetFormatPr baseColWidth="10" defaultRowHeight="14"/>
  <cols>
    <col min="1" max="1" width="24.83203125" style="31" bestFit="1" customWidth="1"/>
    <col min="2" max="2" width="19" style="31" customWidth="1"/>
    <col min="3" max="3" width="19.33203125" style="31" customWidth="1"/>
    <col min="4" max="4" width="28.1640625" style="31" customWidth="1"/>
    <col min="8" max="8" width="19.6640625" customWidth="1"/>
    <col min="9" max="9" width="12.1640625" style="47" bestFit="1" customWidth="1"/>
    <col min="10" max="10" width="10.83203125" style="25"/>
  </cols>
  <sheetData>
    <row r="1" spans="1:5" ht="34">
      <c r="A1" s="66" t="s">
        <v>75</v>
      </c>
      <c r="B1" s="67" t="s">
        <v>270</v>
      </c>
      <c r="C1" s="122" t="s">
        <v>659</v>
      </c>
      <c r="D1" s="67" t="s">
        <v>301</v>
      </c>
      <c r="E1" s="74"/>
    </row>
    <row r="2" spans="1:5" ht="16">
      <c r="A2" s="46" t="str">
        <f>'Sovereign Ratings (Moody''s,S&amp;P)'!A2</f>
        <v>Abu Dhabi</v>
      </c>
      <c r="B2" s="56" t="str">
        <f>'Sovereign Ratings (Moody''s,S&amp;P)'!C2</f>
        <v>Aa2</v>
      </c>
      <c r="C2" s="123">
        <f>VLOOKUP(A2,$H$24:$J$113,2,FALSE)</f>
        <v>7.4999999999999997E-3</v>
      </c>
      <c r="D2" s="57">
        <f t="shared" ref="D2:D65" si="0">IF(C2="NA","NA",IF(C2&gt;$C$153,C2-$C$153,0))</f>
        <v>1.7000000000000001E-3</v>
      </c>
    </row>
    <row r="3" spans="1:5" ht="16">
      <c r="A3" s="46" t="str">
        <f>'Sovereign Ratings (Moody''s,S&amp;P)'!A3</f>
        <v>Albania</v>
      </c>
      <c r="B3" s="56" t="str">
        <f>'Sovereign Ratings (Moody''s,S&amp;P)'!C3</f>
        <v>B1</v>
      </c>
      <c r="C3" s="123" t="s">
        <v>143</v>
      </c>
      <c r="D3" s="57" t="str">
        <f t="shared" si="0"/>
        <v>NA</v>
      </c>
    </row>
    <row r="4" spans="1:5" ht="16">
      <c r="A4" s="46" t="str">
        <f>'Sovereign Ratings (Moody''s,S&amp;P)'!A4</f>
        <v>Andorra (Principality of)</v>
      </c>
      <c r="B4" s="56" t="str">
        <f>'Sovereign Ratings (Moody''s,S&amp;P)'!C4</f>
        <v>Baa2</v>
      </c>
      <c r="C4" s="123" t="s">
        <v>143</v>
      </c>
      <c r="D4" s="57" t="str">
        <f t="shared" si="0"/>
        <v>NA</v>
      </c>
    </row>
    <row r="5" spans="1:5" ht="16">
      <c r="A5" s="46" t="str">
        <f>'Sovereign Ratings (Moody''s,S&amp;P)'!A5</f>
        <v>Angola</v>
      </c>
      <c r="B5" s="56" t="str">
        <f>'Sovereign Ratings (Moody''s,S&amp;P)'!C5</f>
        <v>B3</v>
      </c>
      <c r="C5" s="123">
        <f>VLOOKUP(A5,$H$24:$J$113,2,FALSE)</f>
        <v>7.8200000000000006E-2</v>
      </c>
      <c r="D5" s="57">
        <f t="shared" si="0"/>
        <v>7.2400000000000006E-2</v>
      </c>
    </row>
    <row r="6" spans="1:5" ht="16">
      <c r="A6" s="46" t="str">
        <f>'Sovereign Ratings (Moody''s,S&amp;P)'!A6</f>
        <v>Argentina</v>
      </c>
      <c r="B6" s="56" t="str">
        <f>'Sovereign Ratings (Moody''s,S&amp;P)'!C6</f>
        <v>Ca</v>
      </c>
      <c r="C6" s="123" t="s">
        <v>143</v>
      </c>
      <c r="D6" s="57" t="str">
        <f t="shared" si="0"/>
        <v>NA</v>
      </c>
    </row>
    <row r="7" spans="1:5" ht="16">
      <c r="A7" s="46" t="str">
        <f>'Sovereign Ratings (Moody''s,S&amp;P)'!A7</f>
        <v>Armenia</v>
      </c>
      <c r="B7" s="56" t="str">
        <f>'Sovereign Ratings (Moody''s,S&amp;P)'!C7</f>
        <v>Ba3</v>
      </c>
      <c r="C7" s="123" t="s">
        <v>143</v>
      </c>
      <c r="D7" s="57" t="str">
        <f t="shared" si="0"/>
        <v>NA</v>
      </c>
    </row>
    <row r="8" spans="1:5" ht="16">
      <c r="A8" s="46" t="str">
        <f>'Sovereign Ratings (Moody''s,S&amp;P)'!A8</f>
        <v>Aruba</v>
      </c>
      <c r="B8" s="56" t="str">
        <f>'Sovereign Ratings (Moody''s,S&amp;P)'!C8</f>
        <v>Baa2</v>
      </c>
      <c r="C8" s="123" t="s">
        <v>143</v>
      </c>
      <c r="D8" s="57" t="str">
        <f t="shared" si="0"/>
        <v>NA</v>
      </c>
    </row>
    <row r="9" spans="1:5" ht="16">
      <c r="A9" s="46" t="str">
        <f>'Sovereign Ratings (Moody''s,S&amp;P)'!A9</f>
        <v>Australia</v>
      </c>
      <c r="B9" s="56" t="str">
        <f>'Sovereign Ratings (Moody''s,S&amp;P)'!C9</f>
        <v>Aaa</v>
      </c>
      <c r="C9" s="123">
        <f>VLOOKUP(A9,$H$24:$J$113,2,FALSE)</f>
        <v>2.5999999999999999E-3</v>
      </c>
      <c r="D9" s="57">
        <f t="shared" si="0"/>
        <v>0</v>
      </c>
    </row>
    <row r="10" spans="1:5" ht="16">
      <c r="A10" s="46" t="str">
        <f>'Sovereign Ratings (Moody''s,S&amp;P)'!A10</f>
        <v>Austria</v>
      </c>
      <c r="B10" s="56" t="str">
        <f>'Sovereign Ratings (Moody''s,S&amp;P)'!C10</f>
        <v>Aa1</v>
      </c>
      <c r="C10" s="123">
        <f>VLOOKUP(A10,$H$24:$J$113,2,FALSE)</f>
        <v>2.7000000000000001E-3</v>
      </c>
      <c r="D10" s="57">
        <f t="shared" si="0"/>
        <v>0</v>
      </c>
    </row>
    <row r="11" spans="1:5" ht="16">
      <c r="A11" s="46" t="str">
        <f>'Sovereign Ratings (Moody''s,S&amp;P)'!A11</f>
        <v>Azerbaijan</v>
      </c>
      <c r="B11" s="56" t="str">
        <f>'Sovereign Ratings (Moody''s,S&amp;P)'!C11</f>
        <v>Ba1</v>
      </c>
      <c r="C11" s="123" t="s">
        <v>143</v>
      </c>
      <c r="D11" s="57" t="str">
        <f t="shared" si="0"/>
        <v>NA</v>
      </c>
    </row>
    <row r="12" spans="1:5" ht="16">
      <c r="A12" s="46" t="str">
        <f>'Sovereign Ratings (Moody''s,S&amp;P)'!A12</f>
        <v>Bahamas</v>
      </c>
      <c r="B12" s="56" t="str">
        <f>'Sovereign Ratings (Moody''s,S&amp;P)'!C12</f>
        <v>B1</v>
      </c>
      <c r="C12" s="123" t="s">
        <v>143</v>
      </c>
      <c r="D12" s="57" t="str">
        <f t="shared" si="0"/>
        <v>NA</v>
      </c>
    </row>
    <row r="13" spans="1:5" ht="16">
      <c r="A13" s="46" t="str">
        <f>'Sovereign Ratings (Moody''s,S&amp;P)'!A13</f>
        <v>Bahrain</v>
      </c>
      <c r="B13" s="56" t="str">
        <f>'Sovereign Ratings (Moody''s,S&amp;P)'!C13</f>
        <v>B2</v>
      </c>
      <c r="C13" s="123">
        <f>VLOOKUP(A13,$H$24:$J$113,2,FALSE)</f>
        <v>2.7400000000000001E-2</v>
      </c>
      <c r="D13" s="57">
        <f t="shared" si="0"/>
        <v>2.1600000000000001E-2</v>
      </c>
    </row>
    <row r="14" spans="1:5" ht="16">
      <c r="A14" s="46" t="str">
        <f>'Sovereign Ratings (Moody''s,S&amp;P)'!A14</f>
        <v>Bangladesh</v>
      </c>
      <c r="B14" s="56" t="str">
        <f>'Sovereign Ratings (Moody''s,S&amp;P)'!C14</f>
        <v>B1</v>
      </c>
      <c r="C14" s="123" t="s">
        <v>143</v>
      </c>
      <c r="D14" s="57" t="str">
        <f t="shared" si="0"/>
        <v>NA</v>
      </c>
    </row>
    <row r="15" spans="1:5" ht="16">
      <c r="A15" s="46" t="str">
        <f>'Sovereign Ratings (Moody''s,S&amp;P)'!A15</f>
        <v>Barbados</v>
      </c>
      <c r="B15" s="56" t="str">
        <f>'Sovereign Ratings (Moody''s,S&amp;P)'!C15</f>
        <v>B3</v>
      </c>
      <c r="C15" s="123" t="s">
        <v>143</v>
      </c>
      <c r="D15" s="57" t="str">
        <f t="shared" si="0"/>
        <v>NA</v>
      </c>
    </row>
    <row r="16" spans="1:5" ht="16">
      <c r="A16" s="46" t="str">
        <f>'Sovereign Ratings (Moody''s,S&amp;P)'!A16</f>
        <v>Belarus</v>
      </c>
      <c r="B16" s="56" t="str">
        <f>'Sovereign Ratings (Moody''s,S&amp;P)'!C16</f>
        <v>C</v>
      </c>
      <c r="C16" s="123" t="s">
        <v>143</v>
      </c>
      <c r="D16" s="57" t="str">
        <f t="shared" si="0"/>
        <v>NA</v>
      </c>
    </row>
    <row r="17" spans="1:10" ht="16">
      <c r="A17" s="46" t="str">
        <f>'Sovereign Ratings (Moody''s,S&amp;P)'!A17</f>
        <v>Belgium</v>
      </c>
      <c r="B17" s="56" t="str">
        <f>'Sovereign Ratings (Moody''s,S&amp;P)'!C17</f>
        <v>Aa3</v>
      </c>
      <c r="C17" s="123">
        <f>VLOOKUP(A17,$H$24:$J$113,2,FALSE)</f>
        <v>3.3E-3</v>
      </c>
      <c r="D17" s="57">
        <f t="shared" si="0"/>
        <v>0</v>
      </c>
    </row>
    <row r="18" spans="1:10" ht="16">
      <c r="A18" s="46" t="str">
        <f>'Sovereign Ratings (Moody''s,S&amp;P)'!A18</f>
        <v>Belize</v>
      </c>
      <c r="B18" s="56" t="str">
        <f>'Sovereign Ratings (Moody''s,S&amp;P)'!C18</f>
        <v>Caa2</v>
      </c>
      <c r="C18" s="123" t="s">
        <v>143</v>
      </c>
      <c r="D18" s="57" t="str">
        <f t="shared" si="0"/>
        <v>NA</v>
      </c>
    </row>
    <row r="19" spans="1:10" ht="16">
      <c r="A19" s="46" t="str">
        <f>'Sovereign Ratings (Moody''s,S&amp;P)'!A19</f>
        <v>Benin</v>
      </c>
      <c r="B19" s="56" t="str">
        <f>'Sovereign Ratings (Moody''s,S&amp;P)'!C19</f>
        <v>B1</v>
      </c>
      <c r="C19" s="123" t="s">
        <v>143</v>
      </c>
      <c r="D19" s="57" t="str">
        <f t="shared" si="0"/>
        <v>NA</v>
      </c>
    </row>
    <row r="20" spans="1:10" ht="16">
      <c r="A20" s="46" t="str">
        <f>'Sovereign Ratings (Moody''s,S&amp;P)'!A20</f>
        <v>Bermuda</v>
      </c>
      <c r="B20" s="56" t="str">
        <f>'Sovereign Ratings (Moody''s,S&amp;P)'!C20</f>
        <v>A2</v>
      </c>
      <c r="C20" s="123" t="s">
        <v>143</v>
      </c>
      <c r="D20" s="57" t="str">
        <f t="shared" si="0"/>
        <v>NA</v>
      </c>
    </row>
    <row r="21" spans="1:10" ht="16">
      <c r="A21" s="46" t="str">
        <f>'Sovereign Ratings (Moody''s,S&amp;P)'!A21</f>
        <v>Bolivia</v>
      </c>
      <c r="B21" s="56" t="str">
        <f>'Sovereign Ratings (Moody''s,S&amp;P)'!C21</f>
        <v>Caa1</v>
      </c>
      <c r="C21" s="123" t="s">
        <v>143</v>
      </c>
      <c r="D21" s="57" t="str">
        <f t="shared" si="0"/>
        <v>NA</v>
      </c>
    </row>
    <row r="22" spans="1:10" ht="16">
      <c r="A22" s="46" t="str">
        <f>'Sovereign Ratings (Moody''s,S&amp;P)'!A22</f>
        <v>Bosnia and Herzegovina</v>
      </c>
      <c r="B22" s="56" t="str">
        <f>'Sovereign Ratings (Moody''s,S&amp;P)'!C22</f>
        <v>B3</v>
      </c>
      <c r="C22" s="123" t="s">
        <v>143</v>
      </c>
      <c r="D22" s="57" t="str">
        <f t="shared" si="0"/>
        <v>NA</v>
      </c>
    </row>
    <row r="23" spans="1:10" ht="19" customHeight="1">
      <c r="A23" s="46" t="str">
        <f>'Sovereign Ratings (Moody''s,S&amp;P)'!A23</f>
        <v>Botswana</v>
      </c>
      <c r="B23" s="56" t="str">
        <f>'Sovereign Ratings (Moody''s,S&amp;P)'!C23</f>
        <v>A3</v>
      </c>
      <c r="C23" s="123" t="s">
        <v>143</v>
      </c>
      <c r="D23" s="57" t="str">
        <f t="shared" si="0"/>
        <v>NA</v>
      </c>
      <c r="H23" s="66" t="s">
        <v>75</v>
      </c>
      <c r="I23" s="141">
        <v>43829</v>
      </c>
      <c r="J23" s="124" t="s">
        <v>447</v>
      </c>
    </row>
    <row r="24" spans="1:10" ht="16">
      <c r="A24" s="46" t="str">
        <f>'Sovereign Ratings (Moody''s,S&amp;P)'!A24</f>
        <v>Brazil</v>
      </c>
      <c r="B24" s="56" t="str">
        <f>'Sovereign Ratings (Moody''s,S&amp;P)'!C24</f>
        <v>Ba2</v>
      </c>
      <c r="C24" s="123">
        <f>VLOOKUP(A24,$H$24:$J$113,2,FALSE)</f>
        <v>2.3900000000000001E-2</v>
      </c>
      <c r="D24" s="57">
        <f t="shared" si="0"/>
        <v>1.8100000000000002E-2</v>
      </c>
      <c r="H24" s="46" t="s">
        <v>271</v>
      </c>
      <c r="I24" s="48">
        <v>7.4999999999999997E-3</v>
      </c>
      <c r="J24" s="24">
        <f t="shared" ref="J24:J70" si="1">IF(I24&lt;$I$109,0,I24-$I$109)</f>
        <v>1.7000000000000001E-3</v>
      </c>
    </row>
    <row r="25" spans="1:10" ht="16">
      <c r="A25" s="46" t="str">
        <f>'Sovereign Ratings (Moody''s,S&amp;P)'!A25</f>
        <v>Bulgaria</v>
      </c>
      <c r="B25" s="56" t="str">
        <f>'Sovereign Ratings (Moody''s,S&amp;P)'!C25</f>
        <v>Baa1</v>
      </c>
      <c r="C25" s="123">
        <f>VLOOKUP(A25,$H$24:$J$113,2,FALSE)</f>
        <v>1.47E-2</v>
      </c>
      <c r="D25" s="57">
        <f t="shared" si="0"/>
        <v>8.8999999999999999E-3</v>
      </c>
      <c r="H25" s="46" t="s">
        <v>336</v>
      </c>
      <c r="I25" s="48">
        <v>1.7000000000000001E-2</v>
      </c>
      <c r="J25" s="24">
        <f t="shared" si="1"/>
        <v>1.1200000000000002E-2</v>
      </c>
    </row>
    <row r="26" spans="1:10" ht="16">
      <c r="A26" s="46" t="str">
        <f>'Sovereign Ratings (Moody''s,S&amp;P)'!A26</f>
        <v>Burkina Faso</v>
      </c>
      <c r="B26" s="56" t="str">
        <f>'Sovereign Ratings (Moody''s,S&amp;P)'!C26</f>
        <v>Caa1</v>
      </c>
      <c r="C26" s="123" t="s">
        <v>143</v>
      </c>
      <c r="D26" s="57" t="str">
        <f t="shared" si="0"/>
        <v>NA</v>
      </c>
      <c r="H26" s="46" t="s">
        <v>131</v>
      </c>
      <c r="I26" s="48">
        <v>7.8200000000000006E-2</v>
      </c>
      <c r="J26" s="24">
        <f t="shared" si="1"/>
        <v>7.2400000000000006E-2</v>
      </c>
    </row>
    <row r="27" spans="1:10" ht="16">
      <c r="A27" s="46" t="str">
        <f>'Sovereign Ratings (Moody''s,S&amp;P)'!A27</f>
        <v>Cambodia</v>
      </c>
      <c r="B27" s="56" t="str">
        <f>'Sovereign Ratings (Moody''s,S&amp;P)'!C27</f>
        <v>B2</v>
      </c>
      <c r="C27" s="123" t="s">
        <v>143</v>
      </c>
      <c r="D27" s="57" t="str">
        <f t="shared" si="0"/>
        <v>NA</v>
      </c>
      <c r="H27" s="174" t="s">
        <v>84</v>
      </c>
      <c r="I27" s="177">
        <v>0.46189999999999998</v>
      </c>
      <c r="J27" s="178">
        <f t="shared" si="1"/>
        <v>0.45609999999999995</v>
      </c>
    </row>
    <row r="28" spans="1:10" ht="16">
      <c r="A28" s="46" t="str">
        <f>'Sovereign Ratings (Moody''s,S&amp;P)'!A28</f>
        <v>Cameroon</v>
      </c>
      <c r="B28" s="56" t="str">
        <f>'Sovereign Ratings (Moody''s,S&amp;P)'!C28</f>
        <v>Caa1</v>
      </c>
      <c r="C28" s="123">
        <f>VLOOKUP(A28,$H$24:$J$113,2,FALSE)</f>
        <v>9.1399999999999995E-2</v>
      </c>
      <c r="D28" s="57">
        <f t="shared" si="0"/>
        <v>8.5599999999999996E-2</v>
      </c>
      <c r="H28" s="46" t="s">
        <v>85</v>
      </c>
      <c r="I28" s="48">
        <v>2.5999999999999999E-3</v>
      </c>
      <c r="J28" s="24">
        <f t="shared" si="1"/>
        <v>0</v>
      </c>
    </row>
    <row r="29" spans="1:10" ht="16">
      <c r="A29" s="46" t="str">
        <f>'Sovereign Ratings (Moody''s,S&amp;P)'!A29</f>
        <v>Canada</v>
      </c>
      <c r="B29" s="56" t="str">
        <f>'Sovereign Ratings (Moody''s,S&amp;P)'!C29</f>
        <v>Aaa</v>
      </c>
      <c r="C29" s="123">
        <f>VLOOKUP(A29,$H$24:$J$113,2,FALSE)</f>
        <v>4.4000000000000003E-3</v>
      </c>
      <c r="D29" s="57">
        <f t="shared" si="0"/>
        <v>0</v>
      </c>
      <c r="H29" s="46" t="s">
        <v>175</v>
      </c>
      <c r="I29" s="48">
        <v>2.7000000000000001E-3</v>
      </c>
      <c r="J29" s="24">
        <f t="shared" si="1"/>
        <v>0</v>
      </c>
    </row>
    <row r="30" spans="1:10" ht="16">
      <c r="A30" s="46" t="str">
        <f>'Sovereign Ratings (Moody''s,S&amp;P)'!A30</f>
        <v>Cape Verde</v>
      </c>
      <c r="B30" s="56" t="str">
        <f>'Sovereign Ratings (Moody''s,S&amp;P)'!C30</f>
        <v>B3</v>
      </c>
      <c r="C30" s="123" t="s">
        <v>143</v>
      </c>
      <c r="D30" s="57" t="str">
        <f t="shared" si="0"/>
        <v>NA</v>
      </c>
      <c r="H30" s="46" t="s">
        <v>87</v>
      </c>
      <c r="I30" s="48">
        <v>2.7400000000000001E-2</v>
      </c>
      <c r="J30" s="24">
        <f t="shared" si="1"/>
        <v>2.1600000000000001E-2</v>
      </c>
    </row>
    <row r="31" spans="1:10" ht="16">
      <c r="A31" s="46" t="str">
        <f>'Sovereign Ratings (Moody''s,S&amp;P)'!A31</f>
        <v>Cayman Islands</v>
      </c>
      <c r="B31" s="56" t="str">
        <f>'Sovereign Ratings (Moody''s,S&amp;P)'!C31</f>
        <v>Aa3</v>
      </c>
      <c r="C31" s="123" t="s">
        <v>143</v>
      </c>
      <c r="D31" s="57" t="str">
        <f t="shared" si="0"/>
        <v>NA</v>
      </c>
      <c r="H31" s="46" t="s">
        <v>176</v>
      </c>
      <c r="I31" s="48">
        <v>3.3E-3</v>
      </c>
      <c r="J31" s="24">
        <f t="shared" si="1"/>
        <v>0</v>
      </c>
    </row>
    <row r="32" spans="1:10" ht="16">
      <c r="A32" s="46" t="str">
        <f>'Sovereign Ratings (Moody''s,S&amp;P)'!A32</f>
        <v>Chile</v>
      </c>
      <c r="B32" s="56" t="str">
        <f>'Sovereign Ratings (Moody''s,S&amp;P)'!C32</f>
        <v>A2</v>
      </c>
      <c r="C32" s="123">
        <f>VLOOKUP(A32,$H$24:$J$113,2,FALSE)</f>
        <v>1.15E-2</v>
      </c>
      <c r="D32" s="57">
        <f t="shared" si="0"/>
        <v>5.7000000000000002E-3</v>
      </c>
      <c r="H32" s="46" t="s">
        <v>92</v>
      </c>
      <c r="I32" s="48">
        <v>2.3900000000000001E-2</v>
      </c>
      <c r="J32" s="24">
        <f t="shared" si="1"/>
        <v>1.8100000000000002E-2</v>
      </c>
    </row>
    <row r="33" spans="1:10" ht="16">
      <c r="A33" s="46" t="str">
        <f>'Sovereign Ratings (Moody''s,S&amp;P)'!A33</f>
        <v>China</v>
      </c>
      <c r="B33" s="56" t="str">
        <f>'Sovereign Ratings (Moody''s,S&amp;P)'!C33</f>
        <v>A1</v>
      </c>
      <c r="C33" s="123">
        <f>VLOOKUP(A33,$H$24:$J$113,2,FALSE)</f>
        <v>9.9000000000000008E-3</v>
      </c>
      <c r="D33" s="57">
        <f t="shared" si="0"/>
        <v>4.1000000000000012E-3</v>
      </c>
      <c r="H33" s="46" t="s">
        <v>94</v>
      </c>
      <c r="I33" s="48">
        <v>1.47E-2</v>
      </c>
      <c r="J33" s="24">
        <f t="shared" si="1"/>
        <v>8.8999999999999999E-3</v>
      </c>
    </row>
    <row r="34" spans="1:10" ht="16">
      <c r="A34" s="46" t="str">
        <f>'Sovereign Ratings (Moody''s,S&amp;P)'!A34</f>
        <v>Colombia</v>
      </c>
      <c r="B34" s="56" t="str">
        <f>'Sovereign Ratings (Moody''s,S&amp;P)'!C34</f>
        <v>Baa2</v>
      </c>
      <c r="C34" s="123">
        <f>VLOOKUP(A34,$H$24:$J$113,2,FALSE)</f>
        <v>2.7400000000000001E-2</v>
      </c>
      <c r="D34" s="57">
        <f t="shared" si="0"/>
        <v>2.1600000000000001E-2</v>
      </c>
      <c r="H34" s="46" t="s">
        <v>211</v>
      </c>
      <c r="I34" s="48">
        <v>9.1399999999999995E-2</v>
      </c>
      <c r="J34" s="24">
        <f t="shared" si="1"/>
        <v>8.5599999999999996E-2</v>
      </c>
    </row>
    <row r="35" spans="1:10" ht="16">
      <c r="A35" s="46" t="str">
        <f>'Sovereign Ratings (Moody''s,S&amp;P)'!A35</f>
        <v>Congo (Democratic Republic of)</v>
      </c>
      <c r="B35" s="56" t="str">
        <f>'Sovereign Ratings (Moody''s,S&amp;P)'!C35</f>
        <v>B3</v>
      </c>
      <c r="C35" s="123" t="s">
        <v>143</v>
      </c>
      <c r="D35" s="57" t="str">
        <f t="shared" si="0"/>
        <v>NA</v>
      </c>
      <c r="H35" s="46" t="s">
        <v>95</v>
      </c>
      <c r="I35" s="48">
        <v>4.4000000000000003E-3</v>
      </c>
      <c r="J35" s="24">
        <f t="shared" si="1"/>
        <v>0</v>
      </c>
    </row>
    <row r="36" spans="1:10" ht="16">
      <c r="A36" s="46" t="str">
        <f>'Sovereign Ratings (Moody''s,S&amp;P)'!A36</f>
        <v>Congo (Republic of)</v>
      </c>
      <c r="B36" s="56" t="str">
        <f>'Sovereign Ratings (Moody''s,S&amp;P)'!C36</f>
        <v>Caa2</v>
      </c>
      <c r="C36" s="123" t="s">
        <v>143</v>
      </c>
      <c r="D36" s="57" t="str">
        <f t="shared" si="0"/>
        <v>NA</v>
      </c>
      <c r="H36" s="46" t="s">
        <v>96</v>
      </c>
      <c r="I36" s="48">
        <v>1.15E-2</v>
      </c>
      <c r="J36" s="24">
        <f t="shared" si="1"/>
        <v>5.7000000000000002E-3</v>
      </c>
    </row>
    <row r="37" spans="1:10" ht="16">
      <c r="A37" s="46" t="str">
        <f>'Sovereign Ratings (Moody''s,S&amp;P)'!A37</f>
        <v>Cook Islands</v>
      </c>
      <c r="B37" s="56" t="str">
        <f>'Sovereign Ratings (Moody''s,S&amp;P)'!C37</f>
        <v>B1</v>
      </c>
      <c r="C37" s="123" t="s">
        <v>143</v>
      </c>
      <c r="D37" s="57" t="str">
        <f t="shared" si="0"/>
        <v>NA</v>
      </c>
      <c r="H37" s="46" t="s">
        <v>97</v>
      </c>
      <c r="I37" s="48">
        <v>9.9000000000000008E-3</v>
      </c>
      <c r="J37" s="24">
        <f t="shared" si="1"/>
        <v>4.1000000000000012E-3</v>
      </c>
    </row>
    <row r="38" spans="1:10" ht="16">
      <c r="A38" s="46" t="str">
        <f>'Sovereign Ratings (Moody''s,S&amp;P)'!A38</f>
        <v>Costa Rica</v>
      </c>
      <c r="B38" s="56" t="str">
        <f>'Sovereign Ratings (Moody''s,S&amp;P)'!C38</f>
        <v>B1</v>
      </c>
      <c r="C38" s="123">
        <f>VLOOKUP(A38,$H$24:$J$113,2,FALSE)</f>
        <v>3.1099999999999999E-2</v>
      </c>
      <c r="D38" s="57">
        <f t="shared" si="0"/>
        <v>2.53E-2</v>
      </c>
      <c r="H38" s="46" t="s">
        <v>50</v>
      </c>
      <c r="I38" s="48">
        <v>2.7400000000000001E-2</v>
      </c>
      <c r="J38" s="24">
        <f t="shared" si="1"/>
        <v>2.1600000000000001E-2</v>
      </c>
    </row>
    <row r="39" spans="1:10" ht="16">
      <c r="A39" s="46" t="str">
        <f>'Sovereign Ratings (Moody''s,S&amp;P)'!A39</f>
        <v>Côte d'Ivoire</v>
      </c>
      <c r="B39" s="56" t="str">
        <f>'Sovereign Ratings (Moody''s,S&amp;P)'!C39</f>
        <v>Ba3</v>
      </c>
      <c r="C39" s="123" t="s">
        <v>143</v>
      </c>
      <c r="D39" s="57" t="str">
        <f t="shared" si="0"/>
        <v>NA</v>
      </c>
      <c r="H39" s="46" t="s">
        <v>56</v>
      </c>
      <c r="I39" s="48">
        <v>3.1099999999999999E-2</v>
      </c>
      <c r="J39" s="24">
        <f t="shared" si="1"/>
        <v>2.53E-2</v>
      </c>
    </row>
    <row r="40" spans="1:10" ht="16">
      <c r="A40" s="46" t="str">
        <f>'Sovereign Ratings (Moody''s,S&amp;P)'!A40</f>
        <v>Croatia</v>
      </c>
      <c r="B40" s="56" t="str">
        <f>'Sovereign Ratings (Moody''s,S&amp;P)'!C40</f>
        <v>Baa2</v>
      </c>
      <c r="C40" s="123">
        <f>VLOOKUP(A40,$H$24:$J$113,2,FALSE)</f>
        <v>1.34E-2</v>
      </c>
      <c r="D40" s="57">
        <f t="shared" si="0"/>
        <v>7.6000000000000009E-3</v>
      </c>
      <c r="H40" s="46" t="s">
        <v>98</v>
      </c>
      <c r="I40" s="48">
        <v>1.34E-2</v>
      </c>
      <c r="J40" s="24">
        <f t="shared" si="1"/>
        <v>7.6000000000000009E-3</v>
      </c>
    </row>
    <row r="41" spans="1:10" ht="16">
      <c r="A41" s="46" t="str">
        <f>'Sovereign Ratings (Moody''s,S&amp;P)'!A41</f>
        <v>Cuba</v>
      </c>
      <c r="B41" s="56" t="str">
        <f>'Sovereign Ratings (Moody''s,S&amp;P)'!C41</f>
        <v>Ca</v>
      </c>
      <c r="C41" s="123" t="s">
        <v>143</v>
      </c>
      <c r="D41" s="57" t="str">
        <f t="shared" si="0"/>
        <v>NA</v>
      </c>
      <c r="H41" s="46" t="s">
        <v>177</v>
      </c>
      <c r="I41" s="48">
        <v>1.11E-2</v>
      </c>
      <c r="J41" s="24">
        <f t="shared" si="1"/>
        <v>5.3000000000000009E-3</v>
      </c>
    </row>
    <row r="42" spans="1:10" ht="16">
      <c r="A42" s="46" t="str">
        <f>'Sovereign Ratings (Moody''s,S&amp;P)'!A42</f>
        <v>Curacao</v>
      </c>
      <c r="B42" s="56" t="str">
        <f>'Sovereign Ratings (Moody''s,S&amp;P)'!C42</f>
        <v>Baa3</v>
      </c>
      <c r="C42" s="123" t="s">
        <v>143</v>
      </c>
      <c r="D42" s="57" t="str">
        <f t="shared" si="0"/>
        <v>NA</v>
      </c>
      <c r="H42" s="46" t="s">
        <v>101</v>
      </c>
      <c r="I42" s="48">
        <v>5.5999999999999999E-3</v>
      </c>
      <c r="J42" s="24">
        <f t="shared" si="1"/>
        <v>0</v>
      </c>
    </row>
    <row r="43" spans="1:10" ht="16">
      <c r="A43" s="46" t="str">
        <f>'Sovereign Ratings (Moody''s,S&amp;P)'!A43</f>
        <v>Cyprus</v>
      </c>
      <c r="B43" s="56" t="str">
        <f>'Sovereign Ratings (Moody''s,S&amp;P)'!C43</f>
        <v>Baa2</v>
      </c>
      <c r="C43" s="123">
        <f>VLOOKUP(A43,$H$24:$J$113,2,FALSE)</f>
        <v>1.11E-2</v>
      </c>
      <c r="D43" s="57">
        <f t="shared" si="0"/>
        <v>5.3000000000000009E-3</v>
      </c>
      <c r="H43" s="46" t="s">
        <v>102</v>
      </c>
      <c r="I43" s="48">
        <v>2.3999999999999998E-3</v>
      </c>
      <c r="J43" s="24">
        <f t="shared" si="1"/>
        <v>0</v>
      </c>
    </row>
    <row r="44" spans="1:10" ht="16">
      <c r="A44" s="46" t="str">
        <f>'Sovereign Ratings (Moody''s,S&amp;P)'!A44</f>
        <v>Czech Republic</v>
      </c>
      <c r="B44" s="56" t="str">
        <f>'Sovereign Ratings (Moody''s,S&amp;P)'!C44</f>
        <v>Aa3</v>
      </c>
      <c r="C44" s="123">
        <f>VLOOKUP(A44,$H$24:$J$113,2,FALSE)</f>
        <v>5.5999999999999999E-3</v>
      </c>
      <c r="D44" s="57">
        <f t="shared" si="0"/>
        <v>0</v>
      </c>
      <c r="H44" s="46" t="s">
        <v>446</v>
      </c>
      <c r="I44" s="48">
        <v>1.0999999999999999E-2</v>
      </c>
      <c r="J44" s="24">
        <f t="shared" si="1"/>
        <v>5.1999999999999998E-3</v>
      </c>
    </row>
    <row r="45" spans="1:10" ht="16">
      <c r="A45" s="46" t="str">
        <f>'Sovereign Ratings (Moody''s,S&amp;P)'!A45</f>
        <v>Denmark</v>
      </c>
      <c r="B45" s="56" t="str">
        <f>'Sovereign Ratings (Moody''s,S&amp;P)'!C45</f>
        <v>Aaa</v>
      </c>
      <c r="C45" s="123">
        <f>VLOOKUP(A45,$H$24:$J$113,2,FALSE)</f>
        <v>2.3999999999999998E-3</v>
      </c>
      <c r="D45" s="57">
        <f t="shared" si="0"/>
        <v>0</v>
      </c>
      <c r="H45" s="174" t="s">
        <v>104</v>
      </c>
      <c r="I45" s="177">
        <v>0.52739999999999998</v>
      </c>
      <c r="J45" s="178">
        <f t="shared" si="1"/>
        <v>0.52159999999999995</v>
      </c>
    </row>
    <row r="46" spans="1:10" ht="16">
      <c r="A46" s="46" t="str">
        <f>'Sovereign Ratings (Moody''s,S&amp;P)'!A46</f>
        <v>Dominican Republic</v>
      </c>
      <c r="B46" s="56" t="str">
        <f>'Sovereign Ratings (Moody''s,S&amp;P)'!C46</f>
        <v>Ba3</v>
      </c>
      <c r="C46" s="123" t="s">
        <v>143</v>
      </c>
      <c r="D46" s="57" t="str">
        <f t="shared" si="0"/>
        <v>NA</v>
      </c>
      <c r="H46" s="140" t="s">
        <v>105</v>
      </c>
      <c r="I46" s="48">
        <v>0.1013</v>
      </c>
      <c r="J46" s="24">
        <f t="shared" si="1"/>
        <v>9.5500000000000002E-2</v>
      </c>
    </row>
    <row r="47" spans="1:10" ht="16">
      <c r="A47" s="46" t="str">
        <f>'Sovereign Ratings (Moody''s,S&amp;P)'!A47</f>
        <v>Ecuador</v>
      </c>
      <c r="B47" s="56" t="str">
        <f>'Sovereign Ratings (Moody''s,S&amp;P)'!C47</f>
        <v>Caa3</v>
      </c>
      <c r="C47" s="123">
        <f>VLOOKUP(A47,$H$24:$J$113,2,FALSE)</f>
        <v>0.52739999999999998</v>
      </c>
      <c r="D47" s="57">
        <f t="shared" si="0"/>
        <v>0.52159999999999995</v>
      </c>
      <c r="H47" s="46" t="s">
        <v>31</v>
      </c>
      <c r="I47" s="48">
        <v>8.4000000000000005E-2</v>
      </c>
      <c r="J47" s="24">
        <f t="shared" si="1"/>
        <v>7.8200000000000006E-2</v>
      </c>
    </row>
    <row r="48" spans="1:10" ht="16">
      <c r="A48" s="46" t="str">
        <f>'Sovereign Ratings (Moody''s,S&amp;P)'!A48</f>
        <v>Egypt</v>
      </c>
      <c r="B48" s="56" t="str">
        <f>'Sovereign Ratings (Moody''s,S&amp;P)'!C48</f>
        <v>Caa1</v>
      </c>
      <c r="C48" s="123">
        <f>VLOOKUP(A48,$H$24:$J$113,2,FALSE)</f>
        <v>0.1013</v>
      </c>
      <c r="D48" s="57">
        <f t="shared" si="0"/>
        <v>9.5500000000000002E-2</v>
      </c>
      <c r="H48" s="46" t="s">
        <v>106</v>
      </c>
      <c r="I48" s="48">
        <v>6.0000000000000001E-3</v>
      </c>
      <c r="J48" s="24">
        <f t="shared" si="1"/>
        <v>2.0000000000000052E-4</v>
      </c>
    </row>
    <row r="49" spans="1:10" ht="16">
      <c r="A49" s="46" t="str">
        <f>'Sovereign Ratings (Moody''s,S&amp;P)'!A49</f>
        <v>El Salvador</v>
      </c>
      <c r="B49" s="56" t="str">
        <f>'Sovereign Ratings (Moody''s,S&amp;P)'!C49</f>
        <v>Caa3</v>
      </c>
      <c r="C49" s="123">
        <f>VLOOKUP(A49,$H$24:$J$113,2,FALSE)</f>
        <v>8.4000000000000005E-2</v>
      </c>
      <c r="D49" s="57">
        <f t="shared" si="0"/>
        <v>7.8200000000000006E-2</v>
      </c>
      <c r="H49" s="46" t="s">
        <v>283</v>
      </c>
      <c r="I49" s="48">
        <v>0.3231</v>
      </c>
      <c r="J49" s="24">
        <f t="shared" si="1"/>
        <v>0.31730000000000003</v>
      </c>
    </row>
    <row r="50" spans="1:10" ht="16">
      <c r="A50" s="46" t="str">
        <f>'Sovereign Ratings (Moody''s,S&amp;P)'!A50</f>
        <v>Estonia</v>
      </c>
      <c r="B50" s="56" t="str">
        <f>'Sovereign Ratings (Moody''s,S&amp;P)'!C50</f>
        <v>A1</v>
      </c>
      <c r="C50" s="123">
        <f>VLOOKUP(A50,$H$24:$J$113,2,FALSE)</f>
        <v>6.0000000000000001E-3</v>
      </c>
      <c r="D50" s="57">
        <f t="shared" si="0"/>
        <v>2.0000000000000052E-4</v>
      </c>
      <c r="H50" s="46" t="s">
        <v>178</v>
      </c>
      <c r="I50" s="48">
        <v>3.3999999999999998E-3</v>
      </c>
      <c r="J50" s="24">
        <f t="shared" si="1"/>
        <v>0</v>
      </c>
    </row>
    <row r="51" spans="1:10" ht="16">
      <c r="A51" s="46" t="str">
        <f>'Sovereign Ratings (Moody''s,S&amp;P)'!A51</f>
        <v>Ethiopia</v>
      </c>
      <c r="B51" s="56" t="str">
        <f>'Sovereign Ratings (Moody''s,S&amp;P)'!C51</f>
        <v>Caa2</v>
      </c>
      <c r="C51" s="123">
        <f>VLOOKUP(A51,$H$24:$J$113,2,FALSE)</f>
        <v>0.3231</v>
      </c>
      <c r="D51" s="57">
        <f t="shared" si="0"/>
        <v>0.31730000000000003</v>
      </c>
      <c r="H51" s="46" t="s">
        <v>179</v>
      </c>
      <c r="I51" s="48">
        <v>4.3E-3</v>
      </c>
      <c r="J51" s="24">
        <f t="shared" si="1"/>
        <v>0</v>
      </c>
    </row>
    <row r="52" spans="1:10" ht="16">
      <c r="A52" s="46" t="str">
        <f>'Sovereign Ratings (Moody''s,S&amp;P)'!A52</f>
        <v>Fiji</v>
      </c>
      <c r="B52" s="56" t="str">
        <f>'Sovereign Ratings (Moody''s,S&amp;P)'!C52</f>
        <v>B1</v>
      </c>
      <c r="C52" s="123" t="s">
        <v>143</v>
      </c>
      <c r="D52" s="57" t="str">
        <f t="shared" si="0"/>
        <v>NA</v>
      </c>
      <c r="H52" s="46" t="s">
        <v>219</v>
      </c>
      <c r="I52" s="48">
        <v>6.8500000000000005E-2</v>
      </c>
      <c r="J52" s="24">
        <f t="shared" si="1"/>
        <v>6.2700000000000006E-2</v>
      </c>
    </row>
    <row r="53" spans="1:10" ht="16">
      <c r="A53" s="46" t="str">
        <f>'Sovereign Ratings (Moody''s,S&amp;P)'!A53</f>
        <v>Finland</v>
      </c>
      <c r="B53" s="56" t="str">
        <f>'Sovereign Ratings (Moody''s,S&amp;P)'!C53</f>
        <v>Aa1</v>
      </c>
      <c r="C53" s="123">
        <f>VLOOKUP(A53,$H$24:$J$113,2,FALSE)</f>
        <v>3.3999999999999998E-3</v>
      </c>
      <c r="D53" s="57">
        <f t="shared" si="0"/>
        <v>0</v>
      </c>
      <c r="H53" s="46" t="s">
        <v>180</v>
      </c>
      <c r="I53" s="48">
        <v>2.8999999999999998E-3</v>
      </c>
      <c r="J53" s="24">
        <f t="shared" si="1"/>
        <v>0</v>
      </c>
    </row>
    <row r="54" spans="1:10" ht="16">
      <c r="A54" s="46" t="str">
        <f>'Sovereign Ratings (Moody''s,S&amp;P)'!A54</f>
        <v>France</v>
      </c>
      <c r="B54" s="56" t="str">
        <f>'Sovereign Ratings (Moody''s,S&amp;P)'!C54</f>
        <v>Aa2</v>
      </c>
      <c r="C54" s="123">
        <f>VLOOKUP(A54,$H$24:$J$113,2,FALSE)</f>
        <v>4.3E-3</v>
      </c>
      <c r="D54" s="57">
        <f t="shared" si="0"/>
        <v>0</v>
      </c>
      <c r="H54" s="46" t="s">
        <v>181</v>
      </c>
      <c r="I54" s="48">
        <v>1.2800000000000001E-2</v>
      </c>
      <c r="J54" s="24">
        <f t="shared" si="1"/>
        <v>7.000000000000001E-3</v>
      </c>
    </row>
    <row r="55" spans="1:10" ht="16">
      <c r="A55" s="46" t="str">
        <f>'Sovereign Ratings (Moody''s,S&amp;P)'!A55</f>
        <v>Gabon</v>
      </c>
      <c r="B55" s="56" t="str">
        <f>'Sovereign Ratings (Moody''s,S&amp;P)'!C55</f>
        <v>Caa1</v>
      </c>
      <c r="C55" s="123" t="s">
        <v>143</v>
      </c>
      <c r="D55" s="57" t="str">
        <f t="shared" si="0"/>
        <v>NA</v>
      </c>
      <c r="H55" s="46" t="s">
        <v>456</v>
      </c>
      <c r="I55" s="48">
        <v>2.6800000000000001E-2</v>
      </c>
      <c r="J55" s="24">
        <f t="shared" si="1"/>
        <v>2.1000000000000001E-2</v>
      </c>
    </row>
    <row r="56" spans="1:10" ht="16">
      <c r="A56" s="46" t="str">
        <f>'Sovereign Ratings (Moody''s,S&amp;P)'!A56</f>
        <v>Georgia</v>
      </c>
      <c r="B56" s="56" t="str">
        <f>'Sovereign Ratings (Moody''s,S&amp;P)'!C56</f>
        <v>Ba2</v>
      </c>
      <c r="C56" s="123" t="s">
        <v>143</v>
      </c>
      <c r="D56" s="57" t="str">
        <f t="shared" si="0"/>
        <v>NA</v>
      </c>
      <c r="H56" s="46" t="s">
        <v>59</v>
      </c>
      <c r="I56" s="48">
        <v>6.0000000000000001E-3</v>
      </c>
      <c r="J56" s="24">
        <f t="shared" si="1"/>
        <v>2.0000000000000052E-4</v>
      </c>
    </row>
    <row r="57" spans="1:10" ht="16">
      <c r="A57" s="46" t="str">
        <f>'Sovereign Ratings (Moody''s,S&amp;P)'!A57</f>
        <v>Germany</v>
      </c>
      <c r="B57" s="56" t="str">
        <f>'Sovereign Ratings (Moody''s,S&amp;P)'!C57</f>
        <v>Aaa</v>
      </c>
      <c r="C57" s="123">
        <f>VLOOKUP(A57,$H$24:$J$113,2,FALSE)</f>
        <v>2.8999999999999998E-3</v>
      </c>
      <c r="D57" s="57">
        <f t="shared" si="0"/>
        <v>0</v>
      </c>
      <c r="H57" s="46" t="s">
        <v>109</v>
      </c>
      <c r="I57" s="48">
        <v>1.95E-2</v>
      </c>
      <c r="J57" s="24">
        <f t="shared" si="1"/>
        <v>1.37E-2</v>
      </c>
    </row>
    <row r="58" spans="1:10" ht="16">
      <c r="A58" s="46" t="str">
        <f>'Sovereign Ratings (Moody''s,S&amp;P)'!A58</f>
        <v>Ghana</v>
      </c>
      <c r="B58" s="56" t="str">
        <f>'Sovereign Ratings (Moody''s,S&amp;P)'!C58</f>
        <v>Caa3</v>
      </c>
      <c r="C58" s="123" t="s">
        <v>143</v>
      </c>
      <c r="D58" s="57" t="str">
        <f t="shared" si="0"/>
        <v>NA</v>
      </c>
      <c r="H58" s="46" t="s">
        <v>110</v>
      </c>
      <c r="I58" s="48">
        <v>8.8000000000000005E-3</v>
      </c>
      <c r="J58" s="24">
        <f t="shared" si="1"/>
        <v>3.0000000000000009E-3</v>
      </c>
    </row>
    <row r="59" spans="1:10" ht="16">
      <c r="A59" s="46" t="str">
        <f>'Sovereign Ratings (Moody''s,S&amp;P)'!A59</f>
        <v>Greece</v>
      </c>
      <c r="B59" s="56" t="str">
        <f>'Sovereign Ratings (Moody''s,S&amp;P)'!C59</f>
        <v>Ba1</v>
      </c>
      <c r="C59" s="123">
        <f>VLOOKUP(A59,$H$24:$J$113,2,FALSE)</f>
        <v>1.2800000000000001E-2</v>
      </c>
      <c r="D59" s="57">
        <f t="shared" si="0"/>
        <v>7.000000000000001E-3</v>
      </c>
      <c r="H59" s="46" t="s">
        <v>111</v>
      </c>
      <c r="I59" s="48">
        <v>9.9000000000000008E-3</v>
      </c>
      <c r="J59" s="24">
        <f t="shared" si="1"/>
        <v>4.1000000000000012E-3</v>
      </c>
    </row>
    <row r="60" spans="1:10" ht="16">
      <c r="A60" s="46" t="str">
        <f>'Sovereign Ratings (Moody''s,S&amp;P)'!A60</f>
        <v>Guatemala</v>
      </c>
      <c r="B60" s="56" t="str">
        <f>'Sovereign Ratings (Moody''s,S&amp;P)'!C60</f>
        <v>Ba1</v>
      </c>
      <c r="C60" s="123" t="s">
        <v>143</v>
      </c>
      <c r="D60" s="57" t="str">
        <f t="shared" si="0"/>
        <v>NA</v>
      </c>
      <c r="H60" s="46" t="s">
        <v>112</v>
      </c>
      <c r="I60" s="48">
        <v>1.32E-2</v>
      </c>
      <c r="J60" s="24">
        <f t="shared" si="1"/>
        <v>7.4000000000000003E-3</v>
      </c>
    </row>
    <row r="61" spans="1:10" ht="16">
      <c r="A61" s="46" t="str">
        <f>'Sovereign Ratings (Moody''s,S&amp;P)'!A61</f>
        <v>Guernsey (States of)</v>
      </c>
      <c r="B61" s="56" t="str">
        <f>'Sovereign Ratings (Moody''s,S&amp;P)'!C61</f>
        <v>A1</v>
      </c>
      <c r="C61" s="123" t="s">
        <v>143</v>
      </c>
      <c r="D61" s="57" t="str">
        <f t="shared" si="0"/>
        <v>NA</v>
      </c>
      <c r="H61" s="46" t="s">
        <v>330</v>
      </c>
      <c r="I61" s="48">
        <v>5.1400000000000001E-2</v>
      </c>
      <c r="J61" s="24">
        <f t="shared" si="1"/>
        <v>4.5600000000000002E-2</v>
      </c>
    </row>
    <row r="62" spans="1:10" ht="16">
      <c r="A62" s="46" t="str">
        <f>'Sovereign Ratings (Moody''s,S&amp;P)'!A62</f>
        <v>Honduras</v>
      </c>
      <c r="B62" s="56" t="str">
        <f>'Sovereign Ratings (Moody''s,S&amp;P)'!C62</f>
        <v>B1</v>
      </c>
      <c r="C62" s="123" t="s">
        <v>143</v>
      </c>
      <c r="D62" s="57" t="str">
        <f t="shared" si="0"/>
        <v>NA</v>
      </c>
      <c r="H62" s="46" t="s">
        <v>182</v>
      </c>
      <c r="I62" s="48">
        <v>4.1000000000000003E-3</v>
      </c>
      <c r="J62" s="24">
        <f t="shared" si="1"/>
        <v>0</v>
      </c>
    </row>
    <row r="63" spans="1:10" ht="16">
      <c r="A63" s="46" t="str">
        <f>'Sovereign Ratings (Moody''s,S&amp;P)'!A63</f>
        <v>Hong Kong</v>
      </c>
      <c r="B63" s="56" t="str">
        <f>'Sovereign Ratings (Moody''s,S&amp;P)'!C63</f>
        <v>Aa3</v>
      </c>
      <c r="C63" s="123">
        <f t="shared" ref="C63:C69" si="2">VLOOKUP(A63,$H$24:$J$113,2,FALSE)</f>
        <v>6.0000000000000001E-3</v>
      </c>
      <c r="D63" s="57">
        <f t="shared" si="0"/>
        <v>2.0000000000000052E-4</v>
      </c>
      <c r="H63" s="46" t="s">
        <v>114</v>
      </c>
      <c r="I63" s="48">
        <v>1.5699999999999999E-2</v>
      </c>
      <c r="J63" s="24">
        <f t="shared" si="1"/>
        <v>9.8999999999999991E-3</v>
      </c>
    </row>
    <row r="64" spans="1:10" ht="16">
      <c r="A64" s="46" t="str">
        <f>'Sovereign Ratings (Moody''s,S&amp;P)'!A64</f>
        <v>Hungary</v>
      </c>
      <c r="B64" s="56" t="str">
        <f>'Sovereign Ratings (Moody''s,S&amp;P)'!C64</f>
        <v>Baa2</v>
      </c>
      <c r="C64" s="123">
        <f t="shared" si="2"/>
        <v>1.95E-2</v>
      </c>
      <c r="D64" s="57">
        <f t="shared" si="0"/>
        <v>1.37E-2</v>
      </c>
      <c r="H64" s="46" t="s">
        <v>145</v>
      </c>
      <c r="I64" s="48">
        <v>1.34E-2</v>
      </c>
      <c r="J64" s="24">
        <f t="shared" si="1"/>
        <v>7.6000000000000009E-3</v>
      </c>
    </row>
    <row r="65" spans="1:10" ht="16">
      <c r="A65" s="46" t="str">
        <f>'Sovereign Ratings (Moody''s,S&amp;P)'!A65</f>
        <v>Iceland</v>
      </c>
      <c r="B65" s="56" t="str">
        <f>'Sovereign Ratings (Moody''s,S&amp;P)'!C65</f>
        <v>A2</v>
      </c>
      <c r="C65" s="123">
        <f t="shared" si="2"/>
        <v>8.8000000000000005E-3</v>
      </c>
      <c r="D65" s="57">
        <f t="shared" si="0"/>
        <v>3.0000000000000009E-3</v>
      </c>
      <c r="H65" s="46" t="s">
        <v>116</v>
      </c>
      <c r="I65" s="48">
        <v>4.3E-3</v>
      </c>
      <c r="J65" s="24">
        <f t="shared" si="1"/>
        <v>0</v>
      </c>
    </row>
    <row r="66" spans="1:10" ht="16">
      <c r="A66" s="46" t="str">
        <f>'Sovereign Ratings (Moody''s,S&amp;P)'!A66</f>
        <v>India</v>
      </c>
      <c r="B66" s="56" t="str">
        <f>'Sovereign Ratings (Moody''s,S&amp;P)'!C66</f>
        <v>Baa3</v>
      </c>
      <c r="C66" s="123">
        <f t="shared" si="2"/>
        <v>9.9000000000000008E-3</v>
      </c>
      <c r="D66" s="57">
        <f t="shared" ref="D66:D129" si="3">IF(C66="NA","NA",IF(C66&gt;$C$153,C66-$C$153,0))</f>
        <v>4.1000000000000012E-3</v>
      </c>
      <c r="H66" s="46" t="s">
        <v>118</v>
      </c>
      <c r="I66" s="48">
        <v>1.7600000000000001E-2</v>
      </c>
      <c r="J66" s="24">
        <f t="shared" si="1"/>
        <v>1.1800000000000001E-2</v>
      </c>
    </row>
    <row r="67" spans="1:10" ht="16">
      <c r="A67" s="46" t="str">
        <f>'Sovereign Ratings (Moody''s,S&amp;P)'!A67</f>
        <v>Indonesia</v>
      </c>
      <c r="B67" s="56" t="str">
        <f>'Sovereign Ratings (Moody''s,S&amp;P)'!C67</f>
        <v>Baa2</v>
      </c>
      <c r="C67" s="123">
        <f t="shared" si="2"/>
        <v>1.32E-2</v>
      </c>
      <c r="D67" s="57">
        <f t="shared" si="3"/>
        <v>7.4000000000000003E-3</v>
      </c>
      <c r="H67" s="46" t="s">
        <v>183</v>
      </c>
      <c r="I67" s="48">
        <v>7.0400000000000004E-2</v>
      </c>
      <c r="J67" s="24">
        <f t="shared" si="1"/>
        <v>6.4600000000000005E-2</v>
      </c>
    </row>
    <row r="68" spans="1:10" ht="16">
      <c r="A68" s="46" t="str">
        <f>'Sovereign Ratings (Moody''s,S&amp;P)'!A68</f>
        <v>Iraq</v>
      </c>
      <c r="B68" s="56" t="str">
        <f>'Sovereign Ratings (Moody''s,S&amp;P)'!C68</f>
        <v>Caa1</v>
      </c>
      <c r="C68" s="123">
        <f t="shared" si="2"/>
        <v>5.1400000000000001E-2</v>
      </c>
      <c r="D68" s="57">
        <f t="shared" si="3"/>
        <v>4.5600000000000002E-2</v>
      </c>
      <c r="H68" s="46" t="s">
        <v>119</v>
      </c>
      <c r="I68" s="48">
        <v>3.7000000000000002E-3</v>
      </c>
      <c r="J68" s="24">
        <f t="shared" si="1"/>
        <v>0</v>
      </c>
    </row>
    <row r="69" spans="1:10" ht="16">
      <c r="A69" s="46" t="str">
        <f>'Sovereign Ratings (Moody''s,S&amp;P)'!A69</f>
        <v>Ireland</v>
      </c>
      <c r="B69" s="56" t="str">
        <f>'Sovereign Ratings (Moody''s,S&amp;P)'!C69</f>
        <v>Aa3</v>
      </c>
      <c r="C69" s="123">
        <f t="shared" si="2"/>
        <v>4.1000000000000003E-3</v>
      </c>
      <c r="D69" s="57">
        <f t="shared" si="3"/>
        <v>0</v>
      </c>
      <c r="H69" s="46" t="s">
        <v>120</v>
      </c>
      <c r="I69" s="48">
        <v>8.3000000000000001E-3</v>
      </c>
      <c r="J69" s="24">
        <f t="shared" si="1"/>
        <v>2.5000000000000005E-3</v>
      </c>
    </row>
    <row r="70" spans="1:10" ht="16">
      <c r="A70" s="46" t="str">
        <f>'Sovereign Ratings (Moody''s,S&amp;P)'!A70</f>
        <v>Isle of Man</v>
      </c>
      <c r="B70" s="56" t="str">
        <f>'Sovereign Ratings (Moody''s,S&amp;P)'!C70</f>
        <v>Aa3</v>
      </c>
      <c r="C70" s="123" t="s">
        <v>143</v>
      </c>
      <c r="D70" s="57" t="str">
        <f t="shared" si="3"/>
        <v>NA</v>
      </c>
      <c r="H70" s="46" t="s">
        <v>121</v>
      </c>
      <c r="I70" s="48">
        <v>9.4000000000000004E-3</v>
      </c>
      <c r="J70" s="24">
        <f t="shared" si="1"/>
        <v>3.6000000000000008E-3</v>
      </c>
    </row>
    <row r="71" spans="1:10" ht="16">
      <c r="A71" s="46" t="str">
        <f>'Sovereign Ratings (Moody''s,S&amp;P)'!A71</f>
        <v>Israel</v>
      </c>
      <c r="B71" s="56" t="str">
        <f>'Sovereign Ratings (Moody''s,S&amp;P)'!C71</f>
        <v>A1</v>
      </c>
      <c r="C71" s="123">
        <f>VLOOKUP(A71,$H$24:$J$113,2,FALSE)</f>
        <v>1.5699999999999999E-2</v>
      </c>
      <c r="D71" s="57">
        <f t="shared" si="3"/>
        <v>9.8999999999999991E-3</v>
      </c>
      <c r="H71" s="46" t="s">
        <v>122</v>
      </c>
      <c r="I71" s="48" t="s">
        <v>143</v>
      </c>
      <c r="J71" s="24" t="s">
        <v>143</v>
      </c>
    </row>
    <row r="72" spans="1:10" ht="16">
      <c r="A72" s="46" t="str">
        <f>'Sovereign Ratings (Moody''s,S&amp;P)'!A72</f>
        <v>Italy</v>
      </c>
      <c r="B72" s="56" t="str">
        <f>'Sovereign Ratings (Moody''s,S&amp;P)'!C72</f>
        <v>Baa3</v>
      </c>
      <c r="C72" s="123">
        <f>VLOOKUP(A72,$H$24:$J$113,2,FALSE)</f>
        <v>1.34E-2</v>
      </c>
      <c r="D72" s="57">
        <f t="shared" si="3"/>
        <v>7.6000000000000009E-3</v>
      </c>
      <c r="H72" s="46" t="s">
        <v>13</v>
      </c>
      <c r="I72" s="48">
        <v>8.9999999999999993E-3</v>
      </c>
      <c r="J72" s="24">
        <f t="shared" ref="J72:J83" si="4">IF(I72&lt;$I$109,0,I72-$I$109)</f>
        <v>3.1999999999999997E-3</v>
      </c>
    </row>
    <row r="73" spans="1:10" ht="16">
      <c r="A73" s="46" t="str">
        <f>'Sovereign Ratings (Moody''s,S&amp;P)'!A73</f>
        <v>Jamaica</v>
      </c>
      <c r="B73" s="56" t="str">
        <f>'Sovereign Ratings (Moody''s,S&amp;P)'!C73</f>
        <v>B1</v>
      </c>
      <c r="C73" s="123" t="s">
        <v>143</v>
      </c>
      <c r="D73" s="57" t="str">
        <f t="shared" si="3"/>
        <v>NA</v>
      </c>
      <c r="H73" s="46" t="s">
        <v>14</v>
      </c>
      <c r="I73" s="48">
        <v>8.6E-3</v>
      </c>
      <c r="J73" s="24">
        <f t="shared" si="4"/>
        <v>2.8000000000000004E-3</v>
      </c>
    </row>
    <row r="74" spans="1:10" ht="16">
      <c r="A74" s="46" t="str">
        <f>'Sovereign Ratings (Moody''s,S&amp;P)'!A74</f>
        <v>Japan</v>
      </c>
      <c r="B74" s="56" t="str">
        <f>'Sovereign Ratings (Moody''s,S&amp;P)'!C74</f>
        <v>A1</v>
      </c>
      <c r="C74" s="123">
        <f>VLOOKUP(A74,$H$24:$J$113,2,FALSE)</f>
        <v>4.3E-3</v>
      </c>
      <c r="D74" s="57">
        <f t="shared" si="3"/>
        <v>0</v>
      </c>
      <c r="H74" s="46" t="s">
        <v>16</v>
      </c>
      <c r="I74" s="48">
        <v>1.6799999999999999E-2</v>
      </c>
      <c r="J74" s="24">
        <f t="shared" si="4"/>
        <v>1.0999999999999999E-2</v>
      </c>
    </row>
    <row r="75" spans="1:10" ht="16">
      <c r="A75" s="46" t="str">
        <f>'Sovereign Ratings (Moody''s,S&amp;P)'!A75</f>
        <v>Jersey (States of)</v>
      </c>
      <c r="B75" s="56" t="str">
        <f>'Sovereign Ratings (Moody''s,S&amp;P)'!C75</f>
        <v>Aa3</v>
      </c>
      <c r="C75" s="123" t="s">
        <v>143</v>
      </c>
      <c r="D75" s="57" t="str">
        <f t="shared" si="3"/>
        <v>NA</v>
      </c>
      <c r="H75" s="46" t="s">
        <v>63</v>
      </c>
      <c r="I75" s="48">
        <v>4.02E-2</v>
      </c>
      <c r="J75" s="24">
        <f t="shared" si="4"/>
        <v>3.44E-2</v>
      </c>
    </row>
    <row r="76" spans="1:10" ht="16">
      <c r="A76" s="46" t="str">
        <f>'Sovereign Ratings (Moody''s,S&amp;P)'!A76</f>
        <v>Jordan</v>
      </c>
      <c r="B76" s="56" t="str">
        <f>'Sovereign Ratings (Moody''s,S&amp;P)'!C76</f>
        <v>B1</v>
      </c>
      <c r="C76" s="123" t="s">
        <v>143</v>
      </c>
      <c r="D76" s="57" t="str">
        <f t="shared" si="3"/>
        <v>NA</v>
      </c>
      <c r="H76" s="46" t="s">
        <v>18</v>
      </c>
      <c r="I76" s="48">
        <v>1.9E-2</v>
      </c>
      <c r="J76" s="24">
        <f t="shared" si="4"/>
        <v>1.32E-2</v>
      </c>
    </row>
    <row r="77" spans="1:10" ht="16">
      <c r="A77" s="46" t="str">
        <f>'Sovereign Ratings (Moody''s,S&amp;P)'!A77</f>
        <v>Kazakhstan</v>
      </c>
      <c r="B77" s="56" t="str">
        <f>'Sovereign Ratings (Moody''s,S&amp;P)'!C77</f>
        <v>Baa2</v>
      </c>
      <c r="C77" s="123">
        <f>VLOOKUP(A77,$H$24:$J$113,2,FALSE)</f>
        <v>1.7600000000000001E-2</v>
      </c>
      <c r="D77" s="57">
        <f t="shared" si="3"/>
        <v>1.1800000000000001E-2</v>
      </c>
      <c r="H77" s="46" t="s">
        <v>136</v>
      </c>
      <c r="I77" s="48">
        <v>2.1000000000000001E-2</v>
      </c>
      <c r="J77" s="24">
        <f t="shared" si="4"/>
        <v>1.5200000000000002E-2</v>
      </c>
    </row>
    <row r="78" spans="1:10" ht="16">
      <c r="A78" s="46" t="str">
        <f>'Sovereign Ratings (Moody''s,S&amp;P)'!A78</f>
        <v>Kenya</v>
      </c>
      <c r="B78" s="56" t="str">
        <f>'Sovereign Ratings (Moody''s,S&amp;P)'!C78</f>
        <v>B3</v>
      </c>
      <c r="C78" s="123">
        <f>VLOOKUP(A78,$H$24:$J$113,2,FALSE)</f>
        <v>7.0400000000000004E-2</v>
      </c>
      <c r="D78" s="57">
        <f t="shared" si="3"/>
        <v>6.4600000000000005E-2</v>
      </c>
      <c r="H78" s="46" t="s">
        <v>186</v>
      </c>
      <c r="I78" s="48">
        <v>2.3999999999999998E-3</v>
      </c>
      <c r="J78" s="24">
        <f t="shared" si="4"/>
        <v>0</v>
      </c>
    </row>
    <row r="79" spans="1:10" ht="16">
      <c r="A79" s="46" t="str">
        <f>'Sovereign Ratings (Moody''s,S&amp;P)'!A79</f>
        <v>Korea</v>
      </c>
      <c r="B79" s="56" t="str">
        <f>'Sovereign Ratings (Moody''s,S&amp;P)'!C79</f>
        <v>Aa2</v>
      </c>
      <c r="C79" s="123">
        <f>VLOOKUP(A79,$H$24:$J$113,2,FALSE)</f>
        <v>3.7000000000000002E-3</v>
      </c>
      <c r="D79" s="57">
        <f t="shared" si="3"/>
        <v>0</v>
      </c>
      <c r="H79" s="46" t="s">
        <v>21</v>
      </c>
      <c r="I79" s="48">
        <v>2.8999999999999998E-3</v>
      </c>
      <c r="J79" s="24">
        <f t="shared" si="4"/>
        <v>0</v>
      </c>
    </row>
    <row r="80" spans="1:10" ht="16">
      <c r="A80" s="46" t="str">
        <f>'Sovereign Ratings (Moody''s,S&amp;P)'!A80</f>
        <v>Kuwait</v>
      </c>
      <c r="B80" s="56" t="str">
        <f>'Sovereign Ratings (Moody''s,S&amp;P)'!C80</f>
        <v>A1</v>
      </c>
      <c r="C80" s="123">
        <f>VLOOKUP(A80,$H$24:$J$113,2,FALSE)</f>
        <v>8.3000000000000001E-3</v>
      </c>
      <c r="D80" s="57">
        <f t="shared" si="3"/>
        <v>2.5000000000000005E-3</v>
      </c>
      <c r="H80" s="250" t="s">
        <v>22</v>
      </c>
      <c r="I80" s="251">
        <v>4.8899999999999999E-2</v>
      </c>
      <c r="J80" s="252">
        <f t="shared" si="4"/>
        <v>4.3099999999999999E-2</v>
      </c>
    </row>
    <row r="81" spans="1:10" ht="16">
      <c r="A81" s="46" t="str">
        <f>'Sovereign Ratings (Moody''s,S&amp;P)'!A81</f>
        <v>Kyrgyzstan</v>
      </c>
      <c r="B81" s="56" t="str">
        <f>'Sovereign Ratings (Moody''s,S&amp;P)'!C81</f>
        <v>B3</v>
      </c>
      <c r="C81" s="123" t="s">
        <v>143</v>
      </c>
      <c r="D81" s="57" t="str">
        <f t="shared" si="3"/>
        <v>NA</v>
      </c>
      <c r="H81" s="46" t="s">
        <v>187</v>
      </c>
      <c r="I81" s="48">
        <v>6.4399999999999999E-2</v>
      </c>
      <c r="J81" s="24">
        <f t="shared" si="4"/>
        <v>5.8599999999999999E-2</v>
      </c>
    </row>
    <row r="82" spans="1:10" ht="16">
      <c r="A82" s="46" t="str">
        <f>'Sovereign Ratings (Moody''s,S&amp;P)'!A82</f>
        <v>Laos</v>
      </c>
      <c r="B82" s="56" t="str">
        <f>'Sovereign Ratings (Moody''s,S&amp;P)'!C82</f>
        <v>Caa3</v>
      </c>
      <c r="C82" s="123" t="s">
        <v>143</v>
      </c>
      <c r="D82" s="57" t="str">
        <f t="shared" si="3"/>
        <v>NA</v>
      </c>
      <c r="H82" s="46" t="s">
        <v>23</v>
      </c>
      <c r="I82" s="48">
        <v>2.3999999999999998E-3</v>
      </c>
      <c r="J82" s="24">
        <f t="shared" si="4"/>
        <v>0</v>
      </c>
    </row>
    <row r="83" spans="1:10" ht="16">
      <c r="A83" s="46" t="str">
        <f>'Sovereign Ratings (Moody''s,S&amp;P)'!A83</f>
        <v>Latvia</v>
      </c>
      <c r="B83" s="56" t="str">
        <f>'Sovereign Ratings (Moody''s,S&amp;P)'!C83</f>
        <v>A3</v>
      </c>
      <c r="C83" s="123">
        <f>VLOOKUP(A83,$H$24:$J$113,2,FALSE)</f>
        <v>9.4000000000000004E-3</v>
      </c>
      <c r="D83" s="57">
        <f t="shared" si="3"/>
        <v>3.6000000000000008E-3</v>
      </c>
      <c r="H83" s="46" t="s">
        <v>24</v>
      </c>
      <c r="I83" s="48">
        <v>1.9199999999999998E-2</v>
      </c>
      <c r="J83" s="24">
        <f t="shared" si="4"/>
        <v>1.3399999999999999E-2</v>
      </c>
    </row>
    <row r="84" spans="1:10" ht="16">
      <c r="A84" s="46" t="str">
        <f>'Sovereign Ratings (Moody''s,S&amp;P)'!A84</f>
        <v>Lebanon</v>
      </c>
      <c r="B84" s="56" t="str">
        <f>'Sovereign Ratings (Moody''s,S&amp;P)'!C84</f>
        <v>C</v>
      </c>
      <c r="C84" s="123" t="str">
        <f>VLOOKUP(A84,$H$24:$J$113,2,FALSE)</f>
        <v>NA</v>
      </c>
      <c r="D84" s="57" t="str">
        <f t="shared" si="3"/>
        <v>NA</v>
      </c>
      <c r="H84" s="174" t="s">
        <v>25</v>
      </c>
      <c r="I84" s="177">
        <v>0.41039999999999999</v>
      </c>
      <c r="J84" s="178" t="s">
        <v>143</v>
      </c>
    </row>
    <row r="85" spans="1:10" ht="16">
      <c r="A85" s="46" t="str">
        <f>'Sovereign Ratings (Moody''s,S&amp;P)'!A85</f>
        <v>Liechtenstein</v>
      </c>
      <c r="B85" s="56" t="str">
        <f>'Sovereign Ratings (Moody''s,S&amp;P)'!C85</f>
        <v>Aaa</v>
      </c>
      <c r="C85" s="123" t="s">
        <v>143</v>
      </c>
      <c r="D85" s="57" t="str">
        <f t="shared" si="3"/>
        <v>NA</v>
      </c>
      <c r="H85" s="46" t="s">
        <v>26</v>
      </c>
      <c r="I85" s="48">
        <v>2.3099999999999999E-2</v>
      </c>
      <c r="J85" s="24">
        <f t="shared" ref="J85:J91" si="5">IF(I85&lt;$I$109,0,I85-$I$109)</f>
        <v>1.7299999999999999E-2</v>
      </c>
    </row>
    <row r="86" spans="1:10" ht="16">
      <c r="A86" s="46" t="str">
        <f>'Sovereign Ratings (Moody''s,S&amp;P)'!A86</f>
        <v>Lithuania</v>
      </c>
      <c r="B86" s="56" t="str">
        <f>'Sovereign Ratings (Moody''s,S&amp;P)'!C86</f>
        <v>A2</v>
      </c>
      <c r="C86" s="123">
        <f>VLOOKUP(A86,$H$24:$J$113,2,FALSE)</f>
        <v>8.9999999999999993E-3</v>
      </c>
      <c r="D86" s="57">
        <f t="shared" si="3"/>
        <v>3.1999999999999997E-3</v>
      </c>
      <c r="H86" s="46" t="s">
        <v>28</v>
      </c>
      <c r="I86" s="48">
        <v>1.37E-2</v>
      </c>
      <c r="J86" s="24">
        <f t="shared" si="5"/>
        <v>7.9000000000000008E-3</v>
      </c>
    </row>
    <row r="87" spans="1:10" ht="16">
      <c r="A87" s="46" t="str">
        <f>'Sovereign Ratings (Moody''s,S&amp;P)'!A87</f>
        <v>Luxembourg</v>
      </c>
      <c r="B87" s="56" t="str">
        <f>'Sovereign Ratings (Moody''s,S&amp;P)'!C87</f>
        <v>Aaa</v>
      </c>
      <c r="C87" s="123" t="s">
        <v>143</v>
      </c>
      <c r="D87" s="57" t="str">
        <f t="shared" si="3"/>
        <v>NA</v>
      </c>
      <c r="H87" s="46" t="s">
        <v>29</v>
      </c>
      <c r="I87" s="48">
        <v>1.18E-2</v>
      </c>
      <c r="J87" s="24">
        <f t="shared" si="5"/>
        <v>6.0000000000000001E-3</v>
      </c>
    </row>
    <row r="88" spans="1:10" ht="16">
      <c r="A88" s="46" t="str">
        <f>'Sovereign Ratings (Moody''s,S&amp;P)'!A88</f>
        <v>Macao</v>
      </c>
      <c r="B88" s="56" t="str">
        <f>'Sovereign Ratings (Moody''s,S&amp;P)'!C88</f>
        <v>Aa3</v>
      </c>
      <c r="C88" s="123" t="s">
        <v>143</v>
      </c>
      <c r="D88" s="57" t="str">
        <f t="shared" si="3"/>
        <v>NA</v>
      </c>
      <c r="H88" s="46" t="s">
        <v>30</v>
      </c>
      <c r="I88" s="48">
        <v>1.06E-2</v>
      </c>
      <c r="J88" s="24">
        <f t="shared" si="5"/>
        <v>4.8000000000000004E-3</v>
      </c>
    </row>
    <row r="89" spans="1:10" ht="16">
      <c r="A89" s="46" t="str">
        <f>'Sovereign Ratings (Moody''s,S&amp;P)'!A89</f>
        <v>Macedonia</v>
      </c>
      <c r="B89" s="56" t="str">
        <f>'Sovereign Ratings (Moody''s,S&amp;P)'!C89</f>
        <v>Ba3</v>
      </c>
      <c r="C89" s="123" t="s">
        <v>143</v>
      </c>
      <c r="D89" s="57" t="str">
        <f t="shared" si="3"/>
        <v>NA</v>
      </c>
      <c r="H89" s="46" t="s">
        <v>188</v>
      </c>
      <c r="I89" s="48">
        <v>7.4999999999999997E-3</v>
      </c>
      <c r="J89" s="24">
        <f t="shared" si="5"/>
        <v>1.7000000000000001E-3</v>
      </c>
    </row>
    <row r="90" spans="1:10" ht="16">
      <c r="A90" s="46" t="str">
        <f>'Sovereign Ratings (Moody''s,S&amp;P)'!A90</f>
        <v>Malaysia</v>
      </c>
      <c r="B90" s="56" t="str">
        <f>'Sovereign Ratings (Moody''s,S&amp;P)'!C90</f>
        <v>A3</v>
      </c>
      <c r="C90" s="123">
        <f>VLOOKUP(A90,$H$24:$J$113,2,FALSE)</f>
        <v>8.6E-3</v>
      </c>
      <c r="D90" s="57">
        <f t="shared" si="3"/>
        <v>2.8000000000000004E-3</v>
      </c>
      <c r="H90" s="46" t="s">
        <v>74</v>
      </c>
      <c r="I90" s="48">
        <v>8.3000000000000001E-3</v>
      </c>
      <c r="J90" s="24">
        <f t="shared" si="5"/>
        <v>2.5000000000000005E-3</v>
      </c>
    </row>
    <row r="91" spans="1:10" ht="16">
      <c r="A91" s="46" t="str">
        <f>'Sovereign Ratings (Moody''s,S&amp;P)'!A91</f>
        <v>Maldives</v>
      </c>
      <c r="B91" s="56" t="str">
        <f>'Sovereign Ratings (Moody''s,S&amp;P)'!C91</f>
        <v>Caa1</v>
      </c>
      <c r="C91" s="123" t="s">
        <v>143</v>
      </c>
      <c r="D91" s="57" t="str">
        <f t="shared" si="3"/>
        <v>NA</v>
      </c>
      <c r="H91" s="46" t="s">
        <v>0</v>
      </c>
      <c r="I91" s="48">
        <v>2.3099999999999999E-2</v>
      </c>
      <c r="J91" s="24">
        <f t="shared" si="5"/>
        <v>1.7299999999999999E-2</v>
      </c>
    </row>
    <row r="92" spans="1:10" ht="16">
      <c r="A92" s="46" t="str">
        <f>'Sovereign Ratings (Moody''s,S&amp;P)'!A92</f>
        <v>Mali</v>
      </c>
      <c r="B92" s="56" t="str">
        <f>'Sovereign Ratings (Moody''s,S&amp;P)'!C92</f>
        <v>Caa2</v>
      </c>
      <c r="C92" s="123" t="s">
        <v>143</v>
      </c>
      <c r="D92" s="57" t="str">
        <f t="shared" si="3"/>
        <v>NA</v>
      </c>
      <c r="H92" s="46" t="s">
        <v>1</v>
      </c>
      <c r="I92" s="48" t="s">
        <v>143</v>
      </c>
      <c r="J92" s="24" t="s">
        <v>143</v>
      </c>
    </row>
    <row r="93" spans="1:10" ht="16">
      <c r="A93" s="46" t="str">
        <f>'Sovereign Ratings (Moody''s,S&amp;P)'!A93</f>
        <v>Malta</v>
      </c>
      <c r="B93" s="56" t="str">
        <f>'Sovereign Ratings (Moody''s,S&amp;P)'!C93</f>
        <v>A2</v>
      </c>
      <c r="C93" s="123" t="s">
        <v>143</v>
      </c>
      <c r="D93" s="57" t="str">
        <f t="shared" si="3"/>
        <v>NA</v>
      </c>
      <c r="H93" s="46" t="s">
        <v>226</v>
      </c>
      <c r="I93" s="48">
        <v>5.5300000000000002E-2</v>
      </c>
      <c r="J93" s="24">
        <f t="shared" ref="J93:J100" si="6">IF(I93&lt;$I$109,0,I93-$I$109)</f>
        <v>4.9500000000000002E-2</v>
      </c>
    </row>
    <row r="94" spans="1:10" ht="16">
      <c r="A94" s="46" t="str">
        <f>'Sovereign Ratings (Moody''s,S&amp;P)'!A94</f>
        <v>Mauritius</v>
      </c>
      <c r="B94" s="56" t="str">
        <f>'Sovereign Ratings (Moody''s,S&amp;P)'!C94</f>
        <v>Baa3</v>
      </c>
      <c r="C94" s="123" t="s">
        <v>143</v>
      </c>
      <c r="D94" s="57" t="str">
        <f t="shared" si="3"/>
        <v>NA</v>
      </c>
      <c r="H94" s="46" t="s">
        <v>2</v>
      </c>
      <c r="I94" s="48">
        <v>8.5000000000000006E-3</v>
      </c>
      <c r="J94" s="24">
        <f t="shared" si="6"/>
        <v>2.700000000000001E-3</v>
      </c>
    </row>
    <row r="95" spans="1:10" ht="16">
      <c r="A95" s="46" t="str">
        <f>'Sovereign Ratings (Moody''s,S&amp;P)'!A95</f>
        <v>Mexico</v>
      </c>
      <c r="B95" s="56" t="str">
        <f>'Sovereign Ratings (Moody''s,S&amp;P)'!C95</f>
        <v>Baa2</v>
      </c>
      <c r="C95" s="123">
        <f>VLOOKUP(A95,$H$24:$J$113,2,FALSE)</f>
        <v>1.6799999999999999E-2</v>
      </c>
      <c r="D95" s="57">
        <f t="shared" si="3"/>
        <v>1.0999999999999999E-2</v>
      </c>
      <c r="H95" s="46" t="s">
        <v>135</v>
      </c>
      <c r="I95" s="48">
        <v>6.8900000000000003E-2</v>
      </c>
      <c r="J95" s="24">
        <f t="shared" si="6"/>
        <v>6.3100000000000003E-2</v>
      </c>
    </row>
    <row r="96" spans="1:10" ht="16">
      <c r="A96" s="46" t="str">
        <f>'Sovereign Ratings (Moody''s,S&amp;P)'!A96</f>
        <v>Moldova</v>
      </c>
      <c r="B96" s="56" t="str">
        <f>'Sovereign Ratings (Moody''s,S&amp;P)'!C96</f>
        <v>B3</v>
      </c>
      <c r="C96" s="123" t="s">
        <v>143</v>
      </c>
      <c r="D96" s="57" t="str">
        <f t="shared" si="3"/>
        <v>NA</v>
      </c>
      <c r="H96" s="46" t="s">
        <v>147</v>
      </c>
      <c r="I96" s="48">
        <v>2.86E-2</v>
      </c>
      <c r="J96" s="24">
        <f t="shared" si="6"/>
        <v>2.2800000000000001E-2</v>
      </c>
    </row>
    <row r="97" spans="1:10" ht="16">
      <c r="A97" s="46" t="str">
        <f>'Sovereign Ratings (Moody''s,S&amp;P)'!A97</f>
        <v>Mongolia</v>
      </c>
      <c r="B97" s="56" t="str">
        <f>'Sovereign Ratings (Moody''s,S&amp;P)'!C97</f>
        <v>B3</v>
      </c>
      <c r="C97" s="123" t="s">
        <v>143</v>
      </c>
      <c r="D97" s="57" t="str">
        <f t="shared" si="3"/>
        <v>NA</v>
      </c>
      <c r="H97" s="46" t="s">
        <v>61</v>
      </c>
      <c r="I97" s="48">
        <v>6.0000000000000001E-3</v>
      </c>
      <c r="J97" s="24">
        <f t="shared" si="6"/>
        <v>2.0000000000000052E-4</v>
      </c>
    </row>
    <row r="98" spans="1:10" ht="16">
      <c r="A98" s="46" t="str">
        <f>'Sovereign Ratings (Moody''s,S&amp;P)'!A98</f>
        <v>Montenegro</v>
      </c>
      <c r="B98" s="56" t="str">
        <f>'Sovereign Ratings (Moody''s,S&amp;P)'!C98</f>
        <v>B1</v>
      </c>
      <c r="C98" s="123" t="s">
        <v>143</v>
      </c>
      <c r="D98" s="57" t="str">
        <f t="shared" si="3"/>
        <v>NA</v>
      </c>
      <c r="H98" s="46" t="s">
        <v>189</v>
      </c>
      <c r="I98" s="48">
        <v>7.6E-3</v>
      </c>
      <c r="J98" s="24">
        <f t="shared" si="6"/>
        <v>1.8000000000000004E-3</v>
      </c>
    </row>
    <row r="99" spans="1:10" ht="16">
      <c r="A99" s="46" t="str">
        <f>'Sovereign Ratings (Moody''s,S&amp;P)'!A99</f>
        <v>Montserrat</v>
      </c>
      <c r="B99" s="56" t="str">
        <f>'Sovereign Ratings (Moody''s,S&amp;P)'!C99</f>
        <v>Baa3</v>
      </c>
      <c r="C99" s="123" t="s">
        <v>143</v>
      </c>
      <c r="D99" s="57" t="str">
        <f t="shared" si="3"/>
        <v>NA</v>
      </c>
      <c r="H99" s="46" t="s">
        <v>76</v>
      </c>
      <c r="I99" s="48">
        <v>3.1600000000000003E-2</v>
      </c>
      <c r="J99" s="24">
        <f t="shared" si="6"/>
        <v>2.5800000000000003E-2</v>
      </c>
    </row>
    <row r="100" spans="1:10" ht="16">
      <c r="A100" s="46" t="str">
        <f>'Sovereign Ratings (Moody''s,S&amp;P)'!A100</f>
        <v>Morocco</v>
      </c>
      <c r="B100" s="56" t="str">
        <f>'Sovereign Ratings (Moody''s,S&amp;P)'!C100</f>
        <v>Ba1</v>
      </c>
      <c r="C100" s="123">
        <f>VLOOKUP(A100,$H$24:$J$113,2,FALSE)</f>
        <v>1.9E-2</v>
      </c>
      <c r="D100" s="57">
        <f t="shared" si="3"/>
        <v>1.32E-2</v>
      </c>
      <c r="H100" s="46" t="s">
        <v>138</v>
      </c>
      <c r="I100" s="48">
        <v>7.7999999999999996E-3</v>
      </c>
      <c r="J100" s="24">
        <f t="shared" si="6"/>
        <v>2E-3</v>
      </c>
    </row>
    <row r="101" spans="1:10" ht="16">
      <c r="A101" s="46" t="str">
        <f>'Sovereign Ratings (Moody''s,S&amp;P)'!A101</f>
        <v>Mozambique</v>
      </c>
      <c r="B101" s="56" t="str">
        <f>'Sovereign Ratings (Moody''s,S&amp;P)'!C101</f>
        <v>Caa2</v>
      </c>
      <c r="C101" s="123" t="s">
        <v>143</v>
      </c>
      <c r="D101" s="57" t="str">
        <f t="shared" si="3"/>
        <v>NA</v>
      </c>
      <c r="H101" s="46" t="s">
        <v>134</v>
      </c>
      <c r="I101" s="48">
        <v>0.59360000000000002</v>
      </c>
      <c r="J101" s="24" t="s">
        <v>143</v>
      </c>
    </row>
    <row r="102" spans="1:10" ht="16">
      <c r="A102" s="46" t="str">
        <f>'Sovereign Ratings (Moody''s,S&amp;P)'!A102</f>
        <v>Namibia</v>
      </c>
      <c r="B102" s="56" t="str">
        <f>'Sovereign Ratings (Moody''s,S&amp;P)'!C102</f>
        <v>B1</v>
      </c>
      <c r="C102" s="123" t="s">
        <v>143</v>
      </c>
      <c r="D102" s="57" t="str">
        <f t="shared" si="3"/>
        <v>NA</v>
      </c>
      <c r="H102" s="46" t="s">
        <v>34</v>
      </c>
      <c r="I102" s="48">
        <v>2.8E-3</v>
      </c>
      <c r="J102" s="24">
        <f>IF(I102&lt;$I$109,0,I102-$I$109)</f>
        <v>0</v>
      </c>
    </row>
    <row r="103" spans="1:10" ht="16">
      <c r="A103" s="46" t="str">
        <f>'Sovereign Ratings (Moody''s,S&amp;P)'!A103</f>
        <v>Netherlands</v>
      </c>
      <c r="B103" s="56" t="str">
        <f>'Sovereign Ratings (Moody''s,S&amp;P)'!C103</f>
        <v>Aaa</v>
      </c>
      <c r="C103" s="123">
        <f>VLOOKUP(A103,$H$24:$J$113,2,FALSE)</f>
        <v>2.3999999999999998E-3</v>
      </c>
      <c r="D103" s="57">
        <f t="shared" si="3"/>
        <v>0</v>
      </c>
      <c r="H103" s="46" t="s">
        <v>35</v>
      </c>
      <c r="I103" s="48">
        <v>2.2000000000000001E-3</v>
      </c>
      <c r="J103" s="24">
        <f>IF(I103&lt;$I$109,0,I103-$I$109)</f>
        <v>0</v>
      </c>
    </row>
    <row r="104" spans="1:10" ht="16">
      <c r="A104" s="46" t="str">
        <f>'Sovereign Ratings (Moody''s,S&amp;P)'!A104</f>
        <v>New Zealand</v>
      </c>
      <c r="B104" s="56" t="str">
        <f>'Sovereign Ratings (Moody''s,S&amp;P)'!C104</f>
        <v>Aaa</v>
      </c>
      <c r="C104" s="123">
        <f>VLOOKUP(A104,$H$24:$J$113,2,FALSE)</f>
        <v>2.8999999999999998E-3</v>
      </c>
      <c r="D104" s="57">
        <f t="shared" si="3"/>
        <v>0</v>
      </c>
      <c r="H104" s="46" t="s">
        <v>65</v>
      </c>
      <c r="I104" s="48">
        <v>6.4999999999999997E-3</v>
      </c>
      <c r="J104" s="24">
        <f>IF(I104&lt;$I$109,0,I104-$I$109)</f>
        <v>7.000000000000001E-4</v>
      </c>
    </row>
    <row r="105" spans="1:10" ht="16">
      <c r="A105" s="46" t="str">
        <f>'Sovereign Ratings (Moody''s,S&amp;P)'!A105</f>
        <v>Nicaragua</v>
      </c>
      <c r="B105" s="56" t="str">
        <f>'Sovereign Ratings (Moody''s,S&amp;P)'!C105</f>
        <v>B3</v>
      </c>
      <c r="C105" s="123">
        <f>VLOOKUP(A105,$H$24:$J$113,2,FALSE)</f>
        <v>4.8899999999999999E-2</v>
      </c>
      <c r="D105" s="57">
        <f t="shared" si="3"/>
        <v>4.3099999999999999E-2</v>
      </c>
      <c r="H105" s="46" t="s">
        <v>77</v>
      </c>
      <c r="I105" s="48">
        <v>9.7799999999999998E-2</v>
      </c>
      <c r="J105" s="24">
        <f>IF(I105&lt;$I$109,0,I105-$I$109)</f>
        <v>9.1999999999999998E-2</v>
      </c>
    </row>
    <row r="106" spans="1:10" ht="16">
      <c r="A106" s="46" t="s">
        <v>320</v>
      </c>
      <c r="B106" s="56" t="str">
        <f>'Sovereign Ratings (Moody''s,S&amp;P)'!C106</f>
        <v>Caa2</v>
      </c>
      <c r="C106" s="123" t="s">
        <v>143</v>
      </c>
      <c r="D106" s="57" t="str">
        <f t="shared" si="3"/>
        <v>NA</v>
      </c>
      <c r="H106" s="46" t="s">
        <v>66</v>
      </c>
      <c r="I106" s="48">
        <v>3.8600000000000002E-2</v>
      </c>
      <c r="J106" s="24">
        <f>IF(I106&lt;$I$109,0,I106-$I$109)</f>
        <v>3.2800000000000003E-2</v>
      </c>
    </row>
    <row r="107" spans="1:10" ht="16">
      <c r="A107" s="46" t="str">
        <f>'Sovereign Ratings (Moody''s,S&amp;P)'!A107</f>
        <v>Nigeria</v>
      </c>
      <c r="B107" s="56" t="str">
        <f>'Sovereign Ratings (Moody''s,S&amp;P)'!C107</f>
        <v>Caa1</v>
      </c>
      <c r="C107" s="123">
        <f>VLOOKUP(A107,$H$24:$J$113,2,FALSE)</f>
        <v>6.4399999999999999E-2</v>
      </c>
      <c r="D107" s="57">
        <f t="shared" si="3"/>
        <v>5.8599999999999999E-2</v>
      </c>
      <c r="H107" s="46" t="s">
        <v>68</v>
      </c>
      <c r="I107" s="48" t="s">
        <v>143</v>
      </c>
      <c r="J107" s="24" t="s">
        <v>143</v>
      </c>
    </row>
    <row r="108" spans="1:10" ht="16">
      <c r="A108" s="46" t="str">
        <f>'Sovereign Ratings (Moody''s,S&amp;P)'!A108</f>
        <v>Norway</v>
      </c>
      <c r="B108" s="56" t="str">
        <f>'Sovereign Ratings (Moody''s,S&amp;P)'!C108</f>
        <v>Aaa</v>
      </c>
      <c r="C108" s="123">
        <f>VLOOKUP(A108,$H$24:$J$113,2,FALSE)</f>
        <v>2.3999999999999998E-3</v>
      </c>
      <c r="D108" s="57">
        <f t="shared" si="3"/>
        <v>0</v>
      </c>
      <c r="H108" s="46" t="s">
        <v>57</v>
      </c>
      <c r="I108" s="48">
        <v>5.1000000000000004E-3</v>
      </c>
      <c r="J108" s="24">
        <f>IF(I108&lt;$I$109,0,I108-$I$109)</f>
        <v>0</v>
      </c>
    </row>
    <row r="109" spans="1:10" ht="16">
      <c r="A109" s="46" t="str">
        <f>'Sovereign Ratings (Moody''s,S&amp;P)'!A109</f>
        <v>Oman</v>
      </c>
      <c r="B109" s="56" t="str">
        <f>'Sovereign Ratings (Moody''s,S&amp;P)'!C109</f>
        <v>Ba1</v>
      </c>
      <c r="C109" s="123">
        <f>VLOOKUP(A109,$H$24:$J$113,2,FALSE)</f>
        <v>1.9199999999999998E-2</v>
      </c>
      <c r="D109" s="57">
        <f t="shared" si="3"/>
        <v>1.3399999999999999E-2</v>
      </c>
      <c r="H109" s="46" t="s">
        <v>355</v>
      </c>
      <c r="I109" s="48">
        <v>5.7999999999999996E-3</v>
      </c>
      <c r="J109" s="24">
        <f>IF(I109&lt;$I$109,0,I109-$I$109)</f>
        <v>0</v>
      </c>
    </row>
    <row r="110" spans="1:10" ht="16">
      <c r="A110" s="46" t="str">
        <f>'Sovereign Ratings (Moody''s,S&amp;P)'!A110</f>
        <v>Pakistan</v>
      </c>
      <c r="B110" s="56" t="str">
        <f>'Sovereign Ratings (Moody''s,S&amp;P)'!C110</f>
        <v>Caa3</v>
      </c>
      <c r="C110" s="123">
        <f>VLOOKUP(A110,$H$24:$J$113,2,FALSE)</f>
        <v>0.41039999999999999</v>
      </c>
      <c r="D110" s="57">
        <f t="shared" si="3"/>
        <v>0.40459999999999996</v>
      </c>
      <c r="H110" s="46" t="s">
        <v>69</v>
      </c>
      <c r="I110" s="48">
        <v>1.14E-2</v>
      </c>
      <c r="J110" s="24">
        <f>IF(I110&lt;$I$109,0,I110-$I$109)</f>
        <v>5.6000000000000008E-3</v>
      </c>
    </row>
    <row r="111" spans="1:10" ht="16">
      <c r="A111" s="46" t="str">
        <f>'Sovereign Ratings (Moody''s,S&amp;P)'!A111</f>
        <v>Panama</v>
      </c>
      <c r="B111" s="56" t="str">
        <f>'Sovereign Ratings (Moody''s,S&amp;P)'!C111</f>
        <v>Baa2</v>
      </c>
      <c r="C111" s="123">
        <f>VLOOKUP(A111,$H$24:$J$113,2,FALSE)</f>
        <v>2.3099999999999999E-2</v>
      </c>
      <c r="D111" s="57">
        <f t="shared" si="3"/>
        <v>1.7299999999999999E-2</v>
      </c>
      <c r="H111" s="46" t="s">
        <v>70</v>
      </c>
      <c r="I111" s="48">
        <v>0.1125</v>
      </c>
      <c r="J111" s="24">
        <f>IF(I111&lt;$I$109,0,I111-$I$109)</f>
        <v>0.1067</v>
      </c>
    </row>
    <row r="112" spans="1:10" ht="16">
      <c r="A112" s="46" t="str">
        <f>'Sovereign Ratings (Moody''s,S&amp;P)'!A112</f>
        <v>Papua New Guinea</v>
      </c>
      <c r="B112" s="56" t="str">
        <f>'Sovereign Ratings (Moody''s,S&amp;P)'!C112</f>
        <v>B2</v>
      </c>
      <c r="C112" s="123" t="s">
        <v>143</v>
      </c>
      <c r="D112" s="57" t="str">
        <f t="shared" si="3"/>
        <v>NA</v>
      </c>
      <c r="H112" s="46" t="s">
        <v>71</v>
      </c>
      <c r="I112" s="48">
        <v>1.84E-2</v>
      </c>
      <c r="J112" s="24">
        <f>IF(I112&lt;$I$109,0,I112-$I$109)</f>
        <v>1.26E-2</v>
      </c>
    </row>
    <row r="113" spans="1:10" ht="16">
      <c r="A113" s="46" t="str">
        <f>'Sovereign Ratings (Moody''s,S&amp;P)'!A113</f>
        <v>Paraguay</v>
      </c>
      <c r="B113" s="56" t="str">
        <f>'Sovereign Ratings (Moody''s,S&amp;P)'!C113</f>
        <v>Ba1</v>
      </c>
      <c r="C113" s="123" t="s">
        <v>143</v>
      </c>
      <c r="D113" s="57" t="str">
        <f t="shared" si="3"/>
        <v>NA</v>
      </c>
      <c r="H113" s="46" t="s">
        <v>191</v>
      </c>
      <c r="I113" s="48" t="s">
        <v>143</v>
      </c>
      <c r="J113" s="24" t="s">
        <v>143</v>
      </c>
    </row>
    <row r="114" spans="1:10" ht="16">
      <c r="A114" s="46" t="str">
        <f>'Sovereign Ratings (Moody''s,S&amp;P)'!A114</f>
        <v>Peru</v>
      </c>
      <c r="B114" s="56" t="str">
        <f>'Sovereign Ratings (Moody''s,S&amp;P)'!C114</f>
        <v>Baa1</v>
      </c>
      <c r="C114" s="123">
        <f>VLOOKUP(A114,$H$24:$J$113,2,FALSE)</f>
        <v>1.37E-2</v>
      </c>
      <c r="D114" s="57">
        <f t="shared" si="3"/>
        <v>7.9000000000000008E-3</v>
      </c>
    </row>
    <row r="115" spans="1:10" ht="16">
      <c r="A115" s="46" t="str">
        <f>'Sovereign Ratings (Moody''s,S&amp;P)'!A115</f>
        <v>Philippines</v>
      </c>
      <c r="B115" s="56" t="str">
        <f>'Sovereign Ratings (Moody''s,S&amp;P)'!C115</f>
        <v>Baa2</v>
      </c>
      <c r="C115" s="123">
        <f>VLOOKUP(A115,$H$24:$J$113,2,FALSE)</f>
        <v>1.18E-2</v>
      </c>
      <c r="D115" s="57">
        <f t="shared" si="3"/>
        <v>6.0000000000000001E-3</v>
      </c>
    </row>
    <row r="116" spans="1:10" ht="16">
      <c r="A116" s="46" t="str">
        <f>'Sovereign Ratings (Moody''s,S&amp;P)'!A116</f>
        <v>Poland</v>
      </c>
      <c r="B116" s="56" t="str">
        <f>'Sovereign Ratings (Moody''s,S&amp;P)'!C116</f>
        <v>A2</v>
      </c>
      <c r="C116" s="123">
        <f>VLOOKUP(A116,$H$24:$J$113,2,FALSE)</f>
        <v>1.06E-2</v>
      </c>
      <c r="D116" s="57">
        <f t="shared" si="3"/>
        <v>4.8000000000000004E-3</v>
      </c>
    </row>
    <row r="117" spans="1:10" ht="16">
      <c r="A117" s="46" t="str">
        <f>'Sovereign Ratings (Moody''s,S&amp;P)'!A117</f>
        <v>Portugal</v>
      </c>
      <c r="B117" s="56" t="str">
        <f>'Sovereign Ratings (Moody''s,S&amp;P)'!C117</f>
        <v>A3</v>
      </c>
      <c r="C117" s="123">
        <f>VLOOKUP(A117,$H$24:$J$113,2,FALSE)</f>
        <v>7.4999999999999997E-3</v>
      </c>
      <c r="D117" s="57">
        <f t="shared" si="3"/>
        <v>1.7000000000000001E-3</v>
      </c>
    </row>
    <row r="118" spans="1:10" ht="16">
      <c r="A118" s="46" t="str">
        <f>'Sovereign Ratings (Moody''s,S&amp;P)'!A118</f>
        <v>Qatar</v>
      </c>
      <c r="B118" s="56" t="str">
        <f>'Sovereign Ratings (Moody''s,S&amp;P)'!C118</f>
        <v>Aa3</v>
      </c>
      <c r="C118" s="123">
        <f>VLOOKUP(A118,$H$24:$J$113,2,FALSE)</f>
        <v>8.3000000000000001E-3</v>
      </c>
      <c r="D118" s="57">
        <f t="shared" si="3"/>
        <v>2.5000000000000005E-3</v>
      </c>
    </row>
    <row r="119" spans="1:10" ht="16">
      <c r="A119" s="46" t="str">
        <f>'Sovereign Ratings (Moody''s,S&amp;P)'!A119</f>
        <v>Ras Al Khaimah (Emirate of)</v>
      </c>
      <c r="B119" s="56" t="str">
        <f>'Sovereign Ratings (Moody''s,S&amp;P)'!C119</f>
        <v>A3</v>
      </c>
      <c r="C119" s="123" t="s">
        <v>143</v>
      </c>
      <c r="D119" s="57" t="str">
        <f t="shared" si="3"/>
        <v>NA</v>
      </c>
    </row>
    <row r="120" spans="1:10" ht="16">
      <c r="A120" s="46" t="str">
        <f>'Sovereign Ratings (Moody''s,S&amp;P)'!A120</f>
        <v>Romania</v>
      </c>
      <c r="B120" s="56" t="str">
        <f>'Sovereign Ratings (Moody''s,S&amp;P)'!C120</f>
        <v>Baa3</v>
      </c>
      <c r="C120" s="123">
        <f t="shared" ref="C120:C125" si="7">VLOOKUP(A120,$H$24:$J$113,2,FALSE)</f>
        <v>2.3099999999999999E-2</v>
      </c>
      <c r="D120" s="57">
        <f t="shared" si="3"/>
        <v>1.7299999999999999E-2</v>
      </c>
    </row>
    <row r="121" spans="1:10" ht="16">
      <c r="A121" s="46" t="str">
        <f>'Sovereign Ratings (Moody''s,S&amp;P)'!A121</f>
        <v>Russia</v>
      </c>
      <c r="B121" s="56" t="str">
        <f>'Sovereign Ratings (Moody''s,S&amp;P)'!C121</f>
        <v>NA</v>
      </c>
      <c r="C121" s="123" t="str">
        <f t="shared" si="7"/>
        <v>NA</v>
      </c>
      <c r="D121" s="57" t="str">
        <f t="shared" si="3"/>
        <v>NA</v>
      </c>
    </row>
    <row r="122" spans="1:10" ht="16">
      <c r="A122" s="46" t="str">
        <f>'Sovereign Ratings (Moody''s,S&amp;P)'!A122</f>
        <v>Rwanda</v>
      </c>
      <c r="B122" s="56" t="str">
        <f>'Sovereign Ratings (Moody''s,S&amp;P)'!C122</f>
        <v>B2</v>
      </c>
      <c r="C122" s="123">
        <f t="shared" si="7"/>
        <v>5.5300000000000002E-2</v>
      </c>
      <c r="D122" s="57">
        <f t="shared" si="3"/>
        <v>4.9500000000000002E-2</v>
      </c>
    </row>
    <row r="123" spans="1:10" ht="16">
      <c r="A123" s="46" t="str">
        <f>'Sovereign Ratings (Moody''s,S&amp;P)'!A123</f>
        <v>Saudi Arabia</v>
      </c>
      <c r="B123" s="56" t="str">
        <f>'Sovereign Ratings (Moody''s,S&amp;P)'!C123</f>
        <v>A1</v>
      </c>
      <c r="C123" s="123">
        <f t="shared" si="7"/>
        <v>8.5000000000000006E-3</v>
      </c>
      <c r="D123" s="57">
        <f t="shared" si="3"/>
        <v>2.700000000000001E-3</v>
      </c>
    </row>
    <row r="124" spans="1:10" ht="16">
      <c r="A124" s="46" t="str">
        <f>'Sovereign Ratings (Moody''s,S&amp;P)'!A124</f>
        <v>Senegal</v>
      </c>
      <c r="B124" s="56" t="str">
        <f>'Sovereign Ratings (Moody''s,S&amp;P)'!C124</f>
        <v>Ba3</v>
      </c>
      <c r="C124" s="123">
        <f t="shared" si="7"/>
        <v>6.8900000000000003E-2</v>
      </c>
      <c r="D124" s="57">
        <f t="shared" si="3"/>
        <v>6.3100000000000003E-2</v>
      </c>
    </row>
    <row r="125" spans="1:10" ht="16">
      <c r="A125" s="46" t="str">
        <f>'Sovereign Ratings (Moody''s,S&amp;P)'!A125</f>
        <v>Serbia</v>
      </c>
      <c r="B125" s="56" t="str">
        <f>'Sovereign Ratings (Moody''s,S&amp;P)'!C125</f>
        <v>Ba2</v>
      </c>
      <c r="C125" s="123">
        <f t="shared" si="7"/>
        <v>2.86E-2</v>
      </c>
      <c r="D125" s="57">
        <f t="shared" si="3"/>
        <v>2.2800000000000001E-2</v>
      </c>
    </row>
    <row r="126" spans="1:10" ht="16">
      <c r="A126" s="46" t="str">
        <f>'Sovereign Ratings (Moody''s,S&amp;P)'!A126</f>
        <v>Sharjah</v>
      </c>
      <c r="B126" s="56" t="str">
        <f>'Sovereign Ratings (Moody''s,S&amp;P)'!C126</f>
        <v>Ba1</v>
      </c>
      <c r="C126" s="123" t="s">
        <v>143</v>
      </c>
      <c r="D126" s="57" t="str">
        <f t="shared" si="3"/>
        <v>NA</v>
      </c>
    </row>
    <row r="127" spans="1:10" ht="16">
      <c r="A127" s="46" t="str">
        <f>'Sovereign Ratings (Moody''s,S&amp;P)'!A127</f>
        <v>Singapore</v>
      </c>
      <c r="B127" s="56" t="str">
        <f>'Sovereign Ratings (Moody''s,S&amp;P)'!C127</f>
        <v>Aaa</v>
      </c>
      <c r="C127" s="123" t="s">
        <v>143</v>
      </c>
      <c r="D127" s="57" t="str">
        <f t="shared" si="3"/>
        <v>NA</v>
      </c>
    </row>
    <row r="128" spans="1:10" ht="16">
      <c r="A128" s="46" t="str">
        <f>'Sovereign Ratings (Moody''s,S&amp;P)'!A128</f>
        <v>Slovakia</v>
      </c>
      <c r="B128" s="56" t="str">
        <f>'Sovereign Ratings (Moody''s,S&amp;P)'!C128</f>
        <v>A2</v>
      </c>
      <c r="C128" s="123">
        <f>VLOOKUP(A128,$H$24:$J$113,2,FALSE)</f>
        <v>6.0000000000000001E-3</v>
      </c>
      <c r="D128" s="57">
        <f t="shared" si="3"/>
        <v>2.0000000000000052E-4</v>
      </c>
    </row>
    <row r="129" spans="1:4" ht="16">
      <c r="A129" s="46" t="str">
        <f>'Sovereign Ratings (Moody''s,S&amp;P)'!A129</f>
        <v>Slovenia</v>
      </c>
      <c r="B129" s="56" t="str">
        <f>'Sovereign Ratings (Moody''s,S&amp;P)'!C129</f>
        <v>A3</v>
      </c>
      <c r="C129" s="123">
        <f>VLOOKUP(A129,$H$24:$J$113,2,FALSE)</f>
        <v>7.6E-3</v>
      </c>
      <c r="D129" s="57">
        <f t="shared" si="3"/>
        <v>1.8000000000000004E-3</v>
      </c>
    </row>
    <row r="130" spans="1:4" ht="16">
      <c r="A130" s="46" t="str">
        <f>'Sovereign Ratings (Moody''s,S&amp;P)'!A130</f>
        <v>Solomon Islands</v>
      </c>
      <c r="B130" s="56" t="str">
        <f>'Sovereign Ratings (Moody''s,S&amp;P)'!C130</f>
        <v>Caa1</v>
      </c>
      <c r="C130" s="123" t="s">
        <v>143</v>
      </c>
      <c r="D130" s="57" t="str">
        <f t="shared" ref="D130:D140" si="8">IF(C130="NA","NA",IF(C130&gt;$C$153,C130-$C$153,0))</f>
        <v>NA</v>
      </c>
    </row>
    <row r="131" spans="1:4" ht="16">
      <c r="A131" s="46" t="str">
        <f>'Sovereign Ratings (Moody''s,S&amp;P)'!A131</f>
        <v>South Africa</v>
      </c>
      <c r="B131" s="56" t="str">
        <f>'Sovereign Ratings (Moody''s,S&amp;P)'!C131</f>
        <v>Ba2</v>
      </c>
      <c r="C131" s="123">
        <f>VLOOKUP(A131,$H$24:$J$113,2,FALSE)</f>
        <v>3.1600000000000003E-2</v>
      </c>
      <c r="D131" s="57">
        <f t="shared" si="8"/>
        <v>2.5800000000000003E-2</v>
      </c>
    </row>
    <row r="132" spans="1:4" ht="16">
      <c r="A132" s="46" t="str">
        <f>'Sovereign Ratings (Moody''s,S&amp;P)'!A132</f>
        <v>Spain</v>
      </c>
      <c r="B132" s="56" t="str">
        <f>'Sovereign Ratings (Moody''s,S&amp;P)'!C132</f>
        <v>Baa1</v>
      </c>
      <c r="C132" s="123">
        <f>VLOOKUP(A132,$H$24:$J$113,2,FALSE)</f>
        <v>7.7999999999999996E-3</v>
      </c>
      <c r="D132" s="57">
        <f t="shared" si="8"/>
        <v>2E-3</v>
      </c>
    </row>
    <row r="133" spans="1:4" ht="16">
      <c r="A133" s="46" t="str">
        <f>'Sovereign Ratings (Moody''s,S&amp;P)'!A133</f>
        <v>Sri Lanka</v>
      </c>
      <c r="B133" s="56" t="str">
        <f>'Sovereign Ratings (Moody''s,S&amp;P)'!C133</f>
        <v>Ca</v>
      </c>
      <c r="C133" s="123">
        <f>VLOOKUP(A133,$H$24:$J$113,2,FALSE)</f>
        <v>0.59360000000000002</v>
      </c>
      <c r="D133" s="57">
        <f t="shared" si="8"/>
        <v>0.58779999999999999</v>
      </c>
    </row>
    <row r="134" spans="1:4" ht="16">
      <c r="A134" s="46" t="str">
        <f>'Sovereign Ratings (Moody''s,S&amp;P)'!A134</f>
        <v>St. Maarten</v>
      </c>
      <c r="B134" s="56" t="str">
        <f>'Sovereign Ratings (Moody''s,S&amp;P)'!C134</f>
        <v>Ba2</v>
      </c>
      <c r="C134" s="123" t="s">
        <v>143</v>
      </c>
      <c r="D134" s="57" t="str">
        <f t="shared" si="8"/>
        <v>NA</v>
      </c>
    </row>
    <row r="135" spans="1:4" ht="16">
      <c r="A135" s="46" t="str">
        <f>'Sovereign Ratings (Moody''s,S&amp;P)'!A135</f>
        <v>St. Vincent &amp; the Grenadines</v>
      </c>
      <c r="B135" s="56" t="str">
        <f>'Sovereign Ratings (Moody''s,S&amp;P)'!C135</f>
        <v>B3</v>
      </c>
      <c r="C135" s="123" t="s">
        <v>143</v>
      </c>
      <c r="D135" s="57" t="str">
        <f t="shared" si="8"/>
        <v>NA</v>
      </c>
    </row>
    <row r="136" spans="1:4" ht="16">
      <c r="A136" s="46" t="str">
        <f>'Sovereign Ratings (Moody''s,S&amp;P)'!A136</f>
        <v>Suriname</v>
      </c>
      <c r="B136" s="56" t="str">
        <f>'Sovereign Ratings (Moody''s,S&amp;P)'!C136</f>
        <v>Caa3</v>
      </c>
      <c r="C136" s="123" t="s">
        <v>143</v>
      </c>
      <c r="D136" s="57" t="str">
        <f t="shared" si="8"/>
        <v>NA</v>
      </c>
    </row>
    <row r="137" spans="1:4" ht="16">
      <c r="A137" s="46" t="str">
        <f>'Sovereign Ratings (Moody''s,S&amp;P)'!A137</f>
        <v>Swaziland</v>
      </c>
      <c r="B137" s="56" t="str">
        <f>'Sovereign Ratings (Moody''s,S&amp;P)'!C137</f>
        <v>B3</v>
      </c>
      <c r="C137" s="123" t="s">
        <v>143</v>
      </c>
      <c r="D137" s="57" t="str">
        <f t="shared" si="8"/>
        <v>NA</v>
      </c>
    </row>
    <row r="138" spans="1:4" ht="16">
      <c r="A138" s="46" t="str">
        <f>'Sovereign Ratings (Moody''s,S&amp;P)'!A138</f>
        <v>Sweden</v>
      </c>
      <c r="B138" s="56" t="str">
        <f>'Sovereign Ratings (Moody''s,S&amp;P)'!C138</f>
        <v>Aaa</v>
      </c>
      <c r="C138" s="123">
        <f>VLOOKUP(A138,$H$24:$J$113,2,FALSE)</f>
        <v>2.8E-3</v>
      </c>
      <c r="D138" s="57">
        <f t="shared" si="8"/>
        <v>0</v>
      </c>
    </row>
    <row r="139" spans="1:4" ht="16">
      <c r="A139" s="46" t="str">
        <f>'Sovereign Ratings (Moody''s,S&amp;P)'!A139</f>
        <v>Switzerland</v>
      </c>
      <c r="B139" s="56" t="str">
        <f>'Sovereign Ratings (Moody''s,S&amp;P)'!C139</f>
        <v>Aaa</v>
      </c>
      <c r="C139" s="123">
        <f>VLOOKUP(A139,$H$24:$J$113,2,FALSE)</f>
        <v>2.2000000000000001E-3</v>
      </c>
      <c r="D139" s="57">
        <f t="shared" si="8"/>
        <v>0</v>
      </c>
    </row>
    <row r="140" spans="1:4" ht="16">
      <c r="A140" s="46" t="str">
        <f>'Sovereign Ratings (Moody''s,S&amp;P)'!A140</f>
        <v>Taiwan</v>
      </c>
      <c r="B140" s="56" t="str">
        <f>'Sovereign Ratings (Moody''s,S&amp;P)'!C140</f>
        <v>Aa3</v>
      </c>
      <c r="C140" s="123" t="s">
        <v>143</v>
      </c>
      <c r="D140" s="57" t="str">
        <f t="shared" si="8"/>
        <v>NA</v>
      </c>
    </row>
    <row r="141" spans="1:4" ht="16">
      <c r="A141" s="46" t="str">
        <f>'Sovereign Ratings (Moody''s,S&amp;P)'!A141</f>
        <v>Tajikistan</v>
      </c>
      <c r="B141" s="56" t="str">
        <f>'Sovereign Ratings (Moody''s,S&amp;P)'!C141</f>
        <v>B3</v>
      </c>
      <c r="C141" s="123" t="s">
        <v>143</v>
      </c>
      <c r="D141" s="57" t="str">
        <f>IF(C141="NA","NA",IF(C141&gt;$C$153,C141-$C$153,0))</f>
        <v>NA</v>
      </c>
    </row>
    <row r="142" spans="1:4" ht="16">
      <c r="A142" s="46" t="str">
        <f>'Sovereign Ratings (Moody''s,S&amp;P)'!A142</f>
        <v>Tanzania</v>
      </c>
      <c r="B142" s="56" t="str">
        <f>'Sovereign Ratings (Moody''s,S&amp;P)'!C142</f>
        <v>B2</v>
      </c>
      <c r="C142" s="123" t="s">
        <v>143</v>
      </c>
      <c r="D142" s="57" t="str">
        <f t="shared" ref="D142:D158" si="9">IF(C142="NA","NA",IF(C142&gt;$C$153,C142-$C$153,0))</f>
        <v>NA</v>
      </c>
    </row>
    <row r="143" spans="1:4" ht="16">
      <c r="A143" s="46" t="str">
        <f>'Sovereign Ratings (Moody''s,S&amp;P)'!A143</f>
        <v>Thailand</v>
      </c>
      <c r="B143" s="56" t="str">
        <f>'Sovereign Ratings (Moody''s,S&amp;P)'!C143</f>
        <v>Baa1</v>
      </c>
      <c r="C143" s="123">
        <f>VLOOKUP(A143,$H$24:$J$113,2,FALSE)</f>
        <v>6.4999999999999997E-3</v>
      </c>
      <c r="D143" s="57">
        <f t="shared" si="9"/>
        <v>7.000000000000001E-4</v>
      </c>
    </row>
    <row r="144" spans="1:4" ht="16">
      <c r="A144" s="46" t="str">
        <f>'Sovereign Ratings (Moody''s,S&amp;P)'!A144</f>
        <v>Togo</v>
      </c>
      <c r="B144" s="56" t="str">
        <f>'Sovereign Ratings (Moody''s,S&amp;P)'!C144</f>
        <v>B3</v>
      </c>
      <c r="C144" s="123" t="s">
        <v>143</v>
      </c>
      <c r="D144" s="57" t="str">
        <f t="shared" si="9"/>
        <v>NA</v>
      </c>
    </row>
    <row r="145" spans="1:4" ht="16">
      <c r="A145" s="46" t="str">
        <f>'Sovereign Ratings (Moody''s,S&amp;P)'!A145</f>
        <v>Trinidad and Tobago</v>
      </c>
      <c r="B145" s="56" t="str">
        <f>'Sovereign Ratings (Moody''s,S&amp;P)'!C145</f>
        <v>Ba2</v>
      </c>
      <c r="C145" s="123" t="s">
        <v>143</v>
      </c>
      <c r="D145" s="57" t="str">
        <f t="shared" si="9"/>
        <v>NA</v>
      </c>
    </row>
    <row r="146" spans="1:4" ht="16">
      <c r="A146" s="46" t="str">
        <f>'Sovereign Ratings (Moody''s,S&amp;P)'!A146</f>
        <v>Tunisia</v>
      </c>
      <c r="B146" s="56" t="str">
        <f>'Sovereign Ratings (Moody''s,S&amp;P)'!C146</f>
        <v>Caa2</v>
      </c>
      <c r="C146" s="123">
        <f>VLOOKUP(A146,$H$24:$J$113,2,FALSE)</f>
        <v>9.7799999999999998E-2</v>
      </c>
      <c r="D146" s="57">
        <f t="shared" si="9"/>
        <v>9.1999999999999998E-2</v>
      </c>
    </row>
    <row r="147" spans="1:4" ht="16">
      <c r="A147" s="46" t="str">
        <f>'Sovereign Ratings (Moody''s,S&amp;P)'!A147</f>
        <v>Turkey</v>
      </c>
      <c r="B147" s="56" t="str">
        <f>'Sovereign Ratings (Moody''s,S&amp;P)'!C147</f>
        <v>B3</v>
      </c>
      <c r="C147" s="123">
        <f>VLOOKUP(A147,$H$24:$J$113,2,FALSE)</f>
        <v>3.8600000000000002E-2</v>
      </c>
      <c r="D147" s="57">
        <f t="shared" si="9"/>
        <v>3.2800000000000003E-2</v>
      </c>
    </row>
    <row r="148" spans="1:4" ht="16">
      <c r="A148" s="46" t="str">
        <f>'Sovereign Ratings (Moody''s,S&amp;P)'!A148</f>
        <v>Turks and Caicos Islands</v>
      </c>
      <c r="B148" s="56" t="str">
        <f>'Sovereign Ratings (Moody''s,S&amp;P)'!C148</f>
        <v>Baa1</v>
      </c>
      <c r="C148" s="123" t="s">
        <v>143</v>
      </c>
      <c r="D148" s="57" t="str">
        <f t="shared" si="9"/>
        <v>NA</v>
      </c>
    </row>
    <row r="149" spans="1:4" ht="16">
      <c r="A149" s="46" t="str">
        <f>'Sovereign Ratings (Moody''s,S&amp;P)'!A149</f>
        <v>Uganda</v>
      </c>
      <c r="B149" s="56" t="str">
        <f>'Sovereign Ratings (Moody''s,S&amp;P)'!C149</f>
        <v>B2</v>
      </c>
      <c r="C149" s="123" t="s">
        <v>143</v>
      </c>
      <c r="D149" s="57" t="str">
        <f t="shared" si="9"/>
        <v>NA</v>
      </c>
    </row>
    <row r="150" spans="1:4" ht="16">
      <c r="A150" s="46" t="str">
        <f>'Sovereign Ratings (Moody''s,S&amp;P)'!A150</f>
        <v>Ukraine</v>
      </c>
      <c r="B150" s="56" t="str">
        <f>'Sovereign Ratings (Moody''s,S&amp;P)'!C150</f>
        <v>Ca</v>
      </c>
      <c r="C150" s="123" t="str">
        <f>VLOOKUP(A150,$H$24:$J$113,2,FALSE)</f>
        <v>NA</v>
      </c>
      <c r="D150" s="57" t="str">
        <f t="shared" si="9"/>
        <v>NA</v>
      </c>
    </row>
    <row r="151" spans="1:4" ht="16">
      <c r="A151" s="46" t="str">
        <f>'Sovereign Ratings (Moody''s,S&amp;P)'!A151</f>
        <v>United Arab Emirates</v>
      </c>
      <c r="B151" s="56" t="str">
        <f>'Sovereign Ratings (Moody''s,S&amp;P)'!C151</f>
        <v>Aa2</v>
      </c>
      <c r="C151" s="123" t="s">
        <v>143</v>
      </c>
      <c r="D151" s="57" t="str">
        <f t="shared" si="9"/>
        <v>NA</v>
      </c>
    </row>
    <row r="152" spans="1:4" ht="16">
      <c r="A152" s="46" t="str">
        <f>'Sovereign Ratings (Moody''s,S&amp;P)'!A152</f>
        <v>United Kingdom</v>
      </c>
      <c r="B152" s="56" t="str">
        <f>'Sovereign Ratings (Moody''s,S&amp;P)'!C152</f>
        <v>Aa3</v>
      </c>
      <c r="C152" s="123">
        <f>VLOOKUP(A152,$H$24:$J$113,2,FALSE)</f>
        <v>5.1000000000000004E-3</v>
      </c>
      <c r="D152" s="57">
        <f t="shared" si="9"/>
        <v>0</v>
      </c>
    </row>
    <row r="153" spans="1:4" ht="16">
      <c r="A153" s="46" t="str">
        <f>'Sovereign Ratings (Moody''s,S&amp;P)'!A153</f>
        <v>United States</v>
      </c>
      <c r="B153" s="56" t="str">
        <f>'Sovereign Ratings (Moody''s,S&amp;P)'!C153</f>
        <v>Aaa</v>
      </c>
      <c r="C153" s="123">
        <f>VLOOKUP(A153,$H$24:$J$113,2,FALSE)</f>
        <v>5.7999999999999996E-3</v>
      </c>
      <c r="D153" s="57">
        <f t="shared" si="9"/>
        <v>0</v>
      </c>
    </row>
    <row r="154" spans="1:4" ht="16">
      <c r="A154" s="46" t="str">
        <f>'Sovereign Ratings (Moody''s,S&amp;P)'!A154</f>
        <v>Uruguay</v>
      </c>
      <c r="B154" s="56" t="str">
        <f>'Sovereign Ratings (Moody''s,S&amp;P)'!C154</f>
        <v>Baa2</v>
      </c>
      <c r="C154" s="123">
        <f>VLOOKUP(A154,$H$24:$J$113,2,FALSE)</f>
        <v>1.14E-2</v>
      </c>
      <c r="D154" s="57">
        <f t="shared" si="9"/>
        <v>5.6000000000000008E-3</v>
      </c>
    </row>
    <row r="155" spans="1:4" ht="16">
      <c r="A155" s="46" t="str">
        <f>'Sovereign Ratings (Moody''s,S&amp;P)'!A155</f>
        <v>Uzbekistan</v>
      </c>
      <c r="B155" s="56" t="str">
        <f>'Sovereign Ratings (Moody''s,S&amp;P)'!C155</f>
        <v>Ba3</v>
      </c>
      <c r="C155" s="123" t="s">
        <v>143</v>
      </c>
      <c r="D155" s="57" t="str">
        <f t="shared" si="9"/>
        <v>NA</v>
      </c>
    </row>
    <row r="156" spans="1:4" ht="16">
      <c r="A156" s="46" t="str">
        <f>'Sovereign Ratings (Moody''s,S&amp;P)'!A156</f>
        <v>Venezuela</v>
      </c>
      <c r="B156" s="56" t="str">
        <f>'Sovereign Ratings (Moody''s,S&amp;P)'!C156</f>
        <v>C</v>
      </c>
      <c r="C156" s="123">
        <f>VLOOKUP(A156,$H$24:$J$113,2,FALSE)</f>
        <v>0.1125</v>
      </c>
      <c r="D156" s="57">
        <f t="shared" si="9"/>
        <v>0.1067</v>
      </c>
    </row>
    <row r="157" spans="1:4" ht="16">
      <c r="A157" s="46" t="str">
        <f>'Sovereign Ratings (Moody''s,S&amp;P)'!A157</f>
        <v>Vietnam</v>
      </c>
      <c r="B157" s="56" t="str">
        <f>'Sovereign Ratings (Moody''s,S&amp;P)'!C157</f>
        <v>Ba2</v>
      </c>
      <c r="C157" s="123">
        <f>VLOOKUP(A157,$H$24:$J$113,2,FALSE)</f>
        <v>1.84E-2</v>
      </c>
      <c r="D157" s="57">
        <f t="shared" si="9"/>
        <v>1.26E-2</v>
      </c>
    </row>
    <row r="158" spans="1:4" ht="16">
      <c r="A158" s="46" t="str">
        <f>'Sovereign Ratings (Moody''s,S&amp;P)'!A158</f>
        <v>Zambia</v>
      </c>
      <c r="B158" s="56" t="str">
        <f>'Sovereign Ratings (Moody''s,S&amp;P)'!C158</f>
        <v>Caa3</v>
      </c>
      <c r="C158" s="123" t="str">
        <f>VLOOKUP(A158,$H$24:$J$113,2,FALSE)</f>
        <v>NA</v>
      </c>
      <c r="D158" s="57" t="str">
        <f t="shared" si="9"/>
        <v>NA</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B1" sqref="B1"/>
    </sheetView>
  </sheetViews>
  <sheetFormatPr baseColWidth="10" defaultRowHeight="13"/>
  <cols>
    <col min="1" max="1" width="12.1640625" style="19" bestFit="1" customWidth="1"/>
    <col min="2" max="2" width="35.5" bestFit="1" customWidth="1"/>
    <col min="3" max="3" width="21" bestFit="1" customWidth="1"/>
    <col min="4" max="4" width="21.33203125" bestFit="1" customWidth="1"/>
  </cols>
  <sheetData>
    <row r="1" spans="1:8" s="165" customFormat="1" ht="19">
      <c r="A1" s="163" t="s">
        <v>474</v>
      </c>
      <c r="B1" s="164">
        <v>43131</v>
      </c>
    </row>
    <row r="2" spans="1:8" ht="14" thickBot="1">
      <c r="A2" s="161"/>
      <c r="B2" s="162"/>
    </row>
    <row r="3" spans="1:8" ht="19" thickBot="1">
      <c r="A3" s="180" t="s">
        <v>75</v>
      </c>
      <c r="B3" s="181" t="s">
        <v>377</v>
      </c>
      <c r="C3" s="182" t="s">
        <v>499</v>
      </c>
      <c r="D3" s="182" t="s">
        <v>500</v>
      </c>
      <c r="E3" s="182" t="s">
        <v>501</v>
      </c>
      <c r="F3" s="183" t="s">
        <v>375</v>
      </c>
      <c r="G3" s="184" t="s">
        <v>473</v>
      </c>
      <c r="H3" s="185" t="s">
        <v>502</v>
      </c>
    </row>
    <row r="4" spans="1:8" ht="18" thickBot="1">
      <c r="A4" s="186" t="s">
        <v>336</v>
      </c>
      <c r="B4" s="187" t="s">
        <v>143</v>
      </c>
      <c r="C4" s="188" t="s">
        <v>143</v>
      </c>
      <c r="D4" s="188" t="str">
        <f t="shared" ref="D4:D67" si="0">IF(C4="NA","NA",IF(B4="NA","NA",B4/C4))</f>
        <v>NA</v>
      </c>
      <c r="E4" s="189">
        <v>1.6999999999999999E-3</v>
      </c>
      <c r="F4" s="190">
        <v>1.0999999999999999E-2</v>
      </c>
      <c r="G4" s="189">
        <f t="shared" ref="G4:G67" si="1">IF(F4="NA","NA",E4/F4)</f>
        <v>0.15454545454545454</v>
      </c>
      <c r="H4" s="191" t="str">
        <f t="shared" ref="H4:H67" si="2">IF(G4="NA","NA",IF(B4="NA","NA",B4/G4))</f>
        <v>NA</v>
      </c>
    </row>
    <row r="5" spans="1:8" ht="18" thickBot="1">
      <c r="A5" s="186" t="s">
        <v>131</v>
      </c>
      <c r="B5" s="187" t="s">
        <v>143</v>
      </c>
      <c r="C5" s="188" t="s">
        <v>143</v>
      </c>
      <c r="D5" s="192" t="str">
        <f t="shared" si="0"/>
        <v>NA</v>
      </c>
      <c r="E5" s="189">
        <v>6.7999999999999996E-3</v>
      </c>
      <c r="F5" s="190">
        <v>7.4999999999999997E-2</v>
      </c>
      <c r="G5" s="190">
        <f t="shared" si="1"/>
        <v>9.0666666666666659E-2</v>
      </c>
      <c r="H5" s="191" t="str">
        <f t="shared" si="2"/>
        <v>NA</v>
      </c>
    </row>
    <row r="6" spans="1:8" ht="18" thickBot="1">
      <c r="A6" s="186" t="s">
        <v>84</v>
      </c>
      <c r="B6" s="187">
        <v>0.53159999999999996</v>
      </c>
      <c r="C6" s="188" t="s">
        <v>143</v>
      </c>
      <c r="D6" s="192" t="str">
        <f t="shared" si="0"/>
        <v>NA</v>
      </c>
      <c r="E6" s="189">
        <v>3.6999999999999998E-2</v>
      </c>
      <c r="F6" s="190">
        <v>0.19550000000000001</v>
      </c>
      <c r="G6" s="190">
        <f t="shared" si="1"/>
        <v>0.18925831202046034</v>
      </c>
      <c r="H6" s="191">
        <f t="shared" si="2"/>
        <v>2.8088594594594594</v>
      </c>
    </row>
    <row r="7" spans="1:8" ht="18" thickBot="1">
      <c r="A7" s="186" t="s">
        <v>87</v>
      </c>
      <c r="B7" s="187">
        <v>0.12759999999999999</v>
      </c>
      <c r="C7" s="188" t="s">
        <v>143</v>
      </c>
      <c r="D7" s="192" t="str">
        <f t="shared" si="0"/>
        <v>NA</v>
      </c>
      <c r="E7" s="189">
        <v>4.4999999999999997E-3</v>
      </c>
      <c r="F7" s="190">
        <v>3.1800000000000002E-2</v>
      </c>
      <c r="G7" s="190">
        <f t="shared" si="1"/>
        <v>0.14150943396226412</v>
      </c>
      <c r="H7" s="191">
        <f t="shared" si="2"/>
        <v>0.90170666666666677</v>
      </c>
    </row>
    <row r="8" spans="1:8" ht="18" thickBot="1">
      <c r="A8" s="186" t="s">
        <v>132</v>
      </c>
      <c r="B8" s="187">
        <v>0.13550000000000001</v>
      </c>
      <c r="C8" s="188" t="s">
        <v>143</v>
      </c>
      <c r="D8" s="192" t="str">
        <f t="shared" si="0"/>
        <v>NA</v>
      </c>
      <c r="E8" s="188" t="s">
        <v>143</v>
      </c>
      <c r="F8" s="190" t="s">
        <v>143</v>
      </c>
      <c r="G8" s="190" t="str">
        <f t="shared" si="1"/>
        <v>NA</v>
      </c>
      <c r="H8" s="191" t="str">
        <f t="shared" si="2"/>
        <v>NA</v>
      </c>
    </row>
    <row r="9" spans="1:8" ht="18" thickBot="1">
      <c r="A9" s="186" t="s">
        <v>144</v>
      </c>
      <c r="B9" s="187">
        <v>0.15690000000000001</v>
      </c>
      <c r="C9" s="188" t="s">
        <v>143</v>
      </c>
      <c r="D9" s="192" t="str">
        <f t="shared" si="0"/>
        <v>NA</v>
      </c>
      <c r="E9" s="188" t="s">
        <v>143</v>
      </c>
      <c r="F9" s="190" t="s">
        <v>143</v>
      </c>
      <c r="G9" s="190" t="str">
        <f t="shared" si="1"/>
        <v>NA</v>
      </c>
      <c r="H9" s="191" t="str">
        <f t="shared" si="2"/>
        <v>NA</v>
      </c>
    </row>
    <row r="10" spans="1:8" ht="18" thickBot="1">
      <c r="A10" s="186" t="s">
        <v>123</v>
      </c>
      <c r="B10" s="187">
        <v>2.9100000000000001E-2</v>
      </c>
      <c r="C10" s="188" t="s">
        <v>143</v>
      </c>
      <c r="D10" s="192" t="str">
        <f t="shared" si="0"/>
        <v>NA</v>
      </c>
      <c r="E10" s="188" t="s">
        <v>143</v>
      </c>
      <c r="F10" s="190" t="s">
        <v>143</v>
      </c>
      <c r="G10" s="190" t="str">
        <f t="shared" si="1"/>
        <v>NA</v>
      </c>
      <c r="H10" s="191" t="str">
        <f t="shared" si="2"/>
        <v>NA</v>
      </c>
    </row>
    <row r="11" spans="1:8" ht="18" thickBot="1">
      <c r="A11" s="186" t="s">
        <v>92</v>
      </c>
      <c r="B11" s="187">
        <v>0.45369999999999999</v>
      </c>
      <c r="C11" s="189">
        <v>0.26619999999999999</v>
      </c>
      <c r="D11" s="192">
        <f t="shared" si="0"/>
        <v>1.7043576258452291</v>
      </c>
      <c r="E11" s="189">
        <v>3.8E-3</v>
      </c>
      <c r="F11" s="190">
        <v>2.1499999999999998E-2</v>
      </c>
      <c r="G11" s="190">
        <f t="shared" si="1"/>
        <v>0.17674418604651165</v>
      </c>
      <c r="H11" s="191">
        <f t="shared" si="2"/>
        <v>2.5669868421052628</v>
      </c>
    </row>
    <row r="12" spans="1:8" ht="18" thickBot="1">
      <c r="A12" s="186" t="s">
        <v>94</v>
      </c>
      <c r="B12" s="187">
        <v>0.19800000000000001</v>
      </c>
      <c r="C12" s="189">
        <v>5.3699999999999998E-2</v>
      </c>
      <c r="D12" s="192">
        <f t="shared" si="0"/>
        <v>3.6871508379888271</v>
      </c>
      <c r="E12" s="189">
        <v>4.3E-3</v>
      </c>
      <c r="F12" s="190">
        <v>7.0000000000000001E-3</v>
      </c>
      <c r="G12" s="190">
        <f t="shared" si="1"/>
        <v>0.61428571428571432</v>
      </c>
      <c r="H12" s="191">
        <f t="shared" si="2"/>
        <v>0.32232558139534884</v>
      </c>
    </row>
    <row r="13" spans="1:8" ht="18" thickBot="1">
      <c r="A13" s="186" t="s">
        <v>211</v>
      </c>
      <c r="B13" s="187" t="s">
        <v>143</v>
      </c>
      <c r="C13" s="188" t="s">
        <v>143</v>
      </c>
      <c r="D13" s="192" t="str">
        <f t="shared" si="0"/>
        <v>NA</v>
      </c>
      <c r="E13" s="189">
        <v>3.3999999999999998E-3</v>
      </c>
      <c r="F13" s="190">
        <v>5.8700000000000002E-2</v>
      </c>
      <c r="G13" s="190">
        <f t="shared" si="1"/>
        <v>5.7921635434412262E-2</v>
      </c>
      <c r="H13" s="191" t="str">
        <f t="shared" si="2"/>
        <v>NA</v>
      </c>
    </row>
    <row r="14" spans="1:8" ht="18" thickBot="1">
      <c r="A14" s="186" t="s">
        <v>96</v>
      </c>
      <c r="B14" s="187">
        <v>0.35370000000000001</v>
      </c>
      <c r="C14" s="189">
        <v>0.31580000000000003</v>
      </c>
      <c r="D14" s="192">
        <f t="shared" si="0"/>
        <v>1.1200126662444585</v>
      </c>
      <c r="E14" s="189">
        <v>3.0999999999999999E-3</v>
      </c>
      <c r="F14" s="190">
        <v>8.9999999999999993E-3</v>
      </c>
      <c r="G14" s="190">
        <f t="shared" si="1"/>
        <v>0.34444444444444444</v>
      </c>
      <c r="H14" s="191">
        <f t="shared" si="2"/>
        <v>1.0268709677419354</v>
      </c>
    </row>
    <row r="15" spans="1:8" ht="18" thickBot="1">
      <c r="A15" s="186" t="s">
        <v>97</v>
      </c>
      <c r="B15" s="187">
        <v>0.25059999999999999</v>
      </c>
      <c r="C15" s="188" t="s">
        <v>143</v>
      </c>
      <c r="D15" s="192" t="str">
        <f t="shared" si="0"/>
        <v>NA</v>
      </c>
      <c r="E15" s="189">
        <v>5.1000000000000004E-3</v>
      </c>
      <c r="F15" s="190">
        <v>5.5999999999999999E-3</v>
      </c>
      <c r="G15" s="190">
        <f t="shared" si="1"/>
        <v>0.91071428571428581</v>
      </c>
      <c r="H15" s="191">
        <f t="shared" si="2"/>
        <v>0.27516862745098036</v>
      </c>
    </row>
    <row r="16" spans="1:8" ht="18" thickBot="1">
      <c r="A16" s="186" t="s">
        <v>50</v>
      </c>
      <c r="B16" s="187">
        <v>0.37169999999999997</v>
      </c>
      <c r="C16" s="189">
        <v>0.31130000000000002</v>
      </c>
      <c r="D16" s="192">
        <f t="shared" si="0"/>
        <v>1.1940250562158687</v>
      </c>
      <c r="E16" s="189">
        <v>4.1000000000000003E-3</v>
      </c>
      <c r="F16" s="190">
        <v>1.52E-2</v>
      </c>
      <c r="G16" s="190">
        <f t="shared" si="1"/>
        <v>0.26973684210526316</v>
      </c>
      <c r="H16" s="191">
        <f t="shared" si="2"/>
        <v>1.3780097560975608</v>
      </c>
    </row>
    <row r="17" spans="1:8" ht="18" thickBot="1">
      <c r="A17" s="186" t="s">
        <v>56</v>
      </c>
      <c r="B17" s="187">
        <v>0.19850000000000001</v>
      </c>
      <c r="C17" s="188" t="s">
        <v>143</v>
      </c>
      <c r="D17" s="192" t="str">
        <f t="shared" si="0"/>
        <v>NA</v>
      </c>
      <c r="E17" s="189">
        <v>3.8999999999999998E-3</v>
      </c>
      <c r="F17" s="190">
        <v>6.13E-2</v>
      </c>
      <c r="G17" s="190">
        <f t="shared" si="1"/>
        <v>6.3621533442088082E-2</v>
      </c>
      <c r="H17" s="191">
        <f t="shared" si="2"/>
        <v>3.1200128205128212</v>
      </c>
    </row>
    <row r="18" spans="1:8" ht="18" thickBot="1">
      <c r="A18" s="186" t="s">
        <v>98</v>
      </c>
      <c r="B18" s="187">
        <v>0.2253</v>
      </c>
      <c r="C18" s="188" t="s">
        <v>143</v>
      </c>
      <c r="D18" s="192" t="str">
        <f t="shared" si="0"/>
        <v>NA</v>
      </c>
      <c r="E18" s="189">
        <v>3.5000000000000001E-3</v>
      </c>
      <c r="F18" s="190">
        <v>1.2800000000000001E-2</v>
      </c>
      <c r="G18" s="190">
        <f t="shared" si="1"/>
        <v>0.2734375</v>
      </c>
      <c r="H18" s="191">
        <f t="shared" si="2"/>
        <v>0.82395428571428575</v>
      </c>
    </row>
    <row r="19" spans="1:8" ht="18" thickBot="1">
      <c r="A19" s="186" t="s">
        <v>177</v>
      </c>
      <c r="B19" s="187">
        <v>0.19120000000000001</v>
      </c>
      <c r="C19" s="189">
        <v>4.8300000000000003E-2</v>
      </c>
      <c r="D19" s="192">
        <f t="shared" si="0"/>
        <v>3.9585921325051761</v>
      </c>
      <c r="E19" s="189">
        <v>4.8999999999999998E-3</v>
      </c>
      <c r="F19" s="190">
        <v>1.1900000000000001E-2</v>
      </c>
      <c r="G19" s="190">
        <f t="shared" si="1"/>
        <v>0.41176470588235292</v>
      </c>
      <c r="H19" s="191">
        <f t="shared" si="2"/>
        <v>0.46434285714285717</v>
      </c>
    </row>
    <row r="20" spans="1:8" ht="35" thickBot="1">
      <c r="A20" s="186" t="s">
        <v>101</v>
      </c>
      <c r="B20" s="187">
        <v>0.25159999999999999</v>
      </c>
      <c r="C20" s="189">
        <v>4.6399999999999997E-2</v>
      </c>
      <c r="D20" s="192">
        <f t="shared" si="0"/>
        <v>5.4224137931034484</v>
      </c>
      <c r="E20" s="189">
        <v>4.3E-3</v>
      </c>
      <c r="F20" s="190">
        <v>5.1000000000000004E-3</v>
      </c>
      <c r="G20" s="190">
        <f t="shared" si="1"/>
        <v>0.84313725490196068</v>
      </c>
      <c r="H20" s="191">
        <f t="shared" si="2"/>
        <v>0.29840930232558144</v>
      </c>
    </row>
    <row r="21" spans="1:8" ht="18" thickBot="1">
      <c r="A21" s="186" t="s">
        <v>105</v>
      </c>
      <c r="B21" s="187">
        <v>0.25490000000000002</v>
      </c>
      <c r="C21" s="188" t="s">
        <v>143</v>
      </c>
      <c r="D21" s="192" t="str">
        <f t="shared" si="0"/>
        <v>NA</v>
      </c>
      <c r="E21" s="189">
        <v>3.7000000000000002E-3</v>
      </c>
      <c r="F21" s="190">
        <v>4.0800000000000003E-2</v>
      </c>
      <c r="G21" s="190">
        <f t="shared" si="1"/>
        <v>9.0686274509803919E-2</v>
      </c>
      <c r="H21" s="191">
        <f t="shared" si="2"/>
        <v>2.8107891891891894</v>
      </c>
    </row>
    <row r="22" spans="1:8" ht="18" thickBot="1">
      <c r="A22" s="186" t="s">
        <v>31</v>
      </c>
      <c r="B22" s="187" t="s">
        <v>143</v>
      </c>
      <c r="C22" s="188" t="s">
        <v>143</v>
      </c>
      <c r="D22" s="192" t="str">
        <f t="shared" si="0"/>
        <v>NA</v>
      </c>
      <c r="E22" s="189">
        <v>5.0000000000000001E-3</v>
      </c>
      <c r="F22" s="190">
        <v>7.7799999999999994E-2</v>
      </c>
      <c r="G22" s="190">
        <f t="shared" si="1"/>
        <v>6.4267352185089985E-2</v>
      </c>
      <c r="H22" s="191" t="str">
        <f t="shared" si="2"/>
        <v>NA</v>
      </c>
    </row>
    <row r="23" spans="1:8" ht="18" thickBot="1">
      <c r="A23" s="186" t="s">
        <v>106</v>
      </c>
      <c r="B23" s="187">
        <v>0.20669999999999999</v>
      </c>
      <c r="C23" s="188" t="s">
        <v>143</v>
      </c>
      <c r="D23" s="192" t="str">
        <f t="shared" si="0"/>
        <v>NA</v>
      </c>
      <c r="E23" s="189">
        <v>5.1999999999999998E-3</v>
      </c>
      <c r="F23" s="190">
        <v>7.0000000000000001E-3</v>
      </c>
      <c r="G23" s="190">
        <f t="shared" si="1"/>
        <v>0.74285714285714277</v>
      </c>
      <c r="H23" s="191">
        <f t="shared" si="2"/>
        <v>0.27825000000000005</v>
      </c>
    </row>
    <row r="24" spans="1:8" ht="18" thickBot="1">
      <c r="A24" s="186" t="s">
        <v>220</v>
      </c>
      <c r="B24" s="187">
        <v>0.1293</v>
      </c>
      <c r="C24" s="188" t="s">
        <v>143</v>
      </c>
      <c r="D24" s="192" t="str">
        <f t="shared" si="0"/>
        <v>NA</v>
      </c>
      <c r="E24" s="189">
        <v>5.4000000000000003E-3</v>
      </c>
      <c r="F24" s="190">
        <v>5.0799999999999998E-2</v>
      </c>
      <c r="G24" s="190">
        <f t="shared" si="1"/>
        <v>0.1062992125984252</v>
      </c>
      <c r="H24" s="191">
        <f t="shared" si="2"/>
        <v>1.2163777777777778</v>
      </c>
    </row>
    <row r="25" spans="1:8" ht="18" thickBot="1">
      <c r="A25" s="186" t="s">
        <v>181</v>
      </c>
      <c r="B25" s="187">
        <v>0.43440000000000001</v>
      </c>
      <c r="C25" s="189">
        <v>0.26369999999999999</v>
      </c>
      <c r="D25" s="192">
        <f t="shared" si="0"/>
        <v>1.6473265073947669</v>
      </c>
      <c r="E25" s="189">
        <v>3.3E-3</v>
      </c>
      <c r="F25" s="190">
        <v>1.61E-2</v>
      </c>
      <c r="G25" s="190">
        <f t="shared" si="1"/>
        <v>0.20496894409937888</v>
      </c>
      <c r="H25" s="191">
        <f t="shared" si="2"/>
        <v>2.1193454545454546</v>
      </c>
    </row>
    <row r="26" spans="1:8" ht="18" thickBot="1">
      <c r="A26" s="186" t="s">
        <v>503</v>
      </c>
      <c r="B26" s="187" t="s">
        <v>143</v>
      </c>
      <c r="C26" s="188" t="s">
        <v>143</v>
      </c>
      <c r="D26" s="192" t="str">
        <f t="shared" si="0"/>
        <v>NA</v>
      </c>
      <c r="E26" s="189">
        <v>2.7000000000000001E-3</v>
      </c>
      <c r="F26" s="190">
        <v>2.1499999999999998E-2</v>
      </c>
      <c r="G26" s="190">
        <f t="shared" si="1"/>
        <v>0.12558139534883722</v>
      </c>
      <c r="H26" s="191" t="str">
        <f t="shared" si="2"/>
        <v>NA</v>
      </c>
    </row>
    <row r="27" spans="1:8" ht="18" thickBot="1">
      <c r="A27" s="186" t="s">
        <v>109</v>
      </c>
      <c r="B27" s="187">
        <v>0.29530000000000001</v>
      </c>
      <c r="C27" s="189">
        <v>0.31759999999999999</v>
      </c>
      <c r="D27" s="192">
        <f t="shared" si="0"/>
        <v>0.92978589420654911</v>
      </c>
      <c r="E27" s="189">
        <v>2.2000000000000001E-3</v>
      </c>
      <c r="F27" s="190">
        <v>9.4000000000000004E-3</v>
      </c>
      <c r="G27" s="190">
        <f t="shared" si="1"/>
        <v>0.23404255319148937</v>
      </c>
      <c r="H27" s="191">
        <f t="shared" si="2"/>
        <v>1.2617363636363637</v>
      </c>
    </row>
    <row r="28" spans="1:8" ht="18" thickBot="1">
      <c r="A28" s="186" t="s">
        <v>111</v>
      </c>
      <c r="B28" s="187">
        <v>0.33129999999999998</v>
      </c>
      <c r="C28" s="189">
        <v>0.1074</v>
      </c>
      <c r="D28" s="192">
        <f t="shared" si="0"/>
        <v>3.0847299813780262</v>
      </c>
      <c r="E28" s="189">
        <v>3.8E-3</v>
      </c>
      <c r="F28" s="190">
        <v>1.24E-2</v>
      </c>
      <c r="G28" s="190">
        <f t="shared" si="1"/>
        <v>0.30645161290322581</v>
      </c>
      <c r="H28" s="191">
        <f t="shared" si="2"/>
        <v>1.0810842105263156</v>
      </c>
    </row>
    <row r="29" spans="1:8" ht="18" thickBot="1">
      <c r="A29" s="186" t="s">
        <v>112</v>
      </c>
      <c r="B29" s="187">
        <v>0.27229999999999999</v>
      </c>
      <c r="C29" s="189">
        <v>0.1394</v>
      </c>
      <c r="D29" s="192">
        <f t="shared" si="0"/>
        <v>1.9533715925394548</v>
      </c>
      <c r="E29" s="189">
        <v>4.1000000000000003E-3</v>
      </c>
      <c r="F29" s="190">
        <v>1.2800000000000001E-2</v>
      </c>
      <c r="G29" s="190">
        <f t="shared" si="1"/>
        <v>0.3203125</v>
      </c>
      <c r="H29" s="191">
        <f t="shared" si="2"/>
        <v>0.85010731707317067</v>
      </c>
    </row>
    <row r="30" spans="1:8" ht="18" thickBot="1">
      <c r="A30" s="186" t="s">
        <v>330</v>
      </c>
      <c r="B30" s="187" t="s">
        <v>143</v>
      </c>
      <c r="C30" s="188" t="s">
        <v>143</v>
      </c>
      <c r="D30" s="192" t="str">
        <f t="shared" si="0"/>
        <v>NA</v>
      </c>
      <c r="E30" s="189">
        <v>4.7000000000000002E-3</v>
      </c>
      <c r="F30" s="190">
        <v>6.9800000000000001E-2</v>
      </c>
      <c r="G30" s="190">
        <f t="shared" si="1"/>
        <v>6.73352435530086E-2</v>
      </c>
      <c r="H30" s="191" t="str">
        <f t="shared" si="2"/>
        <v>NA</v>
      </c>
    </row>
    <row r="31" spans="1:8" ht="18" thickBot="1">
      <c r="A31" s="186" t="s">
        <v>114</v>
      </c>
      <c r="B31" s="187">
        <v>0.26629999999999998</v>
      </c>
      <c r="C31" s="189">
        <v>0.4743</v>
      </c>
      <c r="D31" s="192">
        <f t="shared" si="0"/>
        <v>0.56145899219903006</v>
      </c>
      <c r="E31" s="189">
        <v>3.2000000000000002E-3</v>
      </c>
      <c r="F31" s="190">
        <v>7.7000000000000002E-3</v>
      </c>
      <c r="G31" s="190">
        <f t="shared" si="1"/>
        <v>0.41558441558441561</v>
      </c>
      <c r="H31" s="191">
        <f t="shared" si="2"/>
        <v>0.64078437499999996</v>
      </c>
    </row>
    <row r="32" spans="1:8" ht="18" thickBot="1">
      <c r="A32" s="186" t="s">
        <v>145</v>
      </c>
      <c r="B32" s="187">
        <v>0.33160000000000001</v>
      </c>
      <c r="C32" s="189">
        <v>0.1555</v>
      </c>
      <c r="D32" s="192">
        <f t="shared" si="0"/>
        <v>2.1324758842443732</v>
      </c>
      <c r="E32" s="189">
        <v>3.5000000000000001E-3</v>
      </c>
      <c r="F32" s="190">
        <v>1.43E-2</v>
      </c>
      <c r="G32" s="190">
        <f t="shared" si="1"/>
        <v>0.24475524475524477</v>
      </c>
      <c r="H32" s="191">
        <f t="shared" si="2"/>
        <v>1.3548228571428571</v>
      </c>
    </row>
    <row r="33" spans="1:8" ht="18" thickBot="1">
      <c r="A33" s="186" t="s">
        <v>115</v>
      </c>
      <c r="B33" s="187">
        <v>8.8099999999999998E-2</v>
      </c>
      <c r="C33" s="188" t="s">
        <v>143</v>
      </c>
      <c r="D33" s="192" t="str">
        <f t="shared" si="0"/>
        <v>NA</v>
      </c>
      <c r="E33" s="188" t="s">
        <v>143</v>
      </c>
      <c r="F33" s="190" t="s">
        <v>143</v>
      </c>
      <c r="G33" s="190" t="str">
        <f t="shared" si="1"/>
        <v>NA</v>
      </c>
      <c r="H33" s="191" t="str">
        <f t="shared" si="2"/>
        <v>NA</v>
      </c>
    </row>
    <row r="34" spans="1:8" ht="18" thickBot="1">
      <c r="A34" s="186" t="s">
        <v>117</v>
      </c>
      <c r="B34" s="187">
        <v>9.7699999999999995E-2</v>
      </c>
      <c r="C34" s="188" t="s">
        <v>143</v>
      </c>
      <c r="D34" s="192" t="str">
        <f t="shared" si="0"/>
        <v>NA</v>
      </c>
      <c r="E34" s="188" t="s">
        <v>143</v>
      </c>
      <c r="F34" s="190" t="s">
        <v>143</v>
      </c>
      <c r="G34" s="190" t="str">
        <f t="shared" si="1"/>
        <v>NA</v>
      </c>
      <c r="H34" s="191" t="str">
        <f t="shared" si="2"/>
        <v>NA</v>
      </c>
    </row>
    <row r="35" spans="1:8" ht="18" thickBot="1">
      <c r="A35" s="186" t="s">
        <v>341</v>
      </c>
      <c r="B35" s="187" t="s">
        <v>143</v>
      </c>
      <c r="C35" s="188" t="s">
        <v>143</v>
      </c>
      <c r="D35" s="192" t="str">
        <f t="shared" si="0"/>
        <v>NA</v>
      </c>
      <c r="E35" s="189">
        <v>3.2000000000000002E-3</v>
      </c>
      <c r="F35" s="190">
        <v>9.9000000000000008E-3</v>
      </c>
      <c r="G35" s="190">
        <f t="shared" si="1"/>
        <v>0.3232323232323232</v>
      </c>
      <c r="H35" s="191" t="str">
        <f t="shared" si="2"/>
        <v>NA</v>
      </c>
    </row>
    <row r="36" spans="1:8" ht="18" thickBot="1">
      <c r="A36" s="186" t="s">
        <v>183</v>
      </c>
      <c r="B36" s="187">
        <v>0.19389999999999999</v>
      </c>
      <c r="C36" s="188" t="s">
        <v>143</v>
      </c>
      <c r="D36" s="192" t="str">
        <f t="shared" si="0"/>
        <v>NA</v>
      </c>
      <c r="E36" s="189">
        <v>3.3999999999999998E-3</v>
      </c>
      <c r="F36" s="190">
        <v>4.0599999999999997E-2</v>
      </c>
      <c r="G36" s="190">
        <f t="shared" si="1"/>
        <v>8.3743842364532015E-2</v>
      </c>
      <c r="H36" s="191">
        <f t="shared" si="2"/>
        <v>2.3153941176470587</v>
      </c>
    </row>
    <row r="37" spans="1:8" ht="18" thickBot="1">
      <c r="A37" s="186" t="s">
        <v>120</v>
      </c>
      <c r="B37" s="187">
        <v>0.28599999999999998</v>
      </c>
      <c r="C37" s="188" t="s">
        <v>143</v>
      </c>
      <c r="D37" s="192" t="str">
        <f t="shared" si="0"/>
        <v>NA</v>
      </c>
      <c r="E37" s="189">
        <v>2.5000000000000001E-3</v>
      </c>
      <c r="F37" s="190">
        <v>7.4999999999999997E-3</v>
      </c>
      <c r="G37" s="190">
        <f t="shared" si="1"/>
        <v>0.33333333333333337</v>
      </c>
      <c r="H37" s="191">
        <f t="shared" si="2"/>
        <v>0.85799999999999987</v>
      </c>
    </row>
    <row r="38" spans="1:8" ht="18" thickBot="1">
      <c r="A38" s="186" t="s">
        <v>342</v>
      </c>
      <c r="B38" s="187">
        <v>9.1499999999999998E-2</v>
      </c>
      <c r="C38" s="188" t="s">
        <v>143</v>
      </c>
      <c r="D38" s="192" t="str">
        <f t="shared" si="0"/>
        <v>NA</v>
      </c>
      <c r="E38" s="188" t="s">
        <v>143</v>
      </c>
      <c r="F38" s="190" t="s">
        <v>143</v>
      </c>
      <c r="G38" s="190" t="str">
        <f t="shared" si="1"/>
        <v>NA</v>
      </c>
      <c r="H38" s="191" t="str">
        <f t="shared" si="2"/>
        <v>NA</v>
      </c>
    </row>
    <row r="39" spans="1:8" ht="18" thickBot="1">
      <c r="A39" s="186" t="s">
        <v>121</v>
      </c>
      <c r="B39" s="187">
        <v>0.25919999999999999</v>
      </c>
      <c r="C39" s="188" t="s">
        <v>143</v>
      </c>
      <c r="D39" s="192" t="str">
        <f t="shared" si="0"/>
        <v>NA</v>
      </c>
      <c r="E39" s="189">
        <v>1.1000000000000001E-3</v>
      </c>
      <c r="F39" s="190">
        <v>9.2999999999999992E-3</v>
      </c>
      <c r="G39" s="190">
        <f t="shared" si="1"/>
        <v>0.11827956989247314</v>
      </c>
      <c r="H39" s="191">
        <f t="shared" si="2"/>
        <v>2.1914181818181815</v>
      </c>
    </row>
    <row r="40" spans="1:8" ht="18" thickBot="1">
      <c r="A40" s="186" t="s">
        <v>122</v>
      </c>
      <c r="B40" s="187">
        <v>0.15140000000000001</v>
      </c>
      <c r="C40" s="189">
        <v>0.12989999999999999</v>
      </c>
      <c r="D40" s="192">
        <f t="shared" si="0"/>
        <v>1.1655119322555814</v>
      </c>
      <c r="E40" s="189" t="s">
        <v>143</v>
      </c>
      <c r="F40" s="190" t="s">
        <v>143</v>
      </c>
      <c r="G40" s="190" t="str">
        <f t="shared" si="1"/>
        <v>NA</v>
      </c>
      <c r="H40" s="191" t="str">
        <f t="shared" si="2"/>
        <v>NA</v>
      </c>
    </row>
    <row r="41" spans="1:8" ht="18" thickBot="1">
      <c r="A41" s="186" t="s">
        <v>13</v>
      </c>
      <c r="B41" s="187">
        <v>0.16489999999999999</v>
      </c>
      <c r="C41" s="189">
        <v>0.16980000000000001</v>
      </c>
      <c r="D41" s="192">
        <f t="shared" si="0"/>
        <v>0.97114252061248518</v>
      </c>
      <c r="E41" s="189">
        <v>1.1999999999999999E-3</v>
      </c>
      <c r="F41" s="190">
        <v>8.9999999999999993E-3</v>
      </c>
      <c r="G41" s="190">
        <f t="shared" si="1"/>
        <v>0.13333333333333333</v>
      </c>
      <c r="H41" s="191">
        <f t="shared" si="2"/>
        <v>1.23675</v>
      </c>
    </row>
    <row r="42" spans="1:8" ht="18" thickBot="1">
      <c r="A42" s="186" t="s">
        <v>146</v>
      </c>
      <c r="B42" s="187">
        <v>0.25530000000000003</v>
      </c>
      <c r="C42" s="188" t="s">
        <v>143</v>
      </c>
      <c r="D42" s="192" t="str">
        <f t="shared" si="0"/>
        <v>NA</v>
      </c>
      <c r="E42" s="188" t="s">
        <v>143</v>
      </c>
      <c r="F42" s="190" t="s">
        <v>143</v>
      </c>
      <c r="G42" s="190" t="str">
        <f t="shared" si="1"/>
        <v>NA</v>
      </c>
      <c r="H42" s="191" t="str">
        <f t="shared" si="2"/>
        <v>NA</v>
      </c>
    </row>
    <row r="43" spans="1:8" ht="18" thickBot="1">
      <c r="A43" s="186" t="s">
        <v>14</v>
      </c>
      <c r="B43" s="187">
        <v>0.19589999999999999</v>
      </c>
      <c r="C43" s="189">
        <v>7.0400000000000004E-2</v>
      </c>
      <c r="D43" s="192">
        <f t="shared" si="0"/>
        <v>2.7826704545454541</v>
      </c>
      <c r="E43" s="189">
        <v>4.4999999999999997E-3</v>
      </c>
      <c r="F43" s="190">
        <v>7.0000000000000001E-3</v>
      </c>
      <c r="G43" s="190">
        <f t="shared" si="1"/>
        <v>0.64285714285714279</v>
      </c>
      <c r="H43" s="191">
        <f t="shared" si="2"/>
        <v>0.30473333333333336</v>
      </c>
    </row>
    <row r="44" spans="1:8" ht="18" thickBot="1">
      <c r="A44" s="186" t="s">
        <v>185</v>
      </c>
      <c r="B44" s="187">
        <v>0.14299999999999999</v>
      </c>
      <c r="C44" s="189" t="s">
        <v>143</v>
      </c>
      <c r="D44" s="192" t="str">
        <f t="shared" si="0"/>
        <v>NA</v>
      </c>
      <c r="E44" s="190" t="s">
        <v>143</v>
      </c>
      <c r="F44" s="190" t="s">
        <v>143</v>
      </c>
      <c r="G44" s="190" t="str">
        <f t="shared" si="1"/>
        <v>NA</v>
      </c>
      <c r="H44" s="191" t="str">
        <f t="shared" si="2"/>
        <v>NA</v>
      </c>
    </row>
    <row r="45" spans="1:8" ht="18" thickBot="1">
      <c r="A45" s="186" t="s">
        <v>15</v>
      </c>
      <c r="B45" s="187">
        <v>0.2346</v>
      </c>
      <c r="C45" s="188" t="s">
        <v>143</v>
      </c>
      <c r="D45" s="192" t="str">
        <f t="shared" si="0"/>
        <v>NA</v>
      </c>
      <c r="E45" s="190" t="s">
        <v>143</v>
      </c>
      <c r="F45" s="190" t="s">
        <v>143</v>
      </c>
      <c r="G45" s="190" t="str">
        <f t="shared" si="1"/>
        <v>NA</v>
      </c>
      <c r="H45" s="191" t="str">
        <f t="shared" si="2"/>
        <v>NA</v>
      </c>
    </row>
    <row r="46" spans="1:8" ht="18" thickBot="1">
      <c r="A46" s="186" t="s">
        <v>16</v>
      </c>
      <c r="B46" s="187">
        <v>0.25119999999999998</v>
      </c>
      <c r="C46" s="189">
        <v>0.1721</v>
      </c>
      <c r="D46" s="192">
        <f t="shared" si="0"/>
        <v>1.4596165020337011</v>
      </c>
      <c r="E46" s="189">
        <v>4.3E-3</v>
      </c>
      <c r="F46" s="190">
        <v>1.4500000000000001E-2</v>
      </c>
      <c r="G46" s="190">
        <f t="shared" si="1"/>
        <v>0.29655172413793102</v>
      </c>
      <c r="H46" s="191">
        <f t="shared" si="2"/>
        <v>0.84706976744186047</v>
      </c>
    </row>
    <row r="47" spans="1:8" ht="18" thickBot="1">
      <c r="A47" s="186" t="s">
        <v>63</v>
      </c>
      <c r="B47" s="187">
        <v>0.18990000000000001</v>
      </c>
      <c r="C47" s="188" t="s">
        <v>143</v>
      </c>
      <c r="D47" s="192" t="str">
        <f t="shared" si="0"/>
        <v>NA</v>
      </c>
      <c r="E47" s="190" t="s">
        <v>143</v>
      </c>
      <c r="F47" s="190" t="s">
        <v>143</v>
      </c>
      <c r="G47" s="190" t="str">
        <f t="shared" si="1"/>
        <v>NA</v>
      </c>
      <c r="H47" s="191" t="str">
        <f t="shared" si="2"/>
        <v>NA</v>
      </c>
    </row>
    <row r="48" spans="1:8" ht="18" thickBot="1">
      <c r="A48" s="186" t="s">
        <v>8</v>
      </c>
      <c r="B48" s="187">
        <v>0.16300000000000001</v>
      </c>
      <c r="C48" s="188" t="s">
        <v>143</v>
      </c>
      <c r="D48" s="192" t="str">
        <f t="shared" si="0"/>
        <v>NA</v>
      </c>
      <c r="E48" s="190" t="s">
        <v>143</v>
      </c>
      <c r="F48" s="190" t="s">
        <v>143</v>
      </c>
      <c r="G48" s="190" t="str">
        <f t="shared" si="1"/>
        <v>NA</v>
      </c>
      <c r="H48" s="191" t="str">
        <f t="shared" si="2"/>
        <v>NA</v>
      </c>
    </row>
    <row r="49" spans="1:8" ht="18" thickBot="1">
      <c r="A49" s="186" t="s">
        <v>18</v>
      </c>
      <c r="B49" s="187">
        <v>0.20150000000000001</v>
      </c>
      <c r="C49" s="188" t="s">
        <v>143</v>
      </c>
      <c r="D49" s="192" t="str">
        <f t="shared" si="0"/>
        <v>NA</v>
      </c>
      <c r="E49" s="189">
        <v>3.5999999999999999E-3</v>
      </c>
      <c r="F49" s="190">
        <v>1.5599999999999999E-2</v>
      </c>
      <c r="G49" s="190">
        <f t="shared" si="1"/>
        <v>0.23076923076923078</v>
      </c>
      <c r="H49" s="191">
        <f t="shared" si="2"/>
        <v>0.87316666666666665</v>
      </c>
    </row>
    <row r="50" spans="1:8" ht="18" thickBot="1">
      <c r="A50" s="186" t="s">
        <v>136</v>
      </c>
      <c r="B50" s="187">
        <v>8.9499999999999996E-2</v>
      </c>
      <c r="C50" s="188" t="s">
        <v>143</v>
      </c>
      <c r="D50" s="192" t="str">
        <f t="shared" si="0"/>
        <v>NA</v>
      </c>
      <c r="E50" s="188" t="s">
        <v>143</v>
      </c>
      <c r="F50" s="190" t="s">
        <v>143</v>
      </c>
      <c r="G50" s="190" t="str">
        <f t="shared" si="1"/>
        <v>NA</v>
      </c>
      <c r="H50" s="191" t="str">
        <f t="shared" si="2"/>
        <v>NA</v>
      </c>
    </row>
    <row r="51" spans="1:8" ht="18" thickBot="1">
      <c r="A51" s="186" t="s">
        <v>187</v>
      </c>
      <c r="B51" s="187">
        <v>0.18290000000000001</v>
      </c>
      <c r="C51" s="189">
        <v>0.2056</v>
      </c>
      <c r="D51" s="192">
        <f t="shared" si="0"/>
        <v>0.88959143968871601</v>
      </c>
      <c r="E51" s="189">
        <v>4.0000000000000001E-3</v>
      </c>
      <c r="F51" s="190">
        <v>3.5900000000000001E-2</v>
      </c>
      <c r="G51" s="190">
        <f t="shared" si="1"/>
        <v>0.11142061281337047</v>
      </c>
      <c r="H51" s="191">
        <f t="shared" si="2"/>
        <v>1.6415275</v>
      </c>
    </row>
    <row r="52" spans="1:8" ht="18" thickBot="1">
      <c r="A52" s="186" t="s">
        <v>24</v>
      </c>
      <c r="B52" s="187">
        <v>0.1135</v>
      </c>
      <c r="C52" s="188" t="s">
        <v>143</v>
      </c>
      <c r="D52" s="192" t="str">
        <f t="shared" si="0"/>
        <v>NA</v>
      </c>
      <c r="E52" s="189">
        <v>3.2000000000000002E-3</v>
      </c>
      <c r="F52" s="190">
        <v>3.9E-2</v>
      </c>
      <c r="G52" s="190">
        <f t="shared" si="1"/>
        <v>8.2051282051282051E-2</v>
      </c>
      <c r="H52" s="191">
        <f t="shared" si="2"/>
        <v>1.38328125</v>
      </c>
    </row>
    <row r="53" spans="1:8" ht="18" thickBot="1">
      <c r="A53" s="186" t="s">
        <v>25</v>
      </c>
      <c r="B53" s="187">
        <v>0.26569999999999999</v>
      </c>
      <c r="C53" s="189">
        <v>0.1404</v>
      </c>
      <c r="D53" s="192">
        <f t="shared" si="0"/>
        <v>1.8924501424501425</v>
      </c>
      <c r="E53" s="189">
        <v>2.7000000000000001E-3</v>
      </c>
      <c r="F53" s="190">
        <v>4.5100000000000001E-2</v>
      </c>
      <c r="G53" s="190">
        <f t="shared" si="1"/>
        <v>5.9866962305986697E-2</v>
      </c>
      <c r="H53" s="191">
        <f t="shared" si="2"/>
        <v>4.438174074074074</v>
      </c>
    </row>
    <row r="54" spans="1:8" ht="18" thickBot="1">
      <c r="A54" s="186" t="s">
        <v>343</v>
      </c>
      <c r="B54" s="187">
        <v>8.3500000000000005E-2</v>
      </c>
      <c r="C54" s="188" t="s">
        <v>143</v>
      </c>
      <c r="D54" s="192" t="str">
        <f t="shared" si="0"/>
        <v>NA</v>
      </c>
      <c r="E54" s="188" t="s">
        <v>143</v>
      </c>
      <c r="F54" s="190" t="s">
        <v>143</v>
      </c>
      <c r="G54" s="190" t="str">
        <f t="shared" si="1"/>
        <v>NA</v>
      </c>
      <c r="H54" s="191" t="str">
        <f t="shared" si="2"/>
        <v>NA</v>
      </c>
    </row>
    <row r="55" spans="1:8" ht="18" thickBot="1">
      <c r="A55" s="186" t="s">
        <v>26</v>
      </c>
      <c r="B55" s="187">
        <v>0.1082</v>
      </c>
      <c r="C55" s="188" t="s">
        <v>143</v>
      </c>
      <c r="D55" s="192" t="str">
        <f t="shared" si="0"/>
        <v>NA</v>
      </c>
      <c r="E55" s="189">
        <v>3.2000000000000002E-3</v>
      </c>
      <c r="F55" s="190">
        <v>9.4999999999999998E-3</v>
      </c>
      <c r="G55" s="190">
        <f t="shared" si="1"/>
        <v>0.33684210526315794</v>
      </c>
      <c r="H55" s="191">
        <f t="shared" si="2"/>
        <v>0.32121874999999994</v>
      </c>
    </row>
    <row r="56" spans="1:8" ht="18" thickBot="1">
      <c r="A56" s="186" t="s">
        <v>28</v>
      </c>
      <c r="B56" s="187">
        <v>0.21560000000000001</v>
      </c>
      <c r="C56" s="189">
        <v>0.2477</v>
      </c>
      <c r="D56" s="192">
        <f t="shared" si="0"/>
        <v>0.87040775131207104</v>
      </c>
      <c r="E56" s="189">
        <v>3.2000000000000002E-3</v>
      </c>
      <c r="F56" s="190">
        <v>1.04E-2</v>
      </c>
      <c r="G56" s="190">
        <f t="shared" si="1"/>
        <v>0.30769230769230771</v>
      </c>
      <c r="H56" s="191">
        <f t="shared" si="2"/>
        <v>0.70069999999999999</v>
      </c>
    </row>
    <row r="57" spans="1:8" ht="18" thickBot="1">
      <c r="A57" s="186" t="s">
        <v>29</v>
      </c>
      <c r="B57" s="187">
        <v>0.3362</v>
      </c>
      <c r="C57" s="189">
        <v>0.29830000000000001</v>
      </c>
      <c r="D57" s="192">
        <f t="shared" si="0"/>
        <v>1.1270533020449212</v>
      </c>
      <c r="E57" s="189">
        <v>4.1999999999999997E-3</v>
      </c>
      <c r="F57" s="190">
        <v>6.7000000000000002E-3</v>
      </c>
      <c r="G57" s="190">
        <f t="shared" si="1"/>
        <v>0.62686567164179097</v>
      </c>
      <c r="H57" s="191">
        <f t="shared" si="2"/>
        <v>0.5363190476190477</v>
      </c>
    </row>
    <row r="58" spans="1:8" ht="18" thickBot="1">
      <c r="A58" s="186" t="s">
        <v>74</v>
      </c>
      <c r="B58" s="187">
        <v>0.18629999999999999</v>
      </c>
      <c r="C58" s="188" t="s">
        <v>143</v>
      </c>
      <c r="D58" s="192" t="str">
        <f t="shared" si="0"/>
        <v>NA</v>
      </c>
      <c r="E58" s="189">
        <v>4.4999999999999997E-3</v>
      </c>
      <c r="F58" s="190">
        <v>7.4000000000000003E-3</v>
      </c>
      <c r="G58" s="190">
        <f t="shared" si="1"/>
        <v>0.608108108108108</v>
      </c>
      <c r="H58" s="191">
        <f t="shared" si="2"/>
        <v>0.30636000000000002</v>
      </c>
    </row>
    <row r="59" spans="1:8" ht="18" thickBot="1">
      <c r="A59" s="186" t="s">
        <v>0</v>
      </c>
      <c r="B59" s="187">
        <v>0.2424</v>
      </c>
      <c r="C59" s="189">
        <v>0.2364</v>
      </c>
      <c r="D59" s="192">
        <f t="shared" si="0"/>
        <v>1.0253807106598984</v>
      </c>
      <c r="E59" s="189">
        <v>4.3E-3</v>
      </c>
      <c r="F59" s="190">
        <v>1.2200000000000001E-2</v>
      </c>
      <c r="G59" s="190">
        <f t="shared" si="1"/>
        <v>0.35245901639344263</v>
      </c>
      <c r="H59" s="191">
        <f t="shared" si="2"/>
        <v>0.68773953488372097</v>
      </c>
    </row>
    <row r="60" spans="1:8" ht="18" thickBot="1">
      <c r="A60" s="186" t="s">
        <v>1</v>
      </c>
      <c r="B60" s="187">
        <v>0.2591</v>
      </c>
      <c r="C60" s="189">
        <v>0.1726</v>
      </c>
      <c r="D60" s="192">
        <f t="shared" si="0"/>
        <v>1.5011587485515643</v>
      </c>
      <c r="E60" s="189">
        <v>5.5999999999999999E-3</v>
      </c>
      <c r="F60" s="190">
        <v>1.47E-2</v>
      </c>
      <c r="G60" s="190">
        <f t="shared" si="1"/>
        <v>0.38095238095238099</v>
      </c>
      <c r="H60" s="191">
        <f t="shared" si="2"/>
        <v>0.68013749999999995</v>
      </c>
    </row>
    <row r="61" spans="1:8" ht="18" thickBot="1">
      <c r="A61" s="186" t="s">
        <v>226</v>
      </c>
      <c r="B61" s="187" t="s">
        <v>143</v>
      </c>
      <c r="C61" s="188" t="s">
        <v>143</v>
      </c>
      <c r="D61" s="192" t="str">
        <f t="shared" si="0"/>
        <v>NA</v>
      </c>
      <c r="E61" s="189">
        <v>4.7000000000000002E-3</v>
      </c>
      <c r="F61" s="190">
        <v>3.7199999999999997E-2</v>
      </c>
      <c r="G61" s="190">
        <f t="shared" si="1"/>
        <v>0.1263440860215054</v>
      </c>
      <c r="H61" s="191" t="str">
        <f t="shared" si="2"/>
        <v>NA</v>
      </c>
    </row>
    <row r="62" spans="1:8" ht="18" thickBot="1">
      <c r="A62" s="186" t="s">
        <v>2</v>
      </c>
      <c r="B62" s="187">
        <v>0.17960000000000001</v>
      </c>
      <c r="C62" s="189">
        <v>0.27960000000000002</v>
      </c>
      <c r="D62" s="192">
        <f t="shared" si="0"/>
        <v>0.64234620886981397</v>
      </c>
      <c r="E62" s="189">
        <v>4.7000000000000002E-3</v>
      </c>
      <c r="F62" s="190">
        <v>1.12E-2</v>
      </c>
      <c r="G62" s="190">
        <f t="shared" si="1"/>
        <v>0.41964285714285715</v>
      </c>
      <c r="H62" s="191">
        <f t="shared" si="2"/>
        <v>0.42798297872340429</v>
      </c>
    </row>
    <row r="63" spans="1:8" ht="18" thickBot="1">
      <c r="A63" s="186" t="s">
        <v>135</v>
      </c>
      <c r="B63" s="187" t="s">
        <v>143</v>
      </c>
      <c r="C63" s="188" t="s">
        <v>143</v>
      </c>
      <c r="D63" s="192" t="str">
        <f t="shared" si="0"/>
        <v>NA</v>
      </c>
      <c r="E63" s="189">
        <v>5.4000000000000003E-3</v>
      </c>
      <c r="F63" s="190">
        <v>2.9399999999999999E-2</v>
      </c>
      <c r="G63" s="190">
        <f t="shared" si="1"/>
        <v>0.18367346938775511</v>
      </c>
      <c r="H63" s="191" t="str">
        <f t="shared" si="2"/>
        <v>NA</v>
      </c>
    </row>
    <row r="64" spans="1:8" ht="18" thickBot="1">
      <c r="A64" s="186" t="s">
        <v>147</v>
      </c>
      <c r="B64" s="187">
        <v>0.1074</v>
      </c>
      <c r="C64" s="188" t="s">
        <v>143</v>
      </c>
      <c r="D64" s="192" t="str">
        <f t="shared" si="0"/>
        <v>NA</v>
      </c>
      <c r="E64" s="189">
        <v>1.6000000000000001E-3</v>
      </c>
      <c r="F64" s="190">
        <v>1.61E-2</v>
      </c>
      <c r="G64" s="190">
        <f t="shared" si="1"/>
        <v>9.9378881987577647E-2</v>
      </c>
      <c r="H64" s="191">
        <f t="shared" si="2"/>
        <v>1.0807125</v>
      </c>
    </row>
    <row r="65" spans="1:8" ht="18" thickBot="1">
      <c r="A65" s="186" t="s">
        <v>3</v>
      </c>
      <c r="B65" s="187">
        <v>0.22750000000000001</v>
      </c>
      <c r="C65" s="188" t="s">
        <v>143</v>
      </c>
      <c r="D65" s="192" t="str">
        <f t="shared" si="0"/>
        <v>NA</v>
      </c>
      <c r="E65" s="188" t="s">
        <v>143</v>
      </c>
      <c r="F65" s="190" t="s">
        <v>143</v>
      </c>
      <c r="G65" s="190" t="str">
        <f t="shared" si="1"/>
        <v>NA</v>
      </c>
      <c r="H65" s="191" t="str">
        <f t="shared" si="2"/>
        <v>NA</v>
      </c>
    </row>
    <row r="66" spans="1:8" ht="18" thickBot="1">
      <c r="A66" s="186" t="s">
        <v>61</v>
      </c>
      <c r="B66" s="187">
        <v>0.2107</v>
      </c>
      <c r="C66" s="188" t="s">
        <v>143</v>
      </c>
      <c r="D66" s="192" t="str">
        <f t="shared" si="0"/>
        <v>NA</v>
      </c>
      <c r="E66" s="189">
        <v>2.2000000000000001E-3</v>
      </c>
      <c r="F66" s="190">
        <v>7.9000000000000008E-3</v>
      </c>
      <c r="G66" s="190">
        <f t="shared" si="1"/>
        <v>0.27848101265822783</v>
      </c>
      <c r="H66" s="191">
        <f t="shared" si="2"/>
        <v>0.75660454545454547</v>
      </c>
    </row>
    <row r="67" spans="1:8" ht="18" thickBot="1">
      <c r="A67" s="186" t="s">
        <v>189</v>
      </c>
      <c r="B67" s="187">
        <v>0.20749999999999999</v>
      </c>
      <c r="C67" s="189">
        <v>0.05</v>
      </c>
      <c r="D67" s="192">
        <f t="shared" si="0"/>
        <v>4.1499999999999995</v>
      </c>
      <c r="E67" s="189">
        <v>2.0999999999999999E-3</v>
      </c>
      <c r="F67" s="190">
        <v>1.06E-2</v>
      </c>
      <c r="G67" s="190">
        <f t="shared" si="1"/>
        <v>0.1981132075471698</v>
      </c>
      <c r="H67" s="191">
        <f t="shared" si="2"/>
        <v>1.0473809523809525</v>
      </c>
    </row>
    <row r="68" spans="1:8" ht="18" thickBot="1">
      <c r="A68" s="186" t="s">
        <v>76</v>
      </c>
      <c r="B68" s="187">
        <v>0.2999</v>
      </c>
      <c r="C68" s="189">
        <v>0.17860000000000001</v>
      </c>
      <c r="D68" s="192">
        <f t="shared" ref="D68:D81" si="3">IF(C68="NA","NA",IF(B68="NA","NA",B68/C68))</f>
        <v>1.6791713325867861</v>
      </c>
      <c r="E68" s="189">
        <v>2.5999999999999999E-3</v>
      </c>
      <c r="F68" s="190">
        <v>2.93E-2</v>
      </c>
      <c r="G68" s="190">
        <f t="shared" ref="G68:G81" si="4">IF(F68="NA","NA",E68/F68)</f>
        <v>8.8737201365187715E-2</v>
      </c>
      <c r="H68" s="191">
        <f t="shared" ref="H68:H81" si="5">IF(G68="NA","NA",IF(B68="NA","NA",B68/G68))</f>
        <v>3.3796423076923077</v>
      </c>
    </row>
    <row r="69" spans="1:8" ht="18" thickBot="1">
      <c r="A69" s="186" t="s">
        <v>134</v>
      </c>
      <c r="B69" s="187">
        <v>0.2671</v>
      </c>
      <c r="C69" s="188" t="s">
        <v>143</v>
      </c>
      <c r="D69" s="192" t="str">
        <f t="shared" si="3"/>
        <v>NA</v>
      </c>
      <c r="E69" s="189">
        <v>4.7999999999999996E-3</v>
      </c>
      <c r="F69" s="190">
        <v>0.12189999999999999</v>
      </c>
      <c r="G69" s="190">
        <f t="shared" si="4"/>
        <v>3.937653814602133E-2</v>
      </c>
      <c r="H69" s="191">
        <f t="shared" si="5"/>
        <v>6.7832270833333332</v>
      </c>
    </row>
    <row r="70" spans="1:8" ht="18" thickBot="1">
      <c r="A70" s="186" t="s">
        <v>64</v>
      </c>
      <c r="B70" s="187">
        <v>0.21510000000000001</v>
      </c>
      <c r="C70" s="188" t="s">
        <v>143</v>
      </c>
      <c r="D70" s="192" t="str">
        <f t="shared" si="3"/>
        <v>NA</v>
      </c>
      <c r="E70" s="188" t="s">
        <v>143</v>
      </c>
      <c r="F70" s="190" t="s">
        <v>143</v>
      </c>
      <c r="G70" s="190" t="str">
        <f t="shared" si="4"/>
        <v>NA</v>
      </c>
      <c r="H70" s="191" t="str">
        <f t="shared" si="5"/>
        <v>NA</v>
      </c>
    </row>
    <row r="71" spans="1:8" ht="18" thickBot="1">
      <c r="A71" s="186" t="s">
        <v>331</v>
      </c>
      <c r="B71" s="187">
        <v>0.1061</v>
      </c>
      <c r="C71" s="188" t="s">
        <v>143</v>
      </c>
      <c r="D71" s="192" t="str">
        <f t="shared" si="3"/>
        <v>NA</v>
      </c>
      <c r="E71" s="188" t="s">
        <v>143</v>
      </c>
      <c r="F71" s="190" t="s">
        <v>143</v>
      </c>
      <c r="G71" s="190" t="str">
        <f t="shared" si="4"/>
        <v>NA</v>
      </c>
      <c r="H71" s="191" t="str">
        <f t="shared" si="5"/>
        <v>NA</v>
      </c>
    </row>
    <row r="72" spans="1:8" ht="18" thickBot="1">
      <c r="A72" s="186" t="s">
        <v>65</v>
      </c>
      <c r="B72" s="187">
        <v>0.30120000000000002</v>
      </c>
      <c r="C72" s="189">
        <v>0.31009999999999999</v>
      </c>
      <c r="D72" s="192">
        <f t="shared" si="3"/>
        <v>0.97129958078039358</v>
      </c>
      <c r="E72" s="189">
        <v>3.7000000000000002E-3</v>
      </c>
      <c r="F72" s="190">
        <v>6.1999999999999998E-3</v>
      </c>
      <c r="G72" s="190">
        <f t="shared" si="4"/>
        <v>0.59677419354838712</v>
      </c>
      <c r="H72" s="191">
        <f t="shared" si="5"/>
        <v>0.50471351351351357</v>
      </c>
    </row>
    <row r="73" spans="1:8" ht="18" thickBot="1">
      <c r="A73" s="186" t="s">
        <v>77</v>
      </c>
      <c r="B73" s="187">
        <v>0.1057</v>
      </c>
      <c r="C73" s="188" t="s">
        <v>143</v>
      </c>
      <c r="D73" s="192" t="str">
        <f t="shared" si="3"/>
        <v>NA</v>
      </c>
      <c r="E73" s="189">
        <v>4.7999999999999996E-3</v>
      </c>
      <c r="F73" s="190">
        <v>4.8500000000000001E-2</v>
      </c>
      <c r="G73" s="190">
        <f t="shared" si="4"/>
        <v>9.8969072164948435E-2</v>
      </c>
      <c r="H73" s="191">
        <f t="shared" si="5"/>
        <v>1.0680104166666669</v>
      </c>
    </row>
    <row r="74" spans="1:8" ht="18" thickBot="1">
      <c r="A74" s="186" t="s">
        <v>66</v>
      </c>
      <c r="B74" s="187">
        <v>0.26300000000000001</v>
      </c>
      <c r="C74" s="189">
        <v>0.16220000000000001</v>
      </c>
      <c r="D74" s="192">
        <f t="shared" si="3"/>
        <v>1.6214549938347718</v>
      </c>
      <c r="E74" s="189">
        <v>5.1999999999999998E-3</v>
      </c>
      <c r="F74" s="190">
        <v>3.3099999999999997E-2</v>
      </c>
      <c r="G74" s="190">
        <f t="shared" si="4"/>
        <v>0.15709969788519637</v>
      </c>
      <c r="H74" s="191">
        <f t="shared" si="5"/>
        <v>1.6740961538461541</v>
      </c>
    </row>
    <row r="75" spans="1:8" ht="18" thickBot="1">
      <c r="A75" s="186" t="s">
        <v>344</v>
      </c>
      <c r="B75" s="187">
        <v>0.28199999999999997</v>
      </c>
      <c r="C75" s="188" t="s">
        <v>143</v>
      </c>
      <c r="D75" s="192" t="str">
        <f t="shared" si="3"/>
        <v>NA</v>
      </c>
      <c r="E75" s="188" t="s">
        <v>143</v>
      </c>
      <c r="F75" s="190" t="s">
        <v>143</v>
      </c>
      <c r="G75" s="190" t="str">
        <f t="shared" si="4"/>
        <v>NA</v>
      </c>
      <c r="H75" s="191" t="str">
        <f t="shared" si="5"/>
        <v>NA</v>
      </c>
    </row>
    <row r="76" spans="1:8" ht="18" thickBot="1">
      <c r="A76" s="186" t="s">
        <v>68</v>
      </c>
      <c r="B76" s="187">
        <v>5.9700000000000003E-2</v>
      </c>
      <c r="C76" s="189">
        <v>0.13339999999999999</v>
      </c>
      <c r="D76" s="192">
        <f t="shared" si="3"/>
        <v>0.44752623688155929</v>
      </c>
      <c r="E76" s="189">
        <v>3.5999999999999999E-3</v>
      </c>
      <c r="F76" s="190">
        <v>4.1799999999999997E-2</v>
      </c>
      <c r="G76" s="190">
        <f t="shared" si="4"/>
        <v>8.6124401913875603E-2</v>
      </c>
      <c r="H76" s="191">
        <f t="shared" si="5"/>
        <v>0.69318333333333337</v>
      </c>
    </row>
    <row r="77" spans="1:8" ht="18" thickBot="1">
      <c r="A77" s="186" t="s">
        <v>69</v>
      </c>
      <c r="B77" s="187" t="s">
        <v>143</v>
      </c>
      <c r="C77" s="188" t="s">
        <v>143</v>
      </c>
      <c r="D77" s="192" t="str">
        <f t="shared" si="3"/>
        <v>NA</v>
      </c>
      <c r="E77" s="189">
        <v>5.7999999999999996E-3</v>
      </c>
      <c r="F77" s="190">
        <v>1.2699999999999999E-2</v>
      </c>
      <c r="G77" s="190">
        <f t="shared" si="4"/>
        <v>0.45669291338582674</v>
      </c>
      <c r="H77" s="191" t="str">
        <f t="shared" si="5"/>
        <v>NA</v>
      </c>
    </row>
    <row r="78" spans="1:8" ht="18" thickBot="1">
      <c r="A78" s="193" t="s">
        <v>192</v>
      </c>
      <c r="B78" s="187">
        <v>0.33850000000000002</v>
      </c>
      <c r="C78" s="188" t="s">
        <v>143</v>
      </c>
      <c r="D78" s="192" t="str">
        <f t="shared" si="3"/>
        <v>NA</v>
      </c>
      <c r="E78" s="188" t="s">
        <v>143</v>
      </c>
      <c r="F78" s="190" t="s">
        <v>143</v>
      </c>
      <c r="G78" s="190" t="str">
        <f t="shared" si="4"/>
        <v>NA</v>
      </c>
      <c r="H78" s="191" t="str">
        <f t="shared" si="5"/>
        <v>NA</v>
      </c>
    </row>
    <row r="79" spans="1:8" ht="18" thickBot="1">
      <c r="A79" s="186" t="s">
        <v>70</v>
      </c>
      <c r="B79" s="187">
        <v>0.64980000000000004</v>
      </c>
      <c r="C79" s="188" t="s">
        <v>143</v>
      </c>
      <c r="D79" s="192" t="str">
        <f t="shared" si="3"/>
        <v>NA</v>
      </c>
      <c r="E79" s="188" t="s">
        <v>143</v>
      </c>
      <c r="F79" s="190" t="s">
        <v>143</v>
      </c>
      <c r="G79" s="190" t="str">
        <f t="shared" si="4"/>
        <v>NA</v>
      </c>
      <c r="H79" s="191" t="str">
        <f t="shared" si="5"/>
        <v>NA</v>
      </c>
    </row>
    <row r="80" spans="1:8" ht="18" thickBot="1">
      <c r="A80" s="186" t="s">
        <v>71</v>
      </c>
      <c r="B80" s="187">
        <v>0.26119999999999999</v>
      </c>
      <c r="C80" s="188" t="s">
        <v>143</v>
      </c>
      <c r="D80" s="192" t="str">
        <f t="shared" si="3"/>
        <v>NA</v>
      </c>
      <c r="E80" s="189">
        <v>3.2000000000000002E-3</v>
      </c>
      <c r="F80" s="190">
        <v>1.49E-2</v>
      </c>
      <c r="G80" s="190">
        <f t="shared" si="4"/>
        <v>0.21476510067114096</v>
      </c>
      <c r="H80" s="191">
        <f t="shared" si="5"/>
        <v>1.2162124999999999</v>
      </c>
    </row>
    <row r="81" spans="1:8" ht="18" thickBot="1">
      <c r="A81" s="186" t="s">
        <v>191</v>
      </c>
      <c r="B81" s="187" t="s">
        <v>143</v>
      </c>
      <c r="C81" s="188" t="s">
        <v>143</v>
      </c>
      <c r="D81" s="192" t="str">
        <f t="shared" si="3"/>
        <v>NA</v>
      </c>
      <c r="E81" s="189">
        <v>5.4000000000000003E-3</v>
      </c>
      <c r="F81" s="190" t="s">
        <v>143</v>
      </c>
      <c r="G81" s="190" t="str">
        <f t="shared" si="4"/>
        <v>NA</v>
      </c>
      <c r="H81" s="191" t="str">
        <f t="shared" si="5"/>
        <v>NA</v>
      </c>
    </row>
    <row r="82" spans="1:8" ht="18" thickBot="1">
      <c r="A82" s="186" t="s">
        <v>148</v>
      </c>
      <c r="B82" s="194"/>
      <c r="C82" s="195"/>
      <c r="D82" s="191">
        <f>AVERAGE(D4:D81)</f>
        <v>1.8068743864633241</v>
      </c>
      <c r="E82" s="195"/>
      <c r="F82" s="196"/>
      <c r="G82" s="188"/>
      <c r="H82" s="191">
        <f>AVERAGE(H4:H81)</f>
        <v>1.3522063982964265</v>
      </c>
    </row>
    <row r="83" spans="1:8" ht="18" thickBot="1">
      <c r="A83" s="186" t="s">
        <v>149</v>
      </c>
      <c r="B83" s="194"/>
      <c r="C83" s="195"/>
      <c r="D83" s="191">
        <f>MEDIAN(D4:D81)</f>
        <v>1.4803876252926327</v>
      </c>
      <c r="E83" s="195"/>
      <c r="F83" s="196"/>
      <c r="G83" s="188"/>
      <c r="H83" s="191">
        <f>MEDIAN(H4:H81)</f>
        <v>1.0268709677419354</v>
      </c>
    </row>
    <row r="84" spans="1:8" ht="20" thickBot="1">
      <c r="A84" s="155" t="s">
        <v>149</v>
      </c>
      <c r="B84" s="156"/>
      <c r="C84" s="156"/>
      <c r="D84" s="157">
        <f>MEDIAN(D4:D83)</f>
        <v>1.4907731869220986</v>
      </c>
      <c r="E84" s="158"/>
      <c r="F84" s="158"/>
      <c r="G84" s="159"/>
      <c r="H84" s="160">
        <f>MEDIAN(H4:H83)</f>
        <v>1.0268709677419354</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67"/>
  <sheetViews>
    <sheetView topLeftCell="A151" workbookViewId="0">
      <selection activeCell="B158" sqref="B158"/>
    </sheetView>
  </sheetViews>
  <sheetFormatPr baseColWidth="10" defaultRowHeight="16"/>
  <cols>
    <col min="1" max="1" width="26.5" style="20" bestFit="1" customWidth="1"/>
    <col min="2" max="2" width="26.5" style="222" customWidth="1"/>
    <col min="3" max="3" width="7.5" customWidth="1"/>
    <col min="4" max="4" width="11" bestFit="1" customWidth="1"/>
    <col min="5" max="5" width="23.33203125" customWidth="1"/>
    <col min="6" max="6" width="28" customWidth="1"/>
  </cols>
  <sheetData>
    <row r="1" spans="1:8" s="1" customFormat="1" ht="17">
      <c r="A1" s="49" t="s">
        <v>75</v>
      </c>
      <c r="B1" s="220" t="s">
        <v>587</v>
      </c>
      <c r="E1" t="s">
        <v>530</v>
      </c>
      <c r="F1" s="244" t="s">
        <v>657</v>
      </c>
      <c r="G1"/>
      <c r="H1"/>
    </row>
    <row r="2" spans="1:8">
      <c r="A2" s="50" t="s">
        <v>271</v>
      </c>
      <c r="B2" s="221">
        <v>299500</v>
      </c>
      <c r="E2" t="s">
        <v>383</v>
      </c>
      <c r="F2" s="245">
        <v>14266.499429874573</v>
      </c>
    </row>
    <row r="3" spans="1:8">
      <c r="A3" s="50" t="s">
        <v>4</v>
      </c>
      <c r="B3" s="221">
        <f>VLOOKUP(A3,$E$2:$F$214,2,FALSE)</f>
        <v>18916.37886054883</v>
      </c>
      <c r="C3" s="32" t="s">
        <v>253</v>
      </c>
      <c r="D3" s="101" t="s">
        <v>254</v>
      </c>
      <c r="E3" t="s">
        <v>531</v>
      </c>
      <c r="F3" s="245">
        <v>1185137.7036509912</v>
      </c>
    </row>
    <row r="4" spans="1:8">
      <c r="A4" s="50" t="s">
        <v>285</v>
      </c>
      <c r="B4" s="221">
        <v>3330</v>
      </c>
      <c r="C4" s="32" t="s">
        <v>293</v>
      </c>
      <c r="D4" s="32">
        <v>2022</v>
      </c>
      <c r="E4" t="s">
        <v>532</v>
      </c>
      <c r="F4" s="246">
        <v>875393.69365808449</v>
      </c>
    </row>
    <row r="5" spans="1:8">
      <c r="A5" s="50" t="s">
        <v>131</v>
      </c>
      <c r="B5" s="221">
        <f t="shared" ref="B5:B11" si="0">VLOOKUP(A5,$E$2:$F$214,2,FALSE)</f>
        <v>106782.77071461857</v>
      </c>
      <c r="E5" t="s">
        <v>4</v>
      </c>
      <c r="F5" s="245">
        <v>18916.37886054883</v>
      </c>
    </row>
    <row r="6" spans="1:8">
      <c r="A6" s="50" t="s">
        <v>84</v>
      </c>
      <c r="B6" s="221">
        <f t="shared" si="0"/>
        <v>631133.38443994441</v>
      </c>
      <c r="E6" t="s">
        <v>336</v>
      </c>
      <c r="F6" s="245">
        <v>194998.44976908513</v>
      </c>
    </row>
    <row r="7" spans="1:8">
      <c r="A7" s="50" t="s">
        <v>19</v>
      </c>
      <c r="B7" s="221">
        <f t="shared" si="0"/>
        <v>19513.474648242936</v>
      </c>
      <c r="E7" t="s">
        <v>438</v>
      </c>
      <c r="F7" s="245">
        <v>871</v>
      </c>
    </row>
    <row r="8" spans="1:8">
      <c r="A8" s="50" t="s">
        <v>200</v>
      </c>
      <c r="B8" s="221">
        <f t="shared" si="0"/>
        <v>3544.7077880566426</v>
      </c>
      <c r="E8" t="s">
        <v>196</v>
      </c>
      <c r="F8" s="245">
        <v>3352.031094229143</v>
      </c>
    </row>
    <row r="9" spans="1:8">
      <c r="A9" s="50" t="s">
        <v>85</v>
      </c>
      <c r="B9" s="221">
        <f t="shared" si="0"/>
        <v>1692956.6468557017</v>
      </c>
      <c r="E9" t="s">
        <v>131</v>
      </c>
      <c r="F9" s="245">
        <v>106782.77071461857</v>
      </c>
    </row>
    <row r="10" spans="1:8">
      <c r="A10" s="50" t="s">
        <v>175</v>
      </c>
      <c r="B10" s="221">
        <f t="shared" si="0"/>
        <v>470941.92675074114</v>
      </c>
      <c r="E10" t="s">
        <v>403</v>
      </c>
      <c r="F10" s="245">
        <v>1867.7333333333333</v>
      </c>
    </row>
    <row r="11" spans="1:8">
      <c r="A11" s="50" t="s">
        <v>20</v>
      </c>
      <c r="B11" s="221">
        <f t="shared" si="0"/>
        <v>78721.058823529398</v>
      </c>
      <c r="E11" t="s">
        <v>533</v>
      </c>
      <c r="F11" s="245">
        <v>3543339.785306036</v>
      </c>
    </row>
    <row r="12" spans="1:8">
      <c r="A12" s="50" t="s">
        <v>86</v>
      </c>
      <c r="B12" s="221">
        <v>11210</v>
      </c>
      <c r="E12" t="s">
        <v>84</v>
      </c>
      <c r="F12" s="246">
        <v>631133.38443994441</v>
      </c>
    </row>
    <row r="13" spans="1:8">
      <c r="A13" s="50" t="s">
        <v>87</v>
      </c>
      <c r="B13" s="221">
        <f t="shared" ref="B13:B29" si="1">VLOOKUP(A13,$E$2:$F$214,2,FALSE)</f>
        <v>44383.297872340423</v>
      </c>
      <c r="E13" t="s">
        <v>19</v>
      </c>
      <c r="F13" s="245">
        <v>19513.474648242936</v>
      </c>
    </row>
    <row r="14" spans="1:8">
      <c r="A14" s="50" t="s">
        <v>132</v>
      </c>
      <c r="B14" s="221">
        <f t="shared" si="1"/>
        <v>460201.26552797732</v>
      </c>
      <c r="E14" t="s">
        <v>200</v>
      </c>
      <c r="F14" s="246">
        <v>3544.7077880566426</v>
      </c>
    </row>
    <row r="15" spans="1:8">
      <c r="A15" s="50" t="s">
        <v>88</v>
      </c>
      <c r="B15" s="221">
        <f t="shared" si="1"/>
        <v>5699.95</v>
      </c>
      <c r="E15" t="s">
        <v>85</v>
      </c>
      <c r="F15" s="245">
        <v>1692956.6468557017</v>
      </c>
    </row>
    <row r="16" spans="1:8">
      <c r="A16" s="50" t="s">
        <v>5</v>
      </c>
      <c r="B16" s="221">
        <f t="shared" si="1"/>
        <v>72793.457588436664</v>
      </c>
      <c r="E16" t="s">
        <v>175</v>
      </c>
      <c r="F16" s="245">
        <v>470941.92675074114</v>
      </c>
    </row>
    <row r="17" spans="1:6">
      <c r="A17" s="50" t="s">
        <v>176</v>
      </c>
      <c r="B17" s="221">
        <f t="shared" si="1"/>
        <v>583435.59557996341</v>
      </c>
      <c r="E17" t="s">
        <v>20</v>
      </c>
      <c r="F17" s="245">
        <v>78721.058823529398</v>
      </c>
    </row>
    <row r="18" spans="1:6">
      <c r="A18" s="50" t="s">
        <v>89</v>
      </c>
      <c r="B18" s="221">
        <f t="shared" si="1"/>
        <v>2830.5075756840952</v>
      </c>
      <c r="E18" t="s">
        <v>505</v>
      </c>
      <c r="F18" s="245">
        <v>12897.4</v>
      </c>
    </row>
    <row r="19" spans="1:6">
      <c r="A19" s="50" t="s">
        <v>207</v>
      </c>
      <c r="B19" s="221">
        <f t="shared" si="1"/>
        <v>17396.7926995489</v>
      </c>
      <c r="E19" t="s">
        <v>87</v>
      </c>
      <c r="F19" s="246">
        <v>44383.297872340423</v>
      </c>
    </row>
    <row r="20" spans="1:6">
      <c r="A20" s="50" t="s">
        <v>90</v>
      </c>
      <c r="B20" s="221">
        <f t="shared" si="1"/>
        <v>7546</v>
      </c>
      <c r="E20" t="s">
        <v>132</v>
      </c>
      <c r="F20" s="245">
        <v>460201.26552797732</v>
      </c>
    </row>
    <row r="21" spans="1:6">
      <c r="A21" s="50" t="s">
        <v>91</v>
      </c>
      <c r="B21" s="221">
        <f t="shared" si="1"/>
        <v>44008.282877960643</v>
      </c>
      <c r="E21" t="s">
        <v>88</v>
      </c>
      <c r="F21" s="245">
        <v>5699.95</v>
      </c>
    </row>
    <row r="22" spans="1:6">
      <c r="A22" s="50" t="s">
        <v>7</v>
      </c>
      <c r="B22" s="221">
        <f t="shared" si="1"/>
        <v>24473.906673708643</v>
      </c>
      <c r="E22" t="s">
        <v>5</v>
      </c>
      <c r="F22" s="245">
        <v>72793.457588436664</v>
      </c>
    </row>
    <row r="23" spans="1:6">
      <c r="A23" s="50" t="s">
        <v>123</v>
      </c>
      <c r="B23" s="221">
        <f t="shared" si="1"/>
        <v>20355.541962851221</v>
      </c>
      <c r="E23" t="s">
        <v>176</v>
      </c>
      <c r="F23" s="245">
        <v>583435.59557996341</v>
      </c>
    </row>
    <row r="24" spans="1:6">
      <c r="A24" s="50" t="s">
        <v>92</v>
      </c>
      <c r="B24" s="221">
        <f t="shared" si="1"/>
        <v>1920095.7790227288</v>
      </c>
      <c r="E24" t="s">
        <v>89</v>
      </c>
      <c r="F24" s="245">
        <v>2830.5075756840952</v>
      </c>
    </row>
    <row r="25" spans="1:6">
      <c r="A25" s="50" t="s">
        <v>94</v>
      </c>
      <c r="B25" s="221">
        <f t="shared" si="1"/>
        <v>90346.169914934857</v>
      </c>
      <c r="E25" t="s">
        <v>207</v>
      </c>
      <c r="F25" s="245">
        <v>17396.7926995489</v>
      </c>
    </row>
    <row r="26" spans="1:6">
      <c r="A26" s="50" t="s">
        <v>210</v>
      </c>
      <c r="B26" s="221">
        <f t="shared" si="1"/>
        <v>18820.064797837909</v>
      </c>
      <c r="E26" t="s">
        <v>90</v>
      </c>
      <c r="F26" s="245">
        <v>7546</v>
      </c>
    </row>
    <row r="27" spans="1:6">
      <c r="A27" s="50" t="s">
        <v>6</v>
      </c>
      <c r="B27" s="221">
        <f t="shared" si="1"/>
        <v>29504.829319316876</v>
      </c>
      <c r="E27" t="s">
        <v>397</v>
      </c>
      <c r="F27" s="245">
        <v>2768.0038725406534</v>
      </c>
    </row>
    <row r="28" spans="1:6">
      <c r="A28" s="50" t="s">
        <v>211</v>
      </c>
      <c r="B28" s="221">
        <f t="shared" si="1"/>
        <v>43644.068310851013</v>
      </c>
      <c r="E28" t="s">
        <v>91</v>
      </c>
      <c r="F28" s="245">
        <v>44008.282877960643</v>
      </c>
    </row>
    <row r="29" spans="1:6">
      <c r="A29" s="50" t="s">
        <v>95</v>
      </c>
      <c r="B29" s="221">
        <f t="shared" si="1"/>
        <v>2137939.2200749093</v>
      </c>
      <c r="E29" t="s">
        <v>7</v>
      </c>
      <c r="F29" s="245">
        <v>24473.906673708643</v>
      </c>
    </row>
    <row r="30" spans="1:6">
      <c r="A30" s="50" t="s">
        <v>212</v>
      </c>
      <c r="B30" s="221">
        <v>1936</v>
      </c>
      <c r="E30" t="s">
        <v>123</v>
      </c>
      <c r="F30" s="245">
        <v>20355.541962851221</v>
      </c>
    </row>
    <row r="31" spans="1:6">
      <c r="A31" s="50" t="s">
        <v>55</v>
      </c>
      <c r="B31" s="221">
        <f>VLOOKUP(A31,$E$2:$F$214,2,FALSE)</f>
        <v>6844.8273793095168</v>
      </c>
      <c r="E31" t="s">
        <v>92</v>
      </c>
      <c r="F31" s="245">
        <v>1920095.7790227288</v>
      </c>
    </row>
    <row r="32" spans="1:6">
      <c r="A32" s="50" t="s">
        <v>96</v>
      </c>
      <c r="B32" s="221">
        <f>VLOOKUP(A32,$E$2:$F$214,2,FALSE)</f>
        <v>301024.7249119234</v>
      </c>
      <c r="E32" t="s">
        <v>585</v>
      </c>
      <c r="F32" s="247" t="s">
        <v>143</v>
      </c>
    </row>
    <row r="33" spans="1:6">
      <c r="A33" s="50" t="s">
        <v>97</v>
      </c>
      <c r="B33" s="221">
        <f>VLOOKUP(A33,$E$2:$F$214,2,FALSE)</f>
        <v>17963171.479205329</v>
      </c>
      <c r="E33" t="s">
        <v>384</v>
      </c>
      <c r="F33" s="245">
        <v>16681.536466718298</v>
      </c>
    </row>
    <row r="34" spans="1:6">
      <c r="A34" s="50" t="s">
        <v>50</v>
      </c>
      <c r="B34" s="221">
        <f>VLOOKUP(A34,$E$2:$F$214,2,FALSE)</f>
        <v>343622.11456040916</v>
      </c>
      <c r="E34" t="s">
        <v>94</v>
      </c>
      <c r="F34" s="245">
        <v>90346.169914934857</v>
      </c>
    </row>
    <row r="35" spans="1:6">
      <c r="A35" s="50" t="s">
        <v>286</v>
      </c>
      <c r="B35" s="221">
        <f>F51</f>
        <v>64718.641221216043</v>
      </c>
      <c r="E35" t="s">
        <v>210</v>
      </c>
      <c r="F35" s="245">
        <v>18820.064797837909</v>
      </c>
    </row>
    <row r="36" spans="1:6">
      <c r="A36" s="50" t="s">
        <v>287</v>
      </c>
      <c r="B36" s="221">
        <v>14616</v>
      </c>
      <c r="E36" t="s">
        <v>393</v>
      </c>
      <c r="F36" s="245">
        <v>3338.7228276624137</v>
      </c>
    </row>
    <row r="37" spans="1:6">
      <c r="A37" s="50" t="s">
        <v>213</v>
      </c>
      <c r="B37" s="221">
        <v>1414</v>
      </c>
      <c r="E37" t="s">
        <v>506</v>
      </c>
      <c r="F37" s="246">
        <v>2226.8621340878681</v>
      </c>
    </row>
    <row r="38" spans="1:6">
      <c r="A38" s="50" t="s">
        <v>56</v>
      </c>
      <c r="B38" s="221">
        <f>VLOOKUP(A38,$E$2:$F$214,2,FALSE)</f>
        <v>69243.62602866962</v>
      </c>
      <c r="E38" t="s">
        <v>6</v>
      </c>
      <c r="F38" s="245">
        <v>29504.829319316876</v>
      </c>
    </row>
    <row r="39" spans="1:6">
      <c r="A39" s="50" t="s">
        <v>282</v>
      </c>
      <c r="B39" s="221">
        <v>70019</v>
      </c>
      <c r="E39" t="s">
        <v>211</v>
      </c>
      <c r="F39" s="245">
        <v>43644.068310851013</v>
      </c>
    </row>
    <row r="40" spans="1:6">
      <c r="A40" s="50" t="s">
        <v>98</v>
      </c>
      <c r="B40" s="221">
        <f>VLOOKUP(A40,$E$2:$F$214,2,FALSE)</f>
        <v>71600.049650194982</v>
      </c>
      <c r="E40" t="s">
        <v>95</v>
      </c>
      <c r="F40" s="246">
        <v>2137939.2200749093</v>
      </c>
    </row>
    <row r="41" spans="1:6">
      <c r="A41" s="50" t="s">
        <v>99</v>
      </c>
      <c r="B41" s="221">
        <f>VLOOKUP(A41,$E$2:$F$214,2,FALSE)</f>
        <v>633442.30000000005</v>
      </c>
      <c r="E41" t="s">
        <v>536</v>
      </c>
      <c r="F41" s="245">
        <v>94867.024971912921</v>
      </c>
    </row>
    <row r="42" spans="1:6">
      <c r="A42" s="50" t="s">
        <v>216</v>
      </c>
      <c r="B42" s="221">
        <f>VLOOKUP(A42,$E$2:$F$214,2,FALSE)</f>
        <v>3075.1808347241672</v>
      </c>
      <c r="E42" t="s">
        <v>55</v>
      </c>
      <c r="F42" s="245">
        <v>6844.8273793095168</v>
      </c>
    </row>
    <row r="43" spans="1:6">
      <c r="A43" s="50" t="s">
        <v>177</v>
      </c>
      <c r="B43" s="221">
        <f>VLOOKUP(A43,$E$2:$F$214,2,FALSE)</f>
        <v>29250.524418085472</v>
      </c>
      <c r="E43" t="s">
        <v>399</v>
      </c>
      <c r="F43" s="245">
        <v>2382.6186150169392</v>
      </c>
    </row>
    <row r="44" spans="1:6">
      <c r="A44" s="50" t="s">
        <v>101</v>
      </c>
      <c r="B44" s="221">
        <f>F59</f>
        <v>290527.55062722095</v>
      </c>
      <c r="E44" t="s">
        <v>534</v>
      </c>
      <c r="F44" s="245">
        <v>1944160.0928689791</v>
      </c>
    </row>
    <row r="45" spans="1:6">
      <c r="A45" s="50" t="s">
        <v>102</v>
      </c>
      <c r="B45" s="221">
        <f>VLOOKUP(A45,$E$2:$F$214,2,FALSE)</f>
        <v>400167.19694870739</v>
      </c>
      <c r="E45" t="s">
        <v>387</v>
      </c>
      <c r="F45" s="247">
        <v>12704.149840228298</v>
      </c>
    </row>
    <row r="46" spans="1:6">
      <c r="A46" s="50" t="s">
        <v>103</v>
      </c>
      <c r="B46" s="221">
        <f>VLOOKUP(A46,$E$2:$F$214,2,FALSE)</f>
        <v>113537.3681761303</v>
      </c>
      <c r="E46" t="s">
        <v>535</v>
      </c>
      <c r="F46" s="245">
        <v>11735.662219777198</v>
      </c>
    </row>
    <row r="47" spans="1:6">
      <c r="A47" s="50" t="s">
        <v>104</v>
      </c>
      <c r="B47" s="221">
        <f>VLOOKUP(A47,$E$2:$F$214,2,FALSE)</f>
        <v>115049.476</v>
      </c>
      <c r="E47" t="s">
        <v>96</v>
      </c>
      <c r="F47" s="245">
        <v>301024.7249119234</v>
      </c>
    </row>
    <row r="48" spans="1:6">
      <c r="A48" s="50" t="s">
        <v>105</v>
      </c>
      <c r="B48" s="221">
        <f>F69</f>
        <v>476747.72036474163</v>
      </c>
      <c r="E48" t="s">
        <v>97</v>
      </c>
      <c r="F48" s="245">
        <v>17963171.479205329</v>
      </c>
    </row>
    <row r="49" spans="1:6">
      <c r="A49" s="50" t="s">
        <v>31</v>
      </c>
      <c r="B49" s="221">
        <f t="shared" ref="B49:B60" si="2">VLOOKUP(A49,$E$2:$F$214,2,FALSE)</f>
        <v>32488.720000000001</v>
      </c>
      <c r="E49" t="s">
        <v>50</v>
      </c>
      <c r="F49" s="245">
        <v>343622.11456040916</v>
      </c>
    </row>
    <row r="50" spans="1:6">
      <c r="A50" s="50" t="s">
        <v>106</v>
      </c>
      <c r="B50" s="221">
        <f t="shared" si="2"/>
        <v>38100.8129585196</v>
      </c>
      <c r="E50" t="s">
        <v>411</v>
      </c>
      <c r="F50" s="245">
        <v>1242.5194072781496</v>
      </c>
    </row>
    <row r="51" spans="1:6">
      <c r="A51" s="50" t="s">
        <v>283</v>
      </c>
      <c r="B51" s="221">
        <f t="shared" si="2"/>
        <v>126783.47159767149</v>
      </c>
      <c r="E51" t="s">
        <v>507</v>
      </c>
      <c r="F51" s="245">
        <v>64718.641221216043</v>
      </c>
    </row>
    <row r="52" spans="1:6">
      <c r="A52" s="50" t="s">
        <v>218</v>
      </c>
      <c r="B52" s="221">
        <f t="shared" si="2"/>
        <v>4979.9795460122996</v>
      </c>
      <c r="E52" t="s">
        <v>508</v>
      </c>
      <c r="F52" s="245">
        <v>15816.99665457879</v>
      </c>
    </row>
    <row r="53" spans="1:6">
      <c r="A53" s="50" t="s">
        <v>178</v>
      </c>
      <c r="B53" s="221">
        <f t="shared" si="2"/>
        <v>282896.25139105169</v>
      </c>
      <c r="E53" t="s">
        <v>56</v>
      </c>
      <c r="F53" s="246">
        <v>69243.62602866962</v>
      </c>
    </row>
    <row r="54" spans="1:6">
      <c r="A54" s="50" t="s">
        <v>179</v>
      </c>
      <c r="B54" s="221">
        <f t="shared" si="2"/>
        <v>2779092.236505847</v>
      </c>
      <c r="E54" s="50" t="s">
        <v>368</v>
      </c>
      <c r="F54" s="245">
        <v>70018.715016829345</v>
      </c>
    </row>
    <row r="55" spans="1:6">
      <c r="A55" s="50" t="s">
        <v>219</v>
      </c>
      <c r="B55" s="221">
        <f t="shared" si="2"/>
        <v>21071.73922489183</v>
      </c>
      <c r="E55" t="s">
        <v>98</v>
      </c>
      <c r="F55" s="245">
        <v>71600.049650194982</v>
      </c>
    </row>
    <row r="56" spans="1:6">
      <c r="A56" s="50" t="s">
        <v>133</v>
      </c>
      <c r="B56" s="221">
        <f t="shared" si="2"/>
        <v>24780.791063713052</v>
      </c>
      <c r="E56" t="s">
        <v>99</v>
      </c>
      <c r="F56" s="245">
        <v>633442.30000000005</v>
      </c>
    </row>
    <row r="57" spans="1:6">
      <c r="A57" s="50" t="s">
        <v>180</v>
      </c>
      <c r="B57" s="221">
        <f t="shared" si="2"/>
        <v>4082469.4907976813</v>
      </c>
      <c r="E57" t="s">
        <v>216</v>
      </c>
      <c r="F57" s="245">
        <v>3075.1808347241672</v>
      </c>
    </row>
    <row r="58" spans="1:6">
      <c r="A58" s="50" t="s">
        <v>220</v>
      </c>
      <c r="B58" s="221">
        <f t="shared" si="2"/>
        <v>73766.052451525553</v>
      </c>
      <c r="E58" t="s">
        <v>177</v>
      </c>
      <c r="F58" s="245">
        <v>29250.524418085472</v>
      </c>
    </row>
    <row r="59" spans="1:6">
      <c r="A59" s="50" t="s">
        <v>181</v>
      </c>
      <c r="B59" s="221">
        <f t="shared" si="2"/>
        <v>217581.32451205922</v>
      </c>
      <c r="E59" t="s">
        <v>537</v>
      </c>
      <c r="F59" s="245">
        <v>290527.55062722095</v>
      </c>
    </row>
    <row r="60" spans="1:6">
      <c r="A60" s="50" t="s">
        <v>107</v>
      </c>
      <c r="B60" s="221">
        <f t="shared" si="2"/>
        <v>95003.330315875442</v>
      </c>
      <c r="E60" t="s">
        <v>102</v>
      </c>
      <c r="F60" s="245">
        <v>400167.19694870739</v>
      </c>
    </row>
    <row r="61" spans="1:6">
      <c r="A61" s="50" t="s">
        <v>288</v>
      </c>
      <c r="B61" s="221">
        <v>3446</v>
      </c>
      <c r="E61" t="s">
        <v>398</v>
      </c>
      <c r="F61" s="245">
        <v>3515.1088599546479</v>
      </c>
    </row>
    <row r="62" spans="1:6">
      <c r="A62" s="50" t="s">
        <v>108</v>
      </c>
      <c r="B62" s="221">
        <f>VLOOKUP(A62,$E$2:$F$214,2,FALSE)</f>
        <v>31717.6997643621</v>
      </c>
      <c r="E62" t="s">
        <v>412</v>
      </c>
      <c r="F62" s="245">
        <v>607.44074074074069</v>
      </c>
    </row>
    <row r="63" spans="1:6">
      <c r="A63" s="50" t="s">
        <v>59</v>
      </c>
      <c r="B63" s="221">
        <f>F105</f>
        <v>359838.58349006315</v>
      </c>
      <c r="E63" t="s">
        <v>103</v>
      </c>
      <c r="F63" s="245">
        <v>113537.3681761303</v>
      </c>
    </row>
    <row r="64" spans="1:6">
      <c r="A64" s="50" t="s">
        <v>109</v>
      </c>
      <c r="B64" s="221">
        <f>VLOOKUP(A64,$E$2:$F$214,2,FALSE)</f>
        <v>177337.43667736501</v>
      </c>
      <c r="E64" t="s">
        <v>539</v>
      </c>
      <c r="F64" s="246">
        <v>14148420.366433008</v>
      </c>
    </row>
    <row r="65" spans="1:6">
      <c r="A65" s="50" t="s">
        <v>110</v>
      </c>
      <c r="B65" s="221">
        <f>VLOOKUP(A65,$E$2:$F$214,2,FALSE)</f>
        <v>28064.52985130985</v>
      </c>
      <c r="E65" t="s">
        <v>540</v>
      </c>
      <c r="F65" s="245">
        <v>30688235.798301037</v>
      </c>
    </row>
    <row r="66" spans="1:6">
      <c r="A66" s="50" t="s">
        <v>111</v>
      </c>
      <c r="B66" s="221">
        <f t="shared" ref="B66:B124" si="3">VLOOKUP(A66,$E$2:$F$214,2,FALSE)</f>
        <v>3416645.8260528739</v>
      </c>
      <c r="E66" t="s">
        <v>538</v>
      </c>
      <c r="F66" s="245">
        <v>21193771.56230424</v>
      </c>
    </row>
    <row r="67" spans="1:6">
      <c r="A67" s="50" t="s">
        <v>112</v>
      </c>
      <c r="B67" s="221">
        <f t="shared" si="3"/>
        <v>1319100.2204077167</v>
      </c>
      <c r="E67" t="s">
        <v>577</v>
      </c>
      <c r="F67" s="247">
        <v>21167325.456079353</v>
      </c>
    </row>
    <row r="68" spans="1:6">
      <c r="A68" s="50" t="s">
        <v>330</v>
      </c>
      <c r="B68" s="221">
        <f t="shared" si="3"/>
        <v>264182.17379310343</v>
      </c>
      <c r="E68" t="s">
        <v>104</v>
      </c>
      <c r="F68" s="246">
        <v>115049.476</v>
      </c>
    </row>
    <row r="69" spans="1:6">
      <c r="A69" s="50" t="s">
        <v>182</v>
      </c>
      <c r="B69" s="221">
        <f t="shared" si="3"/>
        <v>533140.0118382764</v>
      </c>
      <c r="E69" t="s">
        <v>509</v>
      </c>
      <c r="F69" s="245">
        <v>476747.72036474163</v>
      </c>
    </row>
    <row r="70" spans="1:6">
      <c r="A70" s="50" t="s">
        <v>113</v>
      </c>
      <c r="B70" s="221">
        <f t="shared" si="3"/>
        <v>6684.2292685054481</v>
      </c>
      <c r="E70" t="s">
        <v>31</v>
      </c>
      <c r="F70" s="245">
        <v>32488.720000000001</v>
      </c>
    </row>
    <row r="71" spans="1:6">
      <c r="A71" s="50" t="s">
        <v>114</v>
      </c>
      <c r="B71" s="221">
        <f t="shared" si="3"/>
        <v>525002.44765277347</v>
      </c>
      <c r="E71" t="s">
        <v>386</v>
      </c>
      <c r="F71" s="245">
        <v>12029.633746519048</v>
      </c>
    </row>
    <row r="72" spans="1:6">
      <c r="A72" s="50" t="s">
        <v>145</v>
      </c>
      <c r="B72" s="221">
        <f t="shared" si="3"/>
        <v>2049737.1654079845</v>
      </c>
      <c r="E72" t="s">
        <v>544</v>
      </c>
      <c r="F72" s="245" t="s">
        <v>143</v>
      </c>
    </row>
    <row r="73" spans="1:6">
      <c r="A73" s="50" t="s">
        <v>115</v>
      </c>
      <c r="B73" s="221">
        <f t="shared" si="3"/>
        <v>17097.760723920146</v>
      </c>
      <c r="E73" t="s">
        <v>106</v>
      </c>
      <c r="F73" s="245">
        <v>38100.8129585196</v>
      </c>
    </row>
    <row r="74" spans="1:6">
      <c r="A74" s="50" t="s">
        <v>116</v>
      </c>
      <c r="B74" s="221">
        <f t="shared" si="3"/>
        <v>4232173.9160866737</v>
      </c>
      <c r="E74" t="s">
        <v>458</v>
      </c>
      <c r="F74" s="247">
        <v>4790.9220656100979</v>
      </c>
    </row>
    <row r="75" spans="1:6">
      <c r="A75" s="50" t="s">
        <v>289</v>
      </c>
      <c r="B75" s="221">
        <v>4890</v>
      </c>
      <c r="E75" t="s">
        <v>283</v>
      </c>
      <c r="F75" s="245">
        <v>126783.47159767149</v>
      </c>
    </row>
    <row r="76" spans="1:6">
      <c r="A76" s="50" t="s">
        <v>117</v>
      </c>
      <c r="B76" s="221">
        <f t="shared" si="3"/>
        <v>48653.38178063972</v>
      </c>
      <c r="E76" t="s">
        <v>543</v>
      </c>
      <c r="F76" s="245">
        <v>14136240.266478756</v>
      </c>
    </row>
    <row r="77" spans="1:6">
      <c r="A77" s="50" t="s">
        <v>118</v>
      </c>
      <c r="B77" s="221">
        <f t="shared" si="3"/>
        <v>225496.3289254941</v>
      </c>
      <c r="E77" t="s">
        <v>542</v>
      </c>
      <c r="F77" s="245">
        <v>25329956.337827034</v>
      </c>
    </row>
    <row r="78" spans="1:6">
      <c r="A78" s="50" t="s">
        <v>183</v>
      </c>
      <c r="B78" s="221">
        <f t="shared" si="3"/>
        <v>113420.00817879318</v>
      </c>
      <c r="E78" t="s">
        <v>541</v>
      </c>
      <c r="F78" s="245">
        <v>4129330.1096626571</v>
      </c>
    </row>
    <row r="79" spans="1:6">
      <c r="A79" s="50" t="s">
        <v>119</v>
      </c>
      <c r="B79" s="221">
        <f>F128</f>
        <v>1673916.4690265576</v>
      </c>
      <c r="E79" t="s">
        <v>578</v>
      </c>
      <c r="F79" s="247">
        <v>5189746.5246982286</v>
      </c>
    </row>
    <row r="80" spans="1:6">
      <c r="A80" s="50" t="s">
        <v>120</v>
      </c>
      <c r="B80" s="221">
        <f t="shared" si="3"/>
        <v>175363.26530612243</v>
      </c>
      <c r="E80" t="s">
        <v>498</v>
      </c>
      <c r="F80" s="246">
        <v>16746223.630459109</v>
      </c>
    </row>
    <row r="81" spans="1:6">
      <c r="A81" t="s">
        <v>352</v>
      </c>
      <c r="B81" s="221">
        <f>F131</f>
        <v>11543.966558842048</v>
      </c>
      <c r="E81" t="s">
        <v>394</v>
      </c>
      <c r="F81" s="245">
        <v>3555.9298330505053</v>
      </c>
    </row>
    <row r="82" spans="1:6">
      <c r="A82" s="89" t="s">
        <v>342</v>
      </c>
      <c r="B82" s="221">
        <f>F132</f>
        <v>15468.785203753174</v>
      </c>
      <c r="E82" t="s">
        <v>218</v>
      </c>
      <c r="F82" s="245">
        <v>4979.9795460122996</v>
      </c>
    </row>
    <row r="83" spans="1:6">
      <c r="A83" s="50" t="s">
        <v>121</v>
      </c>
      <c r="B83" s="221">
        <f t="shared" si="3"/>
        <v>40932.030049564361</v>
      </c>
      <c r="E83" t="s">
        <v>178</v>
      </c>
      <c r="F83" s="246">
        <v>282896.25139105169</v>
      </c>
    </row>
    <row r="84" spans="1:6">
      <c r="A84" s="50" t="s">
        <v>122</v>
      </c>
      <c r="B84" s="221">
        <f t="shared" si="3"/>
        <v>23131.941556784346</v>
      </c>
      <c r="E84" t="s">
        <v>545</v>
      </c>
      <c r="F84" s="245">
        <v>1906134.0568054456</v>
      </c>
    </row>
    <row r="85" spans="1:6">
      <c r="A85" s="50" t="s">
        <v>222</v>
      </c>
      <c r="B85" s="221">
        <f t="shared" si="3"/>
        <v>7710.380085922573</v>
      </c>
      <c r="E85" t="s">
        <v>179</v>
      </c>
      <c r="F85" s="245">
        <v>2779092.236505847</v>
      </c>
    </row>
    <row r="86" spans="1:6">
      <c r="A86" s="50" t="s">
        <v>13</v>
      </c>
      <c r="B86" s="221">
        <f t="shared" si="3"/>
        <v>70974.490450494442</v>
      </c>
      <c r="E86" t="s">
        <v>517</v>
      </c>
      <c r="F86" s="245">
        <v>5814.6612089054443</v>
      </c>
    </row>
    <row r="87" spans="1:6">
      <c r="A87" s="50" t="s">
        <v>184</v>
      </c>
      <c r="B87" s="221">
        <f t="shared" si="3"/>
        <v>81641.807865759081</v>
      </c>
      <c r="E87" t="s">
        <v>219</v>
      </c>
      <c r="F87" s="245">
        <v>21071.73922489183</v>
      </c>
    </row>
    <row r="88" spans="1:6">
      <c r="A88" s="50" t="s">
        <v>32</v>
      </c>
      <c r="B88" s="221">
        <f>F149</f>
        <v>24042.287326572936</v>
      </c>
      <c r="E88" t="s">
        <v>406</v>
      </c>
      <c r="F88" s="245">
        <v>2187.1945634860535</v>
      </c>
    </row>
    <row r="89" spans="1:6">
      <c r="A89" s="50" t="s">
        <v>146</v>
      </c>
      <c r="B89" s="221">
        <f>F182</f>
        <v>13563.132102166315</v>
      </c>
      <c r="E89" t="s">
        <v>133</v>
      </c>
      <c r="F89" s="245">
        <v>24780.791063713052</v>
      </c>
    </row>
    <row r="90" spans="1:6">
      <c r="A90" s="50" t="s">
        <v>14</v>
      </c>
      <c r="B90" s="221">
        <f t="shared" si="3"/>
        <v>407027.45171461598</v>
      </c>
      <c r="E90" t="s">
        <v>180</v>
      </c>
      <c r="F90" s="245">
        <v>4082469.4907976813</v>
      </c>
    </row>
    <row r="91" spans="1:6">
      <c r="A91" s="127" t="s">
        <v>392</v>
      </c>
      <c r="B91" s="221">
        <f t="shared" si="3"/>
        <v>6170.6387469650035</v>
      </c>
      <c r="E91" t="s">
        <v>220</v>
      </c>
      <c r="F91" s="245">
        <v>73766.052451525553</v>
      </c>
    </row>
    <row r="92" spans="1:6">
      <c r="A92" s="50" t="s">
        <v>324</v>
      </c>
      <c r="B92" s="221">
        <f t="shared" si="3"/>
        <v>18827.176529698252</v>
      </c>
      <c r="E92" t="s">
        <v>420</v>
      </c>
      <c r="F92" s="245" t="s">
        <v>143</v>
      </c>
    </row>
    <row r="93" spans="1:6">
      <c r="A93" s="50" t="s">
        <v>185</v>
      </c>
      <c r="B93" s="221">
        <f t="shared" si="3"/>
        <v>18125.564514266385</v>
      </c>
      <c r="E93" t="s">
        <v>181</v>
      </c>
      <c r="F93" s="245">
        <v>217581.32451205922</v>
      </c>
    </row>
    <row r="94" spans="1:6">
      <c r="A94" s="50" t="s">
        <v>15</v>
      </c>
      <c r="B94" s="221">
        <f t="shared" si="3"/>
        <v>12948.726653810985</v>
      </c>
      <c r="E94" t="s">
        <v>395</v>
      </c>
      <c r="F94" s="245">
        <v>3235.8095042987143</v>
      </c>
    </row>
    <row r="95" spans="1:6">
      <c r="A95" s="50" t="s">
        <v>16</v>
      </c>
      <c r="B95" s="221">
        <f t="shared" si="3"/>
        <v>1465854.0892864685</v>
      </c>
      <c r="E95" t="s">
        <v>405</v>
      </c>
      <c r="F95" s="246">
        <v>1215.379155672822</v>
      </c>
    </row>
    <row r="96" spans="1:6">
      <c r="A96" s="50" t="s">
        <v>17</v>
      </c>
      <c r="B96" s="221">
        <f t="shared" si="3"/>
        <v>14508.333280423281</v>
      </c>
      <c r="E96" t="s">
        <v>439</v>
      </c>
      <c r="F96" s="245">
        <v>6123</v>
      </c>
    </row>
    <row r="97" spans="1:6">
      <c r="A97" s="50" t="s">
        <v>63</v>
      </c>
      <c r="B97" s="221">
        <f t="shared" si="3"/>
        <v>17146.471626396327</v>
      </c>
      <c r="E97" t="s">
        <v>107</v>
      </c>
      <c r="F97" s="245">
        <v>95003.330315875442</v>
      </c>
    </row>
    <row r="98" spans="1:6">
      <c r="A98" s="50" t="s">
        <v>8</v>
      </c>
      <c r="B98" s="221">
        <f t="shared" si="3"/>
        <v>6229.8015807915735</v>
      </c>
      <c r="E98" t="s">
        <v>316</v>
      </c>
      <c r="F98" s="245">
        <v>20999.229260495544</v>
      </c>
    </row>
    <row r="99" spans="1:6">
      <c r="A99" s="50" t="s">
        <v>224</v>
      </c>
      <c r="B99" s="221">
        <v>16199</v>
      </c>
      <c r="E99" t="s">
        <v>332</v>
      </c>
      <c r="F99" s="246">
        <v>1633.5590920886059</v>
      </c>
    </row>
    <row r="100" spans="1:6">
      <c r="A100" s="50" t="s">
        <v>18</v>
      </c>
      <c r="B100" s="221">
        <f t="shared" si="3"/>
        <v>130912.55882983979</v>
      </c>
      <c r="E100" t="s">
        <v>329</v>
      </c>
      <c r="F100" s="245">
        <v>14718.388489208633</v>
      </c>
    </row>
    <row r="101" spans="1:6">
      <c r="A101" s="50" t="s">
        <v>225</v>
      </c>
      <c r="B101" s="221">
        <f t="shared" si="3"/>
        <v>18406.835954669532</v>
      </c>
      <c r="E101" t="s">
        <v>325</v>
      </c>
      <c r="F101" s="245">
        <v>20253.551884605487</v>
      </c>
    </row>
    <row r="102" spans="1:6">
      <c r="A102" s="50" t="s">
        <v>136</v>
      </c>
      <c r="B102" s="221">
        <f t="shared" si="3"/>
        <v>12914.932655685012</v>
      </c>
      <c r="E102" t="s">
        <v>547</v>
      </c>
      <c r="F102" s="246">
        <v>980688.37124257209</v>
      </c>
    </row>
    <row r="103" spans="1:6">
      <c r="A103" s="50" t="s">
        <v>186</v>
      </c>
      <c r="B103" s="221">
        <f t="shared" si="3"/>
        <v>1009398.7190330778</v>
      </c>
      <c r="E103" t="s">
        <v>546</v>
      </c>
      <c r="F103" s="245">
        <v>61667467.133645326</v>
      </c>
    </row>
    <row r="104" spans="1:6">
      <c r="A104" s="50" t="s">
        <v>21</v>
      </c>
      <c r="B104" s="221">
        <f t="shared" si="3"/>
        <v>248101.70554139902</v>
      </c>
      <c r="E104" t="s">
        <v>108</v>
      </c>
      <c r="F104" s="245">
        <v>31717.6997643621</v>
      </c>
    </row>
    <row r="105" spans="1:6">
      <c r="A105" s="50" t="s">
        <v>22</v>
      </c>
      <c r="B105" s="221">
        <f t="shared" si="3"/>
        <v>15671.583939988886</v>
      </c>
      <c r="E105" t="s">
        <v>494</v>
      </c>
      <c r="F105" s="245">
        <v>359838.58349006315</v>
      </c>
    </row>
    <row r="106" spans="1:6">
      <c r="A106" s="50" t="s">
        <v>320</v>
      </c>
      <c r="B106" s="221">
        <f t="shared" si="3"/>
        <v>15342.278919400891</v>
      </c>
      <c r="E106" t="s">
        <v>109</v>
      </c>
      <c r="F106" s="246">
        <v>177337.43667736501</v>
      </c>
    </row>
    <row r="107" spans="1:6">
      <c r="A107" s="50" t="s">
        <v>187</v>
      </c>
      <c r="B107" s="221">
        <f t="shared" si="3"/>
        <v>472624.59740289778</v>
      </c>
      <c r="E107" t="s">
        <v>548</v>
      </c>
      <c r="F107" s="245">
        <v>37752366.428369969</v>
      </c>
    </row>
    <row r="108" spans="1:6">
      <c r="A108" s="50" t="s">
        <v>23</v>
      </c>
      <c r="B108" s="221">
        <f t="shared" si="3"/>
        <v>579422.44951027108</v>
      </c>
      <c r="E108" t="s">
        <v>110</v>
      </c>
      <c r="F108" s="245">
        <v>28064.52985130985</v>
      </c>
    </row>
    <row r="109" spans="1:6">
      <c r="A109" s="50" t="s">
        <v>24</v>
      </c>
      <c r="B109" s="221">
        <f t="shared" si="3"/>
        <v>114667.36020806243</v>
      </c>
      <c r="E109" t="s">
        <v>549</v>
      </c>
      <c r="F109" s="245">
        <v>40573962.1636075</v>
      </c>
    </row>
    <row r="110" spans="1:6">
      <c r="A110" s="50" t="s">
        <v>25</v>
      </c>
      <c r="B110" s="221">
        <f t="shared" si="3"/>
        <v>374697.36635924398</v>
      </c>
      <c r="E110" t="s">
        <v>551</v>
      </c>
      <c r="F110" s="245">
        <v>1175091.8145281216</v>
      </c>
    </row>
    <row r="111" spans="1:6">
      <c r="A111" s="50" t="s">
        <v>26</v>
      </c>
      <c r="B111" s="221">
        <f t="shared" si="3"/>
        <v>76522.511799999993</v>
      </c>
      <c r="E111" t="s">
        <v>552</v>
      </c>
      <c r="F111" s="245">
        <v>1647744.3715502273</v>
      </c>
    </row>
    <row r="112" spans="1:6">
      <c r="A112" s="50" t="s">
        <v>9</v>
      </c>
      <c r="B112" s="221">
        <f t="shared" si="3"/>
        <v>31603.619041790265</v>
      </c>
      <c r="E112" t="s">
        <v>550</v>
      </c>
      <c r="F112" s="245">
        <v>2822821.7793260487</v>
      </c>
    </row>
    <row r="113" spans="1:6">
      <c r="A113" s="50" t="s">
        <v>27</v>
      </c>
      <c r="B113" s="221">
        <f t="shared" si="3"/>
        <v>41722.295229227944</v>
      </c>
      <c r="E113" t="s">
        <v>111</v>
      </c>
      <c r="F113" s="246">
        <v>3416645.8260528739</v>
      </c>
    </row>
    <row r="114" spans="1:6">
      <c r="A114" s="50" t="s">
        <v>28</v>
      </c>
      <c r="B114" s="221">
        <f t="shared" si="3"/>
        <v>242631.57332078982</v>
      </c>
      <c r="E114" t="s">
        <v>112</v>
      </c>
      <c r="F114" s="245">
        <v>1319100.2204077167</v>
      </c>
    </row>
    <row r="115" spans="1:6">
      <c r="A115" s="50" t="s">
        <v>29</v>
      </c>
      <c r="B115" s="221">
        <f t="shared" si="3"/>
        <v>404284.32611046272</v>
      </c>
      <c r="E115" t="s">
        <v>378</v>
      </c>
      <c r="F115" s="245">
        <v>413493.20734926529</v>
      </c>
    </row>
    <row r="116" spans="1:6">
      <c r="A116" s="50" t="s">
        <v>30</v>
      </c>
      <c r="B116" s="221">
        <f t="shared" si="3"/>
        <v>688125.01052052039</v>
      </c>
      <c r="E116" t="s">
        <v>330</v>
      </c>
      <c r="F116" s="245">
        <v>264182.17379310343</v>
      </c>
    </row>
    <row r="117" spans="1:6">
      <c r="A117" s="50" t="s">
        <v>188</v>
      </c>
      <c r="B117" s="221">
        <f t="shared" si="3"/>
        <v>255196.66098742705</v>
      </c>
      <c r="E117" t="s">
        <v>182</v>
      </c>
      <c r="F117" s="245">
        <v>533140.0118382764</v>
      </c>
    </row>
    <row r="118" spans="1:6">
      <c r="A118" s="50" t="s">
        <v>74</v>
      </c>
      <c r="B118" s="221">
        <f t="shared" si="3"/>
        <v>236258.30283965328</v>
      </c>
      <c r="E118" t="s">
        <v>113</v>
      </c>
      <c r="F118" s="245">
        <v>6684.2292685054481</v>
      </c>
    </row>
    <row r="119" spans="1:6">
      <c r="A119" s="50" t="s">
        <v>290</v>
      </c>
      <c r="B119" s="221">
        <v>11000</v>
      </c>
      <c r="E119" t="s">
        <v>114</v>
      </c>
      <c r="F119" s="245">
        <v>525002.44765277347</v>
      </c>
    </row>
    <row r="120" spans="1:6">
      <c r="A120" s="50" t="s">
        <v>0</v>
      </c>
      <c r="B120" s="221">
        <f t="shared" si="3"/>
        <v>300691.35486485471</v>
      </c>
      <c r="E120" t="s">
        <v>145</v>
      </c>
      <c r="F120" s="245">
        <v>2049737.1654079845</v>
      </c>
    </row>
    <row r="121" spans="1:6">
      <c r="A121" s="50" t="s">
        <v>1</v>
      </c>
      <c r="B121" s="221">
        <f>F204</f>
        <v>2240422.4274585792</v>
      </c>
      <c r="E121" t="s">
        <v>115</v>
      </c>
      <c r="F121" s="245">
        <v>17097.760723920146</v>
      </c>
    </row>
    <row r="122" spans="1:6">
      <c r="A122" s="50" t="s">
        <v>226</v>
      </c>
      <c r="B122" s="221">
        <f t="shared" si="3"/>
        <v>13311.487445068627</v>
      </c>
      <c r="E122" t="s">
        <v>116</v>
      </c>
      <c r="F122" s="245">
        <v>4232173.9160866737</v>
      </c>
    </row>
    <row r="123" spans="1:6">
      <c r="A123" s="50" t="s">
        <v>2</v>
      </c>
      <c r="B123" s="221">
        <f t="shared" si="3"/>
        <v>1108571.5172853814</v>
      </c>
      <c r="E123" t="s">
        <v>117</v>
      </c>
      <c r="F123" s="245">
        <v>48653.38178063972</v>
      </c>
    </row>
    <row r="124" spans="1:6">
      <c r="A124" s="50" t="s">
        <v>135</v>
      </c>
      <c r="B124" s="221">
        <f t="shared" si="3"/>
        <v>27684.264748232432</v>
      </c>
      <c r="E124" t="s">
        <v>118</v>
      </c>
      <c r="F124" s="245">
        <v>225496.3289254941</v>
      </c>
    </row>
    <row r="125" spans="1:6">
      <c r="A125" s="50" t="s">
        <v>147</v>
      </c>
      <c r="B125" s="221">
        <f>VLOOKUP(A125,$E$2:$F$267,2,FALSE)</f>
        <v>63563.401043504426</v>
      </c>
      <c r="E125" t="s">
        <v>183</v>
      </c>
      <c r="F125" s="245">
        <v>113420.00817879318</v>
      </c>
    </row>
    <row r="126" spans="1:6">
      <c r="A126" s="50" t="s">
        <v>284</v>
      </c>
      <c r="B126" s="221">
        <v>24800</v>
      </c>
      <c r="E126" t="s">
        <v>417</v>
      </c>
      <c r="F126" s="245">
        <v>223.35301429459292</v>
      </c>
    </row>
    <row r="127" spans="1:6">
      <c r="A127" s="50" t="s">
        <v>3</v>
      </c>
      <c r="B127" s="221">
        <f t="shared" ref="B127:B180" si="4">VLOOKUP(A127,$E$2:$F$267,2,FALSE)</f>
        <v>466788.42679196643</v>
      </c>
      <c r="E127" t="s">
        <v>567</v>
      </c>
      <c r="F127" s="245">
        <v>0</v>
      </c>
    </row>
    <row r="128" spans="1:6">
      <c r="A128" s="50" t="s">
        <v>61</v>
      </c>
      <c r="B128" s="221">
        <f>F216</f>
        <v>115461.71168896543</v>
      </c>
      <c r="E128" t="s">
        <v>510</v>
      </c>
      <c r="F128" s="245">
        <v>1673916.4690265576</v>
      </c>
    </row>
    <row r="129" spans="1:6">
      <c r="A129" s="154" t="s">
        <v>189</v>
      </c>
      <c r="B129" s="221">
        <f t="shared" si="4"/>
        <v>60063.475466344593</v>
      </c>
      <c r="E129" t="s">
        <v>389</v>
      </c>
      <c r="F129" s="247">
        <v>9409.473517953038</v>
      </c>
    </row>
    <row r="130" spans="1:6">
      <c r="A130" s="127" t="s">
        <v>404</v>
      </c>
      <c r="B130" s="221">
        <f t="shared" si="4"/>
        <v>1597.2043406290234</v>
      </c>
      <c r="E130" t="s">
        <v>120</v>
      </c>
      <c r="F130" s="245">
        <v>175363.26530612243</v>
      </c>
    </row>
    <row r="131" spans="1:6">
      <c r="A131" s="50" t="s">
        <v>76</v>
      </c>
      <c r="B131" s="221">
        <f t="shared" si="4"/>
        <v>405270.85009938711</v>
      </c>
      <c r="E131" t="s">
        <v>353</v>
      </c>
      <c r="F131" s="245">
        <v>11543.966558842048</v>
      </c>
    </row>
    <row r="132" spans="1:6">
      <c r="A132" s="50" t="s">
        <v>138</v>
      </c>
      <c r="B132" s="221">
        <f t="shared" si="4"/>
        <v>1417800.4662626514</v>
      </c>
      <c r="E132" t="s">
        <v>511</v>
      </c>
      <c r="F132" s="245">
        <v>15468.785203753174</v>
      </c>
    </row>
    <row r="133" spans="1:6">
      <c r="A133" s="50" t="s">
        <v>134</v>
      </c>
      <c r="B133" s="221">
        <f t="shared" si="4"/>
        <v>74403.578363435474</v>
      </c>
      <c r="E133" t="s">
        <v>559</v>
      </c>
      <c r="F133" s="245">
        <v>28075737.913541492</v>
      </c>
    </row>
    <row r="134" spans="1:6">
      <c r="A134" s="50" t="s">
        <v>190</v>
      </c>
      <c r="B134" s="221">
        <v>11900</v>
      </c>
      <c r="E134" t="s">
        <v>305</v>
      </c>
      <c r="F134" s="245">
        <v>6820032.3249936551</v>
      </c>
    </row>
    <row r="135" spans="1:6">
      <c r="A135" s="50" t="s">
        <v>10</v>
      </c>
      <c r="B135" s="221">
        <v>8100</v>
      </c>
      <c r="E135" t="s">
        <v>554</v>
      </c>
      <c r="F135" s="245">
        <v>5844139.5139994686</v>
      </c>
    </row>
    <row r="136" spans="1:6">
      <c r="A136" s="50" t="s">
        <v>33</v>
      </c>
      <c r="B136" s="221">
        <f t="shared" si="4"/>
        <v>3620.987993326366</v>
      </c>
      <c r="E136" t="s">
        <v>579</v>
      </c>
      <c r="F136" s="247">
        <v>6001569.5264397683</v>
      </c>
    </row>
    <row r="137" spans="1:6">
      <c r="A137" s="50" t="s">
        <v>391</v>
      </c>
      <c r="B137" s="221">
        <f>F74</f>
        <v>4790.9220656100979</v>
      </c>
      <c r="E137" t="s">
        <v>121</v>
      </c>
      <c r="F137" s="246">
        <v>40932.030049564361</v>
      </c>
    </row>
    <row r="138" spans="1:6">
      <c r="A138" s="50" t="s">
        <v>34</v>
      </c>
      <c r="B138" s="221">
        <f t="shared" si="4"/>
        <v>591188.59477655136</v>
      </c>
      <c r="E138" t="s">
        <v>555</v>
      </c>
      <c r="F138" s="246">
        <v>1427108.9291987366</v>
      </c>
    </row>
    <row r="139" spans="1:6">
      <c r="A139" s="50" t="s">
        <v>35</v>
      </c>
      <c r="B139" s="221">
        <f t="shared" si="4"/>
        <v>818426.55020644981</v>
      </c>
      <c r="E139" t="s">
        <v>122</v>
      </c>
      <c r="F139" s="245">
        <v>23131.941556784346</v>
      </c>
    </row>
    <row r="140" spans="1:6">
      <c r="A140" s="50" t="s">
        <v>64</v>
      </c>
      <c r="B140" s="221">
        <f>761690</f>
        <v>761690</v>
      </c>
      <c r="E140" t="s">
        <v>396</v>
      </c>
      <c r="F140" s="246">
        <v>2236.5021241695613</v>
      </c>
    </row>
    <row r="141" spans="1:6">
      <c r="A141" s="50" t="s">
        <v>388</v>
      </c>
      <c r="B141" s="221">
        <f t="shared" si="4"/>
        <v>10492.123387793121</v>
      </c>
      <c r="E141" t="s">
        <v>317</v>
      </c>
      <c r="F141" s="245">
        <v>4001.0469699999999</v>
      </c>
    </row>
    <row r="142" spans="1:6">
      <c r="A142" s="127" t="s">
        <v>331</v>
      </c>
      <c r="B142" s="221">
        <f t="shared" si="4"/>
        <v>75732.311666039022</v>
      </c>
      <c r="E142" t="s">
        <v>321</v>
      </c>
      <c r="F142" s="245">
        <v>45752.336035984561</v>
      </c>
    </row>
    <row r="143" spans="1:6">
      <c r="A143" s="50" t="s">
        <v>65</v>
      </c>
      <c r="B143" s="221">
        <f t="shared" si="4"/>
        <v>495423.3430496215</v>
      </c>
      <c r="E143" t="s">
        <v>222</v>
      </c>
      <c r="F143" s="245">
        <v>7710.380085922573</v>
      </c>
    </row>
    <row r="144" spans="1:6">
      <c r="A144" s="50" t="s">
        <v>323</v>
      </c>
      <c r="B144" s="221">
        <f t="shared" si="4"/>
        <v>8341.2252414569357</v>
      </c>
      <c r="E144" t="s">
        <v>13</v>
      </c>
      <c r="F144" s="245">
        <v>70974.490450494442</v>
      </c>
    </row>
    <row r="145" spans="1:6">
      <c r="A145" s="50" t="s">
        <v>11</v>
      </c>
      <c r="B145" s="221">
        <f t="shared" si="4"/>
        <v>30053.575132141956</v>
      </c>
      <c r="E145" t="s">
        <v>558</v>
      </c>
      <c r="F145" s="245">
        <v>39309792.048295133</v>
      </c>
    </row>
    <row r="146" spans="1:6">
      <c r="A146" s="50" t="s">
        <v>77</v>
      </c>
      <c r="B146" s="221">
        <f t="shared" si="4"/>
        <v>46303.55244935424</v>
      </c>
      <c r="E146" t="s">
        <v>556</v>
      </c>
      <c r="F146" s="245">
        <v>528124.56223191798</v>
      </c>
    </row>
    <row r="147" spans="1:6">
      <c r="A147" s="50" t="s">
        <v>66</v>
      </c>
      <c r="B147" s="221">
        <f>F247</f>
        <v>907118.43595268787</v>
      </c>
      <c r="E147" t="s">
        <v>557</v>
      </c>
      <c r="F147" s="245">
        <v>8171521.4838675652</v>
      </c>
    </row>
    <row r="148" spans="1:6">
      <c r="A148" s="50" t="s">
        <v>291</v>
      </c>
      <c r="B148" s="221">
        <f t="shared" si="4"/>
        <v>1138.8088811</v>
      </c>
      <c r="E148" t="s">
        <v>184</v>
      </c>
      <c r="F148" s="245">
        <v>81641.807865759081</v>
      </c>
    </row>
    <row r="149" spans="1:6">
      <c r="A149" s="50" t="s">
        <v>227</v>
      </c>
      <c r="B149" s="221">
        <f t="shared" si="4"/>
        <v>45567.30460847645</v>
      </c>
      <c r="E149" t="s">
        <v>495</v>
      </c>
      <c r="F149" s="245">
        <v>24042.287326572936</v>
      </c>
    </row>
    <row r="150" spans="1:6">
      <c r="A150" s="50" t="s">
        <v>68</v>
      </c>
      <c r="B150" s="221">
        <f t="shared" si="4"/>
        <v>160502.73725104667</v>
      </c>
      <c r="E150" t="s">
        <v>335</v>
      </c>
      <c r="F150" s="245">
        <v>15297.192798977121</v>
      </c>
    </row>
    <row r="151" spans="1:6">
      <c r="A151" s="50" t="s">
        <v>60</v>
      </c>
      <c r="B151" s="221">
        <f t="shared" si="4"/>
        <v>507063.96827331249</v>
      </c>
      <c r="E151" t="s">
        <v>326</v>
      </c>
      <c r="F151" s="245">
        <v>13164.6676269363</v>
      </c>
    </row>
    <row r="152" spans="1:6">
      <c r="A152" s="50" t="s">
        <v>57</v>
      </c>
      <c r="B152" s="221">
        <f t="shared" si="4"/>
        <v>3089072.7224001358</v>
      </c>
      <c r="E152" t="s">
        <v>14</v>
      </c>
      <c r="F152" s="245">
        <v>407027.45171461598</v>
      </c>
    </row>
    <row r="153" spans="1:6">
      <c r="A153" s="50" t="s">
        <v>12</v>
      </c>
      <c r="B153" s="221">
        <f>F255</f>
        <v>25439700</v>
      </c>
      <c r="E153" t="s">
        <v>392</v>
      </c>
      <c r="F153" s="245">
        <v>6170.6387469650035</v>
      </c>
    </row>
    <row r="154" spans="1:6">
      <c r="A154" s="50" t="s">
        <v>69</v>
      </c>
      <c r="B154" s="221">
        <f t="shared" si="4"/>
        <v>71177.146197495123</v>
      </c>
      <c r="E154" t="s">
        <v>324</v>
      </c>
      <c r="F154" s="245">
        <v>18827.176529698252</v>
      </c>
    </row>
    <row r="155" spans="1:6">
      <c r="A155" s="140" t="s">
        <v>380</v>
      </c>
      <c r="B155" s="221">
        <f t="shared" si="4"/>
        <v>80391.853887404897</v>
      </c>
      <c r="E155" t="s">
        <v>185</v>
      </c>
      <c r="F155" s="246">
        <v>18125.564514266385</v>
      </c>
    </row>
    <row r="156" spans="1:6">
      <c r="A156" s="50" t="s">
        <v>70</v>
      </c>
      <c r="B156" s="221">
        <v>98400</v>
      </c>
      <c r="E156" t="s">
        <v>416</v>
      </c>
      <c r="F156" s="245">
        <v>258.77447509765602</v>
      </c>
    </row>
    <row r="157" spans="1:6">
      <c r="A157" s="50" t="s">
        <v>71</v>
      </c>
      <c r="B157" s="221">
        <v>408802</v>
      </c>
      <c r="E157" t="s">
        <v>390</v>
      </c>
      <c r="F157" s="245">
        <v>9780.8635789768814</v>
      </c>
    </row>
    <row r="158" spans="1:6">
      <c r="A158" s="50" t="s">
        <v>191</v>
      </c>
      <c r="B158" s="221">
        <f t="shared" si="4"/>
        <v>29163.782138341488</v>
      </c>
      <c r="E158" t="s">
        <v>15</v>
      </c>
      <c r="F158" s="245">
        <v>12948.726653810985</v>
      </c>
    </row>
    <row r="159" spans="1:6">
      <c r="B159" s="221"/>
      <c r="E159" t="s">
        <v>16</v>
      </c>
      <c r="F159" s="245">
        <v>1465854.0892864685</v>
      </c>
    </row>
    <row r="160" spans="1:6">
      <c r="B160" s="221"/>
      <c r="E160" t="s">
        <v>414</v>
      </c>
      <c r="F160" s="245">
        <v>424</v>
      </c>
    </row>
    <row r="161" spans="1:6">
      <c r="A161" s="216" t="s">
        <v>336</v>
      </c>
      <c r="B161" s="221">
        <f t="shared" si="4"/>
        <v>194998.44976908513</v>
      </c>
      <c r="E161" t="s">
        <v>561</v>
      </c>
      <c r="F161" s="246">
        <v>4426622.170626184</v>
      </c>
    </row>
    <row r="162" spans="1:6">
      <c r="A162" s="140" t="s">
        <v>337</v>
      </c>
      <c r="B162" s="221">
        <v>14010</v>
      </c>
      <c r="E162" t="s">
        <v>563</v>
      </c>
      <c r="F162" s="245">
        <v>1696713.4231847089</v>
      </c>
    </row>
    <row r="163" spans="1:6">
      <c r="A163" s="216" t="s">
        <v>333</v>
      </c>
      <c r="B163" s="221">
        <v>2038</v>
      </c>
      <c r="E163" t="s">
        <v>580</v>
      </c>
      <c r="F163" s="247">
        <v>1677609.7839466755</v>
      </c>
    </row>
    <row r="164" spans="1:6">
      <c r="A164" s="140" t="s">
        <v>316</v>
      </c>
      <c r="B164" s="221">
        <f t="shared" si="4"/>
        <v>20999.229260495544</v>
      </c>
      <c r="E164" t="s">
        <v>562</v>
      </c>
      <c r="F164" s="245">
        <v>38780979.645375513</v>
      </c>
    </row>
    <row r="165" spans="1:6">
      <c r="A165" s="216" t="s">
        <v>332</v>
      </c>
      <c r="B165" s="221">
        <f t="shared" si="4"/>
        <v>1633.5590920886059</v>
      </c>
      <c r="E165" t="s">
        <v>17</v>
      </c>
      <c r="F165" s="245">
        <v>14508.333280423281</v>
      </c>
    </row>
    <row r="166" spans="1:6">
      <c r="A166" s="140" t="s">
        <v>329</v>
      </c>
      <c r="B166" s="221">
        <f t="shared" si="4"/>
        <v>14718.388489208633</v>
      </c>
      <c r="E166" t="s">
        <v>440</v>
      </c>
      <c r="F166" s="245">
        <v>8784.0029316866458</v>
      </c>
    </row>
    <row r="167" spans="1:6">
      <c r="A167" s="216" t="s">
        <v>325</v>
      </c>
      <c r="B167" s="221">
        <f t="shared" si="4"/>
        <v>20253.551884605487</v>
      </c>
      <c r="E167" t="s">
        <v>63</v>
      </c>
      <c r="F167" s="245">
        <v>17146.471626396327</v>
      </c>
    </row>
    <row r="168" spans="1:6">
      <c r="A168" s="140" t="s">
        <v>327</v>
      </c>
      <c r="B168" s="221">
        <f>F115</f>
        <v>413493.20734926529</v>
      </c>
      <c r="E168" t="s">
        <v>8</v>
      </c>
      <c r="F168" s="245">
        <v>6229.8015807915735</v>
      </c>
    </row>
    <row r="169" spans="1:6">
      <c r="A169" s="216" t="s">
        <v>369</v>
      </c>
      <c r="B169" s="221">
        <v>28500</v>
      </c>
      <c r="E169" t="s">
        <v>18</v>
      </c>
      <c r="F169" s="245">
        <v>130912.55882983979</v>
      </c>
    </row>
    <row r="170" spans="1:6">
      <c r="A170" s="140" t="s">
        <v>317</v>
      </c>
      <c r="B170" s="221">
        <f t="shared" si="4"/>
        <v>4001.0469699999999</v>
      </c>
      <c r="E170" t="s">
        <v>225</v>
      </c>
      <c r="F170" s="245">
        <v>18406.835954669532</v>
      </c>
    </row>
    <row r="171" spans="1:6">
      <c r="A171" s="216" t="s">
        <v>321</v>
      </c>
      <c r="B171" s="221">
        <f t="shared" si="4"/>
        <v>45752.336035984561</v>
      </c>
      <c r="E171" t="s">
        <v>334</v>
      </c>
      <c r="F171" s="245">
        <v>62263.466263737508</v>
      </c>
    </row>
    <row r="172" spans="1:6">
      <c r="A172" s="140" t="s">
        <v>335</v>
      </c>
      <c r="B172" s="221">
        <f t="shared" si="4"/>
        <v>15297.192798977121</v>
      </c>
      <c r="E172" t="s">
        <v>136</v>
      </c>
      <c r="F172" s="245">
        <v>12914.932655685012</v>
      </c>
    </row>
    <row r="173" spans="1:6">
      <c r="A173" s="216" t="s">
        <v>326</v>
      </c>
      <c r="B173" s="221">
        <f t="shared" si="4"/>
        <v>13164.6676269363</v>
      </c>
      <c r="E173" t="s">
        <v>512</v>
      </c>
      <c r="F173" s="245">
        <v>151.64784612895292</v>
      </c>
    </row>
    <row r="174" spans="1:6">
      <c r="A174" s="140" t="s">
        <v>334</v>
      </c>
      <c r="B174" s="221">
        <f t="shared" si="4"/>
        <v>62263.466263737508</v>
      </c>
      <c r="E174" t="s">
        <v>382</v>
      </c>
      <c r="F174" s="245">
        <v>40828.247303533746</v>
      </c>
    </row>
    <row r="175" spans="1:6">
      <c r="A175" s="216" t="s">
        <v>328</v>
      </c>
      <c r="B175" s="221">
        <f t="shared" si="4"/>
        <v>4094.5638594355637</v>
      </c>
      <c r="E175" t="s">
        <v>186</v>
      </c>
      <c r="F175" s="245">
        <v>1009398.7190330778</v>
      </c>
    </row>
    <row r="176" spans="1:6">
      <c r="A176" s="140" t="s">
        <v>314</v>
      </c>
      <c r="B176" s="221">
        <f t="shared" si="4"/>
        <v>10419.541202038166</v>
      </c>
      <c r="E176" t="s">
        <v>516</v>
      </c>
      <c r="F176" s="245">
        <v>9623.3187183145947</v>
      </c>
    </row>
    <row r="177" spans="1:6">
      <c r="A177" s="216" t="s">
        <v>318</v>
      </c>
      <c r="B177" s="221">
        <f t="shared" si="4"/>
        <v>51662.241775062881</v>
      </c>
      <c r="E177" t="s">
        <v>21</v>
      </c>
      <c r="F177" s="245">
        <v>248101.70554139902</v>
      </c>
    </row>
    <row r="178" spans="1:6">
      <c r="A178" s="140" t="s">
        <v>315</v>
      </c>
      <c r="B178" s="221">
        <f>F238</f>
        <v>8969.5129333882614</v>
      </c>
      <c r="E178" t="s">
        <v>22</v>
      </c>
      <c r="F178" s="245">
        <v>15671.583939988886</v>
      </c>
    </row>
    <row r="179" spans="1:6">
      <c r="A179" s="216" t="s">
        <v>322</v>
      </c>
      <c r="B179" s="221">
        <f>21610</f>
        <v>21610</v>
      </c>
      <c r="E179" t="s">
        <v>320</v>
      </c>
      <c r="F179" s="245">
        <v>15342.278919400891</v>
      </c>
    </row>
    <row r="180" spans="1:6">
      <c r="A180" s="140" t="s">
        <v>319</v>
      </c>
      <c r="B180" s="221">
        <f t="shared" si="4"/>
        <v>27366.627153085246</v>
      </c>
      <c r="E180" t="s">
        <v>187</v>
      </c>
      <c r="F180" s="245">
        <v>472624.59740289778</v>
      </c>
    </row>
    <row r="181" spans="1:6">
      <c r="E181" t="s">
        <v>130</v>
      </c>
      <c r="F181" s="245">
        <v>27585185.220074907</v>
      </c>
    </row>
    <row r="182" spans="1:6">
      <c r="E182" t="s">
        <v>468</v>
      </c>
      <c r="F182" s="245">
        <v>13563.132102166315</v>
      </c>
    </row>
    <row r="183" spans="1:6">
      <c r="E183" t="s">
        <v>441</v>
      </c>
      <c r="F183" s="245">
        <v>858</v>
      </c>
    </row>
    <row r="184" spans="1:6">
      <c r="E184" t="s">
        <v>23</v>
      </c>
      <c r="F184" s="245">
        <v>579422.44951027108</v>
      </c>
    </row>
    <row r="185" spans="1:6">
      <c r="E185" t="s">
        <v>553</v>
      </c>
      <c r="F185" s="245" t="s">
        <v>143</v>
      </c>
    </row>
    <row r="186" spans="1:6">
      <c r="E186" t="s">
        <v>564</v>
      </c>
      <c r="F186" s="245">
        <v>59787849.615043111</v>
      </c>
    </row>
    <row r="187" spans="1:6">
      <c r="E187" t="s">
        <v>24</v>
      </c>
      <c r="F187" s="245">
        <v>114667.36020806243</v>
      </c>
    </row>
    <row r="188" spans="1:6">
      <c r="E188" t="s">
        <v>565</v>
      </c>
      <c r="F188" s="245">
        <v>530807.15816441411</v>
      </c>
    </row>
    <row r="189" spans="1:6">
      <c r="E189" t="s">
        <v>568</v>
      </c>
      <c r="F189" s="245">
        <v>10324.33223178023</v>
      </c>
    </row>
    <row r="190" spans="1:6">
      <c r="E190" t="s">
        <v>25</v>
      </c>
      <c r="F190" s="245">
        <v>374697.36635924398</v>
      </c>
    </row>
    <row r="191" spans="1:6">
      <c r="E191" t="s">
        <v>415</v>
      </c>
      <c r="F191" s="245">
        <v>232.90301562499999</v>
      </c>
    </row>
    <row r="192" spans="1:6">
      <c r="E192" t="s">
        <v>26</v>
      </c>
      <c r="F192" s="245">
        <v>76522.511799999993</v>
      </c>
    </row>
    <row r="193" spans="5:6">
      <c r="E193" t="s">
        <v>9</v>
      </c>
      <c r="F193" s="245">
        <v>31603.619041790265</v>
      </c>
    </row>
    <row r="194" spans="5:6">
      <c r="E194" t="s">
        <v>27</v>
      </c>
      <c r="F194" s="246">
        <v>41722.295229227944</v>
      </c>
    </row>
    <row r="195" spans="5:6">
      <c r="E195" t="s">
        <v>28</v>
      </c>
      <c r="F195" s="246">
        <v>242631.57332078982</v>
      </c>
    </row>
    <row r="196" spans="5:6">
      <c r="E196" t="s">
        <v>29</v>
      </c>
      <c r="F196" s="245">
        <v>404284.32611046272</v>
      </c>
    </row>
    <row r="197" spans="5:6">
      <c r="E197" t="s">
        <v>30</v>
      </c>
      <c r="F197" s="246">
        <v>688125.01052052039</v>
      </c>
    </row>
    <row r="198" spans="5:6">
      <c r="E198" t="s">
        <v>188</v>
      </c>
      <c r="F198" s="245">
        <v>255196.66098742705</v>
      </c>
    </row>
    <row r="199" spans="5:6">
      <c r="E199" t="s">
        <v>569</v>
      </c>
      <c r="F199" s="245">
        <v>56661681.236277528</v>
      </c>
    </row>
    <row r="200" spans="5:6">
      <c r="E200" t="s">
        <v>566</v>
      </c>
      <c r="F200" s="245">
        <v>1617245.6416055914</v>
      </c>
    </row>
    <row r="201" spans="5:6">
      <c r="E201" t="s">
        <v>379</v>
      </c>
      <c r="F201" s="245">
        <v>113434.8</v>
      </c>
    </row>
    <row r="202" spans="5:6">
      <c r="E202" t="s">
        <v>74</v>
      </c>
      <c r="F202" s="245">
        <v>236258.30283965328</v>
      </c>
    </row>
    <row r="203" spans="5:6">
      <c r="E203" t="s">
        <v>0</v>
      </c>
      <c r="F203" s="245">
        <v>300691.35486485471</v>
      </c>
    </row>
    <row r="204" spans="5:6">
      <c r="E204" t="s">
        <v>513</v>
      </c>
      <c r="F204" s="248">
        <v>2240422.4274585792</v>
      </c>
    </row>
    <row r="205" spans="5:6">
      <c r="E205" t="s">
        <v>226</v>
      </c>
      <c r="F205" s="246">
        <v>13311.487445068627</v>
      </c>
    </row>
    <row r="206" spans="5:6">
      <c r="E206" t="s">
        <v>408</v>
      </c>
      <c r="F206" s="247">
        <v>832.9452056371847</v>
      </c>
    </row>
    <row r="207" spans="5:6">
      <c r="E207" t="s">
        <v>442</v>
      </c>
      <c r="F207" s="248">
        <v>1855.3828331164991</v>
      </c>
    </row>
    <row r="208" spans="5:6">
      <c r="E208" t="s">
        <v>575</v>
      </c>
      <c r="F208" s="247">
        <v>542.68697645758721</v>
      </c>
    </row>
    <row r="209" spans="5:6">
      <c r="E209" t="s">
        <v>2</v>
      </c>
      <c r="F209" s="245">
        <v>1108571.5172853814</v>
      </c>
    </row>
    <row r="210" spans="5:6">
      <c r="E210" t="s">
        <v>135</v>
      </c>
      <c r="F210" s="245">
        <v>27684.264748232432</v>
      </c>
    </row>
    <row r="211" spans="5:6">
      <c r="E211" t="s">
        <v>147</v>
      </c>
      <c r="F211" s="247">
        <v>63563.401043504426</v>
      </c>
    </row>
    <row r="212" spans="5:6">
      <c r="E212" t="s">
        <v>401</v>
      </c>
      <c r="F212" s="247">
        <v>1588.4381443768475</v>
      </c>
    </row>
    <row r="213" spans="5:6">
      <c r="E213" t="s">
        <v>328</v>
      </c>
      <c r="F213" s="248">
        <v>4094.5638594355637</v>
      </c>
    </row>
    <row r="214" spans="5:6">
      <c r="E214" t="s">
        <v>3</v>
      </c>
      <c r="F214" s="249">
        <v>466788.42679196643</v>
      </c>
    </row>
    <row r="215" spans="5:6">
      <c r="E215" t="s">
        <v>425</v>
      </c>
      <c r="F215" s="247">
        <v>1537.0887244612625</v>
      </c>
    </row>
    <row r="216" spans="5:6">
      <c r="E216" t="s">
        <v>514</v>
      </c>
      <c r="F216" s="247">
        <v>115461.71168896543</v>
      </c>
    </row>
    <row r="217" spans="5:6">
      <c r="E217" t="s">
        <v>189</v>
      </c>
      <c r="F217" s="247">
        <v>60063.475466344593</v>
      </c>
    </row>
    <row r="218" spans="5:6">
      <c r="E218" t="s">
        <v>574</v>
      </c>
      <c r="F218" s="247">
        <v>636018.28014200099</v>
      </c>
    </row>
    <row r="219" spans="5:6">
      <c r="E219" t="s">
        <v>404</v>
      </c>
      <c r="F219" s="245">
        <v>1597.2043406290234</v>
      </c>
    </row>
    <row r="220" spans="5:6">
      <c r="E220" t="s">
        <v>314</v>
      </c>
      <c r="F220" s="247">
        <v>10419.541202038166</v>
      </c>
    </row>
    <row r="221" spans="5:6">
      <c r="E221" t="s">
        <v>76</v>
      </c>
      <c r="F221" s="247">
        <v>405270.85009938711</v>
      </c>
    </row>
    <row r="222" spans="5:6">
      <c r="E222" t="s">
        <v>570</v>
      </c>
      <c r="F222" s="249">
        <v>4390347.5634659119</v>
      </c>
    </row>
    <row r="223" spans="5:6">
      <c r="E223" t="s">
        <v>581</v>
      </c>
      <c r="F223" s="247">
        <v>4390347.5634659128</v>
      </c>
    </row>
    <row r="224" spans="5:6">
      <c r="E224" t="s">
        <v>572</v>
      </c>
      <c r="F224" s="247">
        <v>11997.800760224181</v>
      </c>
    </row>
    <row r="225" spans="5:6">
      <c r="E225" t="s">
        <v>138</v>
      </c>
      <c r="F225" s="245">
        <v>1417800.4662626514</v>
      </c>
    </row>
    <row r="226" spans="5:6">
      <c r="E226" t="s">
        <v>134</v>
      </c>
      <c r="F226" s="245">
        <v>74403.578363435474</v>
      </c>
    </row>
    <row r="227" spans="5:6">
      <c r="E227" t="s">
        <v>407</v>
      </c>
      <c r="F227" s="246">
        <v>965.63886492186668</v>
      </c>
    </row>
    <row r="228" spans="5:6">
      <c r="E228" t="s">
        <v>402</v>
      </c>
      <c r="F228" s="245">
        <v>2343.7037037037035</v>
      </c>
    </row>
    <row r="229" spans="5:6">
      <c r="E229" t="s">
        <v>560</v>
      </c>
      <c r="F229" s="245">
        <v>649.20626284751881</v>
      </c>
    </row>
    <row r="230" spans="5:6">
      <c r="E230" t="s">
        <v>410</v>
      </c>
      <c r="F230" s="247">
        <v>948.55925925925919</v>
      </c>
    </row>
    <row r="231" spans="5:6">
      <c r="E231" t="s">
        <v>573</v>
      </c>
      <c r="F231" s="247">
        <v>2060531.3973090753</v>
      </c>
    </row>
    <row r="232" spans="5:6">
      <c r="E232" t="s">
        <v>571</v>
      </c>
      <c r="F232" s="247">
        <v>2058942.9591646981</v>
      </c>
    </row>
    <row r="233" spans="5:6">
      <c r="E233" t="s">
        <v>582</v>
      </c>
      <c r="F233" s="247">
        <v>2060531.3973090756</v>
      </c>
    </row>
    <row r="234" spans="5:6">
      <c r="E234" t="s">
        <v>318</v>
      </c>
      <c r="F234" s="249">
        <v>51662.241775062881</v>
      </c>
    </row>
    <row r="235" spans="5:6">
      <c r="E235" t="s">
        <v>33</v>
      </c>
      <c r="F235" s="247">
        <v>3620.987993326366</v>
      </c>
    </row>
    <row r="236" spans="5:6">
      <c r="E236" t="s">
        <v>34</v>
      </c>
      <c r="F236" s="247">
        <v>591188.59477655136</v>
      </c>
    </row>
    <row r="237" spans="5:6">
      <c r="E237" t="s">
        <v>35</v>
      </c>
      <c r="F237" s="245">
        <v>818426.55020644981</v>
      </c>
    </row>
    <row r="238" spans="5:6">
      <c r="E238" t="s">
        <v>576</v>
      </c>
      <c r="F238" s="247">
        <v>8969.5129333882614</v>
      </c>
    </row>
    <row r="239" spans="5:6">
      <c r="E239" t="s">
        <v>388</v>
      </c>
      <c r="F239" s="247">
        <v>10492.123387793121</v>
      </c>
    </row>
    <row r="240" spans="5:6">
      <c r="E240" t="s">
        <v>331</v>
      </c>
      <c r="F240" s="247">
        <v>75732.311666039022</v>
      </c>
    </row>
    <row r="241" spans="5:6">
      <c r="E241" t="s">
        <v>65</v>
      </c>
      <c r="F241" s="247">
        <v>495423.3430496215</v>
      </c>
    </row>
    <row r="242" spans="5:6">
      <c r="E242" t="s">
        <v>400</v>
      </c>
      <c r="F242" s="247">
        <v>3204.7530000000002</v>
      </c>
    </row>
    <row r="243" spans="5:6">
      <c r="E243" t="s">
        <v>323</v>
      </c>
      <c r="F243" s="247">
        <v>8341.2252414569357</v>
      </c>
    </row>
    <row r="244" spans="5:6">
      <c r="E244" t="s">
        <v>413</v>
      </c>
      <c r="F244" s="247">
        <v>469.2282196657909</v>
      </c>
    </row>
    <row r="245" spans="5:6">
      <c r="E245" t="s">
        <v>11</v>
      </c>
      <c r="F245" s="247">
        <v>30053.575132141956</v>
      </c>
    </row>
    <row r="246" spans="5:6">
      <c r="E246" t="s">
        <v>77</v>
      </c>
      <c r="F246" s="247">
        <v>46303.55244935424</v>
      </c>
    </row>
    <row r="247" spans="5:6">
      <c r="E247" t="s">
        <v>519</v>
      </c>
      <c r="F247" s="247">
        <v>907118.43595268787</v>
      </c>
    </row>
    <row r="248" spans="5:6">
      <c r="E248" t="s">
        <v>67</v>
      </c>
      <c r="F248" s="247">
        <v>56542.857142857138</v>
      </c>
    </row>
    <row r="249" spans="5:6">
      <c r="E249" t="s">
        <v>291</v>
      </c>
      <c r="F249" s="247">
        <v>1138.8088811</v>
      </c>
    </row>
    <row r="250" spans="5:6">
      <c r="E250" t="s">
        <v>418</v>
      </c>
      <c r="F250" s="247">
        <v>59.065979022767934</v>
      </c>
    </row>
    <row r="251" spans="5:6">
      <c r="E251" t="s">
        <v>227</v>
      </c>
      <c r="F251" s="247">
        <v>45567.30460847645</v>
      </c>
    </row>
    <row r="252" spans="5:6">
      <c r="E252" t="s">
        <v>68</v>
      </c>
      <c r="F252" s="247">
        <v>160502.73725104667</v>
      </c>
    </row>
    <row r="253" spans="5:6">
      <c r="E253" t="s">
        <v>60</v>
      </c>
      <c r="F253" s="245">
        <v>507063.96827331249</v>
      </c>
    </row>
    <row r="254" spans="5:6">
      <c r="E254" t="s">
        <v>57</v>
      </c>
      <c r="F254" s="245">
        <v>3089072.7224001358</v>
      </c>
    </row>
    <row r="255" spans="5:6">
      <c r="E255" t="s">
        <v>355</v>
      </c>
      <c r="F255" s="247">
        <v>25439700</v>
      </c>
    </row>
    <row r="256" spans="5:6">
      <c r="E256" t="s">
        <v>583</v>
      </c>
      <c r="F256" s="247">
        <v>30609458.161507942</v>
      </c>
    </row>
    <row r="257" spans="5:6">
      <c r="E257" t="s">
        <v>69</v>
      </c>
      <c r="F257" s="247">
        <v>71177.146197495123</v>
      </c>
    </row>
    <row r="258" spans="5:6">
      <c r="E258" t="s">
        <v>380</v>
      </c>
      <c r="F258" s="247">
        <v>80391.853887404897</v>
      </c>
    </row>
    <row r="259" spans="5:6">
      <c r="E259" t="s">
        <v>409</v>
      </c>
      <c r="F259" s="247">
        <v>1055.8117237475283</v>
      </c>
    </row>
    <row r="260" spans="5:6">
      <c r="E260" t="s">
        <v>584</v>
      </c>
      <c r="F260" s="247">
        <v>482359.31876770314</v>
      </c>
    </row>
    <row r="261" spans="5:6">
      <c r="E261" t="s">
        <v>658</v>
      </c>
      <c r="F261" s="247">
        <v>408802.37890483788</v>
      </c>
    </row>
    <row r="262" spans="5:6">
      <c r="E262" t="s">
        <v>443</v>
      </c>
      <c r="F262" s="247">
        <v>4444</v>
      </c>
    </row>
    <row r="263" spans="5:6">
      <c r="E263" t="s">
        <v>385</v>
      </c>
      <c r="F263" s="245">
        <v>19111.900000000001</v>
      </c>
    </row>
    <row r="264" spans="5:6">
      <c r="E264" t="s">
        <v>586</v>
      </c>
      <c r="F264" s="247">
        <v>101325686.72463019</v>
      </c>
    </row>
    <row r="265" spans="5:6">
      <c r="E265" t="s">
        <v>381</v>
      </c>
      <c r="F265" s="247">
        <v>21606.16077717191</v>
      </c>
    </row>
    <row r="266" spans="5:6">
      <c r="E266" t="s">
        <v>191</v>
      </c>
      <c r="F266" s="247">
        <v>29163.782138341488</v>
      </c>
    </row>
    <row r="267" spans="5:6">
      <c r="E267" t="s">
        <v>319</v>
      </c>
      <c r="F267" s="247">
        <v>27366.627153085246</v>
      </c>
    </row>
  </sheetData>
  <sortState xmlns:xlrd2="http://schemas.microsoft.com/office/spreadsheetml/2017/richdata2" ref="E2:F267">
    <sortCondition ref="E2:E267"/>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58"/>
  <sheetViews>
    <sheetView topLeftCell="A32" workbookViewId="0">
      <selection activeCell="L2" sqref="L2"/>
    </sheetView>
  </sheetViews>
  <sheetFormatPr baseColWidth="10" defaultRowHeight="13"/>
  <cols>
    <col min="1" max="1" width="27" bestFit="1" customWidth="1"/>
    <col min="2" max="2" width="16" style="25" customWidth="1"/>
    <col min="3" max="3" width="16" style="25" bestFit="1" customWidth="1"/>
    <col min="5" max="5" width="28" bestFit="1" customWidth="1"/>
    <col min="6" max="7" width="10.83203125" style="25"/>
    <col min="11" max="11" width="24" customWidth="1"/>
    <col min="17" max="17" width="24" customWidth="1"/>
    <col min="18" max="18" width="27.33203125" bestFit="1" customWidth="1"/>
  </cols>
  <sheetData>
    <row r="1" spans="1:18" ht="48" customHeight="1">
      <c r="A1" s="66" t="s">
        <v>75</v>
      </c>
      <c r="B1" s="67" t="s">
        <v>269</v>
      </c>
      <c r="C1" s="68" t="s">
        <v>292</v>
      </c>
      <c r="E1" s="15" t="s">
        <v>75</v>
      </c>
      <c r="F1" s="4" t="s">
        <v>233</v>
      </c>
      <c r="G1" s="4" t="s">
        <v>232</v>
      </c>
      <c r="K1" t="s">
        <v>75</v>
      </c>
      <c r="L1" t="s">
        <v>488</v>
      </c>
      <c r="M1" t="s">
        <v>489</v>
      </c>
      <c r="O1" s="204"/>
      <c r="P1" s="217" t="s">
        <v>232</v>
      </c>
      <c r="Q1" s="243" t="s">
        <v>655</v>
      </c>
      <c r="R1" s="243" t="s">
        <v>652</v>
      </c>
    </row>
    <row r="2" spans="1:18" ht="20">
      <c r="A2" s="46" t="s">
        <v>271</v>
      </c>
      <c r="B2" s="69" t="str">
        <f>G2</f>
        <v>AA</v>
      </c>
      <c r="C2" s="68" t="str">
        <f>F2</f>
        <v>Aa2</v>
      </c>
      <c r="E2" s="142" t="s">
        <v>271</v>
      </c>
      <c r="F2" s="167" t="str">
        <f>VLOOKUP(E2,$K$2:$M$153,3,FALSE)</f>
        <v>Aa2</v>
      </c>
      <c r="G2" s="167" t="str">
        <f t="shared" ref="G2:G66" si="0">VLOOKUP(E2,$O$2:$P$157,2,FALSE)</f>
        <v>AA</v>
      </c>
      <c r="K2" s="102" t="s">
        <v>271</v>
      </c>
      <c r="L2" s="234" t="s">
        <v>45</v>
      </c>
      <c r="M2" s="234" t="s">
        <v>45</v>
      </c>
      <c r="N2" s="234"/>
      <c r="O2" s="242" t="s">
        <v>271</v>
      </c>
      <c r="P2" s="242" t="s">
        <v>206</v>
      </c>
      <c r="Q2" s="241" t="s">
        <v>617</v>
      </c>
      <c r="R2" s="241" t="s">
        <v>617</v>
      </c>
    </row>
    <row r="3" spans="1:18" ht="20">
      <c r="A3" s="46" t="s">
        <v>4</v>
      </c>
      <c r="B3" s="175" t="str">
        <f t="shared" ref="B3:B66" si="1">G3</f>
        <v>B+</v>
      </c>
      <c r="C3" s="176" t="str">
        <f t="shared" ref="C3:C66" si="2">F3</f>
        <v>B1</v>
      </c>
      <c r="E3" s="142" t="s">
        <v>4</v>
      </c>
      <c r="F3" s="167" t="str">
        <f t="shared" ref="F3:F66" si="3">VLOOKUP(E3,$K$2:$M$153,3,FALSE)</f>
        <v>B1</v>
      </c>
      <c r="G3" s="167" t="str">
        <f t="shared" si="0"/>
        <v>B+</v>
      </c>
      <c r="K3" s="102" t="s">
        <v>4</v>
      </c>
      <c r="L3" s="234" t="s">
        <v>48</v>
      </c>
      <c r="M3" s="234" t="s">
        <v>48</v>
      </c>
      <c r="N3" s="234"/>
      <c r="O3" s="242" t="s">
        <v>4</v>
      </c>
      <c r="P3" s="242" t="s">
        <v>195</v>
      </c>
      <c r="Q3" s="241" t="s">
        <v>618</v>
      </c>
      <c r="R3" s="241" t="s">
        <v>618</v>
      </c>
    </row>
    <row r="4" spans="1:18" ht="20">
      <c r="A4" s="46" t="s">
        <v>285</v>
      </c>
      <c r="B4" s="175" t="str">
        <f t="shared" si="1"/>
        <v>BBB+</v>
      </c>
      <c r="C4" s="176" t="str">
        <f t="shared" si="2"/>
        <v>Baa2</v>
      </c>
      <c r="E4" s="173" t="s">
        <v>196</v>
      </c>
      <c r="F4" s="167" t="str">
        <f t="shared" si="3"/>
        <v>Baa2</v>
      </c>
      <c r="G4" s="167" t="str">
        <f t="shared" si="0"/>
        <v>BBB+</v>
      </c>
      <c r="K4" s="102" t="s">
        <v>196</v>
      </c>
      <c r="L4" s="234" t="s">
        <v>83</v>
      </c>
      <c r="M4" s="234" t="s">
        <v>83</v>
      </c>
      <c r="N4" s="234"/>
      <c r="O4" s="242" t="s">
        <v>196</v>
      </c>
      <c r="P4" s="242" t="s">
        <v>201</v>
      </c>
      <c r="Q4" s="241" t="s">
        <v>619</v>
      </c>
      <c r="R4" s="241" t="s">
        <v>619</v>
      </c>
    </row>
    <row r="5" spans="1:18" ht="20">
      <c r="A5" s="46" t="s">
        <v>131</v>
      </c>
      <c r="B5" s="175" t="str">
        <f t="shared" si="1"/>
        <v>B-</v>
      </c>
      <c r="C5" s="176" t="str">
        <f t="shared" si="2"/>
        <v>B3</v>
      </c>
      <c r="E5" s="142" t="s">
        <v>131</v>
      </c>
      <c r="F5" s="167" t="str">
        <f t="shared" si="3"/>
        <v>B3</v>
      </c>
      <c r="G5" s="167" t="str">
        <f t="shared" si="0"/>
        <v>B-</v>
      </c>
      <c r="K5" s="102" t="s">
        <v>131</v>
      </c>
      <c r="L5" s="234" t="s">
        <v>78</v>
      </c>
      <c r="M5" s="234" t="s">
        <v>78</v>
      </c>
      <c r="N5" s="234"/>
      <c r="O5" s="242" t="s">
        <v>131</v>
      </c>
      <c r="P5" s="242" t="s">
        <v>199</v>
      </c>
      <c r="Q5" s="241" t="s">
        <v>620</v>
      </c>
      <c r="R5" s="241" t="s">
        <v>620</v>
      </c>
    </row>
    <row r="6" spans="1:18" ht="20">
      <c r="A6" s="46" t="s">
        <v>84</v>
      </c>
      <c r="B6" s="175" t="str">
        <f t="shared" si="1"/>
        <v>CCC-</v>
      </c>
      <c r="C6" s="176" t="str">
        <f t="shared" si="2"/>
        <v>Ca</v>
      </c>
      <c r="E6" s="168" t="s">
        <v>84</v>
      </c>
      <c r="F6" s="167" t="str">
        <f t="shared" si="3"/>
        <v>Ca</v>
      </c>
      <c r="G6" s="167" t="str">
        <f t="shared" si="0"/>
        <v>CCC-</v>
      </c>
      <c r="K6" s="235" t="s">
        <v>84</v>
      </c>
      <c r="L6" s="236" t="s">
        <v>345</v>
      </c>
      <c r="M6" s="236" t="s">
        <v>345</v>
      </c>
      <c r="N6" s="236"/>
      <c r="O6" s="242" t="s">
        <v>84</v>
      </c>
      <c r="P6" s="242" t="s">
        <v>235</v>
      </c>
      <c r="Q6" s="241" t="s">
        <v>621</v>
      </c>
      <c r="R6" s="241" t="s">
        <v>621</v>
      </c>
    </row>
    <row r="7" spans="1:18" ht="20">
      <c r="A7" s="46" t="s">
        <v>19</v>
      </c>
      <c r="B7" s="175" t="str">
        <f t="shared" si="1"/>
        <v>BB-</v>
      </c>
      <c r="C7" s="176" t="str">
        <f t="shared" si="2"/>
        <v>Ba3</v>
      </c>
      <c r="E7" s="142" t="s">
        <v>19</v>
      </c>
      <c r="F7" s="167" t="str">
        <f t="shared" si="3"/>
        <v>Ba3</v>
      </c>
      <c r="G7" s="167" t="str">
        <f t="shared" si="0"/>
        <v>BB-</v>
      </c>
      <c r="K7" s="102" t="s">
        <v>19</v>
      </c>
      <c r="L7" s="234" t="s">
        <v>81</v>
      </c>
      <c r="M7" s="234" t="s">
        <v>81</v>
      </c>
      <c r="N7" s="234"/>
      <c r="O7" s="242" t="s">
        <v>19</v>
      </c>
      <c r="P7" s="242" t="s">
        <v>198</v>
      </c>
      <c r="Q7" s="241" t="s">
        <v>622</v>
      </c>
      <c r="R7" s="241" t="s">
        <v>622</v>
      </c>
    </row>
    <row r="8" spans="1:18" ht="20">
      <c r="A8" s="46" t="s">
        <v>200</v>
      </c>
      <c r="B8" s="175" t="str">
        <f t="shared" si="1"/>
        <v>BBB</v>
      </c>
      <c r="C8" s="176" t="str">
        <f t="shared" si="2"/>
        <v>NA</v>
      </c>
      <c r="E8" s="173" t="s">
        <v>200</v>
      </c>
      <c r="F8" s="167" t="s">
        <v>143</v>
      </c>
      <c r="G8" s="167" t="str">
        <f t="shared" si="0"/>
        <v>BBB</v>
      </c>
      <c r="K8" s="102" t="s">
        <v>85</v>
      </c>
      <c r="L8" s="234" t="s">
        <v>47</v>
      </c>
      <c r="M8" s="234" t="s">
        <v>47</v>
      </c>
      <c r="N8" s="234"/>
      <c r="O8" s="242" t="s">
        <v>200</v>
      </c>
      <c r="P8" s="242" t="s">
        <v>205</v>
      </c>
      <c r="Q8" s="241" t="s">
        <v>623</v>
      </c>
      <c r="R8" s="241" t="s">
        <v>623</v>
      </c>
    </row>
    <row r="9" spans="1:18" ht="20">
      <c r="A9" s="46" t="s">
        <v>85</v>
      </c>
      <c r="B9" s="175" t="str">
        <f t="shared" si="1"/>
        <v>AAA</v>
      </c>
      <c r="C9" s="176" t="str">
        <f t="shared" si="2"/>
        <v>Aaa</v>
      </c>
      <c r="E9" s="142" t="s">
        <v>85</v>
      </c>
      <c r="F9" s="167" t="str">
        <f t="shared" si="3"/>
        <v>Aaa</v>
      </c>
      <c r="G9" s="167" t="str">
        <f t="shared" si="0"/>
        <v>AAA</v>
      </c>
      <c r="K9" s="237" t="s">
        <v>175</v>
      </c>
      <c r="L9" s="234" t="s">
        <v>44</v>
      </c>
      <c r="M9" s="234" t="s">
        <v>44</v>
      </c>
      <c r="N9" s="234"/>
      <c r="O9" s="242" t="s">
        <v>85</v>
      </c>
      <c r="P9" s="242" t="s">
        <v>202</v>
      </c>
      <c r="Q9" s="241" t="s">
        <v>624</v>
      </c>
      <c r="R9" s="241" t="s">
        <v>624</v>
      </c>
    </row>
    <row r="10" spans="1:18" ht="20">
      <c r="A10" s="46" t="s">
        <v>175</v>
      </c>
      <c r="B10" s="175" t="str">
        <f t="shared" si="1"/>
        <v>AA+</v>
      </c>
      <c r="C10" s="176" t="str">
        <f t="shared" si="2"/>
        <v>Aa1</v>
      </c>
      <c r="E10" s="169" t="s">
        <v>175</v>
      </c>
      <c r="F10" s="167" t="str">
        <f t="shared" si="3"/>
        <v>Aa1</v>
      </c>
      <c r="G10" s="167" t="str">
        <f t="shared" si="0"/>
        <v>AA+</v>
      </c>
      <c r="K10" s="102" t="s">
        <v>20</v>
      </c>
      <c r="L10" s="234" t="s">
        <v>79</v>
      </c>
      <c r="M10" s="234" t="s">
        <v>79</v>
      </c>
      <c r="N10" s="234"/>
      <c r="O10" s="242" t="s">
        <v>175</v>
      </c>
      <c r="P10" s="242" t="s">
        <v>203</v>
      </c>
      <c r="Q10" s="241" t="s">
        <v>625</v>
      </c>
      <c r="R10" s="241" t="s">
        <v>625</v>
      </c>
    </row>
    <row r="11" spans="1:18" ht="20">
      <c r="A11" s="46" t="s">
        <v>20</v>
      </c>
      <c r="B11" s="175" t="str">
        <f t="shared" si="1"/>
        <v>BB+</v>
      </c>
      <c r="C11" s="176" t="str">
        <f t="shared" si="2"/>
        <v>Ba1</v>
      </c>
      <c r="E11" s="142" t="s">
        <v>20</v>
      </c>
      <c r="F11" s="167" t="str">
        <f t="shared" si="3"/>
        <v>Ba1</v>
      </c>
      <c r="G11" s="167" t="str">
        <f t="shared" si="0"/>
        <v>BB+</v>
      </c>
      <c r="K11" s="237" t="s">
        <v>86</v>
      </c>
      <c r="L11" s="234" t="s">
        <v>48</v>
      </c>
      <c r="M11" s="234" t="s">
        <v>48</v>
      </c>
      <c r="N11" s="234"/>
      <c r="O11" s="242" t="s">
        <v>20</v>
      </c>
      <c r="P11" s="242" t="s">
        <v>215</v>
      </c>
      <c r="Q11" s="241" t="s">
        <v>626</v>
      </c>
      <c r="R11" s="241" t="s">
        <v>626</v>
      </c>
    </row>
    <row r="12" spans="1:18" ht="20">
      <c r="A12" s="46" t="s">
        <v>86</v>
      </c>
      <c r="B12" s="175" t="str">
        <f t="shared" si="1"/>
        <v>B+</v>
      </c>
      <c r="C12" s="176" t="str">
        <f t="shared" si="2"/>
        <v>B1</v>
      </c>
      <c r="E12" s="169" t="s">
        <v>86</v>
      </c>
      <c r="F12" s="167" t="str">
        <f t="shared" si="3"/>
        <v>B1</v>
      </c>
      <c r="G12" s="167" t="str">
        <f t="shared" si="0"/>
        <v>B+</v>
      </c>
      <c r="K12" s="102" t="s">
        <v>490</v>
      </c>
      <c r="L12" s="234" t="s">
        <v>518</v>
      </c>
      <c r="M12" s="234" t="s">
        <v>518</v>
      </c>
      <c r="N12" s="234"/>
      <c r="O12" s="242" t="s">
        <v>86</v>
      </c>
      <c r="P12" s="242" t="s">
        <v>195</v>
      </c>
      <c r="Q12" s="241" t="s">
        <v>627</v>
      </c>
      <c r="R12" s="241" t="s">
        <v>627</v>
      </c>
    </row>
    <row r="13" spans="1:18" ht="20">
      <c r="A13" s="46" t="s">
        <v>87</v>
      </c>
      <c r="B13" s="175" t="str">
        <f t="shared" si="1"/>
        <v>B+</v>
      </c>
      <c r="C13" s="176" t="str">
        <f t="shared" si="2"/>
        <v>B2</v>
      </c>
      <c r="E13" s="142" t="s">
        <v>87</v>
      </c>
      <c r="F13" s="167" t="str">
        <f t="shared" si="3"/>
        <v>B2</v>
      </c>
      <c r="G13" s="167" t="str">
        <f t="shared" si="0"/>
        <v>B+</v>
      </c>
      <c r="K13" s="102" t="s">
        <v>87</v>
      </c>
      <c r="L13" s="234" t="s">
        <v>49</v>
      </c>
      <c r="M13" s="234" t="s">
        <v>49</v>
      </c>
      <c r="N13" s="234"/>
      <c r="O13" s="242" t="s">
        <v>87</v>
      </c>
      <c r="P13" s="242" t="s">
        <v>195</v>
      </c>
      <c r="Q13" s="241" t="s">
        <v>627</v>
      </c>
      <c r="R13" s="241" t="s">
        <v>627</v>
      </c>
    </row>
    <row r="14" spans="1:18" ht="20">
      <c r="A14" s="46" t="s">
        <v>132</v>
      </c>
      <c r="B14" s="175" t="str">
        <f t="shared" si="1"/>
        <v>BB-</v>
      </c>
      <c r="C14" s="176" t="str">
        <f t="shared" si="2"/>
        <v>B1</v>
      </c>
      <c r="E14" s="142" t="s">
        <v>132</v>
      </c>
      <c r="F14" s="167" t="str">
        <f t="shared" si="3"/>
        <v>B1</v>
      </c>
      <c r="G14" s="167" t="str">
        <f t="shared" si="0"/>
        <v>BB-</v>
      </c>
      <c r="K14" s="102" t="s">
        <v>491</v>
      </c>
      <c r="L14" s="234" t="s">
        <v>518</v>
      </c>
      <c r="M14" s="234" t="s">
        <v>518</v>
      </c>
      <c r="N14" s="234"/>
      <c r="O14" s="242" t="s">
        <v>132</v>
      </c>
      <c r="P14" s="242" t="s">
        <v>198</v>
      </c>
      <c r="Q14" s="241" t="s">
        <v>628</v>
      </c>
      <c r="R14" s="241" t="s">
        <v>628</v>
      </c>
    </row>
    <row r="15" spans="1:18" ht="20">
      <c r="A15" s="46" t="s">
        <v>88</v>
      </c>
      <c r="B15" s="175" t="str">
        <f t="shared" si="1"/>
        <v>B-</v>
      </c>
      <c r="C15" s="176" t="str">
        <f t="shared" si="2"/>
        <v>B3</v>
      </c>
      <c r="E15" s="142" t="s">
        <v>88</v>
      </c>
      <c r="F15" s="167" t="str">
        <f t="shared" si="3"/>
        <v>B3</v>
      </c>
      <c r="G15" s="167" t="str">
        <f t="shared" si="0"/>
        <v>B-</v>
      </c>
      <c r="K15" s="102" t="s">
        <v>132</v>
      </c>
      <c r="L15" s="234" t="s">
        <v>48</v>
      </c>
      <c r="M15" s="234" t="s">
        <v>48</v>
      </c>
      <c r="N15" s="234"/>
      <c r="O15" s="242" t="s">
        <v>88</v>
      </c>
      <c r="P15" s="242" t="s">
        <v>199</v>
      </c>
      <c r="Q15" s="241" t="s">
        <v>629</v>
      </c>
      <c r="R15" s="241" t="s">
        <v>629</v>
      </c>
    </row>
    <row r="16" spans="1:18" ht="20">
      <c r="A16" s="46" t="s">
        <v>5</v>
      </c>
      <c r="B16" s="175" t="str">
        <f t="shared" si="1"/>
        <v>NA</v>
      </c>
      <c r="C16" s="176" t="str">
        <f t="shared" si="2"/>
        <v>C</v>
      </c>
      <c r="E16" s="142" t="s">
        <v>5</v>
      </c>
      <c r="F16" s="167" t="str">
        <f t="shared" si="3"/>
        <v>C</v>
      </c>
      <c r="G16" s="167" t="s">
        <v>143</v>
      </c>
      <c r="K16" s="102" t="s">
        <v>88</v>
      </c>
      <c r="L16" s="234" t="s">
        <v>78</v>
      </c>
      <c r="M16" s="234" t="s">
        <v>78</v>
      </c>
      <c r="N16" s="234"/>
      <c r="O16" s="242" t="s">
        <v>176</v>
      </c>
      <c r="P16" s="242" t="s">
        <v>206</v>
      </c>
      <c r="Q16" s="241" t="s">
        <v>617</v>
      </c>
      <c r="R16" s="241" t="s">
        <v>617</v>
      </c>
    </row>
    <row r="17" spans="1:18" ht="20">
      <c r="A17" s="46" t="s">
        <v>176</v>
      </c>
      <c r="B17" s="175" t="str">
        <f t="shared" si="1"/>
        <v>AA</v>
      </c>
      <c r="C17" s="176" t="str">
        <f t="shared" si="2"/>
        <v>Aa3</v>
      </c>
      <c r="E17" s="142" t="s">
        <v>176</v>
      </c>
      <c r="F17" s="167" t="str">
        <f t="shared" si="3"/>
        <v>Aa3</v>
      </c>
      <c r="G17" s="167" t="str">
        <f t="shared" si="0"/>
        <v>AA</v>
      </c>
      <c r="K17" s="102" t="s">
        <v>5</v>
      </c>
      <c r="L17" s="234" t="s">
        <v>137</v>
      </c>
      <c r="M17" s="234" t="s">
        <v>137</v>
      </c>
      <c r="N17" s="234"/>
      <c r="O17" s="242" t="s">
        <v>89</v>
      </c>
      <c r="P17" s="242" t="s">
        <v>199</v>
      </c>
      <c r="Q17" s="241" t="s">
        <v>620</v>
      </c>
      <c r="R17" s="241" t="s">
        <v>620</v>
      </c>
    </row>
    <row r="18" spans="1:18" ht="20">
      <c r="A18" s="46" t="s">
        <v>89</v>
      </c>
      <c r="B18" s="175" t="str">
        <f t="shared" si="1"/>
        <v>B-</v>
      </c>
      <c r="C18" s="176" t="str">
        <f t="shared" si="2"/>
        <v>Caa2</v>
      </c>
      <c r="E18" s="142" t="s">
        <v>89</v>
      </c>
      <c r="F18" s="167" t="str">
        <f t="shared" si="3"/>
        <v>Caa2</v>
      </c>
      <c r="G18" s="167" t="str">
        <f t="shared" si="0"/>
        <v>B-</v>
      </c>
      <c r="K18" s="102" t="s">
        <v>176</v>
      </c>
      <c r="L18" s="234" t="s">
        <v>46</v>
      </c>
      <c r="M18" s="234" t="s">
        <v>46</v>
      </c>
      <c r="N18" s="234"/>
      <c r="O18" s="242" t="s">
        <v>207</v>
      </c>
      <c r="P18" s="242" t="s">
        <v>195</v>
      </c>
      <c r="Q18" s="241" t="s">
        <v>618</v>
      </c>
      <c r="R18" s="241" t="s">
        <v>618</v>
      </c>
    </row>
    <row r="19" spans="1:18" ht="20">
      <c r="A19" s="46" t="s">
        <v>207</v>
      </c>
      <c r="B19" s="175" t="str">
        <f t="shared" si="1"/>
        <v>B+</v>
      </c>
      <c r="C19" s="176" t="str">
        <f t="shared" si="2"/>
        <v>B1</v>
      </c>
      <c r="E19" s="142" t="s">
        <v>207</v>
      </c>
      <c r="F19" s="167" t="str">
        <f t="shared" si="3"/>
        <v>B1</v>
      </c>
      <c r="G19" s="167" t="str">
        <f t="shared" si="0"/>
        <v>B+</v>
      </c>
      <c r="K19" s="102" t="s">
        <v>89</v>
      </c>
      <c r="L19" s="234" t="s">
        <v>58</v>
      </c>
      <c r="M19" s="234" t="s">
        <v>58</v>
      </c>
      <c r="N19" s="234"/>
      <c r="O19" s="242" t="s">
        <v>90</v>
      </c>
      <c r="P19" s="242" t="s">
        <v>221</v>
      </c>
      <c r="Q19" s="241" t="s">
        <v>630</v>
      </c>
      <c r="R19" s="241" t="s">
        <v>630</v>
      </c>
    </row>
    <row r="20" spans="1:18" ht="20">
      <c r="A20" s="46" t="s">
        <v>90</v>
      </c>
      <c r="B20" s="175" t="str">
        <f t="shared" si="1"/>
        <v>A+</v>
      </c>
      <c r="C20" s="176" t="str">
        <f t="shared" si="2"/>
        <v>A2</v>
      </c>
      <c r="E20" s="142" t="s">
        <v>90</v>
      </c>
      <c r="F20" s="167" t="str">
        <f t="shared" si="3"/>
        <v>A2</v>
      </c>
      <c r="G20" s="167" t="str">
        <f t="shared" si="0"/>
        <v>A+</v>
      </c>
      <c r="K20" s="102" t="s">
        <v>207</v>
      </c>
      <c r="L20" s="234" t="s">
        <v>48</v>
      </c>
      <c r="M20" s="234" t="s">
        <v>48</v>
      </c>
      <c r="N20" s="234"/>
      <c r="O20" s="242" t="s">
        <v>91</v>
      </c>
      <c r="P20" s="242" t="s">
        <v>217</v>
      </c>
      <c r="Q20" s="241" t="s">
        <v>631</v>
      </c>
      <c r="R20" s="241" t="s">
        <v>631</v>
      </c>
    </row>
    <row r="21" spans="1:18" ht="20">
      <c r="A21" s="46" t="s">
        <v>91</v>
      </c>
      <c r="B21" s="175" t="str">
        <f t="shared" si="1"/>
        <v>CCC+</v>
      </c>
      <c r="C21" s="176" t="str">
        <f t="shared" si="2"/>
        <v>Caa1</v>
      </c>
      <c r="E21" s="142" t="s">
        <v>91</v>
      </c>
      <c r="F21" s="167" t="str">
        <f t="shared" si="3"/>
        <v>Caa1</v>
      </c>
      <c r="G21" s="167" t="str">
        <f t="shared" si="0"/>
        <v>CCC+</v>
      </c>
      <c r="K21" s="102" t="s">
        <v>90</v>
      </c>
      <c r="L21" s="234" t="s">
        <v>42</v>
      </c>
      <c r="M21" s="234" t="s">
        <v>42</v>
      </c>
      <c r="N21" s="234"/>
      <c r="O21" s="242" t="s">
        <v>7</v>
      </c>
      <c r="P21" s="242" t="s">
        <v>195</v>
      </c>
      <c r="Q21" s="241" t="s">
        <v>627</v>
      </c>
      <c r="R21" s="241" t="s">
        <v>627</v>
      </c>
    </row>
    <row r="22" spans="1:18" ht="20">
      <c r="A22" s="46" t="s">
        <v>7</v>
      </c>
      <c r="B22" s="175" t="str">
        <f t="shared" si="1"/>
        <v>B+</v>
      </c>
      <c r="C22" s="176" t="str">
        <f t="shared" si="2"/>
        <v>B3</v>
      </c>
      <c r="E22" s="142" t="s">
        <v>7</v>
      </c>
      <c r="F22" s="167" t="str">
        <f t="shared" si="3"/>
        <v>B3</v>
      </c>
      <c r="G22" s="167" t="str">
        <f t="shared" si="0"/>
        <v>B+</v>
      </c>
      <c r="K22" s="102" t="s">
        <v>91</v>
      </c>
      <c r="L22" s="234" t="s">
        <v>100</v>
      </c>
      <c r="M22" s="234" t="s">
        <v>100</v>
      </c>
      <c r="N22" s="234"/>
      <c r="O22" s="242" t="s">
        <v>123</v>
      </c>
      <c r="P22" s="242" t="s">
        <v>201</v>
      </c>
      <c r="Q22" s="241" t="s">
        <v>632</v>
      </c>
      <c r="R22" s="241" t="s">
        <v>632</v>
      </c>
    </row>
    <row r="23" spans="1:18" ht="20">
      <c r="A23" s="46" t="s">
        <v>123</v>
      </c>
      <c r="B23" s="175" t="str">
        <f t="shared" si="1"/>
        <v>BBB+</v>
      </c>
      <c r="C23" s="176" t="str">
        <f t="shared" si="2"/>
        <v>A3</v>
      </c>
      <c r="E23" s="168" t="s">
        <v>123</v>
      </c>
      <c r="F23" s="167" t="str">
        <f t="shared" si="3"/>
        <v>A3</v>
      </c>
      <c r="G23" s="167" t="str">
        <f t="shared" si="0"/>
        <v>BBB+</v>
      </c>
      <c r="K23" s="102" t="s">
        <v>7</v>
      </c>
      <c r="L23" s="234" t="s">
        <v>78</v>
      </c>
      <c r="M23" s="234" t="s">
        <v>78</v>
      </c>
      <c r="N23" s="234"/>
      <c r="O23" s="242" t="s">
        <v>92</v>
      </c>
      <c r="P23" s="242" t="s">
        <v>198</v>
      </c>
      <c r="Q23" s="241" t="s">
        <v>633</v>
      </c>
      <c r="R23" s="241" t="s">
        <v>633</v>
      </c>
    </row>
    <row r="24" spans="1:18" ht="20">
      <c r="A24" s="46" t="s">
        <v>92</v>
      </c>
      <c r="B24" s="175" t="str">
        <f t="shared" si="1"/>
        <v>BB-</v>
      </c>
      <c r="C24" s="176" t="str">
        <f t="shared" si="2"/>
        <v>Ba2</v>
      </c>
      <c r="E24" s="142" t="s">
        <v>92</v>
      </c>
      <c r="F24" s="167" t="str">
        <f t="shared" si="3"/>
        <v>Ba2</v>
      </c>
      <c r="G24" s="167" t="str">
        <f t="shared" si="0"/>
        <v>BB-</v>
      </c>
      <c r="K24" s="235" t="s">
        <v>123</v>
      </c>
      <c r="L24" s="236" t="s">
        <v>43</v>
      </c>
      <c r="M24" s="236" t="s">
        <v>43</v>
      </c>
      <c r="N24" s="236"/>
      <c r="O24" s="242" t="s">
        <v>94</v>
      </c>
      <c r="P24" s="242" t="s">
        <v>205</v>
      </c>
      <c r="Q24" s="241" t="s">
        <v>634</v>
      </c>
      <c r="R24" s="241" t="s">
        <v>634</v>
      </c>
    </row>
    <row r="25" spans="1:18" ht="20">
      <c r="A25" s="46" t="s">
        <v>94</v>
      </c>
      <c r="B25" s="175" t="str">
        <f t="shared" si="1"/>
        <v>BBB</v>
      </c>
      <c r="C25" s="176" t="str">
        <f t="shared" si="2"/>
        <v>Baa1</v>
      </c>
      <c r="E25" s="142" t="s">
        <v>94</v>
      </c>
      <c r="F25" s="167" t="str">
        <f t="shared" si="3"/>
        <v>Baa1</v>
      </c>
      <c r="G25" s="167" t="str">
        <f t="shared" si="0"/>
        <v>BBB</v>
      </c>
      <c r="K25" s="102" t="s">
        <v>92</v>
      </c>
      <c r="L25" s="234" t="s">
        <v>80</v>
      </c>
      <c r="M25" s="234" t="s">
        <v>80</v>
      </c>
      <c r="N25" s="234"/>
      <c r="O25" s="242" t="s">
        <v>210</v>
      </c>
      <c r="P25" s="242" t="s">
        <v>217</v>
      </c>
      <c r="Q25" s="241" t="s">
        <v>635</v>
      </c>
      <c r="R25" s="241" t="s">
        <v>635</v>
      </c>
    </row>
    <row r="26" spans="1:18" ht="20">
      <c r="A26" s="46" t="s">
        <v>210</v>
      </c>
      <c r="B26" s="175" t="str">
        <f t="shared" si="1"/>
        <v>CCC+</v>
      </c>
      <c r="C26" s="176" t="str">
        <f t="shared" si="2"/>
        <v>NA</v>
      </c>
      <c r="E26" s="173" t="s">
        <v>210</v>
      </c>
      <c r="F26" s="167" t="s">
        <v>143</v>
      </c>
      <c r="G26" s="167" t="str">
        <f t="shared" si="0"/>
        <v>CCC+</v>
      </c>
      <c r="K26" s="102" t="s">
        <v>94</v>
      </c>
      <c r="L26" s="234" t="s">
        <v>82</v>
      </c>
      <c r="M26" s="234" t="s">
        <v>82</v>
      </c>
      <c r="N26" s="234"/>
      <c r="O26" s="242" t="s">
        <v>211</v>
      </c>
      <c r="P26" s="242" t="s">
        <v>217</v>
      </c>
      <c r="Q26" s="241" t="s">
        <v>635</v>
      </c>
      <c r="R26" s="241" t="s">
        <v>635</v>
      </c>
    </row>
    <row r="27" spans="1:18" ht="20">
      <c r="A27" s="46" t="s">
        <v>6</v>
      </c>
      <c r="B27" s="175" t="str">
        <f t="shared" si="1"/>
        <v>NA</v>
      </c>
      <c r="C27" s="176" t="str">
        <f t="shared" si="2"/>
        <v>B2</v>
      </c>
      <c r="E27" s="142" t="s">
        <v>6</v>
      </c>
      <c r="F27" s="167" t="str">
        <f t="shared" si="3"/>
        <v>B2</v>
      </c>
      <c r="G27" s="167" t="s">
        <v>143</v>
      </c>
      <c r="K27" s="102" t="s">
        <v>6</v>
      </c>
      <c r="L27" s="234" t="s">
        <v>49</v>
      </c>
      <c r="M27" s="234" t="s">
        <v>49</v>
      </c>
      <c r="N27" s="234"/>
      <c r="O27" s="242" t="s">
        <v>95</v>
      </c>
      <c r="P27" s="242" t="s">
        <v>202</v>
      </c>
      <c r="Q27" s="241" t="s">
        <v>624</v>
      </c>
      <c r="R27" s="241" t="s">
        <v>624</v>
      </c>
    </row>
    <row r="28" spans="1:18" ht="20">
      <c r="A28" s="46" t="s">
        <v>211</v>
      </c>
      <c r="B28" s="175" t="str">
        <f t="shared" si="1"/>
        <v>CCC+</v>
      </c>
      <c r="C28" s="176" t="str">
        <f t="shared" si="2"/>
        <v>Caa1</v>
      </c>
      <c r="E28" s="168" t="s">
        <v>211</v>
      </c>
      <c r="F28" s="167" t="str">
        <f t="shared" si="3"/>
        <v>Caa1</v>
      </c>
      <c r="G28" s="167" t="str">
        <f t="shared" si="0"/>
        <v>CCC+</v>
      </c>
      <c r="K28" s="235" t="s">
        <v>211</v>
      </c>
      <c r="L28" s="234" t="s">
        <v>100</v>
      </c>
      <c r="M28" s="234" t="s">
        <v>100</v>
      </c>
      <c r="N28" s="234"/>
      <c r="O28" s="242" t="s">
        <v>212</v>
      </c>
      <c r="P28" s="242" t="s">
        <v>199</v>
      </c>
      <c r="Q28" s="241" t="s">
        <v>620</v>
      </c>
      <c r="R28" s="241" t="s">
        <v>620</v>
      </c>
    </row>
    <row r="29" spans="1:18" ht="20">
      <c r="A29" s="46" t="s">
        <v>95</v>
      </c>
      <c r="B29" s="175" t="str">
        <f t="shared" si="1"/>
        <v>AAA</v>
      </c>
      <c r="C29" s="176" t="str">
        <f t="shared" si="2"/>
        <v>Aaa</v>
      </c>
      <c r="E29" s="142" t="s">
        <v>95</v>
      </c>
      <c r="F29" s="167" t="str">
        <f t="shared" si="3"/>
        <v>Aaa</v>
      </c>
      <c r="G29" s="167" t="str">
        <f t="shared" si="0"/>
        <v>AAA</v>
      </c>
      <c r="K29" s="102" t="s">
        <v>95</v>
      </c>
      <c r="L29" s="234" t="s">
        <v>47</v>
      </c>
      <c r="M29" s="234" t="s">
        <v>47</v>
      </c>
      <c r="N29" s="234"/>
      <c r="O29" s="242" t="s">
        <v>96</v>
      </c>
      <c r="P29" s="242" t="s">
        <v>223</v>
      </c>
      <c r="Q29" s="241" t="s">
        <v>636</v>
      </c>
      <c r="R29" s="241" t="s">
        <v>645</v>
      </c>
    </row>
    <row r="30" spans="1:18" ht="20">
      <c r="A30" s="46" t="s">
        <v>212</v>
      </c>
      <c r="B30" s="175" t="str">
        <f t="shared" si="1"/>
        <v>B-</v>
      </c>
      <c r="C30" s="176" t="str">
        <f t="shared" si="2"/>
        <v>NA</v>
      </c>
      <c r="E30" s="173" t="s">
        <v>212</v>
      </c>
      <c r="F30" s="167" t="s">
        <v>143</v>
      </c>
      <c r="G30" s="167" t="str">
        <f t="shared" si="0"/>
        <v>B-</v>
      </c>
      <c r="K30" s="102" t="s">
        <v>55</v>
      </c>
      <c r="L30" s="234" t="s">
        <v>46</v>
      </c>
      <c r="M30" s="234" t="s">
        <v>46</v>
      </c>
      <c r="N30" s="234"/>
      <c r="O30" s="242" t="s">
        <v>97</v>
      </c>
      <c r="P30" s="242" t="s">
        <v>221</v>
      </c>
      <c r="Q30" s="241" t="s">
        <v>630</v>
      </c>
      <c r="R30" s="241" t="s">
        <v>630</v>
      </c>
    </row>
    <row r="31" spans="1:18" ht="20">
      <c r="A31" s="46" t="s">
        <v>55</v>
      </c>
      <c r="B31" s="175" t="str">
        <f t="shared" si="1"/>
        <v>NA</v>
      </c>
      <c r="C31" s="176" t="str">
        <f t="shared" si="2"/>
        <v>Aa3</v>
      </c>
      <c r="E31" s="142" t="s">
        <v>55</v>
      </c>
      <c r="F31" s="167" t="str">
        <f t="shared" si="3"/>
        <v>Aa3</v>
      </c>
      <c r="G31" s="167" t="s">
        <v>143</v>
      </c>
      <c r="K31" s="102" t="s">
        <v>492</v>
      </c>
      <c r="L31" s="234" t="s">
        <v>518</v>
      </c>
      <c r="M31" s="234" t="s">
        <v>518</v>
      </c>
      <c r="N31" s="234"/>
      <c r="O31" s="242" t="s">
        <v>50</v>
      </c>
      <c r="P31" s="242" t="s">
        <v>215</v>
      </c>
      <c r="Q31" s="241" t="s">
        <v>626</v>
      </c>
      <c r="R31" s="241" t="s">
        <v>637</v>
      </c>
    </row>
    <row r="32" spans="1:18" ht="20">
      <c r="A32" s="46" t="s">
        <v>96</v>
      </c>
      <c r="B32" s="175" t="str">
        <f t="shared" si="1"/>
        <v>A</v>
      </c>
      <c r="C32" s="176" t="str">
        <f t="shared" si="2"/>
        <v>A2</v>
      </c>
      <c r="E32" s="142" t="s">
        <v>96</v>
      </c>
      <c r="F32" s="167" t="str">
        <f t="shared" si="3"/>
        <v>A2</v>
      </c>
      <c r="G32" s="167" t="str">
        <f t="shared" si="0"/>
        <v>A</v>
      </c>
      <c r="K32" s="102" t="s">
        <v>96</v>
      </c>
      <c r="L32" s="234" t="s">
        <v>42</v>
      </c>
      <c r="M32" s="234" t="s">
        <v>42</v>
      </c>
      <c r="N32" s="234"/>
      <c r="O32" s="242" t="s">
        <v>611</v>
      </c>
      <c r="P32" s="242" t="s">
        <v>199</v>
      </c>
      <c r="Q32" s="241" t="s">
        <v>620</v>
      </c>
      <c r="R32" s="241" t="s">
        <v>620</v>
      </c>
    </row>
    <row r="33" spans="1:18" ht="20">
      <c r="A33" s="46" t="s">
        <v>97</v>
      </c>
      <c r="B33" s="175" t="str">
        <f t="shared" si="1"/>
        <v>A+</v>
      </c>
      <c r="C33" s="176" t="str">
        <f t="shared" si="2"/>
        <v>A1</v>
      </c>
      <c r="E33" s="142" t="s">
        <v>97</v>
      </c>
      <c r="F33" s="167" t="str">
        <f t="shared" si="3"/>
        <v>A1</v>
      </c>
      <c r="G33" s="167" t="str">
        <f t="shared" si="0"/>
        <v>A+</v>
      </c>
      <c r="K33" s="102" t="s">
        <v>97</v>
      </c>
      <c r="L33" s="234" t="s">
        <v>41</v>
      </c>
      <c r="M33" s="234" t="s">
        <v>41</v>
      </c>
      <c r="N33" s="234"/>
      <c r="O33" s="242" t="s">
        <v>612</v>
      </c>
      <c r="P33" s="242" t="s">
        <v>199</v>
      </c>
      <c r="Q33" s="241" t="s">
        <v>620</v>
      </c>
      <c r="R33" s="241" t="s">
        <v>620</v>
      </c>
    </row>
    <row r="34" spans="1:18" ht="20">
      <c r="A34" s="46" t="s">
        <v>50</v>
      </c>
      <c r="B34" s="175" t="str">
        <f t="shared" si="1"/>
        <v>BB+</v>
      </c>
      <c r="C34" s="176" t="str">
        <f t="shared" si="2"/>
        <v>Baa2</v>
      </c>
      <c r="E34" s="142" t="s">
        <v>50</v>
      </c>
      <c r="F34" s="167" t="str">
        <f t="shared" si="3"/>
        <v>Baa2</v>
      </c>
      <c r="G34" s="167" t="str">
        <f t="shared" si="0"/>
        <v>BB+</v>
      </c>
      <c r="K34" s="102" t="s">
        <v>50</v>
      </c>
      <c r="L34" s="234" t="s">
        <v>83</v>
      </c>
      <c r="M34" s="234" t="s">
        <v>83</v>
      </c>
      <c r="N34" s="234"/>
      <c r="O34" s="242" t="s">
        <v>213</v>
      </c>
      <c r="P34" s="242" t="s">
        <v>195</v>
      </c>
      <c r="Q34" s="241" t="s">
        <v>627</v>
      </c>
      <c r="R34" s="241" t="s">
        <v>627</v>
      </c>
    </row>
    <row r="35" spans="1:18" ht="20">
      <c r="A35" s="46" t="s">
        <v>286</v>
      </c>
      <c r="B35" s="175" t="str">
        <f t="shared" si="1"/>
        <v>B-</v>
      </c>
      <c r="C35" s="176" t="str">
        <f t="shared" si="2"/>
        <v>B3</v>
      </c>
      <c r="E35" s="46" t="s">
        <v>286</v>
      </c>
      <c r="F35" s="167" t="s">
        <v>78</v>
      </c>
      <c r="G35" s="167" t="s">
        <v>199</v>
      </c>
      <c r="K35" s="102" t="s">
        <v>56</v>
      </c>
      <c r="L35" s="234" t="s">
        <v>48</v>
      </c>
      <c r="M35" s="234" t="s">
        <v>48</v>
      </c>
      <c r="N35" s="234"/>
      <c r="O35" s="242" t="s">
        <v>56</v>
      </c>
      <c r="P35" s="242" t="s">
        <v>198</v>
      </c>
      <c r="Q35" s="241" t="s">
        <v>622</v>
      </c>
      <c r="R35" s="241" t="s">
        <v>622</v>
      </c>
    </row>
    <row r="36" spans="1:18" ht="20">
      <c r="A36" s="46" t="s">
        <v>287</v>
      </c>
      <c r="B36" s="175" t="str">
        <f t="shared" si="1"/>
        <v>B-</v>
      </c>
      <c r="C36" s="176" t="str">
        <f t="shared" si="2"/>
        <v>Caa2</v>
      </c>
      <c r="E36" s="46" t="s">
        <v>287</v>
      </c>
      <c r="F36" s="167" t="s">
        <v>58</v>
      </c>
      <c r="G36" s="167" t="s">
        <v>199</v>
      </c>
      <c r="K36" s="102" t="s">
        <v>368</v>
      </c>
      <c r="L36" s="234" t="s">
        <v>81</v>
      </c>
      <c r="M36" s="234" t="s">
        <v>81</v>
      </c>
      <c r="N36" s="234"/>
      <c r="O36" s="242" t="s">
        <v>613</v>
      </c>
      <c r="P36" s="242" t="s">
        <v>198</v>
      </c>
      <c r="Q36" s="241" t="s">
        <v>622</v>
      </c>
      <c r="R36" s="241" t="s">
        <v>622</v>
      </c>
    </row>
    <row r="37" spans="1:18" ht="20">
      <c r="A37" s="46" t="s">
        <v>213</v>
      </c>
      <c r="B37" s="175" t="str">
        <f t="shared" si="1"/>
        <v>B+</v>
      </c>
      <c r="C37" s="176" t="str">
        <f t="shared" si="2"/>
        <v>NA</v>
      </c>
      <c r="E37" s="174" t="s">
        <v>213</v>
      </c>
      <c r="F37" s="167" t="s">
        <v>143</v>
      </c>
      <c r="G37" s="167" t="str">
        <f t="shared" si="0"/>
        <v>B+</v>
      </c>
      <c r="K37" s="102" t="s">
        <v>98</v>
      </c>
      <c r="L37" s="234" t="s">
        <v>83</v>
      </c>
      <c r="M37" s="234" t="s">
        <v>83</v>
      </c>
      <c r="N37" s="234"/>
      <c r="O37" s="242" t="s">
        <v>98</v>
      </c>
      <c r="P37" s="242" t="s">
        <v>201</v>
      </c>
      <c r="Q37" s="241" t="s">
        <v>619</v>
      </c>
      <c r="R37" s="241" t="s">
        <v>619</v>
      </c>
    </row>
    <row r="38" spans="1:18" ht="20">
      <c r="A38" s="46" t="s">
        <v>56</v>
      </c>
      <c r="B38" s="175" t="str">
        <f t="shared" si="1"/>
        <v>BB-</v>
      </c>
      <c r="C38" s="176" t="str">
        <f t="shared" si="2"/>
        <v>B1</v>
      </c>
      <c r="E38" s="142" t="s">
        <v>56</v>
      </c>
      <c r="F38" s="167" t="str">
        <f t="shared" si="3"/>
        <v>B1</v>
      </c>
      <c r="G38" s="167" t="str">
        <f t="shared" si="0"/>
        <v>BB-</v>
      </c>
      <c r="K38" s="238" t="s">
        <v>99</v>
      </c>
      <c r="L38" s="239" t="s">
        <v>345</v>
      </c>
      <c r="M38" s="239" t="s">
        <v>345</v>
      </c>
      <c r="N38" s="239"/>
      <c r="O38" s="242" t="s">
        <v>216</v>
      </c>
      <c r="P38" s="242" t="s">
        <v>204</v>
      </c>
      <c r="Q38" s="241" t="s">
        <v>637</v>
      </c>
      <c r="R38" s="241" t="s">
        <v>637</v>
      </c>
    </row>
    <row r="39" spans="1:18" ht="20">
      <c r="A39" s="46" t="s">
        <v>282</v>
      </c>
      <c r="B39" s="175" t="str">
        <f t="shared" si="1"/>
        <v>BB-</v>
      </c>
      <c r="C39" s="176" t="str">
        <f t="shared" si="2"/>
        <v>Ba3</v>
      </c>
      <c r="E39" s="142" t="s">
        <v>368</v>
      </c>
      <c r="F39" s="167" t="str">
        <f t="shared" si="3"/>
        <v>Ba3</v>
      </c>
      <c r="G39" s="167" t="s">
        <v>198</v>
      </c>
      <c r="K39" s="102" t="s">
        <v>177</v>
      </c>
      <c r="L39" s="234" t="s">
        <v>83</v>
      </c>
      <c r="M39" s="234" t="s">
        <v>83</v>
      </c>
      <c r="N39" s="234"/>
      <c r="O39" s="242" t="s">
        <v>177</v>
      </c>
      <c r="P39" s="242" t="s">
        <v>205</v>
      </c>
      <c r="Q39" s="241" t="s">
        <v>634</v>
      </c>
      <c r="R39" s="241" t="s">
        <v>634</v>
      </c>
    </row>
    <row r="40" spans="1:18" ht="20">
      <c r="A40" s="46" t="s">
        <v>98</v>
      </c>
      <c r="B40" s="175" t="str">
        <f t="shared" si="1"/>
        <v>BBB+</v>
      </c>
      <c r="C40" s="176" t="str">
        <f t="shared" si="2"/>
        <v>Baa2</v>
      </c>
      <c r="E40" s="142" t="s">
        <v>98</v>
      </c>
      <c r="F40" s="167" t="str">
        <f t="shared" si="3"/>
        <v>Baa2</v>
      </c>
      <c r="G40" s="167" t="str">
        <f t="shared" si="0"/>
        <v>BBB+</v>
      </c>
      <c r="K40" s="102" t="s">
        <v>101</v>
      </c>
      <c r="L40" s="234" t="s">
        <v>46</v>
      </c>
      <c r="M40" s="234" t="s">
        <v>46</v>
      </c>
      <c r="N40" s="234"/>
      <c r="O40" s="242" t="s">
        <v>101</v>
      </c>
      <c r="P40" s="242" t="s">
        <v>209</v>
      </c>
      <c r="Q40" s="241" t="s">
        <v>638</v>
      </c>
      <c r="R40" s="241" t="s">
        <v>617</v>
      </c>
    </row>
    <row r="41" spans="1:18" ht="20">
      <c r="A41" s="46" t="s">
        <v>99</v>
      </c>
      <c r="B41" s="175" t="str">
        <f t="shared" si="1"/>
        <v>NA</v>
      </c>
      <c r="C41" s="176" t="str">
        <f t="shared" si="2"/>
        <v>Ca</v>
      </c>
      <c r="E41" s="142" t="s">
        <v>99</v>
      </c>
      <c r="F41" s="167" t="str">
        <f t="shared" si="3"/>
        <v>Ca</v>
      </c>
      <c r="G41" s="167" t="s">
        <v>143</v>
      </c>
      <c r="K41" s="102" t="s">
        <v>493</v>
      </c>
      <c r="L41" s="234" t="s">
        <v>78</v>
      </c>
      <c r="M41" s="234" t="s">
        <v>78</v>
      </c>
      <c r="N41" s="234"/>
      <c r="O41" s="242" t="s">
        <v>102</v>
      </c>
      <c r="P41" s="242" t="s">
        <v>202</v>
      </c>
      <c r="Q41" s="241" t="s">
        <v>624</v>
      </c>
      <c r="R41" s="241" t="s">
        <v>624</v>
      </c>
    </row>
    <row r="42" spans="1:18" ht="20">
      <c r="A42" s="46" t="s">
        <v>216</v>
      </c>
      <c r="B42" s="175" t="str">
        <f t="shared" si="1"/>
        <v>BBB-</v>
      </c>
      <c r="C42" s="176" t="str">
        <f t="shared" si="2"/>
        <v>NA</v>
      </c>
      <c r="E42" s="174" t="s">
        <v>216</v>
      </c>
      <c r="F42" s="167" t="s">
        <v>143</v>
      </c>
      <c r="G42" s="167" t="str">
        <f t="shared" si="0"/>
        <v>BBB-</v>
      </c>
      <c r="K42" s="102" t="s">
        <v>102</v>
      </c>
      <c r="L42" s="234" t="s">
        <v>47</v>
      </c>
      <c r="M42" s="234" t="s">
        <v>47</v>
      </c>
      <c r="N42" s="234"/>
      <c r="O42" s="242" t="s">
        <v>103</v>
      </c>
      <c r="P42" s="242" t="s">
        <v>214</v>
      </c>
      <c r="Q42" s="241" t="s">
        <v>639</v>
      </c>
      <c r="R42" s="241" t="s">
        <v>639</v>
      </c>
    </row>
    <row r="43" spans="1:18" ht="20">
      <c r="A43" s="46" t="s">
        <v>177</v>
      </c>
      <c r="B43" s="175" t="str">
        <f t="shared" si="1"/>
        <v>BBB</v>
      </c>
      <c r="C43" s="176" t="str">
        <f t="shared" si="2"/>
        <v>Baa2</v>
      </c>
      <c r="E43" s="142" t="s">
        <v>177</v>
      </c>
      <c r="F43" s="167" t="str">
        <f t="shared" si="3"/>
        <v>Baa2</v>
      </c>
      <c r="G43" s="167" t="str">
        <f t="shared" si="0"/>
        <v>BBB</v>
      </c>
      <c r="K43" s="240" t="s">
        <v>103</v>
      </c>
      <c r="L43" s="239" t="s">
        <v>81</v>
      </c>
      <c r="M43" s="239" t="s">
        <v>81</v>
      </c>
      <c r="N43" s="239"/>
      <c r="O43" s="242" t="s">
        <v>104</v>
      </c>
      <c r="P43" s="242" t="s">
        <v>199</v>
      </c>
      <c r="Q43" s="241" t="s">
        <v>620</v>
      </c>
      <c r="R43" s="241" t="s">
        <v>620</v>
      </c>
    </row>
    <row r="44" spans="1:18" ht="20">
      <c r="A44" s="46" t="s">
        <v>101</v>
      </c>
      <c r="B44" s="175" t="str">
        <f t="shared" si="1"/>
        <v>AA-</v>
      </c>
      <c r="C44" s="176" t="str">
        <f t="shared" si="2"/>
        <v>Aa3</v>
      </c>
      <c r="E44" s="142" t="s">
        <v>101</v>
      </c>
      <c r="F44" s="167" t="str">
        <f t="shared" si="3"/>
        <v>Aa3</v>
      </c>
      <c r="G44" s="167" t="str">
        <f t="shared" si="0"/>
        <v>AA-</v>
      </c>
      <c r="K44" s="102" t="s">
        <v>104</v>
      </c>
      <c r="L44" s="234" t="s">
        <v>62</v>
      </c>
      <c r="M44" s="234" t="s">
        <v>518</v>
      </c>
      <c r="N44" s="234"/>
      <c r="O44" s="242" t="s">
        <v>105</v>
      </c>
      <c r="P44" s="242" t="s">
        <v>199</v>
      </c>
      <c r="Q44" s="241" t="s">
        <v>620</v>
      </c>
      <c r="R44" s="241" t="s">
        <v>620</v>
      </c>
    </row>
    <row r="45" spans="1:18" ht="20">
      <c r="A45" s="46" t="s">
        <v>102</v>
      </c>
      <c r="B45" s="175" t="str">
        <f t="shared" si="1"/>
        <v>AAA</v>
      </c>
      <c r="C45" s="176" t="str">
        <f t="shared" si="2"/>
        <v>Aaa</v>
      </c>
      <c r="E45" s="142" t="s">
        <v>102</v>
      </c>
      <c r="F45" s="167" t="str">
        <f t="shared" si="3"/>
        <v>Aaa</v>
      </c>
      <c r="G45" s="167" t="str">
        <f t="shared" si="0"/>
        <v>AAA</v>
      </c>
      <c r="K45" s="102" t="s">
        <v>105</v>
      </c>
      <c r="L45" s="234" t="s">
        <v>100</v>
      </c>
      <c r="M45" s="234" t="s">
        <v>100</v>
      </c>
      <c r="N45" s="234"/>
      <c r="O45" s="242" t="s">
        <v>31</v>
      </c>
      <c r="P45" s="242" t="s">
        <v>199</v>
      </c>
      <c r="Q45" s="241" t="s">
        <v>620</v>
      </c>
      <c r="R45" s="241" t="s">
        <v>620</v>
      </c>
    </row>
    <row r="46" spans="1:18" ht="20">
      <c r="A46" s="46" t="s">
        <v>103</v>
      </c>
      <c r="B46" s="175" t="str">
        <f t="shared" si="1"/>
        <v>BB</v>
      </c>
      <c r="C46" s="176" t="str">
        <f t="shared" si="2"/>
        <v>Ba3</v>
      </c>
      <c r="E46" s="169" t="s">
        <v>103</v>
      </c>
      <c r="F46" s="167" t="str">
        <f t="shared" si="3"/>
        <v>Ba3</v>
      </c>
      <c r="G46" s="167" t="str">
        <f t="shared" si="0"/>
        <v>BB</v>
      </c>
      <c r="K46" s="102" t="s">
        <v>31</v>
      </c>
      <c r="L46" s="234" t="s">
        <v>62</v>
      </c>
      <c r="M46" s="234" t="s">
        <v>518</v>
      </c>
      <c r="N46" s="234"/>
      <c r="O46" s="242" t="s">
        <v>106</v>
      </c>
      <c r="P46" s="242" t="s">
        <v>209</v>
      </c>
      <c r="Q46" s="241" t="s">
        <v>640</v>
      </c>
      <c r="R46" s="241" t="s">
        <v>640</v>
      </c>
    </row>
    <row r="47" spans="1:18" ht="20">
      <c r="A47" s="46" t="s">
        <v>104</v>
      </c>
      <c r="B47" s="175" t="str">
        <f t="shared" si="1"/>
        <v>B-</v>
      </c>
      <c r="C47" s="176" t="str">
        <f t="shared" si="2"/>
        <v>Caa3</v>
      </c>
      <c r="E47" s="142" t="s">
        <v>104</v>
      </c>
      <c r="F47" s="167" t="s">
        <v>62</v>
      </c>
      <c r="G47" s="167" t="str">
        <f t="shared" si="0"/>
        <v>B-</v>
      </c>
      <c r="K47" s="102" t="s">
        <v>106</v>
      </c>
      <c r="L47" s="234" t="s">
        <v>41</v>
      </c>
      <c r="M47" s="234" t="s">
        <v>41</v>
      </c>
      <c r="N47" s="234"/>
      <c r="O47" s="242" t="s">
        <v>283</v>
      </c>
      <c r="P47" s="242" t="s">
        <v>234</v>
      </c>
      <c r="Q47" s="241" t="s">
        <v>641</v>
      </c>
      <c r="R47" s="241" t="s">
        <v>641</v>
      </c>
    </row>
    <row r="48" spans="1:18" ht="20">
      <c r="A48" s="46" t="s">
        <v>105</v>
      </c>
      <c r="B48" s="175" t="str">
        <f t="shared" si="1"/>
        <v>B-</v>
      </c>
      <c r="C48" s="176" t="str">
        <f t="shared" si="2"/>
        <v>Caa1</v>
      </c>
      <c r="E48" s="142" t="s">
        <v>105</v>
      </c>
      <c r="F48" s="167" t="str">
        <f t="shared" si="3"/>
        <v>Caa1</v>
      </c>
      <c r="G48" s="167" t="str">
        <f t="shared" si="0"/>
        <v>B-</v>
      </c>
      <c r="K48" s="238" t="s">
        <v>484</v>
      </c>
      <c r="L48" s="239" t="s">
        <v>78</v>
      </c>
      <c r="M48" s="239" t="s">
        <v>78</v>
      </c>
      <c r="N48" s="239"/>
      <c r="O48" s="242" t="s">
        <v>614</v>
      </c>
      <c r="P48" s="242" t="s">
        <v>221</v>
      </c>
      <c r="Q48" s="241" t="s">
        <v>630</v>
      </c>
      <c r="R48" s="241" t="s">
        <v>630</v>
      </c>
    </row>
    <row r="49" spans="1:18" ht="20">
      <c r="A49" s="46" t="s">
        <v>31</v>
      </c>
      <c r="B49" s="175" t="str">
        <f t="shared" si="1"/>
        <v>B-</v>
      </c>
      <c r="C49" s="176" t="str">
        <f t="shared" si="2"/>
        <v>Caa3</v>
      </c>
      <c r="E49" s="142" t="s">
        <v>31</v>
      </c>
      <c r="F49" s="167" t="s">
        <v>62</v>
      </c>
      <c r="G49" s="167" t="str">
        <f t="shared" si="0"/>
        <v>B-</v>
      </c>
      <c r="K49" s="102" t="s">
        <v>283</v>
      </c>
      <c r="L49" s="234" t="s">
        <v>62</v>
      </c>
      <c r="M49" s="234" t="s">
        <v>58</v>
      </c>
      <c r="N49" s="234"/>
      <c r="O49" s="242" t="s">
        <v>218</v>
      </c>
      <c r="P49" s="242" t="s">
        <v>195</v>
      </c>
      <c r="Q49" s="241" t="s">
        <v>627</v>
      </c>
      <c r="R49" s="241" t="s">
        <v>627</v>
      </c>
    </row>
    <row r="50" spans="1:18" ht="20">
      <c r="A50" s="46" t="s">
        <v>106</v>
      </c>
      <c r="B50" s="175" t="str">
        <f t="shared" si="1"/>
        <v>AA-</v>
      </c>
      <c r="C50" s="176" t="str">
        <f t="shared" si="2"/>
        <v>A1</v>
      </c>
      <c r="E50" s="142" t="s">
        <v>106</v>
      </c>
      <c r="F50" s="167" t="str">
        <f t="shared" si="3"/>
        <v>A1</v>
      </c>
      <c r="G50" s="167" t="str">
        <f t="shared" si="0"/>
        <v>AA-</v>
      </c>
      <c r="K50" s="102" t="s">
        <v>218</v>
      </c>
      <c r="L50" s="234" t="s">
        <v>48</v>
      </c>
      <c r="M50" s="234" t="s">
        <v>48</v>
      </c>
      <c r="N50" s="234"/>
      <c r="O50" s="242" t="s">
        <v>178</v>
      </c>
      <c r="P50" s="242" t="s">
        <v>203</v>
      </c>
      <c r="Q50" s="241" t="s">
        <v>625</v>
      </c>
      <c r="R50" s="241" t="s">
        <v>625</v>
      </c>
    </row>
    <row r="51" spans="1:18" ht="20">
      <c r="A51" s="46" t="s">
        <v>283</v>
      </c>
      <c r="B51" s="175" t="str">
        <f t="shared" si="1"/>
        <v>CCC</v>
      </c>
      <c r="C51" s="176" t="str">
        <f t="shared" si="2"/>
        <v>Caa2</v>
      </c>
      <c r="E51" s="142" t="s">
        <v>283</v>
      </c>
      <c r="F51" s="167" t="str">
        <f t="shared" si="3"/>
        <v>Caa2</v>
      </c>
      <c r="G51" s="167" t="str">
        <f t="shared" si="0"/>
        <v>CCC</v>
      </c>
      <c r="K51" s="102" t="s">
        <v>178</v>
      </c>
      <c r="L51" s="234" t="s">
        <v>44</v>
      </c>
      <c r="M51" s="234" t="s">
        <v>44</v>
      </c>
      <c r="N51" s="234"/>
      <c r="O51" s="242" t="s">
        <v>179</v>
      </c>
      <c r="P51" s="242" t="s">
        <v>206</v>
      </c>
      <c r="Q51" s="241" t="s">
        <v>642</v>
      </c>
      <c r="R51" s="241" t="s">
        <v>642</v>
      </c>
    </row>
    <row r="52" spans="1:18" ht="20">
      <c r="A52" s="46" t="s">
        <v>218</v>
      </c>
      <c r="B52" s="175" t="str">
        <f t="shared" si="1"/>
        <v>B+</v>
      </c>
      <c r="C52" s="176" t="str">
        <f t="shared" si="2"/>
        <v>B1</v>
      </c>
      <c r="E52" s="142" t="s">
        <v>218</v>
      </c>
      <c r="F52" s="167" t="str">
        <f t="shared" si="3"/>
        <v>B1</v>
      </c>
      <c r="G52" s="167" t="str">
        <f t="shared" si="0"/>
        <v>B+</v>
      </c>
      <c r="K52" s="102" t="s">
        <v>179</v>
      </c>
      <c r="L52" s="234" t="s">
        <v>45</v>
      </c>
      <c r="M52" s="234" t="s">
        <v>45</v>
      </c>
      <c r="N52" s="234"/>
      <c r="O52" s="242" t="s">
        <v>133</v>
      </c>
      <c r="P52" s="242" t="s">
        <v>214</v>
      </c>
      <c r="Q52" s="241" t="s">
        <v>639</v>
      </c>
      <c r="R52" s="241" t="s">
        <v>639</v>
      </c>
    </row>
    <row r="53" spans="1:18" ht="20">
      <c r="A53" s="46" t="s">
        <v>178</v>
      </c>
      <c r="B53" s="175" t="str">
        <f t="shared" si="1"/>
        <v>AA+</v>
      </c>
      <c r="C53" s="176" t="str">
        <f t="shared" si="2"/>
        <v>Aa1</v>
      </c>
      <c r="E53" s="142" t="s">
        <v>178</v>
      </c>
      <c r="F53" s="167" t="str">
        <f t="shared" si="3"/>
        <v>Aa1</v>
      </c>
      <c r="G53" s="167" t="str">
        <f t="shared" si="0"/>
        <v>AA+</v>
      </c>
      <c r="K53" s="102" t="s">
        <v>219</v>
      </c>
      <c r="L53" s="234" t="s">
        <v>100</v>
      </c>
      <c r="M53" s="234" t="s">
        <v>100</v>
      </c>
      <c r="N53" s="234"/>
      <c r="O53" s="242" t="s">
        <v>180</v>
      </c>
      <c r="P53" s="242" t="s">
        <v>202</v>
      </c>
      <c r="Q53" s="241" t="s">
        <v>624</v>
      </c>
      <c r="R53" s="241" t="s">
        <v>624</v>
      </c>
    </row>
    <row r="54" spans="1:18" ht="20">
      <c r="A54" s="46" t="s">
        <v>179</v>
      </c>
      <c r="B54" s="175" t="str">
        <f t="shared" si="1"/>
        <v>AA</v>
      </c>
      <c r="C54" s="176" t="str">
        <f t="shared" si="2"/>
        <v>Aa2</v>
      </c>
      <c r="E54" s="142" t="s">
        <v>179</v>
      </c>
      <c r="F54" s="167" t="str">
        <f t="shared" si="3"/>
        <v>Aa2</v>
      </c>
      <c r="G54" s="167" t="str">
        <f t="shared" si="0"/>
        <v>AA</v>
      </c>
      <c r="K54" s="102" t="s">
        <v>133</v>
      </c>
      <c r="L54" s="234" t="s">
        <v>80</v>
      </c>
      <c r="M54" s="234" t="s">
        <v>80</v>
      </c>
      <c r="N54" s="234"/>
      <c r="O54" s="242" t="s">
        <v>220</v>
      </c>
      <c r="P54" s="242" t="s">
        <v>276</v>
      </c>
      <c r="Q54" s="241" t="s">
        <v>643</v>
      </c>
      <c r="R54" s="241" t="s">
        <v>635</v>
      </c>
    </row>
    <row r="55" spans="1:18" ht="20">
      <c r="A55" s="46" t="s">
        <v>219</v>
      </c>
      <c r="B55" s="175" t="str">
        <f t="shared" si="1"/>
        <v>NA</v>
      </c>
      <c r="C55" s="176" t="str">
        <f t="shared" si="2"/>
        <v>Caa1</v>
      </c>
      <c r="E55" s="142" t="s">
        <v>219</v>
      </c>
      <c r="F55" s="167" t="str">
        <f t="shared" si="3"/>
        <v>Caa1</v>
      </c>
      <c r="G55" s="167" t="s">
        <v>143</v>
      </c>
      <c r="K55" s="102" t="s">
        <v>180</v>
      </c>
      <c r="L55" s="234" t="s">
        <v>47</v>
      </c>
      <c r="M55" s="234" t="s">
        <v>47</v>
      </c>
      <c r="N55" s="234"/>
      <c r="O55" s="242" t="s">
        <v>181</v>
      </c>
      <c r="P55" s="242" t="s">
        <v>204</v>
      </c>
      <c r="Q55" s="241" t="s">
        <v>637</v>
      </c>
      <c r="R55" s="241" t="s">
        <v>637</v>
      </c>
    </row>
    <row r="56" spans="1:18" ht="20">
      <c r="A56" s="46" t="s">
        <v>133</v>
      </c>
      <c r="B56" s="175" t="str">
        <f t="shared" si="1"/>
        <v>BB</v>
      </c>
      <c r="C56" s="176" t="str">
        <f t="shared" si="2"/>
        <v>Ba2</v>
      </c>
      <c r="E56" s="142" t="s">
        <v>133</v>
      </c>
      <c r="F56" s="167" t="str">
        <f t="shared" si="3"/>
        <v>Ba2</v>
      </c>
      <c r="G56" s="167" t="str">
        <f t="shared" si="0"/>
        <v>BB</v>
      </c>
      <c r="K56" s="102" t="s">
        <v>220</v>
      </c>
      <c r="L56" s="234" t="s">
        <v>345</v>
      </c>
      <c r="M56" s="234" t="s">
        <v>62</v>
      </c>
      <c r="N56" s="234"/>
      <c r="O56" s="242" t="s">
        <v>107</v>
      </c>
      <c r="P56" s="242" t="s">
        <v>214</v>
      </c>
      <c r="Q56" s="241" t="s">
        <v>639</v>
      </c>
      <c r="R56" s="241" t="s">
        <v>639</v>
      </c>
    </row>
    <row r="57" spans="1:18" ht="20">
      <c r="A57" s="46" t="s">
        <v>180</v>
      </c>
      <c r="B57" s="175" t="str">
        <f t="shared" si="1"/>
        <v>AAA</v>
      </c>
      <c r="C57" s="176" t="str">
        <f t="shared" si="2"/>
        <v>Aaa</v>
      </c>
      <c r="E57" s="142" t="s">
        <v>180</v>
      </c>
      <c r="F57" s="167" t="str">
        <f t="shared" si="3"/>
        <v>Aaa</v>
      </c>
      <c r="G57" s="167" t="str">
        <f t="shared" si="0"/>
        <v>AAA</v>
      </c>
      <c r="K57" s="102" t="s">
        <v>181</v>
      </c>
      <c r="L57" s="234" t="s">
        <v>79</v>
      </c>
      <c r="M57" s="234" t="s">
        <v>79</v>
      </c>
      <c r="N57" s="234"/>
      <c r="O57" s="242" t="s">
        <v>421</v>
      </c>
      <c r="P57" s="242" t="s">
        <v>221</v>
      </c>
      <c r="Q57" s="241" t="s">
        <v>630</v>
      </c>
      <c r="R57" s="241" t="s">
        <v>630</v>
      </c>
    </row>
    <row r="58" spans="1:18" ht="20">
      <c r="A58" s="46" t="s">
        <v>220</v>
      </c>
      <c r="B58" s="175" t="str">
        <f t="shared" si="1"/>
        <v>NR</v>
      </c>
      <c r="C58" s="176" t="str">
        <f t="shared" si="2"/>
        <v>Caa3</v>
      </c>
      <c r="E58" s="142" t="s">
        <v>220</v>
      </c>
      <c r="F58" s="167" t="str">
        <f t="shared" si="3"/>
        <v>Caa3</v>
      </c>
      <c r="G58" s="167" t="str">
        <f t="shared" si="0"/>
        <v>NR</v>
      </c>
      <c r="K58" s="102" t="s">
        <v>107</v>
      </c>
      <c r="L58" s="234" t="s">
        <v>79</v>
      </c>
      <c r="M58" s="234" t="s">
        <v>79</v>
      </c>
      <c r="N58" s="234"/>
      <c r="O58" s="242" t="s">
        <v>108</v>
      </c>
      <c r="P58" s="242" t="s">
        <v>198</v>
      </c>
      <c r="Q58" s="241" t="s">
        <v>622</v>
      </c>
      <c r="R58" s="241" t="s">
        <v>622</v>
      </c>
    </row>
    <row r="59" spans="1:18" ht="20">
      <c r="A59" s="46" t="s">
        <v>181</v>
      </c>
      <c r="B59" s="175" t="str">
        <f t="shared" si="1"/>
        <v>BBB-</v>
      </c>
      <c r="C59" s="176" t="str">
        <f t="shared" si="2"/>
        <v>Ba1</v>
      </c>
      <c r="E59" s="142" t="s">
        <v>181</v>
      </c>
      <c r="F59" s="167" t="str">
        <f t="shared" si="3"/>
        <v>Ba1</v>
      </c>
      <c r="G59" s="167" t="str">
        <f t="shared" si="0"/>
        <v>BBB-</v>
      </c>
      <c r="K59" s="102" t="s">
        <v>463</v>
      </c>
      <c r="L59" s="234" t="s">
        <v>518</v>
      </c>
      <c r="M59" s="234" t="s">
        <v>518</v>
      </c>
      <c r="N59" s="234"/>
      <c r="O59" s="242" t="s">
        <v>59</v>
      </c>
      <c r="P59" s="242" t="s">
        <v>203</v>
      </c>
      <c r="Q59" s="241" t="s">
        <v>625</v>
      </c>
      <c r="R59" s="241" t="s">
        <v>625</v>
      </c>
    </row>
    <row r="60" spans="1:18" ht="20">
      <c r="A60" s="46" t="s">
        <v>107</v>
      </c>
      <c r="B60" s="175" t="str">
        <f t="shared" si="1"/>
        <v>BB</v>
      </c>
      <c r="C60" s="176" t="str">
        <f t="shared" si="2"/>
        <v>Ba1</v>
      </c>
      <c r="E60" s="142" t="s">
        <v>107</v>
      </c>
      <c r="F60" s="167" t="str">
        <f t="shared" si="3"/>
        <v>Ba1</v>
      </c>
      <c r="G60" s="167" t="str">
        <f t="shared" si="0"/>
        <v>BB</v>
      </c>
      <c r="K60" s="102" t="s">
        <v>108</v>
      </c>
      <c r="L60" s="234" t="s">
        <v>48</v>
      </c>
      <c r="M60" s="234" t="s">
        <v>48</v>
      </c>
      <c r="N60" s="234"/>
      <c r="O60" s="242" t="s">
        <v>109</v>
      </c>
      <c r="P60" s="242" t="s">
        <v>204</v>
      </c>
      <c r="Q60" s="241" t="s">
        <v>637</v>
      </c>
      <c r="R60" s="241" t="s">
        <v>637</v>
      </c>
    </row>
    <row r="61" spans="1:18" ht="20">
      <c r="A61" s="46" t="s">
        <v>288</v>
      </c>
      <c r="B61" s="175" t="str">
        <f t="shared" si="1"/>
        <v>A+</v>
      </c>
      <c r="C61" s="176" t="str">
        <f t="shared" si="2"/>
        <v>NA</v>
      </c>
      <c r="E61" s="142" t="s">
        <v>463</v>
      </c>
      <c r="F61" s="167" t="s">
        <v>143</v>
      </c>
      <c r="G61" s="167" t="s">
        <v>221</v>
      </c>
      <c r="K61" s="102" t="s">
        <v>494</v>
      </c>
      <c r="L61" s="234" t="s">
        <v>46</v>
      </c>
      <c r="M61" s="234" t="s">
        <v>46</v>
      </c>
      <c r="N61" s="234"/>
      <c r="O61" s="242" t="s">
        <v>110</v>
      </c>
      <c r="P61" s="242" t="s">
        <v>221</v>
      </c>
      <c r="Q61" s="241" t="s">
        <v>630</v>
      </c>
      <c r="R61" s="241" t="s">
        <v>630</v>
      </c>
    </row>
    <row r="62" spans="1:18" ht="20">
      <c r="A62" s="46" t="s">
        <v>108</v>
      </c>
      <c r="B62" s="175" t="str">
        <f t="shared" si="1"/>
        <v>BB-</v>
      </c>
      <c r="C62" s="176" t="str">
        <f t="shared" si="2"/>
        <v>B1</v>
      </c>
      <c r="E62" s="142" t="s">
        <v>108</v>
      </c>
      <c r="F62" s="167" t="str">
        <f t="shared" si="3"/>
        <v>B1</v>
      </c>
      <c r="G62" s="167" t="str">
        <f t="shared" si="0"/>
        <v>BB-</v>
      </c>
      <c r="K62" s="102" t="s">
        <v>109</v>
      </c>
      <c r="L62" s="234" t="s">
        <v>83</v>
      </c>
      <c r="M62" s="234" t="s">
        <v>83</v>
      </c>
      <c r="N62" s="234"/>
      <c r="O62" s="242" t="s">
        <v>111</v>
      </c>
      <c r="P62" s="242" t="s">
        <v>204</v>
      </c>
      <c r="Q62" s="241" t="s">
        <v>637</v>
      </c>
      <c r="R62" s="241" t="s">
        <v>637</v>
      </c>
    </row>
    <row r="63" spans="1:18" ht="20">
      <c r="A63" s="46" t="s">
        <v>59</v>
      </c>
      <c r="B63" s="175" t="str">
        <f t="shared" si="1"/>
        <v>AA+</v>
      </c>
      <c r="C63" s="176" t="str">
        <f t="shared" si="2"/>
        <v>Aa3</v>
      </c>
      <c r="E63" s="142" t="s">
        <v>59</v>
      </c>
      <c r="F63" s="167" t="s">
        <v>46</v>
      </c>
      <c r="G63" s="167" t="str">
        <f t="shared" si="0"/>
        <v>AA+</v>
      </c>
      <c r="K63" s="102" t="s">
        <v>110</v>
      </c>
      <c r="L63" s="234" t="s">
        <v>42</v>
      </c>
      <c r="M63" s="234" t="s">
        <v>42</v>
      </c>
      <c r="N63" s="234"/>
      <c r="O63" s="242" t="s">
        <v>112</v>
      </c>
      <c r="P63" s="242" t="s">
        <v>205</v>
      </c>
      <c r="Q63" s="241" t="s">
        <v>623</v>
      </c>
      <c r="R63" s="241" t="s">
        <v>623</v>
      </c>
    </row>
    <row r="64" spans="1:18" ht="20">
      <c r="A64" s="46" t="s">
        <v>109</v>
      </c>
      <c r="B64" s="175" t="str">
        <f t="shared" si="1"/>
        <v>BBB-</v>
      </c>
      <c r="C64" s="176" t="str">
        <f t="shared" si="2"/>
        <v>Baa2</v>
      </c>
      <c r="E64" s="142" t="s">
        <v>109</v>
      </c>
      <c r="F64" s="167" t="str">
        <f t="shared" si="3"/>
        <v>Baa2</v>
      </c>
      <c r="G64" s="167" t="str">
        <f t="shared" si="0"/>
        <v>BBB-</v>
      </c>
      <c r="K64" s="102" t="s">
        <v>111</v>
      </c>
      <c r="L64" s="234" t="s">
        <v>124</v>
      </c>
      <c r="M64" s="234" t="s">
        <v>124</v>
      </c>
      <c r="N64" s="234"/>
      <c r="O64" s="242" t="s">
        <v>330</v>
      </c>
      <c r="P64" s="242" t="s">
        <v>199</v>
      </c>
      <c r="Q64" s="241" t="s">
        <v>620</v>
      </c>
      <c r="R64" s="241" t="s">
        <v>620</v>
      </c>
    </row>
    <row r="65" spans="1:18" ht="20">
      <c r="A65" s="46" t="s">
        <v>110</v>
      </c>
      <c r="B65" s="175" t="str">
        <f t="shared" si="1"/>
        <v>A+</v>
      </c>
      <c r="C65" s="176" t="str">
        <f t="shared" si="2"/>
        <v>A2</v>
      </c>
      <c r="E65" s="142" t="s">
        <v>110</v>
      </c>
      <c r="F65" s="167" t="str">
        <f t="shared" si="3"/>
        <v>A2</v>
      </c>
      <c r="G65" s="167" t="str">
        <f t="shared" si="0"/>
        <v>A+</v>
      </c>
      <c r="K65" s="102" t="s">
        <v>112</v>
      </c>
      <c r="L65" s="234" t="s">
        <v>83</v>
      </c>
      <c r="M65" s="234" t="s">
        <v>83</v>
      </c>
      <c r="N65" s="234"/>
      <c r="O65" s="242" t="s">
        <v>182</v>
      </c>
      <c r="P65" s="242" t="s">
        <v>206</v>
      </c>
      <c r="Q65" s="241" t="s">
        <v>617</v>
      </c>
      <c r="R65" s="241" t="s">
        <v>617</v>
      </c>
    </row>
    <row r="66" spans="1:18" ht="20">
      <c r="A66" s="46" t="s">
        <v>111</v>
      </c>
      <c r="B66" s="175" t="str">
        <f t="shared" si="1"/>
        <v>BBB-</v>
      </c>
      <c r="C66" s="176" t="str">
        <f t="shared" si="2"/>
        <v>Baa3</v>
      </c>
      <c r="E66" s="142" t="s">
        <v>111</v>
      </c>
      <c r="F66" s="167" t="str">
        <f t="shared" si="3"/>
        <v>Baa3</v>
      </c>
      <c r="G66" s="167" t="str">
        <f t="shared" si="0"/>
        <v>BBB-</v>
      </c>
      <c r="K66" s="102" t="s">
        <v>330</v>
      </c>
      <c r="L66" s="234" t="s">
        <v>100</v>
      </c>
      <c r="M66" s="234" t="s">
        <v>100</v>
      </c>
      <c r="N66" s="234"/>
      <c r="O66" s="242" t="s">
        <v>114</v>
      </c>
      <c r="P66" s="242" t="s">
        <v>209</v>
      </c>
      <c r="Q66" s="241" t="s">
        <v>640</v>
      </c>
      <c r="R66" s="241" t="s">
        <v>640</v>
      </c>
    </row>
    <row r="67" spans="1:18" ht="20">
      <c r="A67" s="46" t="s">
        <v>112</v>
      </c>
      <c r="B67" s="175" t="str">
        <f t="shared" ref="B67:B130" si="4">G67</f>
        <v>BBB</v>
      </c>
      <c r="C67" s="176" t="str">
        <f t="shared" ref="C67:C130" si="5">F67</f>
        <v>Baa2</v>
      </c>
      <c r="E67" s="142" t="s">
        <v>112</v>
      </c>
      <c r="F67" s="167" t="str">
        <f t="shared" ref="F67:F130" si="6">VLOOKUP(E67,$K$2:$M$153,3,FALSE)</f>
        <v>Baa2</v>
      </c>
      <c r="G67" s="167" t="str">
        <f t="shared" ref="G67:G129" si="7">VLOOKUP(E67,$O$2:$P$157,2,FALSE)</f>
        <v>BBB</v>
      </c>
      <c r="K67" s="102" t="s">
        <v>182</v>
      </c>
      <c r="L67" s="234" t="s">
        <v>46</v>
      </c>
      <c r="M67" s="234" t="s">
        <v>46</v>
      </c>
      <c r="N67" s="234"/>
      <c r="O67" s="242" t="s">
        <v>145</v>
      </c>
      <c r="P67" s="242" t="s">
        <v>205</v>
      </c>
      <c r="Q67" s="241" t="s">
        <v>623</v>
      </c>
      <c r="R67" s="241" t="s">
        <v>623</v>
      </c>
    </row>
    <row r="68" spans="1:18" ht="20">
      <c r="A68" s="46" t="s">
        <v>330</v>
      </c>
      <c r="B68" s="175" t="str">
        <f t="shared" si="4"/>
        <v>B-</v>
      </c>
      <c r="C68" s="176" t="str">
        <f t="shared" si="5"/>
        <v>Caa1</v>
      </c>
      <c r="E68" s="142" t="s">
        <v>330</v>
      </c>
      <c r="F68" s="167" t="str">
        <f t="shared" si="6"/>
        <v>Caa1</v>
      </c>
      <c r="G68" s="167" t="str">
        <f t="shared" si="7"/>
        <v>B-</v>
      </c>
      <c r="K68" s="102" t="s">
        <v>113</v>
      </c>
      <c r="L68" s="234" t="s">
        <v>46</v>
      </c>
      <c r="M68" s="234" t="s">
        <v>46</v>
      </c>
      <c r="N68" s="234"/>
      <c r="O68" s="242" t="s">
        <v>115</v>
      </c>
      <c r="P68" s="242" t="s">
        <v>198</v>
      </c>
      <c r="Q68" s="241" t="s">
        <v>622</v>
      </c>
      <c r="R68" s="241" t="s">
        <v>622</v>
      </c>
    </row>
    <row r="69" spans="1:18" ht="20">
      <c r="A69" s="46" t="s">
        <v>182</v>
      </c>
      <c r="B69" s="175" t="str">
        <f t="shared" si="4"/>
        <v>AA</v>
      </c>
      <c r="C69" s="176" t="str">
        <f t="shared" si="5"/>
        <v>Aa3</v>
      </c>
      <c r="E69" s="142" t="s">
        <v>182</v>
      </c>
      <c r="F69" s="167" t="str">
        <f t="shared" si="6"/>
        <v>Aa3</v>
      </c>
      <c r="G69" s="167" t="str">
        <f t="shared" si="7"/>
        <v>AA</v>
      </c>
      <c r="K69" s="102" t="s">
        <v>114</v>
      </c>
      <c r="L69" s="234" t="s">
        <v>41</v>
      </c>
      <c r="M69" s="234" t="s">
        <v>41</v>
      </c>
      <c r="N69" s="234"/>
      <c r="O69" s="242" t="s">
        <v>116</v>
      </c>
      <c r="P69" s="242" t="s">
        <v>221</v>
      </c>
      <c r="Q69" s="241" t="s">
        <v>630</v>
      </c>
      <c r="R69" s="241" t="s">
        <v>630</v>
      </c>
    </row>
    <row r="70" spans="1:18" ht="20">
      <c r="A70" s="46" t="s">
        <v>113</v>
      </c>
      <c r="B70" s="175" t="str">
        <f t="shared" si="4"/>
        <v>NA</v>
      </c>
      <c r="C70" s="176" t="str">
        <f t="shared" si="5"/>
        <v>Aa3</v>
      </c>
      <c r="E70" s="142" t="s">
        <v>113</v>
      </c>
      <c r="F70" s="167" t="str">
        <f t="shared" si="6"/>
        <v>Aa3</v>
      </c>
      <c r="G70" s="167" t="s">
        <v>143</v>
      </c>
      <c r="K70" s="102" t="s">
        <v>145</v>
      </c>
      <c r="L70" s="234" t="s">
        <v>124</v>
      </c>
      <c r="M70" s="234" t="s">
        <v>124</v>
      </c>
      <c r="N70" s="234"/>
      <c r="O70" s="242" t="s">
        <v>423</v>
      </c>
      <c r="P70" s="242" t="s">
        <v>209</v>
      </c>
      <c r="Q70" s="241" t="s">
        <v>638</v>
      </c>
      <c r="R70" s="241" t="s">
        <v>638</v>
      </c>
    </row>
    <row r="71" spans="1:18" ht="20">
      <c r="A71" s="46" t="s">
        <v>114</v>
      </c>
      <c r="B71" s="175" t="str">
        <f t="shared" si="4"/>
        <v>AA-</v>
      </c>
      <c r="C71" s="176" t="str">
        <f t="shared" si="5"/>
        <v>A1</v>
      </c>
      <c r="E71" s="142" t="s">
        <v>114</v>
      </c>
      <c r="F71" s="167" t="str">
        <f t="shared" si="6"/>
        <v>A1</v>
      </c>
      <c r="G71" s="167" t="str">
        <f t="shared" si="7"/>
        <v>AA-</v>
      </c>
      <c r="K71" s="102" t="s">
        <v>115</v>
      </c>
      <c r="L71" s="234" t="s">
        <v>48</v>
      </c>
      <c r="M71" s="234" t="s">
        <v>48</v>
      </c>
      <c r="N71" s="234"/>
      <c r="O71" s="242" t="s">
        <v>117</v>
      </c>
      <c r="P71" s="242" t="s">
        <v>195</v>
      </c>
      <c r="Q71" s="241" t="s">
        <v>627</v>
      </c>
      <c r="R71" s="241" t="s">
        <v>627</v>
      </c>
    </row>
    <row r="72" spans="1:18" ht="20">
      <c r="A72" s="46" t="s">
        <v>145</v>
      </c>
      <c r="B72" s="175" t="str">
        <f t="shared" si="4"/>
        <v>BBB</v>
      </c>
      <c r="C72" s="176" t="str">
        <f t="shared" si="5"/>
        <v>Baa3</v>
      </c>
      <c r="E72" s="142" t="s">
        <v>145</v>
      </c>
      <c r="F72" s="167" t="str">
        <f t="shared" si="6"/>
        <v>Baa3</v>
      </c>
      <c r="G72" s="167" t="str">
        <f t="shared" si="7"/>
        <v>BBB</v>
      </c>
      <c r="K72" s="102" t="s">
        <v>116</v>
      </c>
      <c r="L72" s="234" t="s">
        <v>41</v>
      </c>
      <c r="M72" s="234" t="s">
        <v>41</v>
      </c>
      <c r="N72" s="234"/>
      <c r="O72" s="242" t="s">
        <v>118</v>
      </c>
      <c r="P72" s="242" t="s">
        <v>204</v>
      </c>
      <c r="Q72" s="241" t="s">
        <v>637</v>
      </c>
      <c r="R72" s="241" t="s">
        <v>637</v>
      </c>
    </row>
    <row r="73" spans="1:18" ht="20">
      <c r="A73" s="46" t="s">
        <v>115</v>
      </c>
      <c r="B73" s="175" t="str">
        <f t="shared" si="4"/>
        <v>BB-</v>
      </c>
      <c r="C73" s="176" t="str">
        <f t="shared" si="5"/>
        <v>B1</v>
      </c>
      <c r="E73" s="142" t="s">
        <v>115</v>
      </c>
      <c r="F73" s="167" t="str">
        <f t="shared" si="6"/>
        <v>B1</v>
      </c>
      <c r="G73" s="167" t="str">
        <f t="shared" si="7"/>
        <v>BB-</v>
      </c>
      <c r="K73" s="102" t="s">
        <v>444</v>
      </c>
      <c r="L73" s="234" t="s">
        <v>518</v>
      </c>
      <c r="M73" s="234" t="s">
        <v>518</v>
      </c>
      <c r="N73" s="234"/>
      <c r="O73" s="242" t="s">
        <v>183</v>
      </c>
      <c r="P73" s="242" t="s">
        <v>208</v>
      </c>
      <c r="Q73" s="241" t="s">
        <v>644</v>
      </c>
      <c r="R73" s="241" t="s">
        <v>644</v>
      </c>
    </row>
    <row r="74" spans="1:18" ht="20">
      <c r="A74" s="46" t="s">
        <v>116</v>
      </c>
      <c r="B74" s="175" t="str">
        <f t="shared" si="4"/>
        <v>A+</v>
      </c>
      <c r="C74" s="176" t="str">
        <f t="shared" si="5"/>
        <v>A1</v>
      </c>
      <c r="E74" s="142" t="s">
        <v>116</v>
      </c>
      <c r="F74" s="167" t="str">
        <f t="shared" si="6"/>
        <v>A1</v>
      </c>
      <c r="G74" s="167" t="str">
        <f t="shared" si="7"/>
        <v>A+</v>
      </c>
      <c r="K74" s="102" t="s">
        <v>117</v>
      </c>
      <c r="L74" s="234" t="s">
        <v>48</v>
      </c>
      <c r="M74" s="234" t="s">
        <v>48</v>
      </c>
      <c r="N74" s="234"/>
      <c r="O74" s="242" t="s">
        <v>119</v>
      </c>
      <c r="P74" s="242" t="s">
        <v>206</v>
      </c>
      <c r="Q74" s="241" t="s">
        <v>617</v>
      </c>
      <c r="R74" s="241" t="s">
        <v>617</v>
      </c>
    </row>
    <row r="75" spans="1:18" ht="20">
      <c r="A75" s="46" t="s">
        <v>289</v>
      </c>
      <c r="B75" s="175" t="str">
        <f t="shared" si="4"/>
        <v>AA-</v>
      </c>
      <c r="C75" s="176" t="str">
        <f t="shared" si="5"/>
        <v>NA</v>
      </c>
      <c r="E75" s="142" t="s">
        <v>444</v>
      </c>
      <c r="F75" s="167" t="s">
        <v>143</v>
      </c>
      <c r="G75" s="167" t="s">
        <v>209</v>
      </c>
      <c r="K75" s="235" t="s">
        <v>118</v>
      </c>
      <c r="L75" s="236" t="s">
        <v>83</v>
      </c>
      <c r="M75" s="236" t="s">
        <v>83</v>
      </c>
      <c r="N75" s="236"/>
      <c r="O75" s="242" t="s">
        <v>120</v>
      </c>
      <c r="P75" s="242" t="s">
        <v>221</v>
      </c>
      <c r="Q75" s="241" t="s">
        <v>630</v>
      </c>
      <c r="R75" s="241" t="s">
        <v>630</v>
      </c>
    </row>
    <row r="76" spans="1:18" ht="20">
      <c r="A76" s="46" t="s">
        <v>117</v>
      </c>
      <c r="B76" s="175" t="str">
        <f t="shared" si="4"/>
        <v>B+</v>
      </c>
      <c r="C76" s="176" t="str">
        <f t="shared" si="5"/>
        <v>B1</v>
      </c>
      <c r="E76" s="142" t="s">
        <v>117</v>
      </c>
      <c r="F76" s="167" t="str">
        <f t="shared" si="6"/>
        <v>B1</v>
      </c>
      <c r="G76" s="167" t="str">
        <f t="shared" si="7"/>
        <v>B+</v>
      </c>
      <c r="K76" s="102" t="s">
        <v>183</v>
      </c>
      <c r="L76" s="234" t="s">
        <v>78</v>
      </c>
      <c r="M76" s="234" t="s">
        <v>78</v>
      </c>
      <c r="N76" s="234"/>
      <c r="O76" s="242" t="s">
        <v>121</v>
      </c>
      <c r="P76" s="242" t="s">
        <v>221</v>
      </c>
      <c r="Q76" s="241" t="s">
        <v>645</v>
      </c>
      <c r="R76" s="241" t="s">
        <v>645</v>
      </c>
    </row>
    <row r="77" spans="1:18" ht="20">
      <c r="A77" s="46" t="s">
        <v>118</v>
      </c>
      <c r="B77" s="175" t="str">
        <f t="shared" si="4"/>
        <v>BBB-</v>
      </c>
      <c r="C77" s="176" t="str">
        <f t="shared" si="5"/>
        <v>Baa2</v>
      </c>
      <c r="E77" s="168" t="s">
        <v>118</v>
      </c>
      <c r="F77" s="167" t="str">
        <f t="shared" si="6"/>
        <v>Baa2</v>
      </c>
      <c r="G77" s="167" t="str">
        <f t="shared" si="7"/>
        <v>BBB-</v>
      </c>
      <c r="K77" s="102" t="s">
        <v>119</v>
      </c>
      <c r="L77" s="234" t="s">
        <v>45</v>
      </c>
      <c r="M77" s="234" t="s">
        <v>45</v>
      </c>
      <c r="N77" s="234"/>
      <c r="O77" s="242" t="s">
        <v>122</v>
      </c>
      <c r="P77" s="242" t="s">
        <v>276</v>
      </c>
      <c r="Q77" s="241" t="s">
        <v>643</v>
      </c>
      <c r="R77" s="241" t="s">
        <v>653</v>
      </c>
    </row>
    <row r="78" spans="1:18" ht="20">
      <c r="A78" s="46" t="s">
        <v>183</v>
      </c>
      <c r="B78" s="175" t="str">
        <f t="shared" si="4"/>
        <v>B</v>
      </c>
      <c r="C78" s="176" t="str">
        <f t="shared" si="5"/>
        <v>B3</v>
      </c>
      <c r="E78" s="142" t="s">
        <v>183</v>
      </c>
      <c r="F78" s="167" t="str">
        <f t="shared" si="6"/>
        <v>B3</v>
      </c>
      <c r="G78" s="167" t="str">
        <f t="shared" si="7"/>
        <v>B</v>
      </c>
      <c r="K78" s="102" t="s">
        <v>120</v>
      </c>
      <c r="L78" s="234" t="s">
        <v>41</v>
      </c>
      <c r="M78" s="234" t="s">
        <v>41</v>
      </c>
      <c r="N78" s="234"/>
      <c r="O78" s="242" t="s">
        <v>222</v>
      </c>
      <c r="P78" s="242" t="s">
        <v>202</v>
      </c>
      <c r="Q78" s="241" t="s">
        <v>624</v>
      </c>
      <c r="R78" s="241" t="s">
        <v>624</v>
      </c>
    </row>
    <row r="79" spans="1:18" ht="20">
      <c r="A79" s="46" t="s">
        <v>119</v>
      </c>
      <c r="B79" s="175" t="str">
        <f t="shared" si="4"/>
        <v>AA</v>
      </c>
      <c r="C79" s="176" t="str">
        <f t="shared" si="5"/>
        <v>Aa2</v>
      </c>
      <c r="E79" s="142" t="s">
        <v>119</v>
      </c>
      <c r="F79" s="167" t="str">
        <f t="shared" si="6"/>
        <v>Aa2</v>
      </c>
      <c r="G79" s="167" t="str">
        <f t="shared" si="7"/>
        <v>AA</v>
      </c>
      <c r="K79" s="102" t="s">
        <v>353</v>
      </c>
      <c r="L79" s="234" t="s">
        <v>78</v>
      </c>
      <c r="M79" s="234" t="s">
        <v>78</v>
      </c>
      <c r="N79" s="234"/>
      <c r="O79" s="242" t="s">
        <v>13</v>
      </c>
      <c r="P79" s="242" t="s">
        <v>221</v>
      </c>
      <c r="Q79" s="241" t="s">
        <v>645</v>
      </c>
      <c r="R79" s="241" t="s">
        <v>645</v>
      </c>
    </row>
    <row r="80" spans="1:18" ht="20">
      <c r="A80" s="46" t="s">
        <v>120</v>
      </c>
      <c r="B80" s="175" t="str">
        <f t="shared" si="4"/>
        <v>A+</v>
      </c>
      <c r="C80" s="176" t="str">
        <f t="shared" si="5"/>
        <v>A1</v>
      </c>
      <c r="E80" s="142" t="s">
        <v>120</v>
      </c>
      <c r="F80" s="167" t="str">
        <f t="shared" si="6"/>
        <v>A1</v>
      </c>
      <c r="G80" s="167" t="str">
        <f t="shared" si="7"/>
        <v>A+</v>
      </c>
      <c r="K80" s="102" t="s">
        <v>342</v>
      </c>
      <c r="L80" s="234" t="s">
        <v>62</v>
      </c>
      <c r="M80" s="234" t="s">
        <v>62</v>
      </c>
      <c r="N80" s="234"/>
      <c r="O80" s="242" t="s">
        <v>184</v>
      </c>
      <c r="P80" s="242" t="s">
        <v>202</v>
      </c>
      <c r="Q80" s="241" t="s">
        <v>624</v>
      </c>
      <c r="R80" s="241" t="s">
        <v>624</v>
      </c>
    </row>
    <row r="81" spans="1:18" ht="20">
      <c r="A81" t="s">
        <v>352</v>
      </c>
      <c r="B81" s="175" t="str">
        <f t="shared" si="4"/>
        <v>NA</v>
      </c>
      <c r="C81" s="176" t="str">
        <f t="shared" si="5"/>
        <v>B3</v>
      </c>
      <c r="E81" s="142" t="s">
        <v>353</v>
      </c>
      <c r="F81" s="167" t="str">
        <f t="shared" si="6"/>
        <v>B3</v>
      </c>
      <c r="G81" s="167" t="s">
        <v>143</v>
      </c>
      <c r="K81" s="102" t="s">
        <v>121</v>
      </c>
      <c r="L81" s="234" t="s">
        <v>43</v>
      </c>
      <c r="M81" s="234" t="s">
        <v>43</v>
      </c>
      <c r="N81" s="234"/>
      <c r="O81" s="242" t="s">
        <v>335</v>
      </c>
      <c r="P81" s="242" t="s">
        <v>199</v>
      </c>
      <c r="Q81" s="241" t="s">
        <v>620</v>
      </c>
      <c r="R81" s="241" t="s">
        <v>620</v>
      </c>
    </row>
    <row r="82" spans="1:18" ht="20">
      <c r="A82" t="str">
        <f>E82</f>
        <v>Laos</v>
      </c>
      <c r="B82" s="175" t="str">
        <f t="shared" si="4"/>
        <v>NA</v>
      </c>
      <c r="C82" s="176" t="str">
        <f t="shared" si="5"/>
        <v>Caa3</v>
      </c>
      <c r="E82" s="142" t="s">
        <v>342</v>
      </c>
      <c r="F82" s="167" t="str">
        <f t="shared" si="6"/>
        <v>Caa3</v>
      </c>
      <c r="G82" s="167" t="s">
        <v>143</v>
      </c>
      <c r="K82" s="102" t="s">
        <v>122</v>
      </c>
      <c r="L82" s="234" t="s">
        <v>137</v>
      </c>
      <c r="M82" s="234" t="s">
        <v>137</v>
      </c>
      <c r="N82" s="234"/>
      <c r="O82" s="242" t="s">
        <v>14</v>
      </c>
      <c r="P82" s="242" t="s">
        <v>197</v>
      </c>
      <c r="Q82" s="241" t="s">
        <v>646</v>
      </c>
      <c r="R82" s="241" t="s">
        <v>650</v>
      </c>
    </row>
    <row r="83" spans="1:18" ht="20">
      <c r="A83" s="46" t="s">
        <v>121</v>
      </c>
      <c r="B83" s="175" t="str">
        <f t="shared" si="4"/>
        <v>A+</v>
      </c>
      <c r="C83" s="176" t="str">
        <f t="shared" si="5"/>
        <v>A3</v>
      </c>
      <c r="E83" s="142" t="s">
        <v>121</v>
      </c>
      <c r="F83" s="167" t="str">
        <f t="shared" si="6"/>
        <v>A3</v>
      </c>
      <c r="G83" s="167" t="str">
        <f t="shared" si="7"/>
        <v>A+</v>
      </c>
      <c r="K83" s="102" t="s">
        <v>222</v>
      </c>
      <c r="L83" s="234" t="s">
        <v>518</v>
      </c>
      <c r="M83" s="234" t="s">
        <v>518</v>
      </c>
      <c r="N83" s="234"/>
      <c r="O83" s="242" t="s">
        <v>185</v>
      </c>
      <c r="P83" s="242" t="s">
        <v>197</v>
      </c>
      <c r="Q83" s="241" t="s">
        <v>646</v>
      </c>
      <c r="R83" s="241" t="s">
        <v>646</v>
      </c>
    </row>
    <row r="84" spans="1:18" ht="20">
      <c r="A84" s="46" t="s">
        <v>122</v>
      </c>
      <c r="B84" s="175" t="str">
        <f t="shared" si="4"/>
        <v>NR</v>
      </c>
      <c r="C84" s="176" t="str">
        <f t="shared" si="5"/>
        <v>C</v>
      </c>
      <c r="E84" s="142" t="s">
        <v>122</v>
      </c>
      <c r="F84" s="167" t="str">
        <f t="shared" si="6"/>
        <v>C</v>
      </c>
      <c r="G84" s="167" t="str">
        <f t="shared" si="7"/>
        <v>NR</v>
      </c>
      <c r="K84" s="102" t="s">
        <v>13</v>
      </c>
      <c r="L84" s="234" t="s">
        <v>42</v>
      </c>
      <c r="M84" s="234" t="s">
        <v>42</v>
      </c>
      <c r="N84" s="234"/>
      <c r="O84" s="242" t="s">
        <v>15</v>
      </c>
      <c r="P84" s="242" t="s">
        <v>204</v>
      </c>
      <c r="Q84" s="241" t="s">
        <v>637</v>
      </c>
      <c r="R84" s="241" t="s">
        <v>637</v>
      </c>
    </row>
    <row r="85" spans="1:18" ht="20">
      <c r="A85" s="46" t="s">
        <v>222</v>
      </c>
      <c r="B85" s="175" t="str">
        <f t="shared" si="4"/>
        <v>AAA</v>
      </c>
      <c r="C85" s="176" t="str">
        <f t="shared" si="5"/>
        <v>NA</v>
      </c>
      <c r="E85" s="142" t="s">
        <v>222</v>
      </c>
      <c r="F85" s="167" t="s">
        <v>143</v>
      </c>
      <c r="G85" s="167" t="str">
        <f t="shared" si="7"/>
        <v>AAA</v>
      </c>
      <c r="K85" s="102" t="s">
        <v>184</v>
      </c>
      <c r="L85" s="234" t="s">
        <v>47</v>
      </c>
      <c r="M85" s="234" t="s">
        <v>47</v>
      </c>
      <c r="N85" s="234"/>
      <c r="O85" s="242" t="s">
        <v>16</v>
      </c>
      <c r="P85" s="242" t="s">
        <v>201</v>
      </c>
      <c r="Q85" s="241" t="s">
        <v>623</v>
      </c>
      <c r="R85" s="241" t="s">
        <v>632</v>
      </c>
    </row>
    <row r="86" spans="1:18" ht="20">
      <c r="A86" s="46" t="s">
        <v>13</v>
      </c>
      <c r="B86" s="175" t="str">
        <f t="shared" si="4"/>
        <v>A+</v>
      </c>
      <c r="C86" s="176" t="str">
        <f t="shared" si="5"/>
        <v>A2</v>
      </c>
      <c r="E86" s="142" t="s">
        <v>13</v>
      </c>
      <c r="F86" s="167" t="str">
        <f t="shared" si="6"/>
        <v>A2</v>
      </c>
      <c r="G86" s="167" t="str">
        <f t="shared" si="7"/>
        <v>A+</v>
      </c>
      <c r="K86" s="102" t="s">
        <v>495</v>
      </c>
      <c r="L86" s="234" t="s">
        <v>46</v>
      </c>
      <c r="M86" s="234" t="s">
        <v>46</v>
      </c>
      <c r="N86" s="234"/>
      <c r="O86" s="242" t="s">
        <v>63</v>
      </c>
      <c r="P86" s="242" t="s">
        <v>208</v>
      </c>
      <c r="Q86" s="241" t="s">
        <v>647</v>
      </c>
      <c r="R86" s="241" t="s">
        <v>647</v>
      </c>
    </row>
    <row r="87" spans="1:18" ht="20">
      <c r="A87" s="46" t="s">
        <v>184</v>
      </c>
      <c r="B87" s="175" t="str">
        <f t="shared" si="4"/>
        <v>AAA</v>
      </c>
      <c r="C87" s="176" t="str">
        <f t="shared" si="5"/>
        <v>Aaa</v>
      </c>
      <c r="E87" s="142" t="s">
        <v>184</v>
      </c>
      <c r="F87" s="167" t="str">
        <f t="shared" si="6"/>
        <v>Aaa</v>
      </c>
      <c r="G87" s="167" t="str">
        <f t="shared" si="7"/>
        <v>AAA</v>
      </c>
      <c r="K87" s="102" t="s">
        <v>14</v>
      </c>
      <c r="L87" s="234" t="s">
        <v>43</v>
      </c>
      <c r="M87" s="234" t="s">
        <v>43</v>
      </c>
      <c r="N87" s="234"/>
      <c r="O87" s="242" t="s">
        <v>8</v>
      </c>
      <c r="P87" s="242" t="s">
        <v>208</v>
      </c>
      <c r="Q87" s="241" t="s">
        <v>647</v>
      </c>
      <c r="R87" s="241" t="s">
        <v>647</v>
      </c>
    </row>
    <row r="88" spans="1:18" ht="20">
      <c r="A88" s="46" t="s">
        <v>32</v>
      </c>
      <c r="B88" s="175" t="str">
        <f t="shared" si="4"/>
        <v>NA</v>
      </c>
      <c r="C88" s="176" t="str">
        <f t="shared" si="5"/>
        <v>Aa3</v>
      </c>
      <c r="E88" s="142" t="s">
        <v>32</v>
      </c>
      <c r="F88" s="167" t="s">
        <v>46</v>
      </c>
      <c r="G88" s="167" t="s">
        <v>143</v>
      </c>
      <c r="K88" s="102" t="s">
        <v>392</v>
      </c>
      <c r="L88" s="234" t="s">
        <v>100</v>
      </c>
      <c r="M88" s="234" t="s">
        <v>100</v>
      </c>
      <c r="N88" s="234"/>
      <c r="O88" s="242" t="s">
        <v>224</v>
      </c>
      <c r="P88" s="242" t="s">
        <v>204</v>
      </c>
      <c r="Q88" s="241" t="s">
        <v>637</v>
      </c>
      <c r="R88" s="241" t="s">
        <v>637</v>
      </c>
    </row>
    <row r="89" spans="1:18" ht="20">
      <c r="A89" s="46" t="s">
        <v>146</v>
      </c>
      <c r="B89" s="175" t="str">
        <f t="shared" si="4"/>
        <v>BB-</v>
      </c>
      <c r="C89" s="176" t="str">
        <f t="shared" si="5"/>
        <v>NA</v>
      </c>
      <c r="E89" s="173" t="s">
        <v>146</v>
      </c>
      <c r="F89" s="167" t="s">
        <v>143</v>
      </c>
      <c r="G89" s="167" t="s">
        <v>198</v>
      </c>
      <c r="K89" s="102" t="s">
        <v>324</v>
      </c>
      <c r="L89" s="234" t="s">
        <v>58</v>
      </c>
      <c r="M89" s="234" t="s">
        <v>58</v>
      </c>
      <c r="N89" s="234"/>
      <c r="O89" s="242" t="s">
        <v>18</v>
      </c>
      <c r="P89" s="242" t="s">
        <v>215</v>
      </c>
      <c r="Q89" s="241" t="s">
        <v>626</v>
      </c>
      <c r="R89" s="241" t="s">
        <v>626</v>
      </c>
    </row>
    <row r="90" spans="1:18" ht="20">
      <c r="A90" s="46" t="s">
        <v>14</v>
      </c>
      <c r="B90" s="175" t="str">
        <f t="shared" si="4"/>
        <v>A-</v>
      </c>
      <c r="C90" s="176" t="str">
        <f t="shared" si="5"/>
        <v>A3</v>
      </c>
      <c r="E90" s="142" t="s">
        <v>14</v>
      </c>
      <c r="F90" s="167" t="str">
        <f t="shared" si="6"/>
        <v>A3</v>
      </c>
      <c r="G90" s="167" t="str">
        <f t="shared" si="7"/>
        <v>A-</v>
      </c>
      <c r="K90" s="102" t="s">
        <v>185</v>
      </c>
      <c r="L90" s="234" t="s">
        <v>42</v>
      </c>
      <c r="M90" s="234" t="s">
        <v>42</v>
      </c>
      <c r="N90" s="234"/>
      <c r="O90" s="242" t="s">
        <v>225</v>
      </c>
      <c r="P90" s="242" t="s">
        <v>217</v>
      </c>
      <c r="Q90" s="241" t="s">
        <v>635</v>
      </c>
      <c r="R90" s="241" t="s">
        <v>635</v>
      </c>
    </row>
    <row r="91" spans="1:18" ht="20">
      <c r="A91" s="46" t="s">
        <v>392</v>
      </c>
      <c r="B91" s="175" t="str">
        <f t="shared" si="4"/>
        <v>NA</v>
      </c>
      <c r="C91" s="176" t="str">
        <f t="shared" si="5"/>
        <v>Caa1</v>
      </c>
      <c r="E91" s="142" t="s">
        <v>392</v>
      </c>
      <c r="F91" s="167" t="str">
        <f t="shared" si="6"/>
        <v>Caa1</v>
      </c>
      <c r="G91" s="167" t="s">
        <v>143</v>
      </c>
      <c r="K91" s="102" t="s">
        <v>15</v>
      </c>
      <c r="L91" s="234" t="s">
        <v>124</v>
      </c>
      <c r="M91" s="234" t="s">
        <v>124</v>
      </c>
      <c r="N91" s="234"/>
      <c r="O91" s="242" t="s">
        <v>186</v>
      </c>
      <c r="P91" s="242" t="s">
        <v>202</v>
      </c>
      <c r="Q91" s="241" t="s">
        <v>624</v>
      </c>
      <c r="R91" s="241" t="s">
        <v>624</v>
      </c>
    </row>
    <row r="92" spans="1:18" ht="20">
      <c r="A92" s="139" t="s">
        <v>324</v>
      </c>
      <c r="B92" s="175" t="str">
        <f t="shared" si="4"/>
        <v>NA</v>
      </c>
      <c r="C92" s="176" t="str">
        <f t="shared" si="5"/>
        <v>Caa2</v>
      </c>
      <c r="E92" s="142" t="s">
        <v>324</v>
      </c>
      <c r="F92" s="167" t="str">
        <f t="shared" si="6"/>
        <v>Caa2</v>
      </c>
      <c r="G92" s="167" t="s">
        <v>143</v>
      </c>
      <c r="K92" s="102" t="s">
        <v>16</v>
      </c>
      <c r="L92" s="234" t="s">
        <v>83</v>
      </c>
      <c r="M92" s="234" t="s">
        <v>83</v>
      </c>
      <c r="N92" s="234"/>
      <c r="O92" s="242" t="s">
        <v>21</v>
      </c>
      <c r="P92" s="242" t="s">
        <v>203</v>
      </c>
      <c r="Q92" s="241" t="s">
        <v>625</v>
      </c>
      <c r="R92" s="241" t="s">
        <v>624</v>
      </c>
    </row>
    <row r="93" spans="1:18" ht="20">
      <c r="A93" s="46" t="s">
        <v>185</v>
      </c>
      <c r="B93" s="175" t="str">
        <f t="shared" si="4"/>
        <v>A-</v>
      </c>
      <c r="C93" s="176" t="str">
        <f t="shared" si="5"/>
        <v>A2</v>
      </c>
      <c r="E93" s="142" t="s">
        <v>185</v>
      </c>
      <c r="F93" s="167" t="str">
        <f t="shared" si="6"/>
        <v>A2</v>
      </c>
      <c r="G93" s="167" t="str">
        <f t="shared" si="7"/>
        <v>A-</v>
      </c>
      <c r="K93" s="102" t="s">
        <v>17</v>
      </c>
      <c r="L93" s="234" t="s">
        <v>78</v>
      </c>
      <c r="M93" s="234" t="s">
        <v>78</v>
      </c>
      <c r="N93" s="234"/>
      <c r="O93" s="242" t="s">
        <v>22</v>
      </c>
      <c r="P93" s="242" t="s">
        <v>208</v>
      </c>
      <c r="Q93" s="241" t="s">
        <v>647</v>
      </c>
      <c r="R93" s="241" t="s">
        <v>647</v>
      </c>
    </row>
    <row r="94" spans="1:18" ht="20">
      <c r="A94" s="46" t="s">
        <v>15</v>
      </c>
      <c r="B94" s="175" t="str">
        <f t="shared" si="4"/>
        <v>BBB-</v>
      </c>
      <c r="C94" s="176" t="str">
        <f t="shared" si="5"/>
        <v>Baa3</v>
      </c>
      <c r="E94" s="142" t="s">
        <v>15</v>
      </c>
      <c r="F94" s="167" t="str">
        <f t="shared" si="6"/>
        <v>Baa3</v>
      </c>
      <c r="G94" s="167" t="str">
        <f t="shared" si="7"/>
        <v>BBB-</v>
      </c>
      <c r="K94" s="102" t="s">
        <v>63</v>
      </c>
      <c r="L94" s="234" t="s">
        <v>78</v>
      </c>
      <c r="M94" s="234" t="s">
        <v>78</v>
      </c>
      <c r="N94" s="234"/>
      <c r="O94" s="242" t="s">
        <v>187</v>
      </c>
      <c r="P94" s="242" t="s">
        <v>199</v>
      </c>
      <c r="Q94" s="241" t="s">
        <v>620</v>
      </c>
      <c r="R94" s="241" t="s">
        <v>620</v>
      </c>
    </row>
    <row r="95" spans="1:18" ht="20">
      <c r="A95" s="46" t="s">
        <v>16</v>
      </c>
      <c r="B95" s="175" t="str">
        <f t="shared" si="4"/>
        <v>BBB+</v>
      </c>
      <c r="C95" s="176" t="str">
        <f t="shared" si="5"/>
        <v>Baa2</v>
      </c>
      <c r="E95" s="142" t="s">
        <v>16</v>
      </c>
      <c r="F95" s="167" t="str">
        <f t="shared" si="6"/>
        <v>Baa2</v>
      </c>
      <c r="G95" s="167" t="str">
        <f t="shared" si="7"/>
        <v>BBB+</v>
      </c>
      <c r="K95" s="102" t="s">
        <v>8</v>
      </c>
      <c r="L95" s="234" t="s">
        <v>48</v>
      </c>
      <c r="M95" s="234" t="s">
        <v>518</v>
      </c>
      <c r="N95" s="234"/>
      <c r="O95" s="242" t="s">
        <v>468</v>
      </c>
      <c r="P95" s="242" t="s">
        <v>198</v>
      </c>
      <c r="Q95" s="241" t="s">
        <v>622</v>
      </c>
      <c r="R95" s="241" t="s">
        <v>622</v>
      </c>
    </row>
    <row r="96" spans="1:18" ht="20">
      <c r="A96" s="46" t="s">
        <v>17</v>
      </c>
      <c r="B96" s="175" t="str">
        <f t="shared" si="4"/>
        <v>NA</v>
      </c>
      <c r="C96" s="176" t="str">
        <f t="shared" si="5"/>
        <v>B3</v>
      </c>
      <c r="E96" s="142" t="s">
        <v>17</v>
      </c>
      <c r="F96" s="167" t="str">
        <f t="shared" si="6"/>
        <v>B3</v>
      </c>
      <c r="G96" s="167" t="s">
        <v>143</v>
      </c>
      <c r="K96" s="102" t="s">
        <v>18</v>
      </c>
      <c r="L96" s="234" t="s">
        <v>79</v>
      </c>
      <c r="M96" s="234" t="s">
        <v>79</v>
      </c>
      <c r="N96" s="234"/>
      <c r="O96" s="242" t="s">
        <v>23</v>
      </c>
      <c r="P96" s="242" t="s">
        <v>202</v>
      </c>
      <c r="Q96" s="241" t="s">
        <v>624</v>
      </c>
      <c r="R96" s="241" t="s">
        <v>624</v>
      </c>
    </row>
    <row r="97" spans="1:18" ht="20">
      <c r="A97" s="46" t="s">
        <v>63</v>
      </c>
      <c r="B97" s="175" t="str">
        <f t="shared" si="4"/>
        <v>B</v>
      </c>
      <c r="C97" s="176" t="str">
        <f t="shared" si="5"/>
        <v>B3</v>
      </c>
      <c r="E97" s="142" t="s">
        <v>63</v>
      </c>
      <c r="F97" s="167" t="str">
        <f t="shared" si="6"/>
        <v>B3</v>
      </c>
      <c r="G97" s="167" t="str">
        <f t="shared" si="7"/>
        <v>B</v>
      </c>
      <c r="K97" s="237" t="s">
        <v>225</v>
      </c>
      <c r="L97" s="234" t="s">
        <v>58</v>
      </c>
      <c r="M97" s="234" t="s">
        <v>58</v>
      </c>
      <c r="N97" s="234"/>
      <c r="O97" s="242" t="s">
        <v>24</v>
      </c>
      <c r="P97" s="242" t="s">
        <v>215</v>
      </c>
      <c r="Q97" s="241" t="s">
        <v>626</v>
      </c>
      <c r="R97" s="241" t="s">
        <v>626</v>
      </c>
    </row>
    <row r="98" spans="1:18" ht="20">
      <c r="A98" s="46" t="s">
        <v>8</v>
      </c>
      <c r="B98" s="175" t="str">
        <f t="shared" si="4"/>
        <v>B</v>
      </c>
      <c r="C98" s="176" t="str">
        <f t="shared" si="5"/>
        <v>B1</v>
      </c>
      <c r="E98" s="142" t="s">
        <v>8</v>
      </c>
      <c r="F98" s="167" t="s">
        <v>48</v>
      </c>
      <c r="G98" s="167" t="str">
        <f t="shared" si="7"/>
        <v>B</v>
      </c>
      <c r="K98" s="102" t="s">
        <v>136</v>
      </c>
      <c r="L98" s="234" t="s">
        <v>48</v>
      </c>
      <c r="M98" s="234" t="s">
        <v>48</v>
      </c>
      <c r="N98" s="234"/>
      <c r="O98" s="242" t="s">
        <v>25</v>
      </c>
      <c r="P98" s="242" t="s">
        <v>217</v>
      </c>
      <c r="Q98" s="241" t="s">
        <v>635</v>
      </c>
      <c r="R98" s="241" t="s">
        <v>635</v>
      </c>
    </row>
    <row r="99" spans="1:18" ht="20">
      <c r="A99" s="46" t="s">
        <v>224</v>
      </c>
      <c r="B99" s="175" t="str">
        <f t="shared" si="4"/>
        <v>BBB-</v>
      </c>
      <c r="C99" s="176" t="str">
        <f t="shared" si="5"/>
        <v>NA</v>
      </c>
      <c r="E99" s="173" t="s">
        <v>224</v>
      </c>
      <c r="F99" s="167" t="s">
        <v>143</v>
      </c>
      <c r="G99" s="167" t="str">
        <f t="shared" si="7"/>
        <v>BBB-</v>
      </c>
      <c r="K99" s="102" t="s">
        <v>186</v>
      </c>
      <c r="L99" s="234" t="s">
        <v>47</v>
      </c>
      <c r="M99" s="234" t="s">
        <v>47</v>
      </c>
      <c r="N99" s="234"/>
      <c r="O99" s="242" t="s">
        <v>26</v>
      </c>
      <c r="P99" s="242" t="s">
        <v>205</v>
      </c>
      <c r="Q99" s="241" t="s">
        <v>648</v>
      </c>
      <c r="R99" s="241" t="s">
        <v>648</v>
      </c>
    </row>
    <row r="100" spans="1:18" ht="20">
      <c r="A100" s="46" t="s">
        <v>18</v>
      </c>
      <c r="B100" s="175" t="str">
        <f t="shared" si="4"/>
        <v>BB+</v>
      </c>
      <c r="C100" s="176" t="str">
        <f t="shared" si="5"/>
        <v>Ba1</v>
      </c>
      <c r="E100" s="142" t="s">
        <v>18</v>
      </c>
      <c r="F100" s="167" t="str">
        <f t="shared" si="6"/>
        <v>Ba1</v>
      </c>
      <c r="G100" s="167" t="str">
        <f t="shared" si="7"/>
        <v>BB+</v>
      </c>
      <c r="K100" s="102" t="s">
        <v>21</v>
      </c>
      <c r="L100" s="234" t="s">
        <v>47</v>
      </c>
      <c r="M100" s="234" t="s">
        <v>47</v>
      </c>
      <c r="N100" s="234"/>
      <c r="O100" s="242" t="s">
        <v>9</v>
      </c>
      <c r="P100" s="242" t="s">
        <v>199</v>
      </c>
      <c r="Q100" s="241" t="s">
        <v>620</v>
      </c>
      <c r="R100" s="241" t="s">
        <v>620</v>
      </c>
    </row>
    <row r="101" spans="1:18" ht="20">
      <c r="A101" s="46" t="s">
        <v>225</v>
      </c>
      <c r="B101" s="175" t="str">
        <f t="shared" si="4"/>
        <v>CCC+</v>
      </c>
      <c r="C101" s="176" t="str">
        <f t="shared" si="5"/>
        <v>Caa2</v>
      </c>
      <c r="E101" s="169" t="s">
        <v>225</v>
      </c>
      <c r="F101" s="167" t="str">
        <f t="shared" si="6"/>
        <v>Caa2</v>
      </c>
      <c r="G101" s="167" t="str">
        <f t="shared" si="7"/>
        <v>CCC+</v>
      </c>
      <c r="K101" s="102" t="s">
        <v>22</v>
      </c>
      <c r="L101" s="234" t="s">
        <v>78</v>
      </c>
      <c r="M101" s="234" t="s">
        <v>78</v>
      </c>
      <c r="N101" s="234"/>
      <c r="O101" s="242" t="s">
        <v>27</v>
      </c>
      <c r="P101" s="242" t="s">
        <v>214</v>
      </c>
      <c r="Q101" s="241" t="s">
        <v>639</v>
      </c>
      <c r="R101" s="241" t="s">
        <v>639</v>
      </c>
    </row>
    <row r="102" spans="1:18" ht="20">
      <c r="A102" s="46" t="s">
        <v>136</v>
      </c>
      <c r="B102" s="175" t="str">
        <f t="shared" si="4"/>
        <v>NA</v>
      </c>
      <c r="C102" s="176" t="str">
        <f t="shared" si="5"/>
        <v>B1</v>
      </c>
      <c r="E102" s="142" t="s">
        <v>136</v>
      </c>
      <c r="F102" s="167" t="str">
        <f t="shared" si="6"/>
        <v>B1</v>
      </c>
      <c r="G102" s="167" t="s">
        <v>143</v>
      </c>
      <c r="K102" s="102" t="s">
        <v>320</v>
      </c>
      <c r="L102" s="234" t="s">
        <v>58</v>
      </c>
      <c r="M102" s="234" t="s">
        <v>58</v>
      </c>
      <c r="N102" s="234"/>
      <c r="O102" s="242" t="s">
        <v>28</v>
      </c>
      <c r="P102" s="242" t="s">
        <v>205</v>
      </c>
      <c r="Q102" s="241" t="s">
        <v>648</v>
      </c>
      <c r="R102" s="241" t="s">
        <v>654</v>
      </c>
    </row>
    <row r="103" spans="1:18" ht="20">
      <c r="A103" s="46" t="s">
        <v>186</v>
      </c>
      <c r="B103" s="175" t="str">
        <f t="shared" si="4"/>
        <v>AAA</v>
      </c>
      <c r="C103" s="176" t="str">
        <f t="shared" si="5"/>
        <v>Aaa</v>
      </c>
      <c r="E103" s="142" t="s">
        <v>186</v>
      </c>
      <c r="F103" s="167" t="str">
        <f t="shared" si="6"/>
        <v>Aaa</v>
      </c>
      <c r="G103" s="167" t="str">
        <f t="shared" si="7"/>
        <v>AAA</v>
      </c>
      <c r="K103" s="102" t="s">
        <v>187</v>
      </c>
      <c r="L103" s="234" t="s">
        <v>100</v>
      </c>
      <c r="M103" s="234" t="s">
        <v>100</v>
      </c>
      <c r="N103" s="234"/>
      <c r="O103" s="242" t="s">
        <v>29</v>
      </c>
      <c r="P103" s="242" t="s">
        <v>201</v>
      </c>
      <c r="Q103" s="241" t="s">
        <v>632</v>
      </c>
      <c r="R103" s="241" t="s">
        <v>632</v>
      </c>
    </row>
    <row r="104" spans="1:18" ht="20">
      <c r="A104" s="46" t="s">
        <v>21</v>
      </c>
      <c r="B104" s="175" t="str">
        <f t="shared" si="4"/>
        <v>AA+</v>
      </c>
      <c r="C104" s="176" t="str">
        <f t="shared" si="5"/>
        <v>Aaa</v>
      </c>
      <c r="E104" s="142" t="s">
        <v>21</v>
      </c>
      <c r="F104" s="167" t="str">
        <f t="shared" si="6"/>
        <v>Aaa</v>
      </c>
      <c r="G104" s="167" t="str">
        <f t="shared" si="7"/>
        <v>AA+</v>
      </c>
      <c r="K104" s="102" t="s">
        <v>23</v>
      </c>
      <c r="L104" s="234" t="s">
        <v>47</v>
      </c>
      <c r="M104" s="234" t="s">
        <v>47</v>
      </c>
      <c r="N104" s="234"/>
      <c r="O104" s="242" t="s">
        <v>30</v>
      </c>
      <c r="P104" s="242" t="s">
        <v>197</v>
      </c>
      <c r="Q104" s="241" t="s">
        <v>646</v>
      </c>
      <c r="R104" s="241" t="s">
        <v>650</v>
      </c>
    </row>
    <row r="105" spans="1:18" ht="20">
      <c r="A105" s="46" t="s">
        <v>22</v>
      </c>
      <c r="B105" s="175" t="str">
        <f t="shared" si="4"/>
        <v>B</v>
      </c>
      <c r="C105" s="176" t="str">
        <f t="shared" si="5"/>
        <v>B3</v>
      </c>
      <c r="E105" s="142" t="s">
        <v>22</v>
      </c>
      <c r="F105" s="167" t="str">
        <f t="shared" si="6"/>
        <v>B3</v>
      </c>
      <c r="G105" s="167" t="str">
        <f t="shared" si="7"/>
        <v>B</v>
      </c>
      <c r="K105" s="102" t="s">
        <v>24</v>
      </c>
      <c r="L105" s="234" t="s">
        <v>79</v>
      </c>
      <c r="M105" s="234" t="s">
        <v>79</v>
      </c>
      <c r="N105" s="234"/>
      <c r="O105" s="242" t="s">
        <v>188</v>
      </c>
      <c r="P105" s="242" t="s">
        <v>201</v>
      </c>
      <c r="Q105" s="241" t="s">
        <v>619</v>
      </c>
      <c r="R105" s="241" t="s">
        <v>619</v>
      </c>
    </row>
    <row r="106" spans="1:18" ht="20">
      <c r="A106" s="102" t="s">
        <v>320</v>
      </c>
      <c r="B106" s="175" t="str">
        <f t="shared" si="4"/>
        <v>NA</v>
      </c>
      <c r="C106" s="176" t="str">
        <f t="shared" si="5"/>
        <v>Caa2</v>
      </c>
      <c r="E106" s="142" t="s">
        <v>320</v>
      </c>
      <c r="F106" s="167" t="str">
        <f t="shared" si="6"/>
        <v>Caa2</v>
      </c>
      <c r="G106" s="167" t="s">
        <v>143</v>
      </c>
      <c r="K106" s="102" t="s">
        <v>25</v>
      </c>
      <c r="L106" s="234" t="s">
        <v>62</v>
      </c>
      <c r="M106" s="234" t="s">
        <v>62</v>
      </c>
      <c r="N106" s="234"/>
      <c r="O106" s="242" t="s">
        <v>74</v>
      </c>
      <c r="P106" s="242" t="s">
        <v>206</v>
      </c>
      <c r="Q106" s="241" t="s">
        <v>617</v>
      </c>
      <c r="R106" s="241" t="s">
        <v>617</v>
      </c>
    </row>
    <row r="107" spans="1:18" ht="20">
      <c r="A107" s="46" t="s">
        <v>187</v>
      </c>
      <c r="B107" s="175" t="str">
        <f t="shared" si="4"/>
        <v>B-</v>
      </c>
      <c r="C107" s="176" t="str">
        <f t="shared" si="5"/>
        <v>Caa1</v>
      </c>
      <c r="E107" s="142" t="s">
        <v>187</v>
      </c>
      <c r="F107" s="167" t="str">
        <f t="shared" si="6"/>
        <v>Caa1</v>
      </c>
      <c r="G107" s="167" t="str">
        <f t="shared" si="7"/>
        <v>B-</v>
      </c>
      <c r="K107" s="102" t="s">
        <v>26</v>
      </c>
      <c r="L107" s="234" t="s">
        <v>124</v>
      </c>
      <c r="M107" s="234" t="s">
        <v>518</v>
      </c>
      <c r="N107" s="234"/>
      <c r="O107" s="242" t="s">
        <v>615</v>
      </c>
      <c r="P107" s="242" t="s">
        <v>197</v>
      </c>
      <c r="Q107" s="241" t="s">
        <v>649</v>
      </c>
      <c r="R107" s="241" t="s">
        <v>649</v>
      </c>
    </row>
    <row r="108" spans="1:18" ht="20">
      <c r="A108" s="46" t="s">
        <v>23</v>
      </c>
      <c r="B108" s="175" t="str">
        <f t="shared" si="4"/>
        <v>AAA</v>
      </c>
      <c r="C108" s="176" t="str">
        <f t="shared" si="5"/>
        <v>Aaa</v>
      </c>
      <c r="E108" s="142" t="s">
        <v>23</v>
      </c>
      <c r="F108" s="167" t="str">
        <f t="shared" si="6"/>
        <v>Aaa</v>
      </c>
      <c r="G108" s="167" t="str">
        <f t="shared" si="7"/>
        <v>AAA</v>
      </c>
      <c r="K108" s="102" t="s">
        <v>496</v>
      </c>
      <c r="L108" s="234" t="s">
        <v>518</v>
      </c>
      <c r="M108" s="234" t="s">
        <v>518</v>
      </c>
      <c r="N108" s="234"/>
      <c r="O108" s="242" t="s">
        <v>0</v>
      </c>
      <c r="P108" s="242" t="s">
        <v>204</v>
      </c>
      <c r="Q108" s="241" t="s">
        <v>637</v>
      </c>
      <c r="R108" s="241" t="s">
        <v>637</v>
      </c>
    </row>
    <row r="109" spans="1:18" ht="20">
      <c r="A109" s="46" t="s">
        <v>24</v>
      </c>
      <c r="B109" s="175" t="str">
        <f t="shared" si="4"/>
        <v>BB+</v>
      </c>
      <c r="C109" s="176" t="str">
        <f t="shared" si="5"/>
        <v>Ba1</v>
      </c>
      <c r="E109" s="142" t="s">
        <v>24</v>
      </c>
      <c r="F109" s="167" t="str">
        <f t="shared" si="6"/>
        <v>Ba1</v>
      </c>
      <c r="G109" s="167" t="str">
        <f t="shared" si="7"/>
        <v>BB+</v>
      </c>
      <c r="K109" s="235" t="s">
        <v>9</v>
      </c>
      <c r="L109" s="236" t="s">
        <v>49</v>
      </c>
      <c r="M109" s="236" t="s">
        <v>49</v>
      </c>
      <c r="N109" s="236"/>
      <c r="O109" s="242" t="s">
        <v>226</v>
      </c>
      <c r="P109" s="242" t="s">
        <v>195</v>
      </c>
      <c r="Q109" s="241" t="s">
        <v>627</v>
      </c>
      <c r="R109" s="241" t="s">
        <v>627</v>
      </c>
    </row>
    <row r="110" spans="1:18" ht="20">
      <c r="A110" s="46" t="s">
        <v>25</v>
      </c>
      <c r="B110" s="175" t="str">
        <f t="shared" si="4"/>
        <v>CCC+</v>
      </c>
      <c r="C110" s="176" t="str">
        <f t="shared" si="5"/>
        <v>Caa3</v>
      </c>
      <c r="E110" s="142" t="s">
        <v>25</v>
      </c>
      <c r="F110" s="167" t="str">
        <f t="shared" si="6"/>
        <v>Caa3</v>
      </c>
      <c r="G110" s="167" t="str">
        <f t="shared" si="7"/>
        <v>CCC+</v>
      </c>
      <c r="K110" s="102" t="s">
        <v>27</v>
      </c>
      <c r="L110" s="234" t="s">
        <v>79</v>
      </c>
      <c r="M110" s="234" t="s">
        <v>79</v>
      </c>
      <c r="N110" s="234"/>
      <c r="O110" s="242" t="s">
        <v>2</v>
      </c>
      <c r="P110" s="242" t="s">
        <v>223</v>
      </c>
      <c r="Q110" s="241" t="s">
        <v>650</v>
      </c>
      <c r="R110" s="241" t="s">
        <v>650</v>
      </c>
    </row>
    <row r="111" spans="1:18" ht="20">
      <c r="A111" s="46" t="s">
        <v>26</v>
      </c>
      <c r="B111" s="175" t="str">
        <f t="shared" si="4"/>
        <v>BBB</v>
      </c>
      <c r="C111" s="176" t="str">
        <f t="shared" si="5"/>
        <v>NA</v>
      </c>
      <c r="E111" s="142" t="s">
        <v>26</v>
      </c>
      <c r="F111" s="167" t="s">
        <v>143</v>
      </c>
      <c r="G111" s="167" t="str">
        <f t="shared" si="7"/>
        <v>BBB</v>
      </c>
      <c r="K111" s="102" t="s">
        <v>28</v>
      </c>
      <c r="L111" s="234" t="s">
        <v>82</v>
      </c>
      <c r="M111" s="234" t="s">
        <v>82</v>
      </c>
      <c r="N111" s="234"/>
      <c r="O111" s="242" t="s">
        <v>135</v>
      </c>
      <c r="P111" s="242" t="s">
        <v>195</v>
      </c>
      <c r="Q111" s="241" t="s">
        <v>627</v>
      </c>
      <c r="R111" s="241" t="s">
        <v>627</v>
      </c>
    </row>
    <row r="112" spans="1:18" ht="20">
      <c r="A112" s="46" t="s">
        <v>9</v>
      </c>
      <c r="B112" s="175" t="str">
        <f t="shared" si="4"/>
        <v>B-</v>
      </c>
      <c r="C112" s="176" t="str">
        <f t="shared" si="5"/>
        <v>B2</v>
      </c>
      <c r="E112" s="168" t="s">
        <v>9</v>
      </c>
      <c r="F112" s="167" t="str">
        <f t="shared" si="6"/>
        <v>B2</v>
      </c>
      <c r="G112" s="167" t="str">
        <f t="shared" si="7"/>
        <v>B-</v>
      </c>
      <c r="K112" s="102" t="s">
        <v>29</v>
      </c>
      <c r="L112" s="234" t="s">
        <v>83</v>
      </c>
      <c r="M112" s="234" t="s">
        <v>83</v>
      </c>
      <c r="N112" s="234"/>
      <c r="O112" s="242" t="s">
        <v>147</v>
      </c>
      <c r="P112" s="242" t="s">
        <v>215</v>
      </c>
      <c r="Q112" s="241" t="s">
        <v>626</v>
      </c>
      <c r="R112" s="241" t="s">
        <v>626</v>
      </c>
    </row>
    <row r="113" spans="1:18" ht="20">
      <c r="A113" s="46" t="s">
        <v>27</v>
      </c>
      <c r="B113" s="175" t="str">
        <f t="shared" si="4"/>
        <v>BB</v>
      </c>
      <c r="C113" s="176" t="str">
        <f t="shared" si="5"/>
        <v>Ba1</v>
      </c>
      <c r="E113" s="142" t="s">
        <v>27</v>
      </c>
      <c r="F113" s="167" t="str">
        <f t="shared" si="6"/>
        <v>Ba1</v>
      </c>
      <c r="G113" s="167" t="str">
        <f t="shared" si="7"/>
        <v>BB</v>
      </c>
      <c r="K113" s="102" t="s">
        <v>30</v>
      </c>
      <c r="L113" s="234" t="s">
        <v>42</v>
      </c>
      <c r="M113" s="234" t="s">
        <v>42</v>
      </c>
      <c r="N113" s="234"/>
      <c r="O113" s="242" t="s">
        <v>284</v>
      </c>
      <c r="P113" s="242" t="s">
        <v>204</v>
      </c>
      <c r="Q113" s="241" t="s">
        <v>637</v>
      </c>
      <c r="R113" s="241" t="s">
        <v>637</v>
      </c>
    </row>
    <row r="114" spans="1:18" ht="20">
      <c r="A114" s="46" t="s">
        <v>28</v>
      </c>
      <c r="B114" s="175" t="str">
        <f t="shared" si="4"/>
        <v>BBB</v>
      </c>
      <c r="C114" s="176" t="str">
        <f t="shared" si="5"/>
        <v>Baa1</v>
      </c>
      <c r="E114" s="142" t="s">
        <v>28</v>
      </c>
      <c r="F114" s="167" t="str">
        <f t="shared" si="6"/>
        <v>Baa1</v>
      </c>
      <c r="G114" s="167" t="str">
        <f t="shared" si="7"/>
        <v>BBB</v>
      </c>
      <c r="K114" s="102" t="s">
        <v>188</v>
      </c>
      <c r="L114" s="234" t="s">
        <v>43</v>
      </c>
      <c r="M114" s="234" t="s">
        <v>43</v>
      </c>
      <c r="N114" s="234"/>
      <c r="O114" s="242" t="s">
        <v>3</v>
      </c>
      <c r="P114" s="242" t="s">
        <v>202</v>
      </c>
      <c r="Q114" s="241" t="s">
        <v>624</v>
      </c>
      <c r="R114" s="241" t="s">
        <v>624</v>
      </c>
    </row>
    <row r="115" spans="1:18" ht="20">
      <c r="A115" s="46" t="s">
        <v>29</v>
      </c>
      <c r="B115" s="175" t="str">
        <f t="shared" si="4"/>
        <v>BBB+</v>
      </c>
      <c r="C115" s="176" t="str">
        <f t="shared" si="5"/>
        <v>Baa2</v>
      </c>
      <c r="E115" s="142" t="s">
        <v>29</v>
      </c>
      <c r="F115" s="167" t="str">
        <f t="shared" si="6"/>
        <v>Baa2</v>
      </c>
      <c r="G115" s="167" t="str">
        <f t="shared" si="7"/>
        <v>BBB+</v>
      </c>
      <c r="K115" s="102" t="s">
        <v>74</v>
      </c>
      <c r="L115" s="234" t="s">
        <v>46</v>
      </c>
      <c r="M115" s="234" t="s">
        <v>46</v>
      </c>
      <c r="N115" s="234"/>
      <c r="O115" s="242" t="s">
        <v>61</v>
      </c>
      <c r="P115" s="242" t="s">
        <v>221</v>
      </c>
      <c r="Q115" s="241" t="s">
        <v>630</v>
      </c>
      <c r="R115" s="241" t="s">
        <v>630</v>
      </c>
    </row>
    <row r="116" spans="1:18" ht="20">
      <c r="A116" s="46" t="s">
        <v>30</v>
      </c>
      <c r="B116" s="175" t="str">
        <f t="shared" si="4"/>
        <v>A-</v>
      </c>
      <c r="C116" s="176" t="str">
        <f t="shared" si="5"/>
        <v>A2</v>
      </c>
      <c r="E116" s="142" t="s">
        <v>30</v>
      </c>
      <c r="F116" s="167" t="str">
        <f t="shared" si="6"/>
        <v>A2</v>
      </c>
      <c r="G116" s="167" t="str">
        <f t="shared" si="7"/>
        <v>A-</v>
      </c>
      <c r="K116" s="102" t="s">
        <v>273</v>
      </c>
      <c r="L116" s="234" t="s">
        <v>58</v>
      </c>
      <c r="M116" s="234" t="s">
        <v>58</v>
      </c>
      <c r="N116" s="234"/>
      <c r="O116" s="242" t="s">
        <v>189</v>
      </c>
      <c r="P116" s="242" t="s">
        <v>209</v>
      </c>
      <c r="Q116" s="241" t="s">
        <v>638</v>
      </c>
      <c r="R116" s="241" t="s">
        <v>638</v>
      </c>
    </row>
    <row r="117" spans="1:18" ht="20">
      <c r="A117" s="46" t="s">
        <v>188</v>
      </c>
      <c r="B117" s="175" t="str">
        <f t="shared" si="4"/>
        <v>BBB+</v>
      </c>
      <c r="C117" s="176" t="str">
        <f t="shared" si="5"/>
        <v>A3</v>
      </c>
      <c r="E117" s="142" t="s">
        <v>188</v>
      </c>
      <c r="F117" s="167" t="str">
        <f t="shared" si="6"/>
        <v>A3</v>
      </c>
      <c r="G117" s="167" t="str">
        <f t="shared" si="7"/>
        <v>BBB+</v>
      </c>
      <c r="K117" s="102" t="s">
        <v>0</v>
      </c>
      <c r="L117" s="234" t="s">
        <v>124</v>
      </c>
      <c r="M117" s="234" t="s">
        <v>124</v>
      </c>
      <c r="N117" s="234"/>
      <c r="O117" s="242" t="s">
        <v>76</v>
      </c>
      <c r="P117" s="242" t="s">
        <v>198</v>
      </c>
      <c r="Q117" s="241" t="s">
        <v>622</v>
      </c>
      <c r="R117" s="241" t="s">
        <v>639</v>
      </c>
    </row>
    <row r="118" spans="1:18" ht="20">
      <c r="A118" s="46" t="s">
        <v>74</v>
      </c>
      <c r="B118" s="175" t="str">
        <f t="shared" si="4"/>
        <v>AA</v>
      </c>
      <c r="C118" s="176" t="str">
        <f t="shared" si="5"/>
        <v>Aa3</v>
      </c>
      <c r="E118" s="142" t="s">
        <v>74</v>
      </c>
      <c r="F118" s="167" t="str">
        <f t="shared" si="6"/>
        <v>Aa3</v>
      </c>
      <c r="G118" s="167" t="str">
        <f t="shared" si="7"/>
        <v>AA</v>
      </c>
      <c r="K118" s="235" t="s">
        <v>1</v>
      </c>
      <c r="L118" s="236" t="s">
        <v>143</v>
      </c>
      <c r="M118" s="236" t="s">
        <v>143</v>
      </c>
      <c r="N118" s="236"/>
      <c r="O118" s="242" t="s">
        <v>138</v>
      </c>
      <c r="P118" s="242" t="s">
        <v>223</v>
      </c>
      <c r="Q118" s="241" t="s">
        <v>650</v>
      </c>
      <c r="R118" s="241" t="s">
        <v>650</v>
      </c>
    </row>
    <row r="119" spans="1:18" ht="20">
      <c r="A119" s="46" t="s">
        <v>290</v>
      </c>
      <c r="B119" s="175" t="s">
        <v>197</v>
      </c>
      <c r="C119" s="176" t="s">
        <v>43</v>
      </c>
      <c r="E119" s="174" t="s">
        <v>290</v>
      </c>
      <c r="F119" s="167" t="s">
        <v>143</v>
      </c>
      <c r="G119" s="167" t="s">
        <v>197</v>
      </c>
      <c r="K119" s="235" t="s">
        <v>226</v>
      </c>
      <c r="L119" s="236" t="s">
        <v>49</v>
      </c>
      <c r="M119" s="236" t="s">
        <v>49</v>
      </c>
      <c r="N119" s="236"/>
      <c r="O119" s="242" t="s">
        <v>134</v>
      </c>
      <c r="P119" s="242" t="s">
        <v>276</v>
      </c>
      <c r="Q119" s="241" t="s">
        <v>643</v>
      </c>
      <c r="R119" s="241" t="s">
        <v>635</v>
      </c>
    </row>
    <row r="120" spans="1:18" ht="20">
      <c r="A120" s="46" t="s">
        <v>0</v>
      </c>
      <c r="B120" s="175" t="str">
        <f t="shared" si="4"/>
        <v>BBB-</v>
      </c>
      <c r="C120" s="176" t="str">
        <f t="shared" si="5"/>
        <v>Baa3</v>
      </c>
      <c r="E120" s="142" t="s">
        <v>0</v>
      </c>
      <c r="F120" s="167" t="str">
        <f t="shared" si="6"/>
        <v>Baa3</v>
      </c>
      <c r="G120" s="167" t="str">
        <f t="shared" si="7"/>
        <v>BBB-</v>
      </c>
      <c r="K120" s="102" t="s">
        <v>2</v>
      </c>
      <c r="L120" s="234" t="s">
        <v>41</v>
      </c>
      <c r="M120" s="234" t="s">
        <v>41</v>
      </c>
      <c r="N120" s="234"/>
      <c r="O120" s="242" t="s">
        <v>616</v>
      </c>
      <c r="P120" s="242" t="s">
        <v>204</v>
      </c>
      <c r="Q120" s="241" t="s">
        <v>637</v>
      </c>
      <c r="R120" s="241" t="s">
        <v>637</v>
      </c>
    </row>
    <row r="121" spans="1:18" ht="20">
      <c r="A121" s="46" t="s">
        <v>1</v>
      </c>
      <c r="B121" s="175" t="str">
        <f t="shared" si="4"/>
        <v>NA</v>
      </c>
      <c r="C121" s="176" t="str">
        <f t="shared" si="5"/>
        <v>NA</v>
      </c>
      <c r="E121" s="168" t="s">
        <v>1</v>
      </c>
      <c r="F121" s="167" t="str">
        <f t="shared" si="6"/>
        <v>NA</v>
      </c>
      <c r="G121" s="167" t="s">
        <v>143</v>
      </c>
      <c r="K121" s="102" t="s">
        <v>135</v>
      </c>
      <c r="L121" s="234" t="s">
        <v>81</v>
      </c>
      <c r="M121" s="234" t="s">
        <v>81</v>
      </c>
      <c r="N121" s="234"/>
      <c r="O121" s="242" t="s">
        <v>33</v>
      </c>
      <c r="P121" s="242" t="s">
        <v>276</v>
      </c>
      <c r="Q121" s="241" t="s">
        <v>643</v>
      </c>
      <c r="R121" s="241" t="s">
        <v>643</v>
      </c>
    </row>
    <row r="122" spans="1:18" ht="20">
      <c r="A122" s="46" t="s">
        <v>226</v>
      </c>
      <c r="B122" s="175" t="str">
        <f t="shared" si="4"/>
        <v>B+</v>
      </c>
      <c r="C122" s="176" t="str">
        <f t="shared" si="5"/>
        <v>B2</v>
      </c>
      <c r="E122" s="168" t="s">
        <v>226</v>
      </c>
      <c r="F122" s="167" t="str">
        <f t="shared" si="6"/>
        <v>B2</v>
      </c>
      <c r="G122" s="167" t="str">
        <f t="shared" si="7"/>
        <v>B+</v>
      </c>
      <c r="K122" s="102" t="s">
        <v>147</v>
      </c>
      <c r="L122" s="234" t="s">
        <v>80</v>
      </c>
      <c r="M122" s="234" t="s">
        <v>80</v>
      </c>
      <c r="N122" s="234"/>
      <c r="O122" s="242" t="s">
        <v>34</v>
      </c>
      <c r="P122" s="242" t="s">
        <v>202</v>
      </c>
      <c r="Q122" s="241" t="s">
        <v>624</v>
      </c>
      <c r="R122" s="241" t="s">
        <v>624</v>
      </c>
    </row>
    <row r="123" spans="1:18" ht="20">
      <c r="A123" s="46" t="s">
        <v>2</v>
      </c>
      <c r="B123" s="175" t="str">
        <f t="shared" si="4"/>
        <v>A</v>
      </c>
      <c r="C123" s="176" t="str">
        <f t="shared" si="5"/>
        <v>A1</v>
      </c>
      <c r="E123" s="142" t="s">
        <v>2</v>
      </c>
      <c r="F123" s="167" t="str">
        <f t="shared" si="6"/>
        <v>A1</v>
      </c>
      <c r="G123" s="167" t="str">
        <f t="shared" si="7"/>
        <v>A</v>
      </c>
      <c r="K123" s="102" t="s">
        <v>284</v>
      </c>
      <c r="L123" s="234" t="s">
        <v>79</v>
      </c>
      <c r="M123" s="234" t="s">
        <v>79</v>
      </c>
      <c r="N123" s="234"/>
      <c r="O123" s="242" t="s">
        <v>35</v>
      </c>
      <c r="P123" s="242" t="s">
        <v>202</v>
      </c>
      <c r="Q123" s="241" t="s">
        <v>624</v>
      </c>
      <c r="R123" s="241" t="s">
        <v>624</v>
      </c>
    </row>
    <row r="124" spans="1:18" ht="20">
      <c r="A124" s="46" t="s">
        <v>135</v>
      </c>
      <c r="B124" s="175" t="str">
        <f t="shared" si="4"/>
        <v>B+</v>
      </c>
      <c r="C124" s="176" t="str">
        <f t="shared" si="5"/>
        <v>Ba3</v>
      </c>
      <c r="E124" s="142" t="s">
        <v>135</v>
      </c>
      <c r="F124" s="167" t="str">
        <f t="shared" si="6"/>
        <v>Ba3</v>
      </c>
      <c r="G124" s="167" t="str">
        <f t="shared" si="7"/>
        <v>B+</v>
      </c>
      <c r="K124" s="102" t="s">
        <v>3</v>
      </c>
      <c r="L124" s="234" t="s">
        <v>47</v>
      </c>
      <c r="M124" s="234" t="s">
        <v>47</v>
      </c>
      <c r="N124" s="234"/>
      <c r="O124" s="242" t="s">
        <v>64</v>
      </c>
      <c r="P124" s="242" t="s">
        <v>203</v>
      </c>
      <c r="Q124" s="241" t="s">
        <v>625</v>
      </c>
      <c r="R124" s="241" t="s">
        <v>625</v>
      </c>
    </row>
    <row r="125" spans="1:18" ht="20">
      <c r="A125" s="46" t="s">
        <v>147</v>
      </c>
      <c r="B125" s="175" t="str">
        <f t="shared" si="4"/>
        <v>BB+</v>
      </c>
      <c r="C125" s="176" t="str">
        <f t="shared" si="5"/>
        <v>Ba2</v>
      </c>
      <c r="E125" s="142" t="s">
        <v>147</v>
      </c>
      <c r="F125" s="167" t="str">
        <f t="shared" si="6"/>
        <v>Ba2</v>
      </c>
      <c r="G125" s="167" t="str">
        <f t="shared" si="7"/>
        <v>BB+</v>
      </c>
      <c r="K125" s="102" t="s">
        <v>61</v>
      </c>
      <c r="L125" s="234" t="s">
        <v>42</v>
      </c>
      <c r="M125" s="234" t="s">
        <v>42</v>
      </c>
      <c r="N125" s="234"/>
      <c r="O125" s="242" t="s">
        <v>388</v>
      </c>
      <c r="P125" s="242" t="s">
        <v>199</v>
      </c>
      <c r="Q125" s="241" t="s">
        <v>620</v>
      </c>
      <c r="R125" s="241" t="s">
        <v>620</v>
      </c>
    </row>
    <row r="126" spans="1:18" ht="20">
      <c r="A126" s="46" t="s">
        <v>284</v>
      </c>
      <c r="B126" s="175" t="str">
        <f t="shared" si="4"/>
        <v>BBB-</v>
      </c>
      <c r="C126" s="176" t="str">
        <f t="shared" si="5"/>
        <v>Ba1</v>
      </c>
      <c r="E126" s="142" t="s">
        <v>284</v>
      </c>
      <c r="F126" s="167" t="str">
        <f t="shared" si="6"/>
        <v>Ba1</v>
      </c>
      <c r="G126" s="167" t="str">
        <f t="shared" si="7"/>
        <v>BBB-</v>
      </c>
      <c r="K126" s="102" t="s">
        <v>189</v>
      </c>
      <c r="L126" s="234" t="s">
        <v>43</v>
      </c>
      <c r="M126" s="234" t="s">
        <v>43</v>
      </c>
      <c r="N126" s="234"/>
      <c r="O126" s="242" t="s">
        <v>65</v>
      </c>
      <c r="P126" s="242" t="s">
        <v>201</v>
      </c>
      <c r="Q126" s="241" t="s">
        <v>632</v>
      </c>
      <c r="R126" s="241" t="s">
        <v>646</v>
      </c>
    </row>
    <row r="127" spans="1:18" ht="20">
      <c r="A127" s="46" t="s">
        <v>3</v>
      </c>
      <c r="B127" s="175" t="str">
        <f t="shared" si="4"/>
        <v>AAA</v>
      </c>
      <c r="C127" s="176" t="str">
        <f t="shared" si="5"/>
        <v>Aaa</v>
      </c>
      <c r="E127" s="142" t="s">
        <v>3</v>
      </c>
      <c r="F127" s="167" t="str">
        <f t="shared" si="6"/>
        <v>Aaa</v>
      </c>
      <c r="G127" s="167" t="str">
        <f t="shared" si="7"/>
        <v>AAA</v>
      </c>
      <c r="K127" s="102" t="s">
        <v>404</v>
      </c>
      <c r="L127" s="234" t="s">
        <v>100</v>
      </c>
      <c r="M127" s="234" t="s">
        <v>100</v>
      </c>
      <c r="N127" s="234"/>
      <c r="O127" s="242" t="s">
        <v>323</v>
      </c>
      <c r="P127" s="242" t="s">
        <v>208</v>
      </c>
      <c r="Q127" s="241" t="s">
        <v>647</v>
      </c>
      <c r="R127" s="241" t="s">
        <v>647</v>
      </c>
    </row>
    <row r="128" spans="1:18" ht="20">
      <c r="A128" s="46" t="s">
        <v>61</v>
      </c>
      <c r="B128" s="175" t="str">
        <f t="shared" si="4"/>
        <v>A+</v>
      </c>
      <c r="C128" s="176" t="str">
        <f t="shared" si="5"/>
        <v>A2</v>
      </c>
      <c r="E128" s="142" t="s">
        <v>61</v>
      </c>
      <c r="F128" s="167" t="str">
        <f t="shared" si="6"/>
        <v>A2</v>
      </c>
      <c r="G128" s="167" t="str">
        <f t="shared" si="7"/>
        <v>A+</v>
      </c>
      <c r="K128" s="102" t="s">
        <v>76</v>
      </c>
      <c r="L128" s="234" t="s">
        <v>80</v>
      </c>
      <c r="M128" s="234" t="s">
        <v>80</v>
      </c>
      <c r="N128" s="234"/>
      <c r="O128" s="242" t="s">
        <v>11</v>
      </c>
      <c r="P128" s="242" t="s">
        <v>204</v>
      </c>
      <c r="Q128" s="241" t="s">
        <v>637</v>
      </c>
      <c r="R128" s="241" t="s">
        <v>637</v>
      </c>
    </row>
    <row r="129" spans="1:18" ht="20">
      <c r="A129" s="46" t="s">
        <v>189</v>
      </c>
      <c r="B129" s="175" t="str">
        <f t="shared" si="4"/>
        <v>AA-</v>
      </c>
      <c r="C129" s="176" t="str">
        <f t="shared" si="5"/>
        <v>A3</v>
      </c>
      <c r="E129" s="142" t="s">
        <v>189</v>
      </c>
      <c r="F129" s="167" t="str">
        <f t="shared" si="6"/>
        <v>A3</v>
      </c>
      <c r="G129" s="167" t="str">
        <f t="shared" si="7"/>
        <v>AA-</v>
      </c>
      <c r="K129" s="102" t="s">
        <v>138</v>
      </c>
      <c r="L129" s="234" t="s">
        <v>82</v>
      </c>
      <c r="M129" s="234" t="s">
        <v>82</v>
      </c>
      <c r="N129" s="234"/>
      <c r="O129" s="242" t="s">
        <v>519</v>
      </c>
      <c r="P129" s="242" t="s">
        <v>208</v>
      </c>
      <c r="Q129" s="241" t="s">
        <v>651</v>
      </c>
      <c r="R129" s="241" t="s">
        <v>651</v>
      </c>
    </row>
    <row r="130" spans="1:18" ht="20">
      <c r="A130" s="46" t="s">
        <v>404</v>
      </c>
      <c r="B130" s="175" t="str">
        <f t="shared" si="4"/>
        <v>NA</v>
      </c>
      <c r="C130" s="176" t="str">
        <f t="shared" si="5"/>
        <v>Caa1</v>
      </c>
      <c r="E130" s="142" t="s">
        <v>404</v>
      </c>
      <c r="F130" s="167" t="str">
        <f t="shared" si="6"/>
        <v>Caa1</v>
      </c>
      <c r="G130" s="167" t="s">
        <v>143</v>
      </c>
      <c r="K130" s="102" t="s">
        <v>134</v>
      </c>
      <c r="L130" s="234" t="s">
        <v>345</v>
      </c>
      <c r="M130" s="234" t="s">
        <v>518</v>
      </c>
      <c r="N130" s="234"/>
      <c r="O130" s="242" t="s">
        <v>297</v>
      </c>
      <c r="P130" s="242" t="s">
        <v>201</v>
      </c>
      <c r="Q130" s="241" t="s">
        <v>632</v>
      </c>
      <c r="R130" s="241" t="s">
        <v>632</v>
      </c>
    </row>
    <row r="131" spans="1:18" ht="20">
      <c r="A131" s="46" t="s">
        <v>76</v>
      </c>
      <c r="B131" s="175" t="str">
        <f t="shared" ref="B131:B158" si="8">G131</f>
        <v>BB-</v>
      </c>
      <c r="C131" s="176" t="str">
        <f t="shared" ref="C131:C158" si="9">F131</f>
        <v>Ba2</v>
      </c>
      <c r="E131" s="142" t="s">
        <v>76</v>
      </c>
      <c r="F131" s="167" t="str">
        <f t="shared" ref="F131:F158" si="10">VLOOKUP(E131,$K$2:$M$153,3,FALSE)</f>
        <v>Ba2</v>
      </c>
      <c r="G131" s="167" t="str">
        <f t="shared" ref="G131:G158" si="11">VLOOKUP(E131,$O$2:$P$157,2,FALSE)</f>
        <v>BB-</v>
      </c>
      <c r="K131" s="102" t="s">
        <v>445</v>
      </c>
      <c r="L131" s="234" t="s">
        <v>143</v>
      </c>
      <c r="M131" s="234" t="s">
        <v>143</v>
      </c>
      <c r="N131" s="234"/>
      <c r="O131" s="242" t="s">
        <v>227</v>
      </c>
      <c r="P131" s="242" t="s">
        <v>199</v>
      </c>
      <c r="Q131" s="241" t="s">
        <v>620</v>
      </c>
      <c r="R131" s="241" t="s">
        <v>620</v>
      </c>
    </row>
    <row r="132" spans="1:18" ht="20">
      <c r="A132" s="46" t="s">
        <v>138</v>
      </c>
      <c r="B132" s="175" t="str">
        <f t="shared" si="8"/>
        <v>A</v>
      </c>
      <c r="C132" s="176" t="str">
        <f t="shared" si="9"/>
        <v>Baa1</v>
      </c>
      <c r="E132" s="142" t="s">
        <v>138</v>
      </c>
      <c r="F132" s="167" t="str">
        <f t="shared" si="10"/>
        <v>Baa1</v>
      </c>
      <c r="G132" s="167" t="str">
        <f t="shared" si="11"/>
        <v>A</v>
      </c>
      <c r="K132" s="102" t="s">
        <v>10</v>
      </c>
      <c r="L132" s="234" t="s">
        <v>78</v>
      </c>
      <c r="M132" s="234" t="s">
        <v>78</v>
      </c>
      <c r="N132" s="234"/>
      <c r="O132" s="242" t="s">
        <v>68</v>
      </c>
      <c r="P132" s="242" t="s">
        <v>234</v>
      </c>
      <c r="Q132" s="241" t="s">
        <v>641</v>
      </c>
      <c r="R132" s="241" t="s">
        <v>635</v>
      </c>
    </row>
    <row r="133" spans="1:18" ht="20">
      <c r="A133" s="46" t="s">
        <v>134</v>
      </c>
      <c r="B133" s="175" t="str">
        <f t="shared" si="8"/>
        <v>NA</v>
      </c>
      <c r="C133" s="176" t="str">
        <f t="shared" si="9"/>
        <v>Ca</v>
      </c>
      <c r="E133" s="142" t="s">
        <v>134</v>
      </c>
      <c r="F133" s="167" t="s">
        <v>345</v>
      </c>
      <c r="G133" s="167" t="s">
        <v>143</v>
      </c>
      <c r="K133" s="102" t="s">
        <v>33</v>
      </c>
      <c r="L133" s="234" t="s">
        <v>62</v>
      </c>
      <c r="M133" s="234" t="s">
        <v>62</v>
      </c>
      <c r="N133" s="234"/>
      <c r="O133" s="242" t="s">
        <v>57</v>
      </c>
      <c r="P133" s="242" t="s">
        <v>206</v>
      </c>
      <c r="Q133" s="241" t="s">
        <v>617</v>
      </c>
      <c r="R133" s="241" t="s">
        <v>617</v>
      </c>
    </row>
    <row r="134" spans="1:18" ht="20">
      <c r="A134" s="46" t="s">
        <v>190</v>
      </c>
      <c r="B134" s="175" t="s">
        <v>143</v>
      </c>
      <c r="C134" s="176" t="s">
        <v>80</v>
      </c>
      <c r="E134" s="142" t="s">
        <v>445</v>
      </c>
      <c r="F134" s="167" t="str">
        <f t="shared" si="10"/>
        <v>NA</v>
      </c>
      <c r="G134" s="167" t="s">
        <v>143</v>
      </c>
      <c r="K134" s="102" t="s">
        <v>34</v>
      </c>
      <c r="L134" s="234" t="s">
        <v>47</v>
      </c>
      <c r="M134" s="234" t="s">
        <v>47</v>
      </c>
      <c r="N134" s="234"/>
      <c r="O134" s="242" t="s">
        <v>355</v>
      </c>
      <c r="P134" s="242" t="s">
        <v>203</v>
      </c>
      <c r="Q134" s="241" t="s">
        <v>625</v>
      </c>
      <c r="R134" s="241" t="s">
        <v>625</v>
      </c>
    </row>
    <row r="135" spans="1:18" ht="20">
      <c r="A135" s="46" t="s">
        <v>10</v>
      </c>
      <c r="B135" s="175" t="str">
        <f t="shared" si="8"/>
        <v>NA</v>
      </c>
      <c r="C135" s="176" t="str">
        <f t="shared" si="9"/>
        <v>B3</v>
      </c>
      <c r="E135" s="142" t="s">
        <v>10</v>
      </c>
      <c r="F135" s="167" t="str">
        <f t="shared" si="10"/>
        <v>B3</v>
      </c>
      <c r="G135" s="167" t="s">
        <v>143</v>
      </c>
      <c r="K135" s="102" t="s">
        <v>35</v>
      </c>
      <c r="L135" s="234" t="s">
        <v>47</v>
      </c>
      <c r="M135" s="234" t="s">
        <v>47</v>
      </c>
      <c r="N135" s="234"/>
      <c r="O135" s="242" t="s">
        <v>69</v>
      </c>
      <c r="P135" s="242" t="s">
        <v>201</v>
      </c>
      <c r="Q135" s="241" t="s">
        <v>632</v>
      </c>
      <c r="R135" s="241" t="s">
        <v>632</v>
      </c>
    </row>
    <row r="136" spans="1:18" ht="20">
      <c r="A136" s="46" t="s">
        <v>33</v>
      </c>
      <c r="B136" s="175" t="str">
        <f t="shared" si="8"/>
        <v>NR</v>
      </c>
      <c r="C136" s="176" t="str">
        <f t="shared" si="9"/>
        <v>Caa3</v>
      </c>
      <c r="E136" s="142" t="s">
        <v>33</v>
      </c>
      <c r="F136" s="167" t="str">
        <f t="shared" si="10"/>
        <v>Caa3</v>
      </c>
      <c r="G136" s="167" t="str">
        <f t="shared" si="11"/>
        <v>NR</v>
      </c>
      <c r="K136" s="102" t="s">
        <v>497</v>
      </c>
      <c r="L136" s="234" t="s">
        <v>46</v>
      </c>
      <c r="M136" s="234" t="s">
        <v>46</v>
      </c>
      <c r="N136" s="234"/>
      <c r="O136" s="242" t="s">
        <v>380</v>
      </c>
      <c r="P136" s="242" t="s">
        <v>198</v>
      </c>
      <c r="Q136" s="241" t="s">
        <v>622</v>
      </c>
      <c r="R136" s="241" t="s">
        <v>622</v>
      </c>
    </row>
    <row r="137" spans="1:18" ht="20">
      <c r="A137" s="46" t="s">
        <v>391</v>
      </c>
      <c r="B137" s="175" t="str">
        <f t="shared" si="8"/>
        <v>NA</v>
      </c>
      <c r="C137" s="176" t="str">
        <f t="shared" si="9"/>
        <v>B3</v>
      </c>
      <c r="E137" s="142" t="s">
        <v>484</v>
      </c>
      <c r="F137" s="167" t="str">
        <f t="shared" si="10"/>
        <v>B3</v>
      </c>
      <c r="G137" s="167" t="s">
        <v>143</v>
      </c>
      <c r="K137" s="102" t="s">
        <v>388</v>
      </c>
      <c r="L137" s="234" t="s">
        <v>78</v>
      </c>
      <c r="M137" s="234" t="s">
        <v>78</v>
      </c>
      <c r="N137" s="234"/>
      <c r="O137" s="242" t="s">
        <v>71</v>
      </c>
      <c r="P137" s="242" t="s">
        <v>215</v>
      </c>
      <c r="Q137" s="241" t="s">
        <v>626</v>
      </c>
      <c r="R137" s="241" t="s">
        <v>626</v>
      </c>
    </row>
    <row r="138" spans="1:18" ht="20">
      <c r="A138" s="46" t="s">
        <v>34</v>
      </c>
      <c r="B138" s="175" t="str">
        <f t="shared" si="8"/>
        <v>AAA</v>
      </c>
      <c r="C138" s="176" t="str">
        <f t="shared" si="9"/>
        <v>Aaa</v>
      </c>
      <c r="E138" s="142" t="s">
        <v>34</v>
      </c>
      <c r="F138" s="167" t="str">
        <f t="shared" si="10"/>
        <v>Aaa</v>
      </c>
      <c r="G138" s="167" t="str">
        <f t="shared" si="11"/>
        <v>AAA</v>
      </c>
      <c r="K138" s="102" t="s">
        <v>331</v>
      </c>
      <c r="L138" s="234" t="s">
        <v>49</v>
      </c>
      <c r="M138" s="234" t="s">
        <v>49</v>
      </c>
      <c r="N138" s="234"/>
      <c r="O138" s="242" t="s">
        <v>191</v>
      </c>
      <c r="P138" s="242" t="s">
        <v>217</v>
      </c>
      <c r="Q138" s="241" t="s">
        <v>643</v>
      </c>
      <c r="R138" s="241" t="s">
        <v>635</v>
      </c>
    </row>
    <row r="139" spans="1:18" ht="19">
      <c r="A139" s="46" t="s">
        <v>35</v>
      </c>
      <c r="B139" s="175" t="str">
        <f t="shared" si="8"/>
        <v>AAA</v>
      </c>
      <c r="C139" s="176" t="str">
        <f t="shared" si="9"/>
        <v>Aaa</v>
      </c>
      <c r="E139" s="142" t="s">
        <v>35</v>
      </c>
      <c r="F139" s="167" t="str">
        <f t="shared" si="10"/>
        <v>Aaa</v>
      </c>
      <c r="G139" s="167" t="str">
        <f t="shared" si="11"/>
        <v>AAA</v>
      </c>
      <c r="K139" s="102" t="s">
        <v>65</v>
      </c>
      <c r="L139" s="234" t="s">
        <v>82</v>
      </c>
      <c r="M139" s="234" t="s">
        <v>82</v>
      </c>
      <c r="N139" s="234"/>
      <c r="O139" s="101"/>
      <c r="P139" s="206"/>
    </row>
    <row r="140" spans="1:18" ht="19">
      <c r="A140" s="46" t="s">
        <v>64</v>
      </c>
      <c r="B140" s="175" t="str">
        <f t="shared" si="8"/>
        <v>AA+</v>
      </c>
      <c r="C140" s="176" t="str">
        <f t="shared" si="9"/>
        <v>Aa3</v>
      </c>
      <c r="E140" s="142" t="s">
        <v>64</v>
      </c>
      <c r="F140" s="167" t="s">
        <v>46</v>
      </c>
      <c r="G140" s="167" t="str">
        <f t="shared" si="11"/>
        <v>AA+</v>
      </c>
      <c r="K140" s="102" t="s">
        <v>323</v>
      </c>
      <c r="L140" s="234" t="s">
        <v>78</v>
      </c>
      <c r="M140" s="234" t="s">
        <v>78</v>
      </c>
      <c r="N140" s="234"/>
      <c r="O140" s="101"/>
      <c r="P140" s="204"/>
    </row>
    <row r="141" spans="1:18" ht="19">
      <c r="A141" s="102" t="s">
        <v>388</v>
      </c>
      <c r="B141" s="175" t="str">
        <f t="shared" si="8"/>
        <v>B-</v>
      </c>
      <c r="C141" s="176" t="str">
        <f t="shared" si="9"/>
        <v>B3</v>
      </c>
      <c r="E141" s="142" t="s">
        <v>388</v>
      </c>
      <c r="F141" s="167" t="str">
        <f t="shared" si="10"/>
        <v>B3</v>
      </c>
      <c r="G141" s="167" t="str">
        <f t="shared" si="11"/>
        <v>B-</v>
      </c>
      <c r="K141" s="235" t="s">
        <v>11</v>
      </c>
      <c r="L141" s="234" t="s">
        <v>80</v>
      </c>
      <c r="M141" s="234" t="s">
        <v>80</v>
      </c>
      <c r="N141" s="234"/>
      <c r="O141" s="101"/>
      <c r="P141" s="205"/>
    </row>
    <row r="142" spans="1:18" ht="19">
      <c r="A142" s="102" t="s">
        <v>331</v>
      </c>
      <c r="B142" s="175" t="str">
        <f t="shared" si="8"/>
        <v>NA</v>
      </c>
      <c r="C142" s="176" t="str">
        <f t="shared" si="9"/>
        <v>B2</v>
      </c>
      <c r="E142" s="142" t="s">
        <v>331</v>
      </c>
      <c r="F142" s="167" t="str">
        <f t="shared" si="10"/>
        <v>B2</v>
      </c>
      <c r="G142" s="167" t="s">
        <v>143</v>
      </c>
      <c r="K142" s="102" t="s">
        <v>77</v>
      </c>
      <c r="L142" s="234" t="s">
        <v>58</v>
      </c>
      <c r="M142" s="234" t="s">
        <v>58</v>
      </c>
      <c r="N142" s="234"/>
      <c r="O142" s="101"/>
      <c r="P142" s="204"/>
    </row>
    <row r="143" spans="1:18" ht="19">
      <c r="A143" s="46" t="s">
        <v>65</v>
      </c>
      <c r="B143" s="175" t="str">
        <f t="shared" si="8"/>
        <v>BBB+</v>
      </c>
      <c r="C143" s="176" t="str">
        <f t="shared" si="9"/>
        <v>Baa1</v>
      </c>
      <c r="E143" s="142" t="s">
        <v>65</v>
      </c>
      <c r="F143" s="167" t="str">
        <f t="shared" si="10"/>
        <v>Baa1</v>
      </c>
      <c r="G143" s="167" t="str">
        <f t="shared" si="11"/>
        <v>BBB+</v>
      </c>
      <c r="K143" s="102" t="s">
        <v>519</v>
      </c>
      <c r="L143" s="234" t="s">
        <v>78</v>
      </c>
      <c r="M143" s="234" t="s">
        <v>78</v>
      </c>
      <c r="N143" s="234"/>
      <c r="O143" s="101"/>
      <c r="P143" s="204"/>
    </row>
    <row r="144" spans="1:18" ht="19">
      <c r="A144" s="139" t="s">
        <v>323</v>
      </c>
      <c r="B144" s="175" t="str">
        <f t="shared" si="8"/>
        <v>B</v>
      </c>
      <c r="C144" s="176" t="str">
        <f t="shared" si="9"/>
        <v>B3</v>
      </c>
      <c r="E144" s="142" t="s">
        <v>323</v>
      </c>
      <c r="F144" s="167" t="str">
        <f t="shared" si="10"/>
        <v>B3</v>
      </c>
      <c r="G144" s="167" t="str">
        <f t="shared" si="11"/>
        <v>B</v>
      </c>
      <c r="K144" s="102" t="s">
        <v>227</v>
      </c>
      <c r="L144" s="234" t="s">
        <v>49</v>
      </c>
      <c r="M144" s="234" t="s">
        <v>49</v>
      </c>
      <c r="N144" s="234"/>
      <c r="O144" s="101"/>
      <c r="P144" s="204"/>
    </row>
    <row r="145" spans="1:16" ht="19">
      <c r="A145" s="46" t="s">
        <v>11</v>
      </c>
      <c r="B145" s="175" t="str">
        <f t="shared" si="8"/>
        <v>BBB-</v>
      </c>
      <c r="C145" s="176" t="str">
        <f t="shared" si="9"/>
        <v>Ba2</v>
      </c>
      <c r="E145" s="168" t="s">
        <v>11</v>
      </c>
      <c r="F145" s="167" t="str">
        <f t="shared" si="10"/>
        <v>Ba2</v>
      </c>
      <c r="G145" s="167" t="str">
        <f t="shared" si="11"/>
        <v>BBB-</v>
      </c>
      <c r="K145" s="102" t="s">
        <v>68</v>
      </c>
      <c r="L145" s="234" t="s">
        <v>345</v>
      </c>
      <c r="M145" s="234" t="s">
        <v>345</v>
      </c>
      <c r="N145" s="234"/>
      <c r="O145" s="101"/>
      <c r="P145" s="206"/>
    </row>
    <row r="146" spans="1:16" ht="19">
      <c r="A146" s="46" t="s">
        <v>77</v>
      </c>
      <c r="B146" s="175" t="str">
        <f t="shared" si="8"/>
        <v>NA</v>
      </c>
      <c r="C146" s="176" t="str">
        <f t="shared" si="9"/>
        <v>Caa2</v>
      </c>
      <c r="E146" s="142" t="s">
        <v>77</v>
      </c>
      <c r="F146" s="167" t="str">
        <f t="shared" si="10"/>
        <v>Caa2</v>
      </c>
      <c r="G146" s="167" t="s">
        <v>143</v>
      </c>
      <c r="K146" s="102" t="s">
        <v>60</v>
      </c>
      <c r="L146" s="234" t="s">
        <v>45</v>
      </c>
      <c r="M146" s="234" t="s">
        <v>45</v>
      </c>
      <c r="N146" s="234"/>
      <c r="O146" s="101"/>
      <c r="P146" s="204"/>
    </row>
    <row r="147" spans="1:16" ht="19">
      <c r="A147" s="46" t="s">
        <v>66</v>
      </c>
      <c r="B147" s="175" t="str">
        <f t="shared" si="8"/>
        <v>B</v>
      </c>
      <c r="C147" s="176" t="str">
        <f t="shared" si="9"/>
        <v>B3</v>
      </c>
      <c r="E147" s="142" t="s">
        <v>66</v>
      </c>
      <c r="F147" s="167" t="s">
        <v>78</v>
      </c>
      <c r="G147" s="167" t="s">
        <v>208</v>
      </c>
      <c r="K147" s="102" t="s">
        <v>57</v>
      </c>
      <c r="L147" s="234" t="s">
        <v>46</v>
      </c>
      <c r="M147" s="234" t="s">
        <v>46</v>
      </c>
      <c r="N147" s="234"/>
      <c r="O147" s="101"/>
      <c r="P147" s="205"/>
    </row>
    <row r="148" spans="1:16" ht="19">
      <c r="A148" s="46" t="s">
        <v>291</v>
      </c>
      <c r="B148" s="175" t="s">
        <v>201</v>
      </c>
      <c r="C148" s="176" t="s">
        <v>82</v>
      </c>
      <c r="E148" s="174" t="s">
        <v>291</v>
      </c>
      <c r="F148" s="167" t="s">
        <v>143</v>
      </c>
      <c r="G148" s="167" t="s">
        <v>201</v>
      </c>
      <c r="K148" s="102" t="s">
        <v>12</v>
      </c>
      <c r="L148" s="234" t="s">
        <v>47</v>
      </c>
      <c r="M148" s="234" t="s">
        <v>47</v>
      </c>
      <c r="N148" s="234"/>
      <c r="O148" s="101"/>
      <c r="P148" s="204"/>
    </row>
    <row r="149" spans="1:16" ht="19">
      <c r="A149" s="46" t="s">
        <v>227</v>
      </c>
      <c r="B149" s="175" t="str">
        <f t="shared" si="8"/>
        <v>B-</v>
      </c>
      <c r="C149" s="176" t="str">
        <f t="shared" si="9"/>
        <v>B2</v>
      </c>
      <c r="E149" s="142" t="s">
        <v>227</v>
      </c>
      <c r="F149" s="167" t="str">
        <f t="shared" si="10"/>
        <v>B2</v>
      </c>
      <c r="G149" s="167" t="str">
        <f t="shared" si="11"/>
        <v>B-</v>
      </c>
      <c r="K149" s="102" t="s">
        <v>380</v>
      </c>
      <c r="L149" s="234" t="s">
        <v>81</v>
      </c>
      <c r="M149" s="234" t="s">
        <v>81</v>
      </c>
      <c r="N149" s="234"/>
      <c r="O149" s="101"/>
      <c r="P149" s="205"/>
    </row>
    <row r="150" spans="1:16" ht="19">
      <c r="A150" s="46" t="s">
        <v>68</v>
      </c>
      <c r="B150" s="175" t="str">
        <f t="shared" si="8"/>
        <v>CCC</v>
      </c>
      <c r="C150" s="176" t="str">
        <f t="shared" si="9"/>
        <v>Ca</v>
      </c>
      <c r="E150" s="142" t="s">
        <v>68</v>
      </c>
      <c r="F150" s="167" t="str">
        <f t="shared" si="10"/>
        <v>Ca</v>
      </c>
      <c r="G150" s="167" t="str">
        <f t="shared" si="11"/>
        <v>CCC</v>
      </c>
      <c r="K150" s="102" t="s">
        <v>69</v>
      </c>
      <c r="L150" s="234" t="s">
        <v>83</v>
      </c>
      <c r="M150" s="234" t="s">
        <v>83</v>
      </c>
      <c r="N150" s="234"/>
      <c r="O150" s="101"/>
      <c r="P150" s="206"/>
    </row>
    <row r="151" spans="1:16" ht="19">
      <c r="A151" s="46" t="s">
        <v>60</v>
      </c>
      <c r="B151" s="175" t="str">
        <f t="shared" si="8"/>
        <v>NA</v>
      </c>
      <c r="C151" s="176" t="str">
        <f t="shared" si="9"/>
        <v>Aa2</v>
      </c>
      <c r="E151" s="142" t="s">
        <v>60</v>
      </c>
      <c r="F151" s="167" t="str">
        <f t="shared" si="10"/>
        <v>Aa2</v>
      </c>
      <c r="G151" s="167" t="s">
        <v>143</v>
      </c>
      <c r="K151" s="102" t="s">
        <v>70</v>
      </c>
      <c r="L151" s="234" t="s">
        <v>137</v>
      </c>
      <c r="M151" s="234" t="s">
        <v>143</v>
      </c>
      <c r="N151" s="234"/>
      <c r="O151" s="101"/>
      <c r="P151" s="206"/>
    </row>
    <row r="152" spans="1:16" ht="19">
      <c r="A152" s="46" t="s">
        <v>57</v>
      </c>
      <c r="B152" s="175" t="str">
        <f t="shared" si="8"/>
        <v>AA</v>
      </c>
      <c r="C152" s="176" t="str">
        <f t="shared" si="9"/>
        <v>Aa3</v>
      </c>
      <c r="E152" s="142" t="s">
        <v>57</v>
      </c>
      <c r="F152" s="167" t="str">
        <f t="shared" si="10"/>
        <v>Aa3</v>
      </c>
      <c r="G152" s="167" t="str">
        <f t="shared" si="11"/>
        <v>AA</v>
      </c>
      <c r="K152" s="102" t="s">
        <v>71</v>
      </c>
      <c r="L152" s="234" t="s">
        <v>80</v>
      </c>
      <c r="M152" s="234" t="s">
        <v>80</v>
      </c>
      <c r="N152" s="234"/>
      <c r="O152" s="101"/>
      <c r="P152" s="206"/>
    </row>
    <row r="153" spans="1:16" ht="19">
      <c r="A153" s="46" t="s">
        <v>355</v>
      </c>
      <c r="B153" s="175" t="str">
        <f t="shared" si="8"/>
        <v>AA+</v>
      </c>
      <c r="C153" s="176" t="str">
        <f t="shared" si="9"/>
        <v>Aaa</v>
      </c>
      <c r="E153" s="142" t="s">
        <v>12</v>
      </c>
      <c r="F153" s="167" t="str">
        <f t="shared" si="10"/>
        <v>Aaa</v>
      </c>
      <c r="G153" s="167" t="s">
        <v>203</v>
      </c>
      <c r="K153" s="238" t="s">
        <v>191</v>
      </c>
      <c r="L153" s="239" t="s">
        <v>345</v>
      </c>
      <c r="M153" s="239" t="s">
        <v>62</v>
      </c>
      <c r="N153" s="239"/>
      <c r="O153" s="101"/>
      <c r="P153" s="204"/>
    </row>
    <row r="154" spans="1:16" ht="19">
      <c r="A154" s="46" t="s">
        <v>69</v>
      </c>
      <c r="B154" s="175" t="str">
        <f t="shared" si="8"/>
        <v>BBB+</v>
      </c>
      <c r="C154" s="176" t="str">
        <f t="shared" si="9"/>
        <v>Baa2</v>
      </c>
      <c r="E154" s="142" t="s">
        <v>69</v>
      </c>
      <c r="F154" s="167" t="str">
        <f t="shared" si="10"/>
        <v>Baa2</v>
      </c>
      <c r="G154" s="167" t="str">
        <f t="shared" si="11"/>
        <v>BBB+</v>
      </c>
      <c r="O154" s="101"/>
      <c r="P154" s="204"/>
    </row>
    <row r="155" spans="1:16" ht="19">
      <c r="A155" s="139" t="s">
        <v>380</v>
      </c>
      <c r="B155" s="175" t="str">
        <f t="shared" si="8"/>
        <v>BB-</v>
      </c>
      <c r="C155" s="176" t="str">
        <f t="shared" si="9"/>
        <v>Ba3</v>
      </c>
      <c r="E155" s="142" t="s">
        <v>380</v>
      </c>
      <c r="F155" s="167" t="str">
        <f t="shared" si="10"/>
        <v>Ba3</v>
      </c>
      <c r="G155" s="167" t="str">
        <f t="shared" si="11"/>
        <v>BB-</v>
      </c>
      <c r="O155" s="101"/>
      <c r="P155" s="206"/>
    </row>
    <row r="156" spans="1:16" ht="19">
      <c r="A156" s="46" t="s">
        <v>70</v>
      </c>
      <c r="B156" s="175" t="str">
        <f t="shared" si="8"/>
        <v>NA</v>
      </c>
      <c r="C156" s="176" t="str">
        <f t="shared" si="9"/>
        <v>C</v>
      </c>
      <c r="E156" s="142" t="s">
        <v>70</v>
      </c>
      <c r="F156" s="167" t="s">
        <v>137</v>
      </c>
      <c r="G156" s="167" t="s">
        <v>143</v>
      </c>
      <c r="O156" s="101"/>
      <c r="P156" s="204"/>
    </row>
    <row r="157" spans="1:16" ht="19">
      <c r="A157" s="46" t="s">
        <v>71</v>
      </c>
      <c r="B157" s="175" t="str">
        <f t="shared" si="8"/>
        <v>BB+</v>
      </c>
      <c r="C157" s="176" t="str">
        <f t="shared" si="9"/>
        <v>Ba2</v>
      </c>
      <c r="E157" s="142" t="s">
        <v>71</v>
      </c>
      <c r="F157" s="167" t="str">
        <f t="shared" si="10"/>
        <v>Ba2</v>
      </c>
      <c r="G157" s="167" t="str">
        <f t="shared" si="11"/>
        <v>BB+</v>
      </c>
      <c r="O157" s="101"/>
      <c r="P157" s="205"/>
    </row>
    <row r="158" spans="1:16" ht="16">
      <c r="A158" s="46" t="s">
        <v>191</v>
      </c>
      <c r="B158" s="175" t="str">
        <f t="shared" si="8"/>
        <v>CCC+</v>
      </c>
      <c r="C158" s="176" t="str">
        <f t="shared" si="9"/>
        <v>Caa3</v>
      </c>
      <c r="E158" s="142" t="s">
        <v>191</v>
      </c>
      <c r="F158" s="167" t="str">
        <f t="shared" si="10"/>
        <v>Caa3</v>
      </c>
      <c r="G158" s="167" t="str">
        <f t="shared" si="11"/>
        <v>CCC+</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75"/>
  <sheetViews>
    <sheetView workbookViewId="0">
      <selection activeCell="L17" sqref="L17"/>
    </sheetView>
  </sheetViews>
  <sheetFormatPr baseColWidth="10" defaultRowHeight="13"/>
  <cols>
    <col min="1" max="1" width="32.6640625" customWidth="1"/>
    <col min="5" max="5" width="20.83203125" customWidth="1"/>
    <col min="8" max="8" width="26.1640625" customWidth="1"/>
  </cols>
  <sheetData>
    <row r="1" spans="1:9" ht="17">
      <c r="A1" s="66" t="s">
        <v>75</v>
      </c>
      <c r="B1" s="94" t="s">
        <v>356</v>
      </c>
      <c r="C1" t="s">
        <v>594</v>
      </c>
      <c r="E1" s="197" t="s">
        <v>75</v>
      </c>
      <c r="F1" s="197">
        <v>2023</v>
      </c>
      <c r="H1" t="s">
        <v>52</v>
      </c>
      <c r="I1" t="s">
        <v>504</v>
      </c>
    </row>
    <row r="2" spans="1:9" ht="16">
      <c r="A2" s="46" t="str">
        <f>'Ratings worksheet'!A2</f>
        <v>Abu Dhabi</v>
      </c>
      <c r="B2" s="94">
        <f>C2</f>
        <v>0.15</v>
      </c>
      <c r="C2">
        <f>VLOOKUP(A3,$E$2:$F$176,2,FALSE)</f>
        <v>0.15</v>
      </c>
      <c r="E2" t="s">
        <v>383</v>
      </c>
      <c r="F2" s="47">
        <v>0.2</v>
      </c>
      <c r="H2" t="s">
        <v>428</v>
      </c>
      <c r="I2" s="47">
        <v>0.19520000000000001</v>
      </c>
    </row>
    <row r="3" spans="1:9" ht="16">
      <c r="A3" s="46" t="str">
        <f>'Ratings worksheet'!A3</f>
        <v>Albania</v>
      </c>
      <c r="B3" s="94">
        <f t="shared" ref="B3:B67" si="0">C3</f>
        <v>0.15</v>
      </c>
      <c r="C3">
        <f>VLOOKUP(A3,$E$2:$F$176,2,FALSE)</f>
        <v>0.15</v>
      </c>
      <c r="E3" t="s">
        <v>4</v>
      </c>
      <c r="F3" s="47">
        <v>0.15</v>
      </c>
      <c r="H3" t="s">
        <v>656</v>
      </c>
      <c r="I3" s="47">
        <v>0.26860000000000001</v>
      </c>
    </row>
    <row r="4" spans="1:9" ht="16">
      <c r="A4" s="46" t="str">
        <f>'Ratings worksheet'!A4</f>
        <v>Andorra (Principality of)</v>
      </c>
      <c r="B4" s="94">
        <f t="shared" si="0"/>
        <v>0.1898</v>
      </c>
      <c r="C4">
        <v>0.1898</v>
      </c>
      <c r="E4" t="s">
        <v>336</v>
      </c>
      <c r="F4" s="47">
        <v>0.26</v>
      </c>
      <c r="H4" t="s">
        <v>431</v>
      </c>
      <c r="I4" s="47">
        <v>0.2853</v>
      </c>
    </row>
    <row r="5" spans="1:9" ht="16">
      <c r="A5" s="46" t="str">
        <f>'Ratings worksheet'!A5</f>
        <v>Angola</v>
      </c>
      <c r="B5" s="94">
        <f t="shared" si="0"/>
        <v>0.25</v>
      </c>
      <c r="C5">
        <f t="shared" ref="C5:C17" si="1">VLOOKUP(A5,$E$2:$F$174,2,FALSE)</f>
        <v>0.25</v>
      </c>
      <c r="E5" t="s">
        <v>196</v>
      </c>
      <c r="F5" s="47">
        <v>0.1</v>
      </c>
      <c r="H5" t="s">
        <v>430</v>
      </c>
      <c r="I5" s="47">
        <v>0.25750000000000001</v>
      </c>
    </row>
    <row r="6" spans="1:9" ht="16">
      <c r="A6" s="46" t="str">
        <f>'Ratings worksheet'!A6</f>
        <v>Argentina</v>
      </c>
      <c r="B6" s="94">
        <f t="shared" si="0"/>
        <v>0.35</v>
      </c>
      <c r="C6">
        <f t="shared" si="1"/>
        <v>0.35</v>
      </c>
      <c r="E6" t="s">
        <v>131</v>
      </c>
      <c r="F6" s="47">
        <v>0.25</v>
      </c>
      <c r="H6" t="s">
        <v>429</v>
      </c>
      <c r="I6" s="47">
        <v>0.2974</v>
      </c>
    </row>
    <row r="7" spans="1:9" ht="16">
      <c r="A7" s="46" t="str">
        <f>'Ratings worksheet'!A7</f>
        <v>Armenia</v>
      </c>
      <c r="B7" s="94">
        <f t="shared" si="0"/>
        <v>0.18</v>
      </c>
      <c r="C7">
        <f t="shared" si="1"/>
        <v>0.18</v>
      </c>
      <c r="E7" t="s">
        <v>449</v>
      </c>
      <c r="F7" s="47">
        <v>0</v>
      </c>
      <c r="H7" t="s">
        <v>432</v>
      </c>
      <c r="I7" s="47">
        <v>0.2281</v>
      </c>
    </row>
    <row r="8" spans="1:9" ht="16">
      <c r="A8" s="46" t="str">
        <f>'Ratings worksheet'!A8</f>
        <v>Aruba</v>
      </c>
      <c r="B8" s="94">
        <f t="shared" si="0"/>
        <v>0.25</v>
      </c>
      <c r="C8">
        <f t="shared" si="1"/>
        <v>0.25</v>
      </c>
      <c r="E8" t="s">
        <v>403</v>
      </c>
      <c r="F8" s="47">
        <v>0.25</v>
      </c>
    </row>
    <row r="9" spans="1:9" ht="16">
      <c r="A9" s="46" t="str">
        <f>'Ratings worksheet'!A9</f>
        <v>Australia</v>
      </c>
      <c r="B9" s="94">
        <f t="shared" si="0"/>
        <v>0.3</v>
      </c>
      <c r="C9">
        <f t="shared" si="1"/>
        <v>0.3</v>
      </c>
      <c r="E9" t="s">
        <v>84</v>
      </c>
      <c r="F9" s="47">
        <v>0.35</v>
      </c>
    </row>
    <row r="10" spans="1:9" ht="16">
      <c r="A10" s="46" t="str">
        <f>'Ratings worksheet'!A10</f>
        <v>Austria</v>
      </c>
      <c r="B10" s="94">
        <f t="shared" si="0"/>
        <v>0.24</v>
      </c>
      <c r="C10">
        <f t="shared" si="1"/>
        <v>0.24</v>
      </c>
      <c r="E10" t="s">
        <v>19</v>
      </c>
      <c r="F10" s="47">
        <v>0.18</v>
      </c>
    </row>
    <row r="11" spans="1:9" ht="16">
      <c r="A11" s="46" t="str">
        <f>'Ratings worksheet'!A11</f>
        <v>Azerbaijan</v>
      </c>
      <c r="B11" s="94">
        <f t="shared" si="0"/>
        <v>0.2</v>
      </c>
      <c r="C11">
        <f t="shared" si="1"/>
        <v>0.2</v>
      </c>
      <c r="E11" t="s">
        <v>200</v>
      </c>
      <c r="F11" s="47">
        <v>0.25</v>
      </c>
    </row>
    <row r="12" spans="1:9" ht="16">
      <c r="A12" s="46" t="str">
        <f>'Ratings worksheet'!A12</f>
        <v>Bahamas</v>
      </c>
      <c r="B12" s="94">
        <f t="shared" si="0"/>
        <v>0</v>
      </c>
      <c r="C12">
        <f t="shared" si="1"/>
        <v>0</v>
      </c>
      <c r="E12" t="s">
        <v>85</v>
      </c>
      <c r="F12" s="47">
        <v>0.3</v>
      </c>
    </row>
    <row r="13" spans="1:9" ht="16">
      <c r="A13" s="46" t="str">
        <f>'Ratings worksheet'!A13</f>
        <v>Bahrain</v>
      </c>
      <c r="B13" s="94">
        <f t="shared" si="0"/>
        <v>0</v>
      </c>
      <c r="C13">
        <f t="shared" si="1"/>
        <v>0</v>
      </c>
      <c r="E13" t="s">
        <v>175</v>
      </c>
      <c r="F13" s="47">
        <v>0.24</v>
      </c>
    </row>
    <row r="14" spans="1:9" ht="16">
      <c r="A14" s="46" t="str">
        <f>'Ratings worksheet'!A14</f>
        <v>Bangladesh</v>
      </c>
      <c r="B14" s="94">
        <f t="shared" si="0"/>
        <v>0.3</v>
      </c>
      <c r="C14">
        <f t="shared" si="1"/>
        <v>0.3</v>
      </c>
      <c r="E14" t="s">
        <v>20</v>
      </c>
      <c r="F14" s="47">
        <v>0.2</v>
      </c>
    </row>
    <row r="15" spans="1:9" ht="16">
      <c r="A15" s="46" t="str">
        <f>'Ratings worksheet'!A15</f>
        <v>Barbados</v>
      </c>
      <c r="B15" s="94">
        <f t="shared" si="0"/>
        <v>5.5E-2</v>
      </c>
      <c r="C15">
        <f t="shared" si="1"/>
        <v>5.5E-2</v>
      </c>
      <c r="E15" t="s">
        <v>86</v>
      </c>
      <c r="F15" s="47">
        <v>0</v>
      </c>
    </row>
    <row r="16" spans="1:9" ht="16">
      <c r="A16" s="46" t="str">
        <f>'Ratings worksheet'!A16</f>
        <v>Belarus</v>
      </c>
      <c r="B16" s="94">
        <f t="shared" si="0"/>
        <v>0.18</v>
      </c>
      <c r="C16">
        <f t="shared" si="1"/>
        <v>0.18</v>
      </c>
      <c r="E16" t="s">
        <v>87</v>
      </c>
      <c r="F16" s="47">
        <v>0</v>
      </c>
    </row>
    <row r="17" spans="1:6" ht="16">
      <c r="A17" s="46" t="str">
        <f>'Ratings worksheet'!A17</f>
        <v>Belgium</v>
      </c>
      <c r="B17" s="94">
        <f t="shared" si="0"/>
        <v>0.25</v>
      </c>
      <c r="C17">
        <f t="shared" si="1"/>
        <v>0.25</v>
      </c>
      <c r="E17" t="s">
        <v>132</v>
      </c>
      <c r="F17" s="47">
        <v>0.3</v>
      </c>
    </row>
    <row r="18" spans="1:6" ht="16">
      <c r="A18" s="46" t="str">
        <f>'Ratings worksheet'!A18</f>
        <v>Belize</v>
      </c>
      <c r="B18" s="94">
        <f t="shared" si="0"/>
        <v>0.2853</v>
      </c>
      <c r="C18" s="35">
        <v>0.2853</v>
      </c>
      <c r="E18" t="s">
        <v>88</v>
      </c>
      <c r="F18" s="47">
        <v>5.5E-2</v>
      </c>
    </row>
    <row r="19" spans="1:6" ht="16">
      <c r="A19" s="46" t="str">
        <f>'Ratings worksheet'!A19</f>
        <v>Benin</v>
      </c>
      <c r="B19" s="94">
        <f t="shared" si="0"/>
        <v>0.3</v>
      </c>
      <c r="C19">
        <f t="shared" ref="C19:C29" si="2">VLOOKUP(A19,$E$2:$F$174,2,FALSE)</f>
        <v>0.3</v>
      </c>
      <c r="E19" t="s">
        <v>5</v>
      </c>
      <c r="F19" s="47">
        <v>0.18</v>
      </c>
    </row>
    <row r="20" spans="1:6" ht="16">
      <c r="A20" s="46" t="str">
        <f>'Ratings worksheet'!A20</f>
        <v>Bermuda</v>
      </c>
      <c r="B20" s="94">
        <f t="shared" si="0"/>
        <v>0</v>
      </c>
      <c r="C20">
        <f t="shared" si="2"/>
        <v>0</v>
      </c>
      <c r="E20" t="s">
        <v>176</v>
      </c>
      <c r="F20" s="47">
        <v>0.25</v>
      </c>
    </row>
    <row r="21" spans="1:6" ht="16">
      <c r="A21" s="46" t="str">
        <f>'Ratings worksheet'!A21</f>
        <v>Bolivia</v>
      </c>
      <c r="B21" s="94">
        <f t="shared" si="0"/>
        <v>0.25</v>
      </c>
      <c r="C21">
        <f t="shared" si="2"/>
        <v>0.25</v>
      </c>
      <c r="E21" t="s">
        <v>207</v>
      </c>
      <c r="F21" s="47">
        <v>0.3</v>
      </c>
    </row>
    <row r="22" spans="1:6" ht="16">
      <c r="A22" s="46" t="str">
        <f>'Ratings worksheet'!A22</f>
        <v>Bosnia and Herzegovina</v>
      </c>
      <c r="B22" s="94">
        <f t="shared" si="0"/>
        <v>0.1</v>
      </c>
      <c r="C22">
        <f t="shared" si="2"/>
        <v>0.1</v>
      </c>
      <c r="E22" t="s">
        <v>90</v>
      </c>
      <c r="F22" s="47">
        <v>0</v>
      </c>
    </row>
    <row r="23" spans="1:6" ht="16">
      <c r="A23" s="46" t="str">
        <f>'Ratings worksheet'!A23</f>
        <v>Botswana</v>
      </c>
      <c r="B23" s="94">
        <f t="shared" si="0"/>
        <v>0.22</v>
      </c>
      <c r="C23">
        <f t="shared" si="2"/>
        <v>0.22</v>
      </c>
      <c r="E23" t="s">
        <v>91</v>
      </c>
      <c r="F23" s="47">
        <v>0.25</v>
      </c>
    </row>
    <row r="24" spans="1:6" ht="16">
      <c r="A24" s="46" t="str">
        <f>'Ratings worksheet'!A24</f>
        <v>Brazil</v>
      </c>
      <c r="B24" s="94">
        <f t="shared" si="0"/>
        <v>0.34</v>
      </c>
      <c r="C24">
        <f t="shared" si="2"/>
        <v>0.34</v>
      </c>
      <c r="E24" t="s">
        <v>419</v>
      </c>
      <c r="F24" s="47">
        <v>0.25</v>
      </c>
    </row>
    <row r="25" spans="1:6" ht="16">
      <c r="A25" s="46" t="str">
        <f>'Ratings worksheet'!A25</f>
        <v>Bulgaria</v>
      </c>
      <c r="B25" s="94">
        <f t="shared" si="0"/>
        <v>0.1</v>
      </c>
      <c r="C25">
        <f t="shared" si="2"/>
        <v>0.1</v>
      </c>
      <c r="E25" t="s">
        <v>7</v>
      </c>
      <c r="F25" s="47">
        <v>0.1</v>
      </c>
    </row>
    <row r="26" spans="1:6" ht="16">
      <c r="A26" s="46" t="str">
        <f>'Ratings worksheet'!A26</f>
        <v>Burkina Faso</v>
      </c>
      <c r="B26" s="94">
        <f t="shared" si="0"/>
        <v>0.28000000000000003</v>
      </c>
      <c r="C26">
        <f t="shared" si="2"/>
        <v>0.28000000000000003</v>
      </c>
      <c r="E26" t="s">
        <v>123</v>
      </c>
      <c r="F26" s="47">
        <v>0.22</v>
      </c>
    </row>
    <row r="27" spans="1:6" ht="16">
      <c r="A27" s="46" t="str">
        <f>'Ratings worksheet'!A27</f>
        <v>Cambodia</v>
      </c>
      <c r="B27" s="94">
        <f t="shared" si="0"/>
        <v>0.2</v>
      </c>
      <c r="C27">
        <f t="shared" si="2"/>
        <v>0.2</v>
      </c>
      <c r="E27" t="s">
        <v>92</v>
      </c>
      <c r="F27" s="47">
        <v>0.34</v>
      </c>
    </row>
    <row r="28" spans="1:6" ht="16">
      <c r="A28" s="46" t="str">
        <f>'Ratings worksheet'!A28</f>
        <v>Cameroon</v>
      </c>
      <c r="B28" s="94">
        <f t="shared" si="0"/>
        <v>0.33</v>
      </c>
      <c r="C28">
        <f t="shared" si="2"/>
        <v>0.33</v>
      </c>
      <c r="E28" t="s">
        <v>384</v>
      </c>
      <c r="F28" s="47">
        <v>0.185</v>
      </c>
    </row>
    <row r="29" spans="1:6" ht="16">
      <c r="A29" s="46" t="str">
        <f>'Ratings worksheet'!A29</f>
        <v>Canada</v>
      </c>
      <c r="B29" s="94">
        <f t="shared" si="0"/>
        <v>0.26500000000000001</v>
      </c>
      <c r="C29">
        <f t="shared" si="2"/>
        <v>0.26500000000000001</v>
      </c>
      <c r="E29" t="s">
        <v>94</v>
      </c>
      <c r="F29" s="47">
        <v>0.1</v>
      </c>
    </row>
    <row r="30" spans="1:6" ht="16">
      <c r="A30" s="46" t="str">
        <f>'Ratings worksheet'!A30</f>
        <v>Cape Verde</v>
      </c>
      <c r="B30" s="94">
        <f t="shared" si="0"/>
        <v>0</v>
      </c>
      <c r="C30">
        <v>0</v>
      </c>
      <c r="E30" t="s">
        <v>210</v>
      </c>
      <c r="F30" s="47">
        <v>0.28000000000000003</v>
      </c>
    </row>
    <row r="31" spans="1:6" ht="16">
      <c r="A31" s="46" t="str">
        <f>'Ratings worksheet'!A31</f>
        <v>Cayman Islands</v>
      </c>
      <c r="B31" s="94">
        <f t="shared" si="0"/>
        <v>0</v>
      </c>
      <c r="C31">
        <f>VLOOKUP(A31,$E$2:$F$174,2,FALSE)</f>
        <v>0</v>
      </c>
      <c r="E31" t="s">
        <v>393</v>
      </c>
      <c r="F31" s="47">
        <v>0.3</v>
      </c>
    </row>
    <row r="32" spans="1:6" ht="16">
      <c r="A32" s="46" t="str">
        <f>'Ratings worksheet'!A32</f>
        <v>Chile</v>
      </c>
      <c r="B32" s="94">
        <f t="shared" si="0"/>
        <v>0.27</v>
      </c>
      <c r="C32">
        <f>VLOOKUP(A32,$E$2:$F$174,2,FALSE)</f>
        <v>0.27</v>
      </c>
      <c r="E32" t="s">
        <v>6</v>
      </c>
      <c r="F32" s="47">
        <v>0.2</v>
      </c>
    </row>
    <row r="33" spans="1:6" ht="16">
      <c r="A33" s="46" t="str">
        <f>'Ratings worksheet'!A33</f>
        <v>China</v>
      </c>
      <c r="B33" s="94">
        <f t="shared" si="0"/>
        <v>0.25</v>
      </c>
      <c r="C33">
        <f>VLOOKUP(A33,$E$2:$F$174,2,FALSE)</f>
        <v>0.25</v>
      </c>
      <c r="E33" t="s">
        <v>211</v>
      </c>
      <c r="F33" s="47">
        <v>0.33</v>
      </c>
    </row>
    <row r="34" spans="1:6" ht="16">
      <c r="A34" s="46" t="str">
        <f>'Ratings worksheet'!A34</f>
        <v>Colombia</v>
      </c>
      <c r="B34" s="94">
        <f t="shared" si="0"/>
        <v>0.35</v>
      </c>
      <c r="C34">
        <f>VLOOKUP(A34,$E$2:$F$174,2,FALSE)</f>
        <v>0.35</v>
      </c>
      <c r="E34" t="s">
        <v>95</v>
      </c>
      <c r="F34" s="47">
        <v>0.26500000000000001</v>
      </c>
    </row>
    <row r="35" spans="1:6" ht="16">
      <c r="A35" s="46" t="str">
        <f>'Ratings worksheet'!A35</f>
        <v>Congo (Democratic Republic of)</v>
      </c>
      <c r="B35" s="94">
        <f t="shared" si="0"/>
        <v>0.3</v>
      </c>
      <c r="C35" s="79">
        <v>0.3</v>
      </c>
      <c r="E35" t="s">
        <v>55</v>
      </c>
      <c r="F35" s="47">
        <v>0</v>
      </c>
    </row>
    <row r="36" spans="1:6" ht="16">
      <c r="A36" s="46" t="str">
        <f>'Ratings worksheet'!A36</f>
        <v>Congo (Republic of)</v>
      </c>
      <c r="B36" s="94">
        <f t="shared" si="0"/>
        <v>0.28000000000000003</v>
      </c>
      <c r="C36">
        <v>0.28000000000000003</v>
      </c>
      <c r="E36" t="s">
        <v>96</v>
      </c>
      <c r="F36" s="47">
        <v>0.27</v>
      </c>
    </row>
    <row r="37" spans="1:6" ht="16">
      <c r="A37" s="46" t="str">
        <f>'Ratings worksheet'!A37</f>
        <v>Cook Islands</v>
      </c>
      <c r="B37" s="94">
        <f t="shared" si="0"/>
        <v>0.2974</v>
      </c>
      <c r="C37" s="35">
        <v>0.2974</v>
      </c>
      <c r="E37" t="s">
        <v>97</v>
      </c>
      <c r="F37" s="47">
        <v>0.25</v>
      </c>
    </row>
    <row r="38" spans="1:6" ht="16">
      <c r="A38" s="46" t="str">
        <f>'Ratings worksheet'!A38</f>
        <v>Costa Rica</v>
      </c>
      <c r="B38" s="94">
        <f t="shared" si="0"/>
        <v>0.3</v>
      </c>
      <c r="C38">
        <f>VLOOKUP(A38,$E$2:$F$174,2,FALSE)</f>
        <v>0.3</v>
      </c>
      <c r="E38" t="s">
        <v>50</v>
      </c>
      <c r="F38" s="47">
        <v>0.35</v>
      </c>
    </row>
    <row r="39" spans="1:6" ht="16">
      <c r="A39" s="46" t="str">
        <f>'Ratings worksheet'!A39</f>
        <v>Côte d'Ivoire</v>
      </c>
      <c r="B39" s="94">
        <f>C39</f>
        <v>0.25</v>
      </c>
      <c r="C39">
        <v>0.25</v>
      </c>
      <c r="E39" t="s">
        <v>486</v>
      </c>
      <c r="F39" s="47">
        <v>0.28000000000000003</v>
      </c>
    </row>
    <row r="40" spans="1:6" ht="16">
      <c r="A40" s="46" t="str">
        <f>'Ratings worksheet'!A40</f>
        <v>Croatia</v>
      </c>
      <c r="B40" s="94">
        <f t="shared" si="0"/>
        <v>0.18</v>
      </c>
      <c r="C40">
        <f>VLOOKUP(A40,$E$2:$F$174,2,FALSE)</f>
        <v>0.18</v>
      </c>
      <c r="E40" t="s">
        <v>450</v>
      </c>
      <c r="F40" s="47">
        <v>0.3</v>
      </c>
    </row>
    <row r="41" spans="1:6" ht="16">
      <c r="A41" s="46" t="str">
        <f>'Ratings worksheet'!A41</f>
        <v>Cuba</v>
      </c>
      <c r="B41" s="94">
        <f t="shared" si="0"/>
        <v>0.2853</v>
      </c>
      <c r="C41" s="35">
        <v>0.2853</v>
      </c>
      <c r="E41" t="s">
        <v>56</v>
      </c>
      <c r="F41" s="47">
        <v>0.3</v>
      </c>
    </row>
    <row r="42" spans="1:6" ht="16">
      <c r="A42" s="46" t="str">
        <f>'Ratings worksheet'!A42</f>
        <v>Curacao</v>
      </c>
      <c r="B42" s="94">
        <f t="shared" si="0"/>
        <v>0.22</v>
      </c>
      <c r="C42">
        <f t="shared" ref="C42:C60" si="3">VLOOKUP(A42,$E$2:$F$174,2,FALSE)</f>
        <v>0.22</v>
      </c>
      <c r="E42" t="s">
        <v>98</v>
      </c>
      <c r="F42" s="47">
        <v>0.18</v>
      </c>
    </row>
    <row r="43" spans="1:6" ht="16">
      <c r="A43" s="46" t="str">
        <f>'Ratings worksheet'!A43</f>
        <v>Cyprus</v>
      </c>
      <c r="B43" s="94">
        <f t="shared" si="0"/>
        <v>0.125</v>
      </c>
      <c r="C43">
        <f t="shared" si="3"/>
        <v>0.125</v>
      </c>
      <c r="E43" t="s">
        <v>216</v>
      </c>
      <c r="F43" s="47">
        <v>0.22</v>
      </c>
    </row>
    <row r="44" spans="1:6" ht="16">
      <c r="A44" s="46" t="str">
        <f>'Ratings worksheet'!A44</f>
        <v>Czech Republic</v>
      </c>
      <c r="B44" s="94">
        <f t="shared" si="0"/>
        <v>0.19</v>
      </c>
      <c r="C44">
        <f t="shared" si="3"/>
        <v>0.19</v>
      </c>
      <c r="E44" t="s">
        <v>177</v>
      </c>
      <c r="F44" s="47">
        <v>0.125</v>
      </c>
    </row>
    <row r="45" spans="1:6" ht="16">
      <c r="A45" s="46" t="str">
        <f>'Ratings worksheet'!A45</f>
        <v>Denmark</v>
      </c>
      <c r="B45" s="94">
        <f t="shared" si="0"/>
        <v>0.22</v>
      </c>
      <c r="C45">
        <f t="shared" si="3"/>
        <v>0.22</v>
      </c>
      <c r="E45" t="s">
        <v>101</v>
      </c>
      <c r="F45" s="47">
        <v>0.19</v>
      </c>
    </row>
    <row r="46" spans="1:6" ht="16">
      <c r="A46" s="46" t="str">
        <f>'Ratings worksheet'!A46</f>
        <v>Dominican Republic</v>
      </c>
      <c r="B46" s="94">
        <f t="shared" si="0"/>
        <v>0.27</v>
      </c>
      <c r="C46">
        <f t="shared" si="3"/>
        <v>0.27</v>
      </c>
      <c r="E46" t="s">
        <v>102</v>
      </c>
      <c r="F46" s="47">
        <v>0.22</v>
      </c>
    </row>
    <row r="47" spans="1:6" ht="16">
      <c r="A47" s="46" t="str">
        <f>'Ratings worksheet'!A47</f>
        <v>Ecuador</v>
      </c>
      <c r="B47" s="94">
        <f t="shared" si="0"/>
        <v>0.25</v>
      </c>
      <c r="C47">
        <f t="shared" si="3"/>
        <v>0.25</v>
      </c>
      <c r="E47" t="s">
        <v>398</v>
      </c>
      <c r="F47" s="47">
        <v>0.25</v>
      </c>
    </row>
    <row r="48" spans="1:6" ht="16">
      <c r="A48" s="46" t="str">
        <f>'Ratings worksheet'!A48</f>
        <v>Egypt</v>
      </c>
      <c r="B48" s="94">
        <f t="shared" si="0"/>
        <v>0.22500000000000001</v>
      </c>
      <c r="C48">
        <f t="shared" si="3"/>
        <v>0.22500000000000001</v>
      </c>
      <c r="E48" t="s">
        <v>412</v>
      </c>
      <c r="F48" s="47">
        <v>0.25</v>
      </c>
    </row>
    <row r="49" spans="1:6" ht="16">
      <c r="A49" s="46" t="str">
        <f>'Ratings worksheet'!A49</f>
        <v>El Salvador</v>
      </c>
      <c r="B49" s="94">
        <f t="shared" si="0"/>
        <v>0.3</v>
      </c>
      <c r="C49">
        <f t="shared" si="3"/>
        <v>0.3</v>
      </c>
      <c r="E49" t="s">
        <v>103</v>
      </c>
      <c r="F49" s="47">
        <v>0.27</v>
      </c>
    </row>
    <row r="50" spans="1:6" ht="16">
      <c r="A50" s="46" t="str">
        <f>'Ratings worksheet'!A50</f>
        <v>Estonia</v>
      </c>
      <c r="B50" s="94">
        <f t="shared" si="0"/>
        <v>0.2</v>
      </c>
      <c r="C50">
        <f t="shared" si="3"/>
        <v>0.2</v>
      </c>
      <c r="E50" t="s">
        <v>104</v>
      </c>
      <c r="F50" s="47">
        <v>0.25</v>
      </c>
    </row>
    <row r="51" spans="1:6" ht="16">
      <c r="A51" s="46" t="str">
        <f>'Ratings worksheet'!A51</f>
        <v>Ethiopia</v>
      </c>
      <c r="B51" s="94">
        <f t="shared" si="0"/>
        <v>0.3</v>
      </c>
      <c r="C51">
        <f t="shared" si="3"/>
        <v>0.3</v>
      </c>
      <c r="E51" t="s">
        <v>105</v>
      </c>
      <c r="F51" s="47">
        <v>0.22500000000000001</v>
      </c>
    </row>
    <row r="52" spans="1:6" ht="16">
      <c r="A52" s="46" t="str">
        <f>'Ratings worksheet'!A52</f>
        <v>Fiji</v>
      </c>
      <c r="B52" s="94">
        <f t="shared" si="0"/>
        <v>0.2</v>
      </c>
      <c r="C52">
        <f t="shared" si="3"/>
        <v>0.2</v>
      </c>
      <c r="E52" t="s">
        <v>31</v>
      </c>
      <c r="F52" s="47">
        <v>0.3</v>
      </c>
    </row>
    <row r="53" spans="1:6" ht="16">
      <c r="A53" s="46" t="str">
        <f>'Ratings worksheet'!A53</f>
        <v>Finland</v>
      </c>
      <c r="B53" s="94">
        <f t="shared" si="0"/>
        <v>0.2</v>
      </c>
      <c r="C53">
        <f t="shared" si="3"/>
        <v>0.2</v>
      </c>
      <c r="E53" t="s">
        <v>106</v>
      </c>
      <c r="F53" s="47">
        <v>0.2</v>
      </c>
    </row>
    <row r="54" spans="1:6" ht="16">
      <c r="A54" s="46" t="str">
        <f>'Ratings worksheet'!A54</f>
        <v>France</v>
      </c>
      <c r="B54" s="94">
        <f t="shared" si="0"/>
        <v>0.25</v>
      </c>
      <c r="C54">
        <f t="shared" si="3"/>
        <v>0.25</v>
      </c>
      <c r="E54" t="s">
        <v>283</v>
      </c>
      <c r="F54" s="47">
        <v>0.3</v>
      </c>
    </row>
    <row r="55" spans="1:6" ht="16">
      <c r="A55" s="46" t="str">
        <f>'Ratings worksheet'!A55</f>
        <v>Gabon</v>
      </c>
      <c r="B55" s="94">
        <f t="shared" si="0"/>
        <v>0.3</v>
      </c>
      <c r="C55">
        <f t="shared" si="3"/>
        <v>0.3</v>
      </c>
      <c r="E55" t="s">
        <v>218</v>
      </c>
      <c r="F55" s="47">
        <v>0.2</v>
      </c>
    </row>
    <row r="56" spans="1:6" ht="16">
      <c r="A56" s="46" t="str">
        <f>'Ratings worksheet'!A56</f>
        <v>Georgia</v>
      </c>
      <c r="B56" s="94">
        <f t="shared" si="0"/>
        <v>0.15</v>
      </c>
      <c r="C56">
        <f t="shared" si="3"/>
        <v>0.15</v>
      </c>
      <c r="E56" t="s">
        <v>178</v>
      </c>
      <c r="F56" s="47">
        <v>0.2</v>
      </c>
    </row>
    <row r="57" spans="1:6" ht="16">
      <c r="A57" s="46" t="str">
        <f>'Ratings worksheet'!A57</f>
        <v>Germany</v>
      </c>
      <c r="B57" s="94">
        <f t="shared" si="0"/>
        <v>0.3</v>
      </c>
      <c r="C57">
        <f t="shared" si="3"/>
        <v>0.3</v>
      </c>
      <c r="E57" t="s">
        <v>179</v>
      </c>
      <c r="F57" s="47">
        <v>0.25</v>
      </c>
    </row>
    <row r="58" spans="1:6" ht="16">
      <c r="A58" s="46" t="str">
        <f>'Ratings worksheet'!A58</f>
        <v>Ghana</v>
      </c>
      <c r="B58" s="94">
        <f t="shared" si="0"/>
        <v>0.25</v>
      </c>
      <c r="C58">
        <f t="shared" si="3"/>
        <v>0.25</v>
      </c>
      <c r="E58" t="s">
        <v>219</v>
      </c>
      <c r="F58" s="47">
        <v>0.3</v>
      </c>
    </row>
    <row r="59" spans="1:6" ht="16">
      <c r="A59" s="46" t="str">
        <f>'Ratings worksheet'!A59</f>
        <v>Greece</v>
      </c>
      <c r="B59" s="94">
        <f t="shared" si="0"/>
        <v>0.22</v>
      </c>
      <c r="C59">
        <f t="shared" si="3"/>
        <v>0.22</v>
      </c>
      <c r="E59" t="s">
        <v>333</v>
      </c>
      <c r="F59" s="47">
        <v>0.27</v>
      </c>
    </row>
    <row r="60" spans="1:6" ht="16">
      <c r="A60" s="46" t="str">
        <f>'Ratings worksheet'!A60</f>
        <v>Guatemala</v>
      </c>
      <c r="B60" s="94">
        <f t="shared" si="0"/>
        <v>0.25</v>
      </c>
      <c r="C60">
        <f t="shared" si="3"/>
        <v>0.25</v>
      </c>
      <c r="E60" t="s">
        <v>133</v>
      </c>
      <c r="F60" s="47">
        <v>0.15</v>
      </c>
    </row>
    <row r="61" spans="1:6" ht="16">
      <c r="A61" s="46" t="str">
        <f>'Ratings worksheet'!A61</f>
        <v>Guernsey (States of)</v>
      </c>
      <c r="B61" s="94">
        <f t="shared" si="0"/>
        <v>0</v>
      </c>
      <c r="C61">
        <v>0</v>
      </c>
      <c r="E61" t="s">
        <v>180</v>
      </c>
      <c r="F61" s="47">
        <v>0.3</v>
      </c>
    </row>
    <row r="62" spans="1:6" ht="16">
      <c r="A62" s="46" t="str">
        <f>'Ratings worksheet'!A62</f>
        <v>Honduras</v>
      </c>
      <c r="B62" s="94">
        <f t="shared" si="0"/>
        <v>0.25</v>
      </c>
      <c r="C62">
        <f>VLOOKUP(A62,$E$2:$F$174,2,FALSE)</f>
        <v>0.25</v>
      </c>
      <c r="E62" t="s">
        <v>220</v>
      </c>
      <c r="F62" s="47">
        <v>0.25</v>
      </c>
    </row>
    <row r="63" spans="1:6" ht="16">
      <c r="A63" s="46" t="str">
        <f>'Ratings worksheet'!A63</f>
        <v>Hong Kong</v>
      </c>
      <c r="B63" s="94">
        <f t="shared" si="0"/>
        <v>0.16500000000000001</v>
      </c>
      <c r="C63">
        <v>0.16500000000000001</v>
      </c>
      <c r="E63" t="s">
        <v>420</v>
      </c>
      <c r="F63" s="47">
        <v>0.1</v>
      </c>
    </row>
    <row r="64" spans="1:6" ht="16">
      <c r="A64" s="46" t="str">
        <f>'Ratings worksheet'!A64</f>
        <v>Hungary</v>
      </c>
      <c r="B64" s="94">
        <f t="shared" si="0"/>
        <v>0.09</v>
      </c>
      <c r="C64">
        <f t="shared" ref="C64:C74" si="4">VLOOKUP(A64,$E$2:$F$174,2,FALSE)</f>
        <v>0.09</v>
      </c>
      <c r="E64" t="s">
        <v>181</v>
      </c>
      <c r="F64" s="47">
        <v>0.22</v>
      </c>
    </row>
    <row r="65" spans="1:6" ht="16">
      <c r="A65" s="46" t="str">
        <f>'Ratings worksheet'!A65</f>
        <v>Iceland</v>
      </c>
      <c r="B65" s="94">
        <f t="shared" si="0"/>
        <v>0.2</v>
      </c>
      <c r="C65">
        <f t="shared" si="4"/>
        <v>0.2</v>
      </c>
      <c r="E65" t="s">
        <v>405</v>
      </c>
      <c r="F65" s="47">
        <v>0.28000000000000003</v>
      </c>
    </row>
    <row r="66" spans="1:6" ht="16">
      <c r="A66" s="46" t="str">
        <f>'Ratings worksheet'!A66</f>
        <v>India</v>
      </c>
      <c r="B66" s="94">
        <f t="shared" si="0"/>
        <v>0.3</v>
      </c>
      <c r="C66">
        <f t="shared" si="4"/>
        <v>0.3</v>
      </c>
      <c r="E66" t="s">
        <v>107</v>
      </c>
      <c r="F66" s="47">
        <v>0.25</v>
      </c>
    </row>
    <row r="67" spans="1:6" ht="16">
      <c r="A67" s="46" t="s">
        <v>112</v>
      </c>
      <c r="B67" s="94">
        <f t="shared" si="0"/>
        <v>0.22</v>
      </c>
      <c r="C67">
        <f t="shared" si="4"/>
        <v>0.22</v>
      </c>
      <c r="E67" t="s">
        <v>421</v>
      </c>
      <c r="F67" s="47">
        <v>0</v>
      </c>
    </row>
    <row r="68" spans="1:6" ht="16">
      <c r="A68" s="46" t="str">
        <f>'Ratings worksheet'!A68</f>
        <v>Iraq</v>
      </c>
      <c r="B68" s="94">
        <f t="shared" ref="B68:B130" si="5">C68</f>
        <v>0.15</v>
      </c>
      <c r="C68">
        <f t="shared" si="4"/>
        <v>0.15</v>
      </c>
      <c r="E68" t="s">
        <v>108</v>
      </c>
      <c r="F68" s="47">
        <v>0.25</v>
      </c>
    </row>
    <row r="69" spans="1:6" ht="16">
      <c r="A69" s="46" t="str">
        <f>'Ratings worksheet'!A69</f>
        <v>Ireland</v>
      </c>
      <c r="B69" s="94">
        <f t="shared" si="5"/>
        <v>0.125</v>
      </c>
      <c r="C69">
        <f t="shared" si="4"/>
        <v>0.125</v>
      </c>
      <c r="E69" t="s">
        <v>422</v>
      </c>
      <c r="F69" s="47">
        <v>0.16500000000000001</v>
      </c>
    </row>
    <row r="70" spans="1:6" ht="16">
      <c r="A70" s="46" t="str">
        <f>'Ratings worksheet'!A70</f>
        <v>Isle of Man</v>
      </c>
      <c r="B70" s="94">
        <f t="shared" si="5"/>
        <v>0</v>
      </c>
      <c r="C70">
        <f t="shared" si="4"/>
        <v>0</v>
      </c>
      <c r="E70" t="s">
        <v>109</v>
      </c>
      <c r="F70" s="47">
        <v>0.09</v>
      </c>
    </row>
    <row r="71" spans="1:6" ht="16">
      <c r="A71" s="46" t="str">
        <f>'Ratings worksheet'!A71</f>
        <v>Israel</v>
      </c>
      <c r="B71" s="94">
        <f t="shared" si="5"/>
        <v>0.23</v>
      </c>
      <c r="C71">
        <f t="shared" si="4"/>
        <v>0.23</v>
      </c>
      <c r="E71" t="s">
        <v>110</v>
      </c>
      <c r="F71" s="47">
        <v>0.2</v>
      </c>
    </row>
    <row r="72" spans="1:6" ht="16">
      <c r="A72" s="46" t="str">
        <f>'Ratings worksheet'!A72</f>
        <v>Italy</v>
      </c>
      <c r="B72" s="94">
        <f t="shared" si="5"/>
        <v>0.24</v>
      </c>
      <c r="C72">
        <f t="shared" si="4"/>
        <v>0.24</v>
      </c>
      <c r="E72" t="s">
        <v>111</v>
      </c>
      <c r="F72" s="47">
        <v>0.3</v>
      </c>
    </row>
    <row r="73" spans="1:6" ht="16">
      <c r="A73" s="46" t="str">
        <f>'Ratings worksheet'!A73</f>
        <v>Jamaica</v>
      </c>
      <c r="B73" s="94">
        <f t="shared" si="5"/>
        <v>0.25</v>
      </c>
      <c r="C73">
        <f t="shared" si="4"/>
        <v>0.25</v>
      </c>
      <c r="E73" t="s">
        <v>112</v>
      </c>
      <c r="F73" s="47">
        <v>0.22</v>
      </c>
    </row>
    <row r="74" spans="1:6" ht="16">
      <c r="A74" s="46" t="str">
        <f>'Ratings worksheet'!A74</f>
        <v>Japan</v>
      </c>
      <c r="B74" s="94">
        <f t="shared" si="5"/>
        <v>0.30620000000000003</v>
      </c>
      <c r="C74" s="172">
        <f t="shared" si="4"/>
        <v>0.30620000000000003</v>
      </c>
      <c r="E74" t="s">
        <v>330</v>
      </c>
      <c r="F74" s="47">
        <v>0.15</v>
      </c>
    </row>
    <row r="75" spans="1:6" ht="16">
      <c r="A75" s="46" t="str">
        <f>'Ratings worksheet'!A75</f>
        <v>Jersey (States of)</v>
      </c>
      <c r="B75" s="94">
        <f t="shared" si="5"/>
        <v>0</v>
      </c>
      <c r="C75">
        <v>0</v>
      </c>
      <c r="E75" t="s">
        <v>182</v>
      </c>
      <c r="F75" s="47">
        <v>0.125</v>
      </c>
    </row>
    <row r="76" spans="1:6" ht="16">
      <c r="A76" s="46" t="str">
        <f>'Ratings worksheet'!A76</f>
        <v>Jordan</v>
      </c>
      <c r="B76" s="94">
        <f t="shared" si="5"/>
        <v>0.2</v>
      </c>
      <c r="C76">
        <f>VLOOKUP(A76,$E$2:$F$174,2,FALSE)</f>
        <v>0.2</v>
      </c>
      <c r="E76" t="s">
        <v>113</v>
      </c>
      <c r="F76" s="47">
        <v>0</v>
      </c>
    </row>
    <row r="77" spans="1:6" ht="16">
      <c r="A77" s="46" t="str">
        <f>'Ratings worksheet'!A77</f>
        <v>Kazakhstan</v>
      </c>
      <c r="B77" s="94">
        <f t="shared" si="5"/>
        <v>0.2</v>
      </c>
      <c r="C77">
        <f>VLOOKUP(A77,$E$2:$F$174,2,FALSE)</f>
        <v>0.2</v>
      </c>
      <c r="E77" t="s">
        <v>114</v>
      </c>
      <c r="F77" s="47">
        <v>0.23</v>
      </c>
    </row>
    <row r="78" spans="1:6" ht="16">
      <c r="A78" s="46" t="str">
        <f>'Ratings worksheet'!A78</f>
        <v>Kenya</v>
      </c>
      <c r="B78" s="94">
        <f t="shared" si="5"/>
        <v>0.3</v>
      </c>
      <c r="C78">
        <f>VLOOKUP(A78,$E$2:$F$174,2,FALSE)</f>
        <v>0.3</v>
      </c>
      <c r="E78" t="s">
        <v>145</v>
      </c>
      <c r="F78" s="47">
        <v>0.24</v>
      </c>
    </row>
    <row r="79" spans="1:6" ht="16">
      <c r="A79" s="46" t="str">
        <f>'Ratings worksheet'!A79</f>
        <v>Korea</v>
      </c>
      <c r="B79" s="94">
        <f t="shared" si="5"/>
        <v>0.25</v>
      </c>
      <c r="C79">
        <v>0.25</v>
      </c>
      <c r="E79" t="s">
        <v>451</v>
      </c>
      <c r="F79" s="47">
        <v>0.25</v>
      </c>
    </row>
    <row r="80" spans="1:6" ht="16">
      <c r="A80" s="46" t="str">
        <f>'Ratings worksheet'!A80</f>
        <v>Kuwait</v>
      </c>
      <c r="B80" s="94">
        <f t="shared" si="5"/>
        <v>0.15</v>
      </c>
      <c r="C80">
        <f>VLOOKUP(A80,$E$2:$F$174,2,FALSE)</f>
        <v>0.15</v>
      </c>
      <c r="E80" t="s">
        <v>115</v>
      </c>
      <c r="F80" s="47">
        <v>0.25</v>
      </c>
    </row>
    <row r="81" spans="1:6" ht="16">
      <c r="A81" s="46" t="str">
        <f>'Ratings worksheet'!A81</f>
        <v>Kyrgyzstan</v>
      </c>
      <c r="B81" s="94">
        <f t="shared" si="5"/>
        <v>0.1</v>
      </c>
      <c r="C81">
        <f>VLOOKUP(A81,$E$2:$F$174,2,FALSE)</f>
        <v>0.1</v>
      </c>
      <c r="E81" t="s">
        <v>116</v>
      </c>
      <c r="F81" s="47">
        <v>0.30620000000000003</v>
      </c>
    </row>
    <row r="82" spans="1:6" ht="16">
      <c r="A82" s="46" t="s">
        <v>342</v>
      </c>
      <c r="B82" s="94">
        <f t="shared" si="5"/>
        <v>0.26860000000000001</v>
      </c>
      <c r="C82" s="35">
        <v>0.26860000000000001</v>
      </c>
      <c r="E82" t="s">
        <v>423</v>
      </c>
      <c r="F82" s="47">
        <v>0</v>
      </c>
    </row>
    <row r="83" spans="1:6" ht="16">
      <c r="A83" s="46" t="str">
        <f>'Ratings worksheet'!A83</f>
        <v>Latvia</v>
      </c>
      <c r="B83" s="94">
        <f t="shared" si="5"/>
        <v>0.2</v>
      </c>
      <c r="C83">
        <f>VLOOKUP(A83,$E$2:$F$174,2,FALSE)</f>
        <v>0.2</v>
      </c>
      <c r="E83" t="s">
        <v>117</v>
      </c>
      <c r="F83" s="47">
        <v>0.2</v>
      </c>
    </row>
    <row r="84" spans="1:6" ht="16">
      <c r="A84" s="46" t="str">
        <f>'Ratings worksheet'!A84</f>
        <v>Lebanon</v>
      </c>
      <c r="B84" s="94">
        <f t="shared" si="5"/>
        <v>0.17</v>
      </c>
      <c r="C84">
        <f>VLOOKUP(A84,$E$2:$F$174,2,FALSE)</f>
        <v>0.17</v>
      </c>
      <c r="E84" t="s">
        <v>118</v>
      </c>
      <c r="F84" s="47">
        <v>0.2</v>
      </c>
    </row>
    <row r="85" spans="1:6" ht="16">
      <c r="A85" s="46" t="str">
        <f>'Ratings worksheet'!A85</f>
        <v>Liechtenstein</v>
      </c>
      <c r="B85" s="94">
        <f t="shared" si="5"/>
        <v>0.125</v>
      </c>
      <c r="C85">
        <f>VLOOKUP(A85,$E$2:$F$174,2,FALSE)</f>
        <v>0.125</v>
      </c>
      <c r="E85" t="s">
        <v>183</v>
      </c>
      <c r="F85" s="47">
        <v>0.3</v>
      </c>
    </row>
    <row r="86" spans="1:6" ht="16">
      <c r="A86" s="46" t="str">
        <f>'Ratings worksheet'!A86</f>
        <v>Lithuania</v>
      </c>
      <c r="B86" s="94">
        <f t="shared" si="5"/>
        <v>0.15</v>
      </c>
      <c r="C86">
        <f>VLOOKUP(A86,$E$2:$F$174,2,FALSE)</f>
        <v>0.15</v>
      </c>
      <c r="E86" t="s">
        <v>424</v>
      </c>
      <c r="F86" s="47">
        <v>0.24</v>
      </c>
    </row>
    <row r="87" spans="1:6" ht="16">
      <c r="A87" s="46" t="str">
        <f>'Ratings worksheet'!A87</f>
        <v>Luxembourg</v>
      </c>
      <c r="B87" s="94">
        <f t="shared" si="5"/>
        <v>0.24940000000000001</v>
      </c>
      <c r="C87">
        <f>VLOOKUP(A87,$E$2:$F$174,2,FALSE)</f>
        <v>0.24940000000000001</v>
      </c>
      <c r="E87" t="s">
        <v>120</v>
      </c>
      <c r="F87" s="47">
        <v>0.15</v>
      </c>
    </row>
    <row r="88" spans="1:6" ht="16">
      <c r="A88" s="46" t="str">
        <f>'Ratings worksheet'!A88</f>
        <v>Macao</v>
      </c>
      <c r="B88" s="94">
        <f t="shared" si="5"/>
        <v>0.26860000000000001</v>
      </c>
      <c r="C88">
        <v>0.26860000000000001</v>
      </c>
      <c r="E88" t="s">
        <v>352</v>
      </c>
      <c r="F88" s="47">
        <v>0.1</v>
      </c>
    </row>
    <row r="89" spans="1:6" ht="16">
      <c r="A89" s="46" t="str">
        <f>'Ratings worksheet'!A89</f>
        <v>Macedonia</v>
      </c>
      <c r="B89" s="94">
        <f t="shared" si="5"/>
        <v>0.1</v>
      </c>
      <c r="C89">
        <f>VLOOKUP(A89,$E$2:$F$174,2,FALSE)</f>
        <v>0.1</v>
      </c>
      <c r="E89" t="s">
        <v>121</v>
      </c>
      <c r="F89" s="47">
        <v>0.2</v>
      </c>
    </row>
    <row r="90" spans="1:6" ht="16">
      <c r="A90" s="46" t="s">
        <v>14</v>
      </c>
      <c r="B90" s="94">
        <f t="shared" si="5"/>
        <v>0.24</v>
      </c>
      <c r="C90">
        <f>VLOOKUP(A90,$E$2:$F$174,2,FALSE)</f>
        <v>0.24</v>
      </c>
      <c r="E90" t="s">
        <v>122</v>
      </c>
      <c r="F90" s="47">
        <v>0.17</v>
      </c>
    </row>
    <row r="91" spans="1:6" ht="16">
      <c r="A91" s="46" t="str">
        <f>'Ratings worksheet'!A91</f>
        <v>Maldives</v>
      </c>
      <c r="B91" s="94">
        <f t="shared" si="5"/>
        <v>0.26860000000000001</v>
      </c>
      <c r="C91">
        <v>0.26860000000000001</v>
      </c>
      <c r="E91" t="s">
        <v>321</v>
      </c>
      <c r="F91" s="47">
        <v>0.24</v>
      </c>
    </row>
    <row r="92" spans="1:6" ht="16">
      <c r="A92" s="46" t="s">
        <v>324</v>
      </c>
      <c r="B92" s="94">
        <f t="shared" si="5"/>
        <v>0.26860000000000001</v>
      </c>
      <c r="C92" s="35">
        <v>0.26860000000000001</v>
      </c>
      <c r="E92" t="s">
        <v>222</v>
      </c>
      <c r="F92" s="47">
        <v>0.125</v>
      </c>
    </row>
    <row r="93" spans="1:6" ht="16">
      <c r="A93" s="46" t="s">
        <v>185</v>
      </c>
      <c r="B93" s="94">
        <f t="shared" si="5"/>
        <v>0.35</v>
      </c>
      <c r="C93">
        <f t="shared" ref="C93:C98" si="6">VLOOKUP(A93,$E$2:$F$174,2,FALSE)</f>
        <v>0.35</v>
      </c>
      <c r="E93" t="s">
        <v>13</v>
      </c>
      <c r="F93" s="47">
        <v>0.15</v>
      </c>
    </row>
    <row r="94" spans="1:6" ht="16">
      <c r="A94" s="46" t="str">
        <f>'Ratings worksheet'!A94</f>
        <v>Mauritius</v>
      </c>
      <c r="B94" s="94">
        <f t="shared" si="5"/>
        <v>0.15</v>
      </c>
      <c r="C94">
        <f t="shared" si="6"/>
        <v>0.15</v>
      </c>
      <c r="E94" t="s">
        <v>184</v>
      </c>
      <c r="F94" s="47">
        <v>0.24940000000000001</v>
      </c>
    </row>
    <row r="95" spans="1:6" ht="16">
      <c r="A95" s="46" t="str">
        <f>'Ratings worksheet'!A95</f>
        <v>Mexico</v>
      </c>
      <c r="B95" s="94">
        <f t="shared" si="5"/>
        <v>0.3</v>
      </c>
      <c r="C95">
        <f t="shared" si="6"/>
        <v>0.3</v>
      </c>
      <c r="E95" t="s">
        <v>354</v>
      </c>
      <c r="F95" s="47">
        <v>0.12</v>
      </c>
    </row>
    <row r="96" spans="1:6" ht="16">
      <c r="A96" s="46" t="str">
        <f>'Ratings worksheet'!A96</f>
        <v>Moldova</v>
      </c>
      <c r="B96" s="94">
        <f t="shared" si="5"/>
        <v>0.12</v>
      </c>
      <c r="C96">
        <f t="shared" si="6"/>
        <v>0.12</v>
      </c>
      <c r="E96" t="s">
        <v>146</v>
      </c>
      <c r="F96" s="47">
        <v>0.1</v>
      </c>
    </row>
    <row r="97" spans="1:6" ht="16">
      <c r="A97" s="46" t="str">
        <f>'Ratings worksheet'!A97</f>
        <v>Mongolia</v>
      </c>
      <c r="B97" s="94">
        <f t="shared" si="5"/>
        <v>0.25</v>
      </c>
      <c r="C97">
        <f t="shared" si="6"/>
        <v>0.25</v>
      </c>
      <c r="E97" t="s">
        <v>335</v>
      </c>
      <c r="F97" s="47">
        <v>0.2</v>
      </c>
    </row>
    <row r="98" spans="1:6" ht="16">
      <c r="A98" s="46" t="str">
        <f>'Ratings worksheet'!A98</f>
        <v>Montenegro</v>
      </c>
      <c r="B98" s="94">
        <f t="shared" si="5"/>
        <v>0.15</v>
      </c>
      <c r="C98">
        <f t="shared" si="6"/>
        <v>0.15</v>
      </c>
      <c r="E98" t="s">
        <v>326</v>
      </c>
      <c r="F98" s="47">
        <v>0.3</v>
      </c>
    </row>
    <row r="99" spans="1:6" ht="16">
      <c r="A99" s="46" t="str">
        <f>'Ratings worksheet'!A99</f>
        <v>Montserrat</v>
      </c>
      <c r="B99" s="94">
        <f t="shared" si="5"/>
        <v>0.2853</v>
      </c>
      <c r="C99" s="35">
        <v>0.2853</v>
      </c>
      <c r="E99" t="s">
        <v>14</v>
      </c>
      <c r="F99" s="47">
        <v>0.24</v>
      </c>
    </row>
    <row r="100" spans="1:6" ht="16">
      <c r="A100" s="46" t="str">
        <f>'Ratings worksheet'!A100</f>
        <v>Morocco</v>
      </c>
      <c r="B100" s="94">
        <f t="shared" si="5"/>
        <v>0.32</v>
      </c>
      <c r="C100">
        <f t="shared" ref="C100:C105" si="7">VLOOKUP(A100,$E$2:$F$174,2,FALSE)</f>
        <v>0.32</v>
      </c>
      <c r="E100" t="s">
        <v>185</v>
      </c>
      <c r="F100" s="47">
        <v>0.35</v>
      </c>
    </row>
    <row r="101" spans="1:6" ht="16">
      <c r="A101" s="46" t="str">
        <f>'Ratings worksheet'!A101</f>
        <v>Mozambique</v>
      </c>
      <c r="B101" s="94">
        <f t="shared" si="5"/>
        <v>0.32</v>
      </c>
      <c r="C101">
        <f t="shared" si="7"/>
        <v>0.32</v>
      </c>
      <c r="E101" t="s">
        <v>390</v>
      </c>
      <c r="F101" s="47">
        <v>0.25</v>
      </c>
    </row>
    <row r="102" spans="1:6" ht="16">
      <c r="A102" s="46" t="str">
        <f>'Ratings worksheet'!A102</f>
        <v>Namibia</v>
      </c>
      <c r="B102" s="94">
        <f t="shared" si="5"/>
        <v>0.32</v>
      </c>
      <c r="C102">
        <f t="shared" si="7"/>
        <v>0.32</v>
      </c>
      <c r="E102" t="s">
        <v>15</v>
      </c>
      <c r="F102" s="47">
        <v>0.15</v>
      </c>
    </row>
    <row r="103" spans="1:6" ht="16">
      <c r="A103" s="46" t="str">
        <f>'Ratings worksheet'!A103</f>
        <v>Netherlands</v>
      </c>
      <c r="B103" s="94">
        <f t="shared" si="5"/>
        <v>0.25800000000000001</v>
      </c>
      <c r="C103">
        <f t="shared" si="7"/>
        <v>0.25800000000000001</v>
      </c>
      <c r="E103" t="s">
        <v>16</v>
      </c>
      <c r="F103" s="47">
        <v>0.3</v>
      </c>
    </row>
    <row r="104" spans="1:6" ht="16">
      <c r="A104" s="46" t="str">
        <f>'Ratings worksheet'!A104</f>
        <v>New Zealand</v>
      </c>
      <c r="B104" s="94">
        <f t="shared" si="5"/>
        <v>0.28000000000000003</v>
      </c>
      <c r="C104">
        <f t="shared" si="7"/>
        <v>0.28000000000000003</v>
      </c>
      <c r="E104" t="s">
        <v>17</v>
      </c>
      <c r="F104" s="47">
        <v>0.12</v>
      </c>
    </row>
    <row r="105" spans="1:6" ht="16">
      <c r="A105" s="46" t="str">
        <f>'Ratings worksheet'!A105</f>
        <v>Nicaragua</v>
      </c>
      <c r="B105" s="94">
        <f t="shared" si="5"/>
        <v>0.3</v>
      </c>
      <c r="C105">
        <f t="shared" si="7"/>
        <v>0.3</v>
      </c>
      <c r="E105" t="s">
        <v>440</v>
      </c>
      <c r="F105" s="47">
        <v>0.33</v>
      </c>
    </row>
    <row r="106" spans="1:6" ht="16">
      <c r="A106" s="46" t="s">
        <v>320</v>
      </c>
      <c r="B106" s="94">
        <f t="shared" si="5"/>
        <v>0.26860000000000001</v>
      </c>
      <c r="C106" s="35">
        <v>0.26860000000000001</v>
      </c>
      <c r="E106" t="s">
        <v>63</v>
      </c>
      <c r="F106" s="47">
        <v>0.25</v>
      </c>
    </row>
    <row r="107" spans="1:6" ht="16">
      <c r="A107" s="46" t="str">
        <f>'Ratings worksheet'!A107</f>
        <v>Nigeria</v>
      </c>
      <c r="B107" s="94">
        <f t="shared" si="5"/>
        <v>0.3</v>
      </c>
      <c r="C107">
        <f t="shared" ref="C107:C118" si="8">VLOOKUP(A107,$E$2:$F$174,2,FALSE)</f>
        <v>0.3</v>
      </c>
      <c r="E107" t="s">
        <v>8</v>
      </c>
      <c r="F107" s="47">
        <v>0.15</v>
      </c>
    </row>
    <row r="108" spans="1:6" ht="16">
      <c r="A108" s="46" t="str">
        <f>'Ratings worksheet'!A108</f>
        <v>Norway</v>
      </c>
      <c r="B108" s="94">
        <f t="shared" si="5"/>
        <v>0.22</v>
      </c>
      <c r="C108">
        <f t="shared" si="8"/>
        <v>0.22</v>
      </c>
      <c r="E108" t="s">
        <v>18</v>
      </c>
      <c r="F108" s="47">
        <v>0.32</v>
      </c>
    </row>
    <row r="109" spans="1:6" ht="16">
      <c r="A109" s="46" t="str">
        <f>'Ratings worksheet'!A109</f>
        <v>Oman</v>
      </c>
      <c r="B109" s="94">
        <f t="shared" si="5"/>
        <v>0.15</v>
      </c>
      <c r="C109">
        <f t="shared" si="8"/>
        <v>0.15</v>
      </c>
      <c r="E109" t="s">
        <v>225</v>
      </c>
      <c r="F109" s="47">
        <v>0.32</v>
      </c>
    </row>
    <row r="110" spans="1:6" ht="16">
      <c r="A110" s="46" t="str">
        <f>'Ratings worksheet'!A110</f>
        <v>Pakistan</v>
      </c>
      <c r="B110" s="94">
        <f t="shared" si="5"/>
        <v>0.28999999999999998</v>
      </c>
      <c r="C110">
        <f t="shared" si="8"/>
        <v>0.28999999999999998</v>
      </c>
      <c r="E110" t="s">
        <v>334</v>
      </c>
      <c r="F110" s="47">
        <v>0.22</v>
      </c>
    </row>
    <row r="111" spans="1:6" ht="16">
      <c r="A111" s="46" t="str">
        <f>'Ratings worksheet'!A111</f>
        <v>Panama</v>
      </c>
      <c r="B111" s="94">
        <f t="shared" si="5"/>
        <v>0.25</v>
      </c>
      <c r="C111">
        <f t="shared" si="8"/>
        <v>0.25</v>
      </c>
      <c r="E111" t="s">
        <v>136</v>
      </c>
      <c r="F111" s="47">
        <v>0.32</v>
      </c>
    </row>
    <row r="112" spans="1:6" ht="16">
      <c r="A112" s="46" t="str">
        <f>'Ratings worksheet'!A112</f>
        <v>Papua New Guinea</v>
      </c>
      <c r="B112" s="94">
        <f t="shared" si="5"/>
        <v>0.3</v>
      </c>
      <c r="C112">
        <f t="shared" si="8"/>
        <v>0.3</v>
      </c>
      <c r="E112" t="s">
        <v>186</v>
      </c>
      <c r="F112" s="47">
        <v>0.25800000000000001</v>
      </c>
    </row>
    <row r="113" spans="1:6" ht="16">
      <c r="A113" s="46" t="str">
        <f>'Ratings worksheet'!A113</f>
        <v>Paraguay</v>
      </c>
      <c r="B113" s="94">
        <f t="shared" si="5"/>
        <v>0.1</v>
      </c>
      <c r="C113">
        <f t="shared" si="8"/>
        <v>0.1</v>
      </c>
      <c r="E113" t="s">
        <v>21</v>
      </c>
      <c r="F113" s="47">
        <v>0.28000000000000003</v>
      </c>
    </row>
    <row r="114" spans="1:6" ht="16">
      <c r="A114" s="46" t="str">
        <f>'Ratings worksheet'!A114</f>
        <v>Peru</v>
      </c>
      <c r="B114" s="94">
        <f t="shared" si="5"/>
        <v>0.29499999999999998</v>
      </c>
      <c r="C114">
        <f t="shared" si="8"/>
        <v>0.29499999999999998</v>
      </c>
      <c r="E114" t="s">
        <v>22</v>
      </c>
      <c r="F114" s="47">
        <v>0.3</v>
      </c>
    </row>
    <row r="115" spans="1:6" ht="16">
      <c r="A115" s="46" t="str">
        <f>'Ratings worksheet'!A115</f>
        <v>Philippines</v>
      </c>
      <c r="B115" s="94">
        <f t="shared" si="5"/>
        <v>0.25</v>
      </c>
      <c r="C115">
        <f t="shared" si="8"/>
        <v>0.25</v>
      </c>
      <c r="E115" t="s">
        <v>187</v>
      </c>
      <c r="F115" s="47">
        <v>0.3</v>
      </c>
    </row>
    <row r="116" spans="1:6" ht="16">
      <c r="A116" s="46" t="str">
        <f>'Ratings worksheet'!A116</f>
        <v>Poland</v>
      </c>
      <c r="B116" s="94">
        <f t="shared" si="5"/>
        <v>0.19</v>
      </c>
      <c r="C116">
        <f t="shared" si="8"/>
        <v>0.19</v>
      </c>
      <c r="E116" t="s">
        <v>23</v>
      </c>
      <c r="F116" s="47">
        <v>0.22</v>
      </c>
    </row>
    <row r="117" spans="1:6" ht="16">
      <c r="A117" s="46" t="str">
        <f>'Ratings worksheet'!A117</f>
        <v>Portugal</v>
      </c>
      <c r="B117" s="94">
        <f t="shared" si="5"/>
        <v>0.21</v>
      </c>
      <c r="C117">
        <f t="shared" si="8"/>
        <v>0.21</v>
      </c>
      <c r="E117" t="s">
        <v>24</v>
      </c>
      <c r="F117" s="47">
        <v>0.15</v>
      </c>
    </row>
    <row r="118" spans="1:6" ht="16">
      <c r="A118" s="46" t="str">
        <f>'Ratings worksheet'!A118</f>
        <v>Qatar</v>
      </c>
      <c r="B118" s="94">
        <f t="shared" si="5"/>
        <v>0.1</v>
      </c>
      <c r="C118">
        <f t="shared" si="8"/>
        <v>0.1</v>
      </c>
      <c r="E118" t="s">
        <v>25</v>
      </c>
      <c r="F118" s="47">
        <v>0.28999999999999998</v>
      </c>
    </row>
    <row r="119" spans="1:6" ht="16">
      <c r="A119" s="46" t="str">
        <f>'Ratings worksheet'!A119</f>
        <v>Ras Al Khaimah (Emirate of)</v>
      </c>
      <c r="B119" s="94">
        <f t="shared" si="5"/>
        <v>0</v>
      </c>
      <c r="C119">
        <v>0</v>
      </c>
      <c r="E119" t="s">
        <v>452</v>
      </c>
      <c r="F119" s="47">
        <v>0.15</v>
      </c>
    </row>
    <row r="120" spans="1:6" ht="16">
      <c r="A120" s="46" t="str">
        <f>'Ratings worksheet'!A120</f>
        <v>Romania</v>
      </c>
      <c r="B120" s="94">
        <f t="shared" si="5"/>
        <v>0.16</v>
      </c>
      <c r="C120">
        <f t="shared" ref="C120:C125" si="9">VLOOKUP(A120,$E$2:$F$174,2,FALSE)</f>
        <v>0.16</v>
      </c>
      <c r="E120" t="s">
        <v>26</v>
      </c>
      <c r="F120" s="47">
        <v>0.25</v>
      </c>
    </row>
    <row r="121" spans="1:6" ht="16">
      <c r="A121" s="46" t="str">
        <f>'Ratings worksheet'!A121</f>
        <v>Russia</v>
      </c>
      <c r="B121" s="94">
        <f t="shared" si="5"/>
        <v>0.2</v>
      </c>
      <c r="C121">
        <f t="shared" si="9"/>
        <v>0.2</v>
      </c>
      <c r="E121" t="s">
        <v>9</v>
      </c>
      <c r="F121" s="47">
        <v>0.3</v>
      </c>
    </row>
    <row r="122" spans="1:6" ht="16">
      <c r="A122" s="46" t="str">
        <f>'Ratings worksheet'!A122</f>
        <v>Rwanda</v>
      </c>
      <c r="B122" s="94">
        <f t="shared" si="5"/>
        <v>0.3</v>
      </c>
      <c r="C122">
        <f t="shared" si="9"/>
        <v>0.3</v>
      </c>
      <c r="E122" t="s">
        <v>27</v>
      </c>
      <c r="F122" s="47">
        <v>0.1</v>
      </c>
    </row>
    <row r="123" spans="1:6" ht="16">
      <c r="A123" s="46" t="str">
        <f>'Ratings worksheet'!A123</f>
        <v>Saudi Arabia</v>
      </c>
      <c r="B123" s="94">
        <f t="shared" si="5"/>
        <v>0.2</v>
      </c>
      <c r="C123">
        <f t="shared" si="9"/>
        <v>0.2</v>
      </c>
      <c r="E123" t="s">
        <v>28</v>
      </c>
      <c r="F123" s="47">
        <v>0.29499999999999998</v>
      </c>
    </row>
    <row r="124" spans="1:6" ht="16">
      <c r="A124" s="46" t="str">
        <f>'Ratings worksheet'!A124</f>
        <v>Senegal</v>
      </c>
      <c r="B124" s="94">
        <f t="shared" si="5"/>
        <v>0.3</v>
      </c>
      <c r="C124">
        <f t="shared" si="9"/>
        <v>0.3</v>
      </c>
      <c r="E124" t="s">
        <v>29</v>
      </c>
      <c r="F124" s="47">
        <v>0.25</v>
      </c>
    </row>
    <row r="125" spans="1:6" ht="16">
      <c r="A125" s="46" t="str">
        <f>'Ratings worksheet'!A125</f>
        <v>Serbia</v>
      </c>
      <c r="B125" s="94">
        <f t="shared" si="5"/>
        <v>0.15</v>
      </c>
      <c r="C125">
        <f t="shared" si="9"/>
        <v>0.15</v>
      </c>
      <c r="E125" t="s">
        <v>30</v>
      </c>
      <c r="F125" s="47">
        <v>0.19</v>
      </c>
    </row>
    <row r="126" spans="1:6" ht="16">
      <c r="A126" s="46" t="str">
        <f>'Ratings worksheet'!A126</f>
        <v>Sharjah</v>
      </c>
      <c r="B126" s="94">
        <f t="shared" si="5"/>
        <v>0</v>
      </c>
      <c r="C126">
        <v>0</v>
      </c>
      <c r="E126" t="s">
        <v>188</v>
      </c>
      <c r="F126" s="47">
        <v>0.21</v>
      </c>
    </row>
    <row r="127" spans="1:6" ht="16">
      <c r="A127" s="46" t="str">
        <f>'Ratings worksheet'!A127</f>
        <v>Singapore</v>
      </c>
      <c r="B127" s="94">
        <f t="shared" si="5"/>
        <v>0.17</v>
      </c>
      <c r="C127">
        <f t="shared" ref="C127:C133" si="10">VLOOKUP(A127,$E$2:$F$174,2,FALSE)</f>
        <v>0.17</v>
      </c>
      <c r="E127" t="s">
        <v>74</v>
      </c>
      <c r="F127" s="47">
        <v>0.1</v>
      </c>
    </row>
    <row r="128" spans="1:6" ht="16">
      <c r="A128" s="46" t="str">
        <f>'Ratings worksheet'!A128</f>
        <v>Slovakia</v>
      </c>
      <c r="B128" s="94">
        <f t="shared" si="5"/>
        <v>0.21</v>
      </c>
      <c r="C128">
        <f t="shared" si="10"/>
        <v>0.21</v>
      </c>
      <c r="E128" t="s">
        <v>0</v>
      </c>
      <c r="F128" s="47">
        <v>0.16</v>
      </c>
    </row>
    <row r="129" spans="1:6" ht="16">
      <c r="A129" s="46" t="s">
        <v>189</v>
      </c>
      <c r="B129" s="94">
        <f t="shared" si="5"/>
        <v>0.19</v>
      </c>
      <c r="C129">
        <f t="shared" si="10"/>
        <v>0.19</v>
      </c>
      <c r="E129" t="s">
        <v>1</v>
      </c>
      <c r="F129" s="47">
        <v>0.2</v>
      </c>
    </row>
    <row r="130" spans="1:6" ht="16">
      <c r="A130" s="46" t="str">
        <f>'Ratings worksheet'!A130</f>
        <v>Solomon Islands</v>
      </c>
      <c r="B130" s="94">
        <f t="shared" si="5"/>
        <v>0.3</v>
      </c>
      <c r="C130">
        <f t="shared" si="10"/>
        <v>0.3</v>
      </c>
      <c r="E130" t="s">
        <v>226</v>
      </c>
      <c r="F130" s="47">
        <v>0.3</v>
      </c>
    </row>
    <row r="131" spans="1:6" ht="16">
      <c r="A131" s="46" t="str">
        <f>'Ratings worksheet'!A131</f>
        <v>South Africa</v>
      </c>
      <c r="B131" s="94">
        <f t="shared" ref="B131:B158" si="11">C131</f>
        <v>0.27</v>
      </c>
      <c r="C131">
        <f t="shared" si="10"/>
        <v>0.27</v>
      </c>
      <c r="E131" t="s">
        <v>453</v>
      </c>
      <c r="F131" s="47">
        <v>0.33</v>
      </c>
    </row>
    <row r="132" spans="1:6" ht="16">
      <c r="A132" s="46" t="str">
        <f>'Ratings worksheet'!A132</f>
        <v>Spain</v>
      </c>
      <c r="B132" s="94">
        <f t="shared" si="11"/>
        <v>0.25</v>
      </c>
      <c r="C132">
        <f t="shared" si="10"/>
        <v>0.25</v>
      </c>
      <c r="E132" t="s">
        <v>454</v>
      </c>
      <c r="F132" s="47">
        <v>0.3</v>
      </c>
    </row>
    <row r="133" spans="1:6" ht="16">
      <c r="A133" s="46" t="str">
        <f>'Ratings worksheet'!A133</f>
        <v>Sri Lanka</v>
      </c>
      <c r="B133" s="94">
        <f t="shared" si="11"/>
        <v>0.24</v>
      </c>
      <c r="C133">
        <f t="shared" si="10"/>
        <v>0.24</v>
      </c>
      <c r="E133" t="s">
        <v>455</v>
      </c>
      <c r="F133" s="47">
        <v>0.3</v>
      </c>
    </row>
    <row r="134" spans="1:6" ht="16">
      <c r="A134" s="46" t="str">
        <f>'Ratings worksheet'!A134</f>
        <v>St. Maarten</v>
      </c>
      <c r="B134" s="94">
        <f t="shared" si="11"/>
        <v>0.2853</v>
      </c>
      <c r="C134" s="35">
        <v>0.2853</v>
      </c>
      <c r="E134" t="s">
        <v>408</v>
      </c>
      <c r="F134" s="47">
        <v>0.27</v>
      </c>
    </row>
    <row r="135" spans="1:6" ht="16">
      <c r="A135" s="46" t="str">
        <f>'Ratings worksheet'!A135</f>
        <v>St. Vincent &amp; the Grenadines</v>
      </c>
      <c r="B135" s="94">
        <f t="shared" si="11"/>
        <v>0.2853</v>
      </c>
      <c r="C135" s="35">
        <v>0.2853</v>
      </c>
      <c r="E135" t="s">
        <v>2</v>
      </c>
      <c r="F135" s="47">
        <v>0.2</v>
      </c>
    </row>
    <row r="136" spans="1:6" ht="16">
      <c r="A136" s="46" t="s">
        <v>33</v>
      </c>
      <c r="B136" s="94">
        <f t="shared" si="11"/>
        <v>0.36</v>
      </c>
      <c r="C136">
        <f t="shared" ref="C136:C143" si="12">VLOOKUP(A136,$E$2:$F$174,2,FALSE)</f>
        <v>0.36</v>
      </c>
      <c r="E136" t="s">
        <v>135</v>
      </c>
      <c r="F136" s="47">
        <v>0.3</v>
      </c>
    </row>
    <row r="137" spans="1:6" ht="16">
      <c r="A137" s="46" t="str">
        <f>'Ratings worksheet'!A137</f>
        <v>Swaziland</v>
      </c>
      <c r="B137" s="94">
        <f t="shared" si="11"/>
        <v>0.27500000000000002</v>
      </c>
      <c r="C137">
        <f t="shared" si="12"/>
        <v>0.27500000000000002</v>
      </c>
      <c r="E137" t="s">
        <v>147</v>
      </c>
      <c r="F137" s="47">
        <v>0.15</v>
      </c>
    </row>
    <row r="138" spans="1:6" ht="16">
      <c r="A138" s="46" t="str">
        <f>'Ratings worksheet'!A138</f>
        <v>Sweden</v>
      </c>
      <c r="B138" s="94">
        <f t="shared" si="11"/>
        <v>0.20600000000000002</v>
      </c>
      <c r="C138">
        <f t="shared" si="12"/>
        <v>0.20600000000000002</v>
      </c>
      <c r="E138" t="s">
        <v>328</v>
      </c>
      <c r="F138" s="47">
        <v>0.25</v>
      </c>
    </row>
    <row r="139" spans="1:6" ht="16">
      <c r="A139" s="46" t="str">
        <f>'Ratings worksheet'!A139</f>
        <v>Switzerland</v>
      </c>
      <c r="B139" s="94">
        <f t="shared" si="11"/>
        <v>0.14599999999999999</v>
      </c>
      <c r="C139">
        <f t="shared" si="12"/>
        <v>0.14599999999999999</v>
      </c>
      <c r="E139" t="s">
        <v>3</v>
      </c>
      <c r="F139" s="47">
        <v>0.17</v>
      </c>
    </row>
    <row r="140" spans="1:6" ht="16">
      <c r="A140" s="46" t="s">
        <v>64</v>
      </c>
      <c r="B140" s="94">
        <f t="shared" si="11"/>
        <v>0.2</v>
      </c>
      <c r="C140">
        <f t="shared" si="12"/>
        <v>0.2</v>
      </c>
      <c r="E140" t="s">
        <v>425</v>
      </c>
      <c r="F140" s="47">
        <v>0.35</v>
      </c>
    </row>
    <row r="141" spans="1:6" ht="16">
      <c r="A141" s="46" t="s">
        <v>388</v>
      </c>
      <c r="B141" s="94">
        <f t="shared" si="11"/>
        <v>0.18</v>
      </c>
      <c r="C141">
        <f t="shared" si="12"/>
        <v>0.18</v>
      </c>
      <c r="E141" t="s">
        <v>61</v>
      </c>
      <c r="F141" s="47">
        <v>0.21</v>
      </c>
    </row>
    <row r="142" spans="1:6" ht="16">
      <c r="A142" s="46" t="str">
        <f>'Ratings worksheet'!A142</f>
        <v>Tanzania</v>
      </c>
      <c r="B142" s="94">
        <f t="shared" si="11"/>
        <v>0.3</v>
      </c>
      <c r="C142">
        <f t="shared" si="12"/>
        <v>0.3</v>
      </c>
      <c r="E142" t="s">
        <v>189</v>
      </c>
      <c r="F142" s="47">
        <v>0.19</v>
      </c>
    </row>
    <row r="143" spans="1:6" ht="16">
      <c r="A143" s="46" t="str">
        <f>'Ratings worksheet'!A143</f>
        <v>Thailand</v>
      </c>
      <c r="B143" s="94">
        <f t="shared" si="11"/>
        <v>0.2</v>
      </c>
      <c r="C143">
        <f t="shared" si="12"/>
        <v>0.2</v>
      </c>
      <c r="E143" t="s">
        <v>404</v>
      </c>
      <c r="F143" s="47">
        <v>0.3</v>
      </c>
    </row>
    <row r="144" spans="1:6" ht="16">
      <c r="A144" s="46" t="s">
        <v>323</v>
      </c>
      <c r="B144" s="94">
        <f t="shared" si="11"/>
        <v>0.26860000000000001</v>
      </c>
      <c r="C144" s="35">
        <v>0.26860000000000001</v>
      </c>
      <c r="E144" t="s">
        <v>76</v>
      </c>
      <c r="F144" s="47">
        <v>0.27</v>
      </c>
    </row>
    <row r="145" spans="1:6" ht="16">
      <c r="A145" s="46" t="str">
        <f>'Ratings worksheet'!A145</f>
        <v>Trinidad and Tobago</v>
      </c>
      <c r="B145" s="94">
        <f t="shared" si="11"/>
        <v>0.3</v>
      </c>
      <c r="C145">
        <f t="shared" ref="C145:C158" si="13">VLOOKUP(A145,$E$2:$F$175,2,FALSE)</f>
        <v>0.3</v>
      </c>
      <c r="E145" t="s">
        <v>138</v>
      </c>
      <c r="F145" s="47">
        <v>0.25</v>
      </c>
    </row>
    <row r="146" spans="1:6" ht="16">
      <c r="A146" s="46" t="str">
        <f>'Ratings worksheet'!A146</f>
        <v>Tunisia</v>
      </c>
      <c r="B146" s="94">
        <f t="shared" si="11"/>
        <v>0.15</v>
      </c>
      <c r="C146">
        <f t="shared" si="13"/>
        <v>0.15</v>
      </c>
      <c r="E146" t="s">
        <v>134</v>
      </c>
      <c r="F146" s="47">
        <v>0.24</v>
      </c>
    </row>
    <row r="147" spans="1:6" ht="16">
      <c r="A147" s="46" t="str">
        <f>'Ratings worksheet'!A147</f>
        <v>Turkey</v>
      </c>
      <c r="B147" s="94">
        <f t="shared" si="11"/>
        <v>0.25</v>
      </c>
      <c r="C147">
        <f t="shared" si="13"/>
        <v>0.25</v>
      </c>
      <c r="E147" t="s">
        <v>426</v>
      </c>
      <c r="F147" s="47">
        <v>0.35</v>
      </c>
    </row>
    <row r="148" spans="1:6" ht="16">
      <c r="A148" s="46" t="str">
        <f>'Ratings worksheet'!A148</f>
        <v>Turks and Caicos Islands</v>
      </c>
      <c r="B148" s="94">
        <f t="shared" si="11"/>
        <v>0</v>
      </c>
      <c r="C148">
        <f t="shared" si="13"/>
        <v>0</v>
      </c>
      <c r="E148" t="s">
        <v>318</v>
      </c>
      <c r="F148" s="47">
        <v>0.35</v>
      </c>
    </row>
    <row r="149" spans="1:6" ht="16">
      <c r="A149" s="46" t="str">
        <f>'Ratings worksheet'!A149</f>
        <v>Uganda</v>
      </c>
      <c r="B149" s="94">
        <f t="shared" si="11"/>
        <v>0.3</v>
      </c>
      <c r="C149">
        <f t="shared" si="13"/>
        <v>0.3</v>
      </c>
      <c r="E149" t="s">
        <v>33</v>
      </c>
      <c r="F149" s="47">
        <v>0.36</v>
      </c>
    </row>
    <row r="150" spans="1:6" ht="16">
      <c r="A150" s="46" t="str">
        <f>'Ratings worksheet'!A150</f>
        <v>Ukraine</v>
      </c>
      <c r="B150" s="94">
        <f t="shared" si="11"/>
        <v>0.18</v>
      </c>
      <c r="C150">
        <f t="shared" si="13"/>
        <v>0.18</v>
      </c>
      <c r="E150" t="s">
        <v>391</v>
      </c>
      <c r="F150" s="47">
        <v>0.27500000000000002</v>
      </c>
    </row>
    <row r="151" spans="1:6" ht="16">
      <c r="A151" s="46" t="str">
        <f>'Ratings worksheet'!A151</f>
        <v>United Arab Emirates</v>
      </c>
      <c r="B151" s="94">
        <f t="shared" si="11"/>
        <v>0.25</v>
      </c>
      <c r="C151">
        <f t="shared" si="13"/>
        <v>0.25</v>
      </c>
      <c r="E151" t="s">
        <v>34</v>
      </c>
      <c r="F151" s="47">
        <v>0.20600000000000002</v>
      </c>
    </row>
    <row r="152" spans="1:6" ht="16">
      <c r="A152" s="46" t="str">
        <f>'Ratings worksheet'!A152</f>
        <v>United Kingdom</v>
      </c>
      <c r="B152" s="94">
        <f t="shared" si="11"/>
        <v>0.25</v>
      </c>
      <c r="C152">
        <f t="shared" si="13"/>
        <v>0.25</v>
      </c>
      <c r="E152" t="s">
        <v>35</v>
      </c>
      <c r="F152" s="47">
        <v>0.14599999999999999</v>
      </c>
    </row>
    <row r="153" spans="1:6" ht="16">
      <c r="A153" s="46" t="str">
        <f>'Ratings worksheet'!A153</f>
        <v>United States</v>
      </c>
      <c r="B153" s="94">
        <f t="shared" si="11"/>
        <v>0.25</v>
      </c>
      <c r="C153">
        <f t="shared" si="13"/>
        <v>0.25</v>
      </c>
      <c r="E153" t="s">
        <v>315</v>
      </c>
      <c r="F153" s="47">
        <v>0.28000000000000003</v>
      </c>
    </row>
    <row r="154" spans="1:6" ht="16">
      <c r="A154" s="46" t="str">
        <f>'Ratings worksheet'!A154</f>
        <v>Uruguay</v>
      </c>
      <c r="B154" s="94">
        <f t="shared" si="11"/>
        <v>0.25</v>
      </c>
      <c r="C154">
        <f t="shared" si="13"/>
        <v>0.25</v>
      </c>
      <c r="E154" t="s">
        <v>64</v>
      </c>
      <c r="F154" s="47">
        <v>0.2</v>
      </c>
    </row>
    <row r="155" spans="1:6" ht="16">
      <c r="A155" s="140" t="s">
        <v>380</v>
      </c>
      <c r="B155" s="94">
        <f t="shared" si="11"/>
        <v>0.15</v>
      </c>
      <c r="C155">
        <f t="shared" si="13"/>
        <v>0.15</v>
      </c>
      <c r="E155" s="142" t="s">
        <v>388</v>
      </c>
      <c r="F155" s="47">
        <v>0.18</v>
      </c>
    </row>
    <row r="156" spans="1:6" ht="16">
      <c r="A156" s="46" t="str">
        <f>'Ratings worksheet'!A156</f>
        <v>Venezuela</v>
      </c>
      <c r="B156" s="94">
        <f t="shared" si="11"/>
        <v>0.34</v>
      </c>
      <c r="C156">
        <f t="shared" si="13"/>
        <v>0.34</v>
      </c>
      <c r="E156" t="s">
        <v>331</v>
      </c>
      <c r="F156" s="47">
        <v>0.3</v>
      </c>
    </row>
    <row r="157" spans="1:6" ht="16">
      <c r="A157" s="46" t="s">
        <v>71</v>
      </c>
      <c r="B157" s="94">
        <f t="shared" si="11"/>
        <v>0.2</v>
      </c>
      <c r="C157">
        <f t="shared" si="13"/>
        <v>0.2</v>
      </c>
      <c r="E157" t="s">
        <v>65</v>
      </c>
      <c r="F157" s="47">
        <v>0.2</v>
      </c>
    </row>
    <row r="158" spans="1:6">
      <c r="A158" s="15" t="s">
        <v>191</v>
      </c>
      <c r="B158" s="94">
        <f t="shared" si="11"/>
        <v>0.35</v>
      </c>
      <c r="C158">
        <f t="shared" si="13"/>
        <v>0.35</v>
      </c>
      <c r="E158" t="s">
        <v>11</v>
      </c>
      <c r="F158" s="47">
        <v>0.3</v>
      </c>
    </row>
    <row r="159" spans="1:6">
      <c r="E159" t="s">
        <v>77</v>
      </c>
      <c r="F159" s="47">
        <v>0.15</v>
      </c>
    </row>
    <row r="160" spans="1:6">
      <c r="E160" t="s">
        <v>66</v>
      </c>
      <c r="F160" s="47">
        <v>0.25</v>
      </c>
    </row>
    <row r="161" spans="5:6">
      <c r="E161" t="s">
        <v>67</v>
      </c>
      <c r="F161" s="47">
        <v>0.2</v>
      </c>
    </row>
    <row r="162" spans="5:6">
      <c r="E162" t="s">
        <v>291</v>
      </c>
      <c r="F162" s="47">
        <v>0</v>
      </c>
    </row>
    <row r="163" spans="5:6">
      <c r="E163" t="s">
        <v>227</v>
      </c>
      <c r="F163" s="47">
        <v>0.3</v>
      </c>
    </row>
    <row r="164" spans="5:6">
      <c r="E164" t="s">
        <v>68</v>
      </c>
      <c r="F164" s="47">
        <v>0.18</v>
      </c>
    </row>
    <row r="165" spans="5:6">
      <c r="E165" t="s">
        <v>60</v>
      </c>
      <c r="F165" s="47">
        <v>0.25</v>
      </c>
    </row>
    <row r="166" spans="5:6">
      <c r="E166" t="s">
        <v>57</v>
      </c>
      <c r="F166" s="47">
        <v>0.25</v>
      </c>
    </row>
    <row r="167" spans="5:6">
      <c r="E167" t="s">
        <v>355</v>
      </c>
      <c r="F167" s="47">
        <v>0.25</v>
      </c>
    </row>
    <row r="168" spans="5:6">
      <c r="E168" t="s">
        <v>69</v>
      </c>
      <c r="F168" s="47">
        <v>0.25</v>
      </c>
    </row>
    <row r="169" spans="5:6">
      <c r="E169" t="s">
        <v>380</v>
      </c>
      <c r="F169" s="47">
        <v>0.15</v>
      </c>
    </row>
    <row r="170" spans="5:6">
      <c r="E170" t="s">
        <v>409</v>
      </c>
      <c r="F170" s="47">
        <v>0</v>
      </c>
    </row>
    <row r="171" spans="5:6">
      <c r="E171" t="s">
        <v>70</v>
      </c>
      <c r="F171" s="47">
        <v>0.34</v>
      </c>
    </row>
    <row r="172" spans="5:6">
      <c r="E172" t="s">
        <v>71</v>
      </c>
      <c r="F172" s="47">
        <v>0.2</v>
      </c>
    </row>
    <row r="173" spans="5:6">
      <c r="E173" t="s">
        <v>427</v>
      </c>
      <c r="F173" s="47">
        <v>0.2</v>
      </c>
    </row>
    <row r="174" spans="5:6">
      <c r="E174" t="s">
        <v>191</v>
      </c>
      <c r="F174" s="47">
        <v>0.35</v>
      </c>
    </row>
    <row r="175" spans="5:6">
      <c r="E175" t="s">
        <v>319</v>
      </c>
      <c r="F175" s="47">
        <v>0.2472</v>
      </c>
    </row>
  </sheetData>
  <pageMargins left="0.75" right="0.75" top="1" bottom="1" header="0.3" footer="0.3"/>
  <pageSetup orientation="portrait" horizontalDpi="0"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2"/>
  <sheetViews>
    <sheetView workbookViewId="0">
      <selection activeCell="G35" sqref="G35"/>
    </sheetView>
  </sheetViews>
  <sheetFormatPr baseColWidth="10" defaultRowHeight="16"/>
  <cols>
    <col min="1" max="1" width="26.83203125" style="85" bestFit="1" customWidth="1"/>
    <col min="2" max="2" width="14.33203125" style="134" customWidth="1"/>
    <col min="3" max="4" width="22.1640625" style="20" customWidth="1"/>
    <col min="5" max="6" width="20.83203125" style="25" customWidth="1"/>
    <col min="7" max="7" width="20.83203125" style="48" customWidth="1"/>
    <col min="10" max="10" width="18.5" customWidth="1"/>
    <col min="22" max="22" width="22.6640625" customWidth="1"/>
  </cols>
  <sheetData>
    <row r="1" spans="1:15" s="2" customFormat="1" ht="16" customHeight="1">
      <c r="A1" s="97" t="s">
        <v>75</v>
      </c>
      <c r="B1" s="131" t="s">
        <v>348</v>
      </c>
      <c r="C1" s="97" t="s">
        <v>140</v>
      </c>
      <c r="D1" s="97" t="s">
        <v>139</v>
      </c>
      <c r="E1" s="143" t="s">
        <v>349</v>
      </c>
      <c r="F1" s="143" t="s">
        <v>356</v>
      </c>
      <c r="G1" s="143" t="s">
        <v>374</v>
      </c>
      <c r="H1" s="144"/>
      <c r="I1" s="271" t="s">
        <v>348</v>
      </c>
      <c r="J1" s="271"/>
      <c r="K1" s="145"/>
      <c r="N1" s="200" t="s">
        <v>4</v>
      </c>
      <c r="O1" s="75">
        <v>64.75</v>
      </c>
    </row>
    <row r="2" spans="1:15">
      <c r="A2" s="46" t="str">
        <f>'ERPs by country'!A8</f>
        <v>Abu Dhabi</v>
      </c>
      <c r="B2" s="132" t="e">
        <f>VLOOKUP(A2,$N$1:$O$141,2,FALSE)</f>
        <v>#N/A</v>
      </c>
      <c r="C2" s="98">
        <f>'ERPs by country'!E8</f>
        <v>5.3219473999336783E-2</v>
      </c>
      <c r="D2" s="24">
        <f>'ERPs by country'!D8</f>
        <v>5.3778762707661788E-3</v>
      </c>
      <c r="E2" s="24">
        <f>C2</f>
        <v>5.3219473999336783E-2</v>
      </c>
      <c r="F2" s="57">
        <f>'Country Tax Rates'!B2</f>
        <v>0.15</v>
      </c>
      <c r="G2" s="57">
        <f>E2-'ERPs by country'!$E$3</f>
        <v>7.219473999336784E-3</v>
      </c>
      <c r="I2" s="15" t="s">
        <v>346</v>
      </c>
      <c r="J2" s="15" t="s">
        <v>347</v>
      </c>
      <c r="K2" s="15" t="s">
        <v>311</v>
      </c>
      <c r="L2" t="s">
        <v>312</v>
      </c>
      <c r="N2" s="200" t="s">
        <v>336</v>
      </c>
      <c r="O2" s="75">
        <v>67.75</v>
      </c>
    </row>
    <row r="3" spans="1:15" ht="16" customHeight="1">
      <c r="A3" s="46" t="str">
        <f>'ERPs by country'!A9</f>
        <v>Albania</v>
      </c>
      <c r="B3" s="132">
        <f>VLOOKUP(A3,$N$1:$O$141,2,FALSE)</f>
        <v>64.75</v>
      </c>
      <c r="C3" s="98">
        <f>'ERPs by country'!E9</f>
        <v>0.11183472718442829</v>
      </c>
      <c r="D3" s="24">
        <f>'ERPs by country'!D9</f>
        <v>4.9041109802463012E-2</v>
      </c>
      <c r="E3" s="24">
        <f t="shared" ref="E3:E66" si="0">C3</f>
        <v>0.11183472718442829</v>
      </c>
      <c r="F3" s="57">
        <f>'Country Tax Rates'!B3</f>
        <v>0.15</v>
      </c>
      <c r="G3" s="57">
        <f>E3-'ERPs by country'!$E$3</f>
        <v>6.5834727184428288E-2</v>
      </c>
      <c r="H3" s="75"/>
      <c r="I3" s="15">
        <v>0</v>
      </c>
      <c r="J3" s="99">
        <v>50</v>
      </c>
      <c r="K3" s="94">
        <f>$K$18+L3*'Relative Equity Volatility'!$D$7</f>
        <v>0.28092692770782934</v>
      </c>
      <c r="L3" s="47">
        <f>J41</f>
        <v>0.17499999999999999</v>
      </c>
      <c r="M3" t="s">
        <v>437</v>
      </c>
      <c r="N3" s="200" t="s">
        <v>131</v>
      </c>
      <c r="O3" s="75">
        <v>62.25</v>
      </c>
    </row>
    <row r="4" spans="1:15">
      <c r="A4" s="46" t="str">
        <f>'ERPs by country'!A10</f>
        <v>Andorra (Principality of)</v>
      </c>
      <c r="B4" s="132" t="e">
        <f t="shared" ref="B4:B67" si="1">VLOOKUP(A4,$N$1:$O$141,2,FALSE)</f>
        <v>#N/A</v>
      </c>
      <c r="C4" s="98">
        <f>'ERPs by country'!E10</f>
        <v>7.3846542568870452E-2</v>
      </c>
      <c r="D4" s="24">
        <f>'ERPs by country'!D10</f>
        <v>2.0743237044383835E-2</v>
      </c>
      <c r="E4" s="24">
        <f t="shared" si="0"/>
        <v>7.3846542568870452E-2</v>
      </c>
      <c r="F4" s="57">
        <f>'Country Tax Rates'!B4</f>
        <v>0.1898</v>
      </c>
      <c r="G4" s="57">
        <f>E4-'ERPs by country'!$E$3</f>
        <v>2.7846542568870453E-2</v>
      </c>
      <c r="H4" s="75"/>
      <c r="I4" s="99">
        <v>50.000999999999998</v>
      </c>
      <c r="J4" s="99">
        <v>55</v>
      </c>
      <c r="K4" s="94">
        <f>$K$18+L4*'Relative Equity Volatility'!$D$7</f>
        <v>0.22150197507911562</v>
      </c>
      <c r="L4" s="47">
        <f>J40</f>
        <v>0.13073361124886354</v>
      </c>
      <c r="M4" s="23" t="s">
        <v>436</v>
      </c>
      <c r="N4" s="200" t="s">
        <v>84</v>
      </c>
      <c r="O4" s="75">
        <v>56.25</v>
      </c>
    </row>
    <row r="5" spans="1:15">
      <c r="A5" s="46" t="str">
        <f>'ERPs by country'!A11</f>
        <v>Angola</v>
      </c>
      <c r="B5" s="132">
        <f t="shared" si="1"/>
        <v>62.25</v>
      </c>
      <c r="C5" s="98">
        <f>'ERPs by country'!E11</f>
        <v>0.14105640765793431</v>
      </c>
      <c r="D5" s="24">
        <f>'ERPs by country'!D11</f>
        <v>7.0808704231754685E-2</v>
      </c>
      <c r="E5" s="24">
        <f t="shared" si="0"/>
        <v>0.14105640765793431</v>
      </c>
      <c r="F5" s="57">
        <f>'Country Tax Rates'!B5</f>
        <v>0.25</v>
      </c>
      <c r="G5" s="57">
        <f>E5-'ERPs by country'!$E$3</f>
        <v>9.5056407657934314E-2</v>
      </c>
      <c r="H5" s="75"/>
      <c r="I5" s="99">
        <v>55.000999999999998</v>
      </c>
      <c r="J5" s="99">
        <v>57</v>
      </c>
      <c r="K5" s="94">
        <f>$K$18+L5*'Relative Equity Volatility'!$D$7</f>
        <v>0.19228029460560964</v>
      </c>
      <c r="L5" s="47">
        <f>J39</f>
        <v>0.10896601681957188</v>
      </c>
      <c r="M5" t="s">
        <v>62</v>
      </c>
      <c r="N5" s="200" t="s">
        <v>19</v>
      </c>
      <c r="O5" s="75">
        <v>61</v>
      </c>
    </row>
    <row r="6" spans="1:15">
      <c r="A6" s="46" t="str">
        <f>'ERPs by country'!A12</f>
        <v>Argentina</v>
      </c>
      <c r="B6" s="132">
        <f t="shared" si="1"/>
        <v>56.25</v>
      </c>
      <c r="C6" s="98">
        <f>'ERPs by country'!E12</f>
        <v>0.22150197507911562</v>
      </c>
      <c r="D6" s="24">
        <f>'ERPs by country'!D12</f>
        <v>0.13073361124886354</v>
      </c>
      <c r="E6" s="24">
        <f t="shared" si="0"/>
        <v>0.22150197507911562</v>
      </c>
      <c r="F6" s="57">
        <f>'Country Tax Rates'!B6</f>
        <v>0.35</v>
      </c>
      <c r="G6" s="57">
        <f>E6-'ERPs by country'!$E$3</f>
        <v>0.17550197507911564</v>
      </c>
      <c r="H6" s="75"/>
      <c r="I6" s="99">
        <v>57.000999999999998</v>
      </c>
      <c r="J6" s="99">
        <v>60</v>
      </c>
      <c r="K6" s="94">
        <f>$K$18+L6*'Relative Equity Volatility'!$D$7</f>
        <v>0.17766945436885656</v>
      </c>
      <c r="L6" s="47">
        <f>J38</f>
        <v>9.8082219604926024E-2</v>
      </c>
      <c r="M6" t="s">
        <v>58</v>
      </c>
      <c r="N6" s="200" t="s">
        <v>85</v>
      </c>
      <c r="O6" s="75">
        <v>79.5</v>
      </c>
    </row>
    <row r="7" spans="1:15">
      <c r="A7" s="46" t="str">
        <f>'ERPs by country'!A13</f>
        <v>Armenia</v>
      </c>
      <c r="B7" s="132">
        <f t="shared" si="1"/>
        <v>61</v>
      </c>
      <c r="C7" s="98">
        <f>'ERPs by country'!E13</f>
        <v>9.8599024852310854E-2</v>
      </c>
      <c r="D7" s="24">
        <f>'ERPs by country'!D13</f>
        <v>3.9181669972725021E-2</v>
      </c>
      <c r="E7" s="24">
        <f t="shared" si="0"/>
        <v>9.8599024852310854E-2</v>
      </c>
      <c r="F7" s="57">
        <f>'Country Tax Rates'!B7</f>
        <v>0.18</v>
      </c>
      <c r="G7" s="57">
        <f>E7-'ERPs by country'!$E$3</f>
        <v>5.2599024852310855E-2</v>
      </c>
      <c r="H7" s="75"/>
      <c r="I7" s="99">
        <v>60.000999999999998</v>
      </c>
      <c r="J7" s="99">
        <v>62</v>
      </c>
      <c r="K7" s="94">
        <f>$K$18+L7*'Relative Equity Volatility'!$D$7</f>
        <v>0.15566724789468733</v>
      </c>
      <c r="L7" s="47">
        <f>J37</f>
        <v>8.1692501446400528E-2</v>
      </c>
      <c r="M7" t="s">
        <v>100</v>
      </c>
      <c r="N7" s="200" t="s">
        <v>175</v>
      </c>
      <c r="O7" s="75">
        <v>76.5</v>
      </c>
    </row>
    <row r="8" spans="1:15">
      <c r="A8" s="46" t="str">
        <f>'ERPs by country'!A14</f>
        <v>Aruba</v>
      </c>
      <c r="B8" s="132" t="e">
        <f t="shared" si="1"/>
        <v>#N/A</v>
      </c>
      <c r="C8" s="98">
        <f>'ERPs by country'!E14</f>
        <v>7.3846542568870452E-2</v>
      </c>
      <c r="D8" s="24">
        <f>'ERPs by country'!D14</f>
        <v>2.0743237044383835E-2</v>
      </c>
      <c r="E8" s="24">
        <f t="shared" si="0"/>
        <v>7.3846542568870452E-2</v>
      </c>
      <c r="F8" s="57">
        <f>'Country Tax Rates'!B8</f>
        <v>0.25</v>
      </c>
      <c r="G8" s="57">
        <f>E8-'ERPs by country'!$E$3</f>
        <v>2.7846542568870453E-2</v>
      </c>
      <c r="H8" s="75"/>
      <c r="I8" s="99">
        <v>62.000999999999998</v>
      </c>
      <c r="J8" s="99">
        <v>64</v>
      </c>
      <c r="K8" s="94">
        <f>$K$18+L8*'Relative Equity Volatility'!$D$7</f>
        <v>0.14105640765793431</v>
      </c>
      <c r="L8" s="47">
        <f>J36</f>
        <v>7.0808704231754685E-2</v>
      </c>
      <c r="M8" t="s">
        <v>78</v>
      </c>
      <c r="N8" s="200" t="s">
        <v>20</v>
      </c>
      <c r="O8" s="75">
        <v>73.75</v>
      </c>
    </row>
    <row r="9" spans="1:15">
      <c r="A9" s="46" t="str">
        <f>'ERPs by country'!A15</f>
        <v>Australia</v>
      </c>
      <c r="B9" s="132">
        <f t="shared" si="1"/>
        <v>79.5</v>
      </c>
      <c r="C9" s="98">
        <f>'ERPs by country'!E15</f>
        <v>4.5999999999999999E-2</v>
      </c>
      <c r="D9" s="24">
        <f>'ERPs by country'!D15</f>
        <v>0</v>
      </c>
      <c r="E9" s="24">
        <f t="shared" si="0"/>
        <v>4.5999999999999999E-2</v>
      </c>
      <c r="F9" s="57">
        <f>'Country Tax Rates'!B9</f>
        <v>0.3</v>
      </c>
      <c r="G9" s="57">
        <f>E9-'ERPs by country'!$E$3</f>
        <v>0</v>
      </c>
      <c r="H9" s="75"/>
      <c r="I9" s="99">
        <v>64.001000000000005</v>
      </c>
      <c r="J9" s="99">
        <v>66</v>
      </c>
      <c r="K9" s="94">
        <f>$K$18+L9*'Relative Equity Volatility'!$D$7</f>
        <v>0.12644556742118129</v>
      </c>
      <c r="L9" s="47">
        <f>J35</f>
        <v>5.9924907017108855E-2</v>
      </c>
      <c r="M9" t="s">
        <v>49</v>
      </c>
      <c r="N9" s="200" t="s">
        <v>86</v>
      </c>
      <c r="O9" s="75">
        <v>74.5</v>
      </c>
    </row>
    <row r="10" spans="1:15">
      <c r="A10" s="46" t="str">
        <f>'ERPs by country'!A16</f>
        <v>Austria</v>
      </c>
      <c r="B10" s="132">
        <f t="shared" si="1"/>
        <v>76.5</v>
      </c>
      <c r="C10" s="98">
        <f>'ERPs by country'!E16</f>
        <v>5.1844336094701203E-2</v>
      </c>
      <c r="D10" s="24">
        <f>'ERPs by country'!D16</f>
        <v>4.3535188858583353E-3</v>
      </c>
      <c r="E10" s="24">
        <f t="shared" si="0"/>
        <v>5.1844336094701203E-2</v>
      </c>
      <c r="F10" s="57">
        <f>'Country Tax Rates'!B10</f>
        <v>0.24</v>
      </c>
      <c r="G10" s="57">
        <f>E10-'ERPs by country'!$E$3</f>
        <v>5.8443360947012038E-3</v>
      </c>
      <c r="H10" s="75"/>
      <c r="I10" s="99">
        <v>66.001000000000005</v>
      </c>
      <c r="J10" s="99">
        <v>68</v>
      </c>
      <c r="K10" s="94">
        <f>$K$18+L10*'Relative Equity Volatility'!$D$7</f>
        <v>0.11183472718442829</v>
      </c>
      <c r="L10" s="47">
        <f>J34</f>
        <v>4.9041109802463012E-2</v>
      </c>
      <c r="M10" t="s">
        <v>48</v>
      </c>
      <c r="N10" s="200" t="s">
        <v>87</v>
      </c>
      <c r="O10" s="75">
        <v>69.25</v>
      </c>
    </row>
    <row r="11" spans="1:15">
      <c r="A11" s="46" t="str">
        <f>'ERPs by country'!A17</f>
        <v>Azerbaijan</v>
      </c>
      <c r="B11" s="132">
        <f t="shared" si="1"/>
        <v>73.75</v>
      </c>
      <c r="C11" s="98">
        <f>'ERPs by country'!E17</f>
        <v>8.2613046710922261E-2</v>
      </c>
      <c r="D11" s="24">
        <f>'ERPs by country'!D17</f>
        <v>2.7273515373171343E-2</v>
      </c>
      <c r="E11" s="24">
        <f t="shared" si="0"/>
        <v>8.2613046710922261E-2</v>
      </c>
      <c r="F11" s="57">
        <f>'Country Tax Rates'!B11</f>
        <v>0.2</v>
      </c>
      <c r="G11" s="57">
        <f>E11-'ERPs by country'!$E$3</f>
        <v>3.6613046710922262E-2</v>
      </c>
      <c r="H11" s="75"/>
      <c r="I11" s="99">
        <v>68.001000000000005</v>
      </c>
      <c r="J11" s="99">
        <v>69</v>
      </c>
      <c r="K11" s="94">
        <f>$K$18+L11*'Relative Equity Volatility'!$D$7</f>
        <v>9.8599024852310854E-2</v>
      </c>
      <c r="L11" s="47">
        <f>J33</f>
        <v>3.9181669972725021E-2</v>
      </c>
      <c r="M11" t="s">
        <v>81</v>
      </c>
      <c r="N11" s="200" t="s">
        <v>132</v>
      </c>
      <c r="O11" s="75">
        <v>63.5</v>
      </c>
    </row>
    <row r="12" spans="1:15">
      <c r="A12" s="46" t="str">
        <f>'ERPs by country'!A18</f>
        <v>Bahamas</v>
      </c>
      <c r="B12" s="132">
        <f t="shared" si="1"/>
        <v>74.5</v>
      </c>
      <c r="C12" s="98">
        <f>'ERPs by country'!E18</f>
        <v>0.11183472718442829</v>
      </c>
      <c r="D12" s="24">
        <f>'ERPs by country'!D18</f>
        <v>4.9041109802463012E-2</v>
      </c>
      <c r="E12" s="24">
        <f t="shared" si="0"/>
        <v>0.11183472718442829</v>
      </c>
      <c r="F12" s="57">
        <f>'Country Tax Rates'!B12</f>
        <v>0</v>
      </c>
      <c r="G12" s="57">
        <f>E12-'ERPs by country'!$E$3</f>
        <v>6.5834727184428288E-2</v>
      </c>
      <c r="H12" s="75"/>
      <c r="I12" s="99">
        <v>69.001000000000005</v>
      </c>
      <c r="J12" s="99">
        <v>72</v>
      </c>
      <c r="K12" s="94">
        <f>$K$18+L12*'Relative Equity Volatility'!$D$7</f>
        <v>9.0004412948338497E-2</v>
      </c>
      <c r="L12" s="47">
        <f>J32</f>
        <v>3.2779436317050999E-2</v>
      </c>
      <c r="M12" t="s">
        <v>80</v>
      </c>
      <c r="N12" s="200" t="s">
        <v>5</v>
      </c>
      <c r="O12" s="75">
        <v>61.75</v>
      </c>
    </row>
    <row r="13" spans="1:15">
      <c r="A13" s="46" t="str">
        <f>'ERPs by country'!A19</f>
        <v>Bahrain</v>
      </c>
      <c r="B13" s="132">
        <f t="shared" si="1"/>
        <v>69.25</v>
      </c>
      <c r="C13" s="98">
        <f>'ERPs by country'!E19</f>
        <v>0.12644556742118129</v>
      </c>
      <c r="D13" s="24">
        <f>'ERPs by country'!D19</f>
        <v>5.9924907017108855E-2</v>
      </c>
      <c r="E13" s="24">
        <f t="shared" si="0"/>
        <v>0.12644556742118129</v>
      </c>
      <c r="F13" s="57">
        <f>'Country Tax Rates'!B13</f>
        <v>0</v>
      </c>
      <c r="G13" s="57">
        <f>E13-'ERPs by country'!$E$3</f>
        <v>8.0445567421181294E-2</v>
      </c>
      <c r="H13" s="75"/>
      <c r="I13" s="99">
        <v>72.001000000000005</v>
      </c>
      <c r="J13" s="99">
        <v>74</v>
      </c>
      <c r="K13" s="94">
        <f>$K$18+L13*'Relative Equity Volatility'!$D$7</f>
        <v>7.3846542568870452E-2</v>
      </c>
      <c r="L13" s="47">
        <f>J29</f>
        <v>2.0743237044383835E-2</v>
      </c>
      <c r="M13" t="s">
        <v>83</v>
      </c>
      <c r="N13" s="200" t="s">
        <v>176</v>
      </c>
      <c r="O13" s="75">
        <v>74.5</v>
      </c>
    </row>
    <row r="14" spans="1:15">
      <c r="A14" s="46" t="str">
        <f>'ERPs by country'!A20</f>
        <v>Bangladesh</v>
      </c>
      <c r="B14" s="132">
        <f t="shared" si="1"/>
        <v>63.5</v>
      </c>
      <c r="C14" s="98">
        <f>'ERPs by country'!E20</f>
        <v>0.11183472718442829</v>
      </c>
      <c r="D14" s="24">
        <f>'ERPs by country'!D20</f>
        <v>4.9041109802463012E-2</v>
      </c>
      <c r="E14" s="24">
        <f t="shared" si="0"/>
        <v>0.11183472718442829</v>
      </c>
      <c r="F14" s="57">
        <f>'Country Tax Rates'!B14</f>
        <v>0.3</v>
      </c>
      <c r="G14" s="57">
        <f>E14-'ERPs by country'!$E$3</f>
        <v>6.5834727184428288E-2</v>
      </c>
      <c r="H14" s="75"/>
      <c r="I14" s="99">
        <v>74.001000000000005</v>
      </c>
      <c r="J14" s="99">
        <v>76</v>
      </c>
      <c r="K14" s="94">
        <f>$K$18+L14*'Relative Equity Volatility'!$D$7</f>
        <v>6.9377344378804828E-2</v>
      </c>
      <c r="L14" s="47">
        <f>J28</f>
        <v>1.7414075543433341E-2</v>
      </c>
      <c r="M14" t="s">
        <v>82</v>
      </c>
      <c r="N14" s="200" t="s">
        <v>91</v>
      </c>
      <c r="O14" s="75">
        <v>64.5</v>
      </c>
    </row>
    <row r="15" spans="1:15">
      <c r="A15" s="46" t="str">
        <f>'ERPs by country'!A21</f>
        <v>Barbados</v>
      </c>
      <c r="B15" s="132" t="e">
        <f t="shared" si="1"/>
        <v>#N/A</v>
      </c>
      <c r="C15" s="98">
        <f>'ERPs by country'!E21</f>
        <v>0.14105640765793431</v>
      </c>
      <c r="D15" s="24">
        <f>'ERPs by country'!D21</f>
        <v>7.0808704231754685E-2</v>
      </c>
      <c r="E15" s="24">
        <f t="shared" si="0"/>
        <v>0.14105640765793431</v>
      </c>
      <c r="F15" s="57">
        <f>'Country Tax Rates'!B15</f>
        <v>5.5E-2</v>
      </c>
      <c r="G15" s="57">
        <f>E15-'ERPs by country'!$E$3</f>
        <v>9.5056407657934314E-2</v>
      </c>
      <c r="H15" s="75"/>
      <c r="I15" s="99">
        <v>76.001000000000005</v>
      </c>
      <c r="J15" s="99">
        <v>80</v>
      </c>
      <c r="K15" s="94">
        <f>$K$18+L15*'Relative Equity Volatility'!$D$7</f>
        <v>5.83762411417202E-2</v>
      </c>
      <c r="L15" s="47">
        <f>J26</f>
        <v>9.2192164641705932E-3</v>
      </c>
      <c r="M15" t="s">
        <v>42</v>
      </c>
      <c r="N15" s="200" t="s">
        <v>123</v>
      </c>
      <c r="O15" s="75">
        <v>79.5</v>
      </c>
    </row>
    <row r="16" spans="1:15">
      <c r="A16" s="46" t="str">
        <f>'ERPs by country'!A22</f>
        <v>Belarus</v>
      </c>
      <c r="B16" s="132">
        <f t="shared" si="1"/>
        <v>61.75</v>
      </c>
      <c r="C16" s="98">
        <f>'ERPs by country'!E22</f>
        <v>0.28092692770782934</v>
      </c>
      <c r="D16" s="24">
        <f>'ERPs by country'!D22</f>
        <v>0.17499999999999999</v>
      </c>
      <c r="E16" s="24">
        <f t="shared" si="0"/>
        <v>0.28092692770782934</v>
      </c>
      <c r="F16" s="57">
        <f>'Country Tax Rates'!B16</f>
        <v>0.18</v>
      </c>
      <c r="G16" s="57">
        <f>E16-'ERPs by country'!$E$3</f>
        <v>0.23492692770782936</v>
      </c>
      <c r="H16" s="75"/>
      <c r="I16" s="99">
        <v>80.001000000000005</v>
      </c>
      <c r="J16" s="99">
        <v>82.5</v>
      </c>
      <c r="K16" s="94">
        <f>$K$18+L16*'Relative Equity Volatility'!$D$7</f>
        <v>5.4766504142051808E-2</v>
      </c>
      <c r="L16" s="47">
        <f>J24</f>
        <v>6.5302783287875029E-3</v>
      </c>
      <c r="M16" t="s">
        <v>46</v>
      </c>
      <c r="N16" s="200" t="s">
        <v>92</v>
      </c>
      <c r="O16" s="75">
        <v>71</v>
      </c>
    </row>
    <row r="17" spans="1:15">
      <c r="A17" s="46" t="str">
        <f>'ERPs by country'!A23</f>
        <v>Belgium</v>
      </c>
      <c r="B17" s="132">
        <f t="shared" si="1"/>
        <v>74.5</v>
      </c>
      <c r="C17" s="98">
        <f>'ERPs by country'!E23</f>
        <v>5.4766504142051808E-2</v>
      </c>
      <c r="D17" s="24">
        <f>'ERPs by country'!D23</f>
        <v>6.5302783287875029E-3</v>
      </c>
      <c r="E17" s="24">
        <f t="shared" si="0"/>
        <v>5.4766504142051808E-2</v>
      </c>
      <c r="F17" s="57">
        <f>'Country Tax Rates'!B17</f>
        <v>0.25</v>
      </c>
      <c r="G17" s="57">
        <f>E17-'ERPs by country'!$E$3</f>
        <v>8.7665041420518092E-3</v>
      </c>
      <c r="H17" s="75"/>
      <c r="I17" s="99">
        <v>82.501000000000005</v>
      </c>
      <c r="J17" s="99">
        <v>85</v>
      </c>
      <c r="K17" s="94">
        <f>$K$18+L17*'Relative Equity Volatility'!$D$7</f>
        <v>5.1844336094701203E-2</v>
      </c>
      <c r="L17" s="47">
        <f>J22</f>
        <v>4.3535188858583353E-3</v>
      </c>
      <c r="M17" t="s">
        <v>44</v>
      </c>
      <c r="N17" s="200" t="s">
        <v>337</v>
      </c>
      <c r="O17" s="75">
        <v>81.5</v>
      </c>
    </row>
    <row r="18" spans="1:15">
      <c r="A18" s="46" t="str">
        <f>'ERPs by country'!A24</f>
        <v>Belize</v>
      </c>
      <c r="B18" s="132" t="e">
        <f t="shared" si="1"/>
        <v>#N/A</v>
      </c>
      <c r="C18" s="98">
        <f>'ERPs by country'!E24</f>
        <v>0.17766945436885656</v>
      </c>
      <c r="D18" s="24">
        <f>'ERPs by country'!D24</f>
        <v>9.8082219604926024E-2</v>
      </c>
      <c r="E18" s="24">
        <f t="shared" si="0"/>
        <v>0.17766945436885656</v>
      </c>
      <c r="F18" s="57">
        <f>'Country Tax Rates'!B18</f>
        <v>0.2853</v>
      </c>
      <c r="G18" s="57">
        <f>E18-'ERPs by country'!$E$3</f>
        <v>0.13166945436885658</v>
      </c>
      <c r="H18" s="75"/>
      <c r="I18" s="99">
        <v>85.001000000000005</v>
      </c>
      <c r="J18" s="99">
        <v>90.000100000000003</v>
      </c>
      <c r="K18" s="94">
        <f>'ERPs by country'!E3</f>
        <v>4.5999999999999999E-2</v>
      </c>
      <c r="L18" s="47">
        <f>J21</f>
        <v>0</v>
      </c>
      <c r="M18" t="s">
        <v>47</v>
      </c>
      <c r="N18" s="200" t="s">
        <v>94</v>
      </c>
      <c r="O18" s="75">
        <v>71.5</v>
      </c>
    </row>
    <row r="19" spans="1:15">
      <c r="A19" s="46" t="str">
        <f>'ERPs by country'!A25</f>
        <v>Benin</v>
      </c>
      <c r="B19" s="132" t="e">
        <f t="shared" si="1"/>
        <v>#N/A</v>
      </c>
      <c r="C19" s="98">
        <f>'ERPs by country'!E25</f>
        <v>0.11183472718442829</v>
      </c>
      <c r="D19" s="24">
        <f>'ERPs by country'!D25</f>
        <v>4.9041109802463012E-2</v>
      </c>
      <c r="E19" s="24">
        <f t="shared" si="0"/>
        <v>0.11183472718442829</v>
      </c>
      <c r="F19" s="57">
        <f>'Country Tax Rates'!B19</f>
        <v>0.3</v>
      </c>
      <c r="G19" s="57">
        <f>E19-'ERPs by country'!$E$3</f>
        <v>6.5834727184428288E-2</v>
      </c>
      <c r="H19" s="75"/>
      <c r="N19" s="200" t="s">
        <v>210</v>
      </c>
      <c r="O19" s="75">
        <v>59</v>
      </c>
    </row>
    <row r="20" spans="1:15">
      <c r="A20" s="46" t="str">
        <f>'ERPs by country'!A26</f>
        <v>Bermuda</v>
      </c>
      <c r="B20" s="132" t="e">
        <f t="shared" si="1"/>
        <v>#N/A</v>
      </c>
      <c r="C20" s="98">
        <f>'ERPs by country'!E26</f>
        <v>5.83762411417202E-2</v>
      </c>
      <c r="D20" s="24">
        <f>'ERPs by country'!D26</f>
        <v>9.2192164641705932E-3</v>
      </c>
      <c r="E20" s="24">
        <f t="shared" si="0"/>
        <v>5.83762411417202E-2</v>
      </c>
      <c r="F20" s="57">
        <f>'Country Tax Rates'!B20</f>
        <v>0</v>
      </c>
      <c r="G20" s="57">
        <f>E20-'ERPs by country'!$E$3</f>
        <v>1.2376241141720201E-2</v>
      </c>
      <c r="H20" s="75"/>
      <c r="I20" s="17" t="s">
        <v>39</v>
      </c>
      <c r="J20" s="15" t="s">
        <v>661</v>
      </c>
      <c r="N20" s="200" t="s">
        <v>211</v>
      </c>
      <c r="O20" s="75">
        <v>61.5</v>
      </c>
    </row>
    <row r="21" spans="1:15">
      <c r="A21" s="46" t="str">
        <f>'ERPs by country'!A27</f>
        <v>Bolivia</v>
      </c>
      <c r="B21" s="132">
        <f t="shared" si="1"/>
        <v>64.5</v>
      </c>
      <c r="C21" s="98">
        <f>'ERPs by country'!E27</f>
        <v>0.15566724789468733</v>
      </c>
      <c r="D21" s="24">
        <f>'ERPs by country'!D27</f>
        <v>8.1692501446400528E-2</v>
      </c>
      <c r="E21" s="24">
        <f t="shared" si="0"/>
        <v>0.15566724789468733</v>
      </c>
      <c r="F21" s="57">
        <f>'Country Tax Rates'!B21</f>
        <v>0.25</v>
      </c>
      <c r="G21" s="57">
        <f>E21-'ERPs by country'!$E$3</f>
        <v>0.10966724789468733</v>
      </c>
      <c r="H21" s="75"/>
      <c r="I21" s="4" t="s">
        <v>47</v>
      </c>
      <c r="J21" s="94">
        <f>'Default Spreads for Ratings'!C8/10000</f>
        <v>0</v>
      </c>
      <c r="K21" s="78"/>
      <c r="N21" s="200" t="s">
        <v>95</v>
      </c>
      <c r="O21" s="75">
        <v>80.75</v>
      </c>
    </row>
    <row r="22" spans="1:15">
      <c r="A22" s="46" t="str">
        <f>'ERPs by country'!A28</f>
        <v>Bosnia and Herzegovina</v>
      </c>
      <c r="B22" s="132" t="e">
        <f t="shared" si="1"/>
        <v>#N/A</v>
      </c>
      <c r="C22" s="98">
        <f>'ERPs by country'!E28</f>
        <v>0.14105640765793431</v>
      </c>
      <c r="D22" s="24">
        <f>'ERPs by country'!D28</f>
        <v>7.0808704231754685E-2</v>
      </c>
      <c r="E22" s="24">
        <f t="shared" si="0"/>
        <v>0.14105640765793431</v>
      </c>
      <c r="F22" s="57">
        <f>'Country Tax Rates'!B22</f>
        <v>0.1</v>
      </c>
      <c r="G22" s="57">
        <f>E22-'ERPs by country'!$E$3</f>
        <v>9.5056407657934314E-2</v>
      </c>
      <c r="H22" s="75"/>
      <c r="I22" s="4" t="s">
        <v>44</v>
      </c>
      <c r="J22" s="94">
        <f>'Default Spreads for Ratings'!C5/10000</f>
        <v>4.3535188858583353E-3</v>
      </c>
      <c r="K22" s="78"/>
      <c r="N22" s="200" t="s">
        <v>96</v>
      </c>
      <c r="O22" s="75">
        <v>72</v>
      </c>
    </row>
    <row r="23" spans="1:15">
      <c r="A23" s="46" t="str">
        <f>'ERPs by country'!A29</f>
        <v>Botswana</v>
      </c>
      <c r="B23" s="132">
        <f t="shared" si="1"/>
        <v>79.5</v>
      </c>
      <c r="C23" s="98">
        <f>'ERPs by country'!E29</f>
        <v>6.3533008284103618E-2</v>
      </c>
      <c r="D23" s="24">
        <f>'ERPs by country'!D29</f>
        <v>1.3060556657575006E-2</v>
      </c>
      <c r="E23" s="24">
        <f t="shared" si="0"/>
        <v>6.3533008284103618E-2</v>
      </c>
      <c r="F23" s="57">
        <f>'Country Tax Rates'!B23</f>
        <v>0.22</v>
      </c>
      <c r="G23" s="57">
        <f>E23-'ERPs by country'!$E$3</f>
        <v>1.7533008284103618E-2</v>
      </c>
      <c r="H23" s="75"/>
      <c r="I23" s="4" t="s">
        <v>45</v>
      </c>
      <c r="J23" s="94">
        <f>'Default Spreads for Ratings'!C6/10000</f>
        <v>5.3778762707661788E-3</v>
      </c>
      <c r="K23" s="78"/>
      <c r="N23" s="200" t="s">
        <v>528</v>
      </c>
      <c r="O23" s="75">
        <v>69.75</v>
      </c>
    </row>
    <row r="24" spans="1:15">
      <c r="A24" s="46" t="str">
        <f>'ERPs by country'!A30</f>
        <v>Brazil</v>
      </c>
      <c r="B24" s="132">
        <f t="shared" si="1"/>
        <v>71</v>
      </c>
      <c r="C24" s="98">
        <f>'ERPs by country'!E30</f>
        <v>9.0004412948338497E-2</v>
      </c>
      <c r="D24" s="24">
        <f>'ERPs by country'!D30</f>
        <v>3.2779436317050999E-2</v>
      </c>
      <c r="E24" s="24">
        <f t="shared" si="0"/>
        <v>9.0004412948338497E-2</v>
      </c>
      <c r="F24" s="57">
        <f>'Country Tax Rates'!B24</f>
        <v>0.34</v>
      </c>
      <c r="G24" s="57">
        <f>E24-'ERPs by country'!$E$3</f>
        <v>4.4004412948338498E-2</v>
      </c>
      <c r="H24" s="75"/>
      <c r="I24" s="4" t="s">
        <v>46</v>
      </c>
      <c r="J24" s="94">
        <f>'Default Spreads for Ratings'!C7/10000</f>
        <v>6.5302783287875029E-3</v>
      </c>
      <c r="K24" s="78"/>
      <c r="N24" s="200" t="s">
        <v>50</v>
      </c>
      <c r="O24" s="75">
        <v>63.25</v>
      </c>
    </row>
    <row r="25" spans="1:15">
      <c r="A25" s="46" t="str">
        <f>'ERPs by country'!A31</f>
        <v>Bulgaria</v>
      </c>
      <c r="B25" s="132">
        <f t="shared" si="1"/>
        <v>71.5</v>
      </c>
      <c r="C25" s="98">
        <f>'ERPs by country'!E31</f>
        <v>6.9377344378804828E-2</v>
      </c>
      <c r="D25" s="24">
        <f>'ERPs by country'!D31</f>
        <v>1.7414075543433341E-2</v>
      </c>
      <c r="E25" s="24">
        <f t="shared" si="0"/>
        <v>6.9377344378804828E-2</v>
      </c>
      <c r="F25" s="57">
        <f>'Country Tax Rates'!B25</f>
        <v>0.1</v>
      </c>
      <c r="G25" s="57">
        <f>E25-'ERPs by country'!$E$3</f>
        <v>2.3377344378804829E-2</v>
      </c>
      <c r="H25" s="75"/>
      <c r="I25" s="4" t="s">
        <v>41</v>
      </c>
      <c r="J25" s="94">
        <f>'Default Spreads for Ratings'!C2/10000</f>
        <v>7.6826803868088279E-3</v>
      </c>
      <c r="K25" s="78"/>
      <c r="N25" s="46" t="s">
        <v>286</v>
      </c>
      <c r="O25" s="75">
        <v>57</v>
      </c>
    </row>
    <row r="26" spans="1:15">
      <c r="A26" s="46" t="str">
        <f>'ERPs by country'!A32</f>
        <v>Burkina Faso</v>
      </c>
      <c r="B26" s="132">
        <f t="shared" si="1"/>
        <v>59</v>
      </c>
      <c r="C26" s="98">
        <f>'ERPs by country'!E32</f>
        <v>0.15566724789468733</v>
      </c>
      <c r="D26" s="24">
        <f>'ERPs by country'!D32</f>
        <v>8.1692501446400528E-2</v>
      </c>
      <c r="E26" s="24">
        <f t="shared" si="0"/>
        <v>0.15566724789468733</v>
      </c>
      <c r="F26" s="57">
        <f>'Country Tax Rates'!B26</f>
        <v>0.28000000000000003</v>
      </c>
      <c r="G26" s="57">
        <f>E26-'ERPs by country'!$E$3</f>
        <v>0.10966724789468733</v>
      </c>
      <c r="H26" s="75"/>
      <c r="I26" s="4" t="s">
        <v>42</v>
      </c>
      <c r="J26" s="94">
        <f>'Default Spreads for Ratings'!C3/10000</f>
        <v>9.2192164641705932E-3</v>
      </c>
      <c r="K26" s="78"/>
      <c r="N26" s="46" t="s">
        <v>287</v>
      </c>
      <c r="O26" s="75">
        <v>68.5</v>
      </c>
    </row>
    <row r="27" spans="1:15">
      <c r="A27" s="46" t="str">
        <f>'ERPs by country'!A33</f>
        <v>Cambodia</v>
      </c>
      <c r="B27" s="132" t="e">
        <f t="shared" si="1"/>
        <v>#N/A</v>
      </c>
      <c r="C27" s="98">
        <f>'ERPs by country'!E33</f>
        <v>0.12644556742118129</v>
      </c>
      <c r="D27" s="24">
        <f>'ERPs by country'!D33</f>
        <v>5.9924907017108855E-2</v>
      </c>
      <c r="E27" s="24">
        <f t="shared" si="0"/>
        <v>0.12644556742118129</v>
      </c>
      <c r="F27" s="57">
        <f>'Country Tax Rates'!B27</f>
        <v>0.2</v>
      </c>
      <c r="G27" s="57">
        <f>E27-'ERPs by country'!$E$3</f>
        <v>8.0445567421181294E-2</v>
      </c>
      <c r="H27" s="75"/>
      <c r="I27" s="4" t="s">
        <v>43</v>
      </c>
      <c r="J27" s="94">
        <f>'Default Spreads for Ratings'!C4/10000</f>
        <v>1.3060556657575006E-2</v>
      </c>
      <c r="K27" s="78"/>
      <c r="N27" s="200" t="s">
        <v>56</v>
      </c>
      <c r="O27" s="75">
        <v>73</v>
      </c>
    </row>
    <row r="28" spans="1:15">
      <c r="A28" s="46" t="str">
        <f>'ERPs by country'!A34</f>
        <v>Cameroon</v>
      </c>
      <c r="B28" s="132">
        <f t="shared" si="1"/>
        <v>61.5</v>
      </c>
      <c r="C28" s="98">
        <f>'ERPs by country'!E34</f>
        <v>0.15566724789468733</v>
      </c>
      <c r="D28" s="24">
        <f>'ERPs by country'!D34</f>
        <v>8.1692501446400528E-2</v>
      </c>
      <c r="E28" s="24">
        <f t="shared" si="0"/>
        <v>0.15566724789468733</v>
      </c>
      <c r="F28" s="57">
        <f>'Country Tax Rates'!B28</f>
        <v>0.33</v>
      </c>
      <c r="G28" s="57">
        <f>E28-'ERPs by country'!$E$3</f>
        <v>0.10966724789468733</v>
      </c>
      <c r="H28" s="75"/>
      <c r="I28" s="4" t="s">
        <v>82</v>
      </c>
      <c r="J28" s="94">
        <f>'Default Spreads for Ratings'!C15/10000</f>
        <v>1.7414075543433341E-2</v>
      </c>
      <c r="K28" s="78"/>
      <c r="N28" s="200" t="s">
        <v>368</v>
      </c>
      <c r="O28" s="75">
        <v>63.5</v>
      </c>
    </row>
    <row r="29" spans="1:15">
      <c r="A29" s="46" t="str">
        <f>'ERPs by country'!A35</f>
        <v>Canada</v>
      </c>
      <c r="B29" s="132">
        <f t="shared" si="1"/>
        <v>80.75</v>
      </c>
      <c r="C29" s="98">
        <f>'ERPs by country'!E35</f>
        <v>4.5999999999999999E-2</v>
      </c>
      <c r="D29" s="24">
        <f>'ERPs by country'!D35</f>
        <v>0</v>
      </c>
      <c r="E29" s="24">
        <f t="shared" si="0"/>
        <v>4.5999999999999999E-2</v>
      </c>
      <c r="F29" s="57">
        <f>'Country Tax Rates'!B29</f>
        <v>0.26500000000000001</v>
      </c>
      <c r="G29" s="57">
        <f>E29-'ERPs by country'!$E$3</f>
        <v>0</v>
      </c>
      <c r="H29" s="75"/>
      <c r="I29" s="4" t="s">
        <v>83</v>
      </c>
      <c r="J29" s="94">
        <f>'Default Spreads for Ratings'!C16/10000</f>
        <v>2.0743237044383835E-2</v>
      </c>
      <c r="K29" s="78"/>
      <c r="N29" s="200" t="s">
        <v>98</v>
      </c>
      <c r="O29" s="75">
        <v>73.75</v>
      </c>
    </row>
    <row r="30" spans="1:15">
      <c r="A30" s="46" t="str">
        <f>'ERPs by country'!A36</f>
        <v>Cape Verde</v>
      </c>
      <c r="B30" s="132" t="e">
        <f t="shared" si="1"/>
        <v>#N/A</v>
      </c>
      <c r="C30" s="98">
        <f>'ERPs by country'!E36</f>
        <v>0.14105640765793431</v>
      </c>
      <c r="D30" s="24">
        <f>'ERPs by country'!D36</f>
        <v>7.0808704231754685E-2</v>
      </c>
      <c r="E30" s="24">
        <f t="shared" si="0"/>
        <v>0.14105640765793431</v>
      </c>
      <c r="F30" s="57">
        <f>'Country Tax Rates'!B30</f>
        <v>0</v>
      </c>
      <c r="G30" s="57">
        <f>E30-'ERPs by country'!$E$3</f>
        <v>9.5056407657934314E-2</v>
      </c>
      <c r="H30" s="75"/>
      <c r="I30" s="4" t="s">
        <v>124</v>
      </c>
      <c r="J30" s="94">
        <f>'Default Spreads for Ratings'!C17/10000</f>
        <v>2.3944353872220846E-2</v>
      </c>
      <c r="K30" s="78"/>
      <c r="N30" s="200" t="s">
        <v>99</v>
      </c>
      <c r="O30" s="75">
        <v>61.75</v>
      </c>
    </row>
    <row r="31" spans="1:15">
      <c r="A31" s="46" t="str">
        <f>'ERPs by country'!A37</f>
        <v>Cayman Islands</v>
      </c>
      <c r="B31" s="132" t="e">
        <f t="shared" si="1"/>
        <v>#N/A</v>
      </c>
      <c r="C31" s="98">
        <f>'ERPs by country'!E37</f>
        <v>5.4766504142051808E-2</v>
      </c>
      <c r="D31" s="24">
        <f>'ERPs by country'!D37</f>
        <v>6.5302783287875029E-3</v>
      </c>
      <c r="E31" s="24">
        <f t="shared" si="0"/>
        <v>5.4766504142051808E-2</v>
      </c>
      <c r="F31" s="57">
        <f>'Country Tax Rates'!B31</f>
        <v>0</v>
      </c>
      <c r="G31" s="57">
        <f>E31-'ERPs by country'!$E$3</f>
        <v>8.7665041420518092E-3</v>
      </c>
      <c r="H31" s="75"/>
      <c r="I31" s="4" t="s">
        <v>79</v>
      </c>
      <c r="J31" s="94">
        <f>'Default Spreads for Ratings'!C12/10000</f>
        <v>2.7273515373171343E-2</v>
      </c>
      <c r="K31" s="78"/>
      <c r="N31" s="200" t="s">
        <v>177</v>
      </c>
      <c r="O31" s="75">
        <v>70</v>
      </c>
    </row>
    <row r="32" spans="1:15">
      <c r="A32" s="46" t="str">
        <f>'ERPs by country'!A38</f>
        <v>Chile</v>
      </c>
      <c r="B32" s="132">
        <f t="shared" si="1"/>
        <v>72</v>
      </c>
      <c r="C32" s="98">
        <f>'ERPs by country'!E38</f>
        <v>5.83762411417202E-2</v>
      </c>
      <c r="D32" s="24">
        <f>'ERPs by country'!D38</f>
        <v>9.2192164641705932E-3</v>
      </c>
      <c r="E32" s="24">
        <f t="shared" si="0"/>
        <v>5.83762411417202E-2</v>
      </c>
      <c r="F32" s="57">
        <f>'Country Tax Rates'!B32</f>
        <v>0.27</v>
      </c>
      <c r="G32" s="57">
        <f>E32-'ERPs by country'!$E$3</f>
        <v>1.2376241141720201E-2</v>
      </c>
      <c r="H32" s="75"/>
      <c r="I32" s="4" t="s">
        <v>80</v>
      </c>
      <c r="J32" s="94">
        <f>'Default Spreads for Ratings'!C13/10000</f>
        <v>3.2779436317050999E-2</v>
      </c>
      <c r="K32" s="78"/>
      <c r="N32" s="200" t="s">
        <v>101</v>
      </c>
      <c r="O32" s="75">
        <v>76</v>
      </c>
    </row>
    <row r="33" spans="1:15">
      <c r="A33" s="46" t="str">
        <f>'ERPs by country'!A39</f>
        <v>China</v>
      </c>
      <c r="B33" s="132" t="e">
        <f t="shared" si="1"/>
        <v>#N/A</v>
      </c>
      <c r="C33" s="98">
        <f>'ERPs by country'!E39</f>
        <v>5.6313534284766834E-2</v>
      </c>
      <c r="D33" s="24">
        <f>'ERPs by country'!D39</f>
        <v>7.6826803868088279E-3</v>
      </c>
      <c r="E33" s="24">
        <f t="shared" si="0"/>
        <v>5.6313534284766834E-2</v>
      </c>
      <c r="F33" s="57">
        <f>'Country Tax Rates'!B33</f>
        <v>0.25</v>
      </c>
      <c r="G33" s="57">
        <f>E33-'ERPs by country'!$E$3</f>
        <v>1.0313534284766834E-2</v>
      </c>
      <c r="H33" s="75"/>
      <c r="I33" s="4" t="s">
        <v>81</v>
      </c>
      <c r="J33" s="94">
        <f>'Default Spreads for Ratings'!C14/10000</f>
        <v>3.9181669972725021E-2</v>
      </c>
      <c r="K33" s="78"/>
      <c r="N33" s="200" t="s">
        <v>102</v>
      </c>
      <c r="O33" s="75">
        <v>84.75</v>
      </c>
    </row>
    <row r="34" spans="1:15">
      <c r="A34" s="46" t="str">
        <f>'ERPs by country'!A40</f>
        <v>Colombia</v>
      </c>
      <c r="B34" s="132">
        <f t="shared" si="1"/>
        <v>63.25</v>
      </c>
      <c r="C34" s="98">
        <f>'ERPs by country'!E40</f>
        <v>7.3846542568870452E-2</v>
      </c>
      <c r="D34" s="24">
        <f>'ERPs by country'!D40</f>
        <v>2.0743237044383835E-2</v>
      </c>
      <c r="E34" s="24">
        <f t="shared" si="0"/>
        <v>7.3846542568870452E-2</v>
      </c>
      <c r="F34" s="57">
        <f>'Country Tax Rates'!B34</f>
        <v>0.35</v>
      </c>
      <c r="G34" s="57">
        <f>E34-'ERPs by country'!$E$3</f>
        <v>2.7846542568870453E-2</v>
      </c>
      <c r="H34" s="75"/>
      <c r="I34" s="4" t="s">
        <v>48</v>
      </c>
      <c r="J34" s="94">
        <f>'Default Spreads for Ratings'!C9/10000</f>
        <v>4.9041109802463012E-2</v>
      </c>
      <c r="K34" s="78"/>
      <c r="N34" s="200" t="s">
        <v>103</v>
      </c>
      <c r="O34" s="75">
        <v>72</v>
      </c>
    </row>
    <row r="35" spans="1:15">
      <c r="A35" s="46" t="str">
        <f>'ERPs by country'!A41</f>
        <v>Congo (Democratic Republic of)</v>
      </c>
      <c r="B35" s="132">
        <f t="shared" si="1"/>
        <v>57</v>
      </c>
      <c r="C35" s="98">
        <f>'ERPs by country'!E41</f>
        <v>0.14105640765793431</v>
      </c>
      <c r="D35" s="24">
        <f>'ERPs by country'!D41</f>
        <v>7.0808704231754685E-2</v>
      </c>
      <c r="E35" s="24">
        <f t="shared" si="0"/>
        <v>0.14105640765793431</v>
      </c>
      <c r="F35" s="57">
        <f>'Country Tax Rates'!B35</f>
        <v>0.3</v>
      </c>
      <c r="G35" s="57">
        <f>E35-'ERPs by country'!$E$3</f>
        <v>9.5056407657934314E-2</v>
      </c>
      <c r="H35" s="75"/>
      <c r="I35" s="4" t="s">
        <v>49</v>
      </c>
      <c r="J35" s="94">
        <f>'Default Spreads for Ratings'!C10/10000</f>
        <v>5.9924907017108855E-2</v>
      </c>
      <c r="K35" s="78"/>
      <c r="N35" s="200" t="s">
        <v>104</v>
      </c>
      <c r="O35" s="75">
        <v>66</v>
      </c>
    </row>
    <row r="36" spans="1:15">
      <c r="A36" s="46" t="str">
        <f>'ERPs by country'!A42</f>
        <v>Congo (Republic of)</v>
      </c>
      <c r="B36" s="132">
        <f t="shared" si="1"/>
        <v>68.5</v>
      </c>
      <c r="C36" s="98">
        <f>'ERPs by country'!E42</f>
        <v>0.17766945436885656</v>
      </c>
      <c r="D36" s="24">
        <f>'ERPs by country'!D42</f>
        <v>9.8082219604926024E-2</v>
      </c>
      <c r="E36" s="24">
        <f t="shared" si="0"/>
        <v>0.17766945436885656</v>
      </c>
      <c r="F36" s="57">
        <f>'Country Tax Rates'!B36</f>
        <v>0.28000000000000003</v>
      </c>
      <c r="G36" s="57">
        <f>E36-'ERPs by country'!$E$3</f>
        <v>0.13166945436885658</v>
      </c>
      <c r="H36" s="75"/>
      <c r="I36" s="4" t="s">
        <v>78</v>
      </c>
      <c r="J36" s="94">
        <f>'Default Spreads for Ratings'!C11/10000</f>
        <v>7.0808704231754685E-2</v>
      </c>
      <c r="K36" s="78"/>
      <c r="N36" s="200" t="s">
        <v>105</v>
      </c>
      <c r="O36" s="75">
        <v>56</v>
      </c>
    </row>
    <row r="37" spans="1:15">
      <c r="A37" s="46" t="str">
        <f>'ERPs by country'!A43</f>
        <v>Cook Islands</v>
      </c>
      <c r="B37" s="132" t="e">
        <f t="shared" si="1"/>
        <v>#N/A</v>
      </c>
      <c r="C37" s="98">
        <f>'ERPs by country'!E43</f>
        <v>0.11183472718442829</v>
      </c>
      <c r="D37" s="24">
        <f>'ERPs by country'!D43</f>
        <v>4.9041109802463012E-2</v>
      </c>
      <c r="E37" s="24">
        <f t="shared" si="0"/>
        <v>0.11183472718442829</v>
      </c>
      <c r="F37" s="57">
        <f>'Country Tax Rates'!B37</f>
        <v>0.2974</v>
      </c>
      <c r="G37" s="57">
        <f>E37-'ERPs by country'!$E$3</f>
        <v>6.5834727184428288E-2</v>
      </c>
      <c r="H37" s="75"/>
      <c r="I37" s="4" t="s">
        <v>100</v>
      </c>
      <c r="J37" s="94">
        <f>'Default Spreads for Ratings'!C19/10000</f>
        <v>8.1692501446400528E-2</v>
      </c>
      <c r="K37" s="78"/>
      <c r="N37" s="200" t="s">
        <v>31</v>
      </c>
      <c r="O37" s="75">
        <v>66.5</v>
      </c>
    </row>
    <row r="38" spans="1:15">
      <c r="A38" s="46" t="str">
        <f>'ERPs by country'!A44</f>
        <v>Costa Rica</v>
      </c>
      <c r="B38" s="132">
        <f t="shared" si="1"/>
        <v>73</v>
      </c>
      <c r="C38" s="98">
        <f>'ERPs by country'!E44</f>
        <v>0.11183472718442829</v>
      </c>
      <c r="D38" s="24">
        <f>'ERPs by country'!D44</f>
        <v>4.9041109802463012E-2</v>
      </c>
      <c r="E38" s="24">
        <f t="shared" si="0"/>
        <v>0.11183472718442829</v>
      </c>
      <c r="F38" s="57">
        <f>'Country Tax Rates'!B38</f>
        <v>0.3</v>
      </c>
      <c r="G38" s="57">
        <f>E38-'ERPs by country'!$E$3</f>
        <v>6.5834727184428288E-2</v>
      </c>
      <c r="H38" s="75"/>
      <c r="I38" s="4" t="s">
        <v>58</v>
      </c>
      <c r="J38" s="94">
        <f>'Default Spreads for Ratings'!C20/10000</f>
        <v>9.8082219604926024E-2</v>
      </c>
      <c r="K38" s="78"/>
      <c r="N38" s="200" t="s">
        <v>106</v>
      </c>
      <c r="O38" s="75">
        <v>69.25</v>
      </c>
    </row>
    <row r="39" spans="1:15">
      <c r="A39" s="46" t="str">
        <f>'ERPs by country'!A45</f>
        <v>Côte d'Ivoire</v>
      </c>
      <c r="B39" s="132" t="e">
        <f t="shared" si="1"/>
        <v>#N/A</v>
      </c>
      <c r="C39" s="98">
        <f>'ERPs by country'!E45</f>
        <v>9.8599024852310854E-2</v>
      </c>
      <c r="D39" s="24">
        <f>'ERPs by country'!D45</f>
        <v>3.9181669972725021E-2</v>
      </c>
      <c r="E39" s="24">
        <f t="shared" si="0"/>
        <v>9.8599024852310854E-2</v>
      </c>
      <c r="F39" s="57">
        <f>'Country Tax Rates'!B39</f>
        <v>0.25</v>
      </c>
      <c r="G39" s="57">
        <f>E39-'ERPs by country'!$E$3</f>
        <v>5.2599024852310855E-2</v>
      </c>
      <c r="H39" s="75"/>
      <c r="I39" s="4" t="s">
        <v>62</v>
      </c>
      <c r="J39" s="94">
        <f>'Default Spreads for Ratings'!C21/10000</f>
        <v>0.10896601681957188</v>
      </c>
      <c r="K39" s="78"/>
      <c r="N39" s="200" t="s">
        <v>283</v>
      </c>
      <c r="O39" s="75">
        <v>58</v>
      </c>
    </row>
    <row r="40" spans="1:15">
      <c r="A40" s="46" t="str">
        <f>'ERPs by country'!A46</f>
        <v>Croatia</v>
      </c>
      <c r="B40" s="132">
        <f t="shared" si="1"/>
        <v>73.75</v>
      </c>
      <c r="C40" s="98">
        <f>'ERPs by country'!E46</f>
        <v>7.3846542568870452E-2</v>
      </c>
      <c r="D40" s="24">
        <f>'ERPs by country'!D46</f>
        <v>2.0743237044383835E-2</v>
      </c>
      <c r="E40" s="24">
        <f t="shared" si="0"/>
        <v>7.3846542568870452E-2</v>
      </c>
      <c r="F40" s="57">
        <f>'Country Tax Rates'!B40</f>
        <v>0.18</v>
      </c>
      <c r="G40" s="57">
        <f>E40-'ERPs by country'!$E$3</f>
        <v>2.7846542568870453E-2</v>
      </c>
      <c r="H40" s="75"/>
      <c r="I40" s="4" t="s">
        <v>345</v>
      </c>
      <c r="J40" s="94">
        <f>'Default Spreads for Ratings'!C18/10000</f>
        <v>0.13073361124886354</v>
      </c>
      <c r="K40" s="78"/>
      <c r="N40" s="200" t="s">
        <v>178</v>
      </c>
      <c r="O40" s="75">
        <v>78.75</v>
      </c>
    </row>
    <row r="41" spans="1:15">
      <c r="A41" s="46" t="str">
        <f>'ERPs by country'!A47</f>
        <v>Cuba</v>
      </c>
      <c r="B41" s="132">
        <f t="shared" si="1"/>
        <v>61.75</v>
      </c>
      <c r="C41" s="98">
        <f>'ERPs by country'!E47</f>
        <v>0.22150197507911562</v>
      </c>
      <c r="D41" s="24">
        <f>'ERPs by country'!D47</f>
        <v>0.13073361124886354</v>
      </c>
      <c r="E41" s="24">
        <f t="shared" si="0"/>
        <v>0.22150197507911562</v>
      </c>
      <c r="F41" s="57">
        <f>'Country Tax Rates'!B41</f>
        <v>0.2853</v>
      </c>
      <c r="G41" s="57">
        <f>E41-'ERPs by country'!$E$3</f>
        <v>0.17550197507911564</v>
      </c>
      <c r="H41" s="75"/>
      <c r="I41" s="4" t="s">
        <v>137</v>
      </c>
      <c r="J41" s="94">
        <f>'ERPs by country'!C205/10000</f>
        <v>0.17499999999999999</v>
      </c>
      <c r="K41" s="83"/>
      <c r="N41" s="200" t="s">
        <v>179</v>
      </c>
      <c r="O41" s="75">
        <v>72.5</v>
      </c>
    </row>
    <row r="42" spans="1:15">
      <c r="A42" s="46" t="str">
        <f>'ERPs by country'!A48</f>
        <v>Curacao</v>
      </c>
      <c r="B42" s="132" t="e">
        <f t="shared" si="1"/>
        <v>#N/A</v>
      </c>
      <c r="C42" s="98">
        <f>'ERPs by country'!E48</f>
        <v>7.8143848520856624E-2</v>
      </c>
      <c r="D42" s="24">
        <f>'ERPs by country'!D48</f>
        <v>2.3944353872220846E-2</v>
      </c>
      <c r="E42" s="24">
        <f t="shared" si="0"/>
        <v>7.8143848520856624E-2</v>
      </c>
      <c r="F42" s="57">
        <f>'Country Tax Rates'!B42</f>
        <v>0.22</v>
      </c>
      <c r="G42" s="57">
        <f>E42-'ERPs by country'!$E$3</f>
        <v>3.2143848520856624E-2</v>
      </c>
      <c r="H42" s="75"/>
      <c r="N42" s="200" t="s">
        <v>219</v>
      </c>
      <c r="O42" s="75">
        <v>70</v>
      </c>
    </row>
    <row r="43" spans="1:15">
      <c r="A43" s="46" t="str">
        <f>'ERPs by country'!A49</f>
        <v>Cyprus</v>
      </c>
      <c r="B43" s="132">
        <f t="shared" si="1"/>
        <v>70</v>
      </c>
      <c r="C43" s="98">
        <f>'ERPs by country'!E49</f>
        <v>7.3846542568870452E-2</v>
      </c>
      <c r="D43" s="24">
        <f>'ERPs by country'!D49</f>
        <v>2.0743237044383835E-2</v>
      </c>
      <c r="E43" s="24">
        <f t="shared" si="0"/>
        <v>7.3846542568870452E-2</v>
      </c>
      <c r="F43" s="57">
        <f>'Country Tax Rates'!B43</f>
        <v>0.125</v>
      </c>
      <c r="G43" s="57">
        <f>E43-'ERPs by country'!$E$3</f>
        <v>2.7846542568870453E-2</v>
      </c>
      <c r="H43" s="75"/>
      <c r="N43" s="200" t="s">
        <v>333</v>
      </c>
      <c r="O43" s="75">
        <v>66.75</v>
      </c>
    </row>
    <row r="44" spans="1:15">
      <c r="A44" s="46" t="str">
        <f>'ERPs by country'!A50</f>
        <v>Czech Republic</v>
      </c>
      <c r="B44" s="132">
        <f t="shared" si="1"/>
        <v>76</v>
      </c>
      <c r="C44" s="98">
        <f>'ERPs by country'!E50</f>
        <v>5.4766504142051808E-2</v>
      </c>
      <c r="D44" s="24">
        <f>'ERPs by country'!D50</f>
        <v>6.5302783287875029E-3</v>
      </c>
      <c r="E44" s="24">
        <f t="shared" si="0"/>
        <v>5.4766504142051808E-2</v>
      </c>
      <c r="F44" s="57">
        <f>'Country Tax Rates'!B44</f>
        <v>0.19</v>
      </c>
      <c r="G44" s="57">
        <f>E44-'ERPs by country'!$E$3</f>
        <v>8.7665041420518092E-3</v>
      </c>
      <c r="H44" s="75"/>
      <c r="N44" s="200" t="s">
        <v>180</v>
      </c>
      <c r="O44" s="75">
        <v>79.25</v>
      </c>
    </row>
    <row r="45" spans="1:15">
      <c r="A45" s="46" t="str">
        <f>'ERPs by country'!A51</f>
        <v>Denmark</v>
      </c>
      <c r="B45" s="132">
        <f t="shared" si="1"/>
        <v>84.75</v>
      </c>
      <c r="C45" s="98">
        <f>'ERPs by country'!E51</f>
        <v>4.5999999999999999E-2</v>
      </c>
      <c r="D45" s="24">
        <f>'ERPs by country'!D51</f>
        <v>0</v>
      </c>
      <c r="E45" s="24">
        <f t="shared" si="0"/>
        <v>4.5999999999999999E-2</v>
      </c>
      <c r="F45" s="57">
        <f>'Country Tax Rates'!B45</f>
        <v>0.22</v>
      </c>
      <c r="G45" s="57">
        <f>E45-'ERPs by country'!$E$3</f>
        <v>0</v>
      </c>
      <c r="H45" s="75"/>
      <c r="N45" s="200" t="s">
        <v>220</v>
      </c>
      <c r="O45" s="75">
        <v>61.75</v>
      </c>
    </row>
    <row r="46" spans="1:15">
      <c r="A46" s="46" t="str">
        <f>'ERPs by country'!A52</f>
        <v>Dominican Republic</v>
      </c>
      <c r="B46" s="132">
        <f t="shared" si="1"/>
        <v>72</v>
      </c>
      <c r="C46" s="98">
        <f>'ERPs by country'!E52</f>
        <v>9.8599024852310854E-2</v>
      </c>
      <c r="D46" s="24">
        <f>'ERPs by country'!D52</f>
        <v>3.9181669972725021E-2</v>
      </c>
      <c r="E46" s="24">
        <f t="shared" si="0"/>
        <v>9.8599024852310854E-2</v>
      </c>
      <c r="F46" s="57">
        <f>'Country Tax Rates'!B46</f>
        <v>0.27</v>
      </c>
      <c r="G46" s="57">
        <f>E46-'ERPs by country'!$E$3</f>
        <v>5.2599024852310855E-2</v>
      </c>
      <c r="H46" s="75"/>
      <c r="N46" s="200" t="s">
        <v>181</v>
      </c>
      <c r="O46" s="75">
        <v>69.5</v>
      </c>
    </row>
    <row r="47" spans="1:15">
      <c r="A47" s="46" t="str">
        <f>'ERPs by country'!A53</f>
        <v>Ecuador</v>
      </c>
      <c r="B47" s="132">
        <f t="shared" si="1"/>
        <v>66</v>
      </c>
      <c r="C47" s="98">
        <f>'ERPs by country'!E53</f>
        <v>0.19228029460560964</v>
      </c>
      <c r="D47" s="24">
        <f>'ERPs by country'!D53</f>
        <v>0.10896601681957188</v>
      </c>
      <c r="E47" s="24">
        <f t="shared" si="0"/>
        <v>0.19228029460560964</v>
      </c>
      <c r="F47" s="57">
        <f>'Country Tax Rates'!B47</f>
        <v>0.25</v>
      </c>
      <c r="G47" s="57">
        <f>E47-'ERPs by country'!$E$3</f>
        <v>0.14628029460560965</v>
      </c>
      <c r="H47" s="75"/>
      <c r="N47" s="200" t="s">
        <v>107</v>
      </c>
      <c r="O47" s="75">
        <v>70.25</v>
      </c>
    </row>
    <row r="48" spans="1:15">
      <c r="A48" s="46" t="str">
        <f>'ERPs by country'!A54</f>
        <v>Egypt</v>
      </c>
      <c r="B48" s="132">
        <f t="shared" si="1"/>
        <v>56</v>
      </c>
      <c r="C48" s="98">
        <f>'ERPs by country'!E54</f>
        <v>0.15566724789468733</v>
      </c>
      <c r="D48" s="24">
        <f>'ERPs by country'!D54</f>
        <v>8.1692501446400528E-2</v>
      </c>
      <c r="E48" s="24">
        <f t="shared" si="0"/>
        <v>0.15566724789468733</v>
      </c>
      <c r="F48" s="57">
        <f>'Country Tax Rates'!B48</f>
        <v>0.22500000000000001</v>
      </c>
      <c r="G48" s="57">
        <f>E48-'ERPs by country'!$E$3</f>
        <v>0.10966724789468733</v>
      </c>
      <c r="H48" s="75"/>
      <c r="N48" s="200" t="s">
        <v>316</v>
      </c>
      <c r="O48" s="75">
        <v>60</v>
      </c>
    </row>
    <row r="49" spans="1:15">
      <c r="A49" s="46" t="str">
        <f>'ERPs by country'!A55</f>
        <v>El Salvador</v>
      </c>
      <c r="B49" s="132">
        <f t="shared" si="1"/>
        <v>66.5</v>
      </c>
      <c r="C49" s="98">
        <f>'ERPs by country'!E55</f>
        <v>0.19228029460560964</v>
      </c>
      <c r="D49" s="24">
        <f>'ERPs by country'!D55</f>
        <v>0.10896601681957188</v>
      </c>
      <c r="E49" s="24">
        <f t="shared" si="0"/>
        <v>0.19228029460560964</v>
      </c>
      <c r="F49" s="57">
        <f>'Country Tax Rates'!B49</f>
        <v>0.3</v>
      </c>
      <c r="G49" s="57">
        <f>E49-'ERPs by country'!$E$3</f>
        <v>0.14628029460560965</v>
      </c>
      <c r="H49" s="75"/>
      <c r="N49" s="200" t="s">
        <v>332</v>
      </c>
      <c r="O49" s="75">
        <v>65.25</v>
      </c>
    </row>
    <row r="50" spans="1:15">
      <c r="A50" s="46" t="str">
        <f>'ERPs by country'!A56</f>
        <v>Estonia</v>
      </c>
      <c r="B50" s="132">
        <f t="shared" si="1"/>
        <v>69.25</v>
      </c>
      <c r="C50" s="98">
        <f>'ERPs by country'!E56</f>
        <v>5.6313534284766834E-2</v>
      </c>
      <c r="D50" s="24">
        <f>'ERPs by country'!D56</f>
        <v>7.6826803868088279E-3</v>
      </c>
      <c r="E50" s="24">
        <f t="shared" si="0"/>
        <v>5.6313534284766834E-2</v>
      </c>
      <c r="F50" s="57">
        <f>'Country Tax Rates'!B50</f>
        <v>0.2</v>
      </c>
      <c r="G50" s="57">
        <f>E50-'ERPs by country'!$E$3</f>
        <v>1.0313534284766834E-2</v>
      </c>
      <c r="H50" s="75"/>
      <c r="N50" s="200" t="s">
        <v>329</v>
      </c>
      <c r="O50" s="75">
        <v>75.25</v>
      </c>
    </row>
    <row r="51" spans="1:15">
      <c r="A51" s="46" t="str">
        <f>'ERPs by country'!A57</f>
        <v>Ethiopia</v>
      </c>
      <c r="B51" s="132">
        <f t="shared" si="1"/>
        <v>58</v>
      </c>
      <c r="C51" s="98">
        <f>'ERPs by country'!E57</f>
        <v>0.17766945436885656</v>
      </c>
      <c r="D51" s="24">
        <f>'ERPs by country'!D57</f>
        <v>9.8082219604926024E-2</v>
      </c>
      <c r="E51" s="24">
        <f t="shared" si="0"/>
        <v>0.17766945436885656</v>
      </c>
      <c r="F51" s="57">
        <f>'Country Tax Rates'!B51</f>
        <v>0.3</v>
      </c>
      <c r="G51" s="57">
        <f>E51-'ERPs by country'!$E$3</f>
        <v>0.13166945436885658</v>
      </c>
      <c r="H51" s="75"/>
      <c r="N51" s="200" t="s">
        <v>325</v>
      </c>
      <c r="O51" s="75">
        <v>56.5</v>
      </c>
    </row>
    <row r="52" spans="1:15">
      <c r="A52" s="46" t="str">
        <f>'ERPs by country'!A58</f>
        <v>Fiji</v>
      </c>
      <c r="B52" s="132" t="e">
        <f t="shared" si="1"/>
        <v>#N/A</v>
      </c>
      <c r="C52" s="98">
        <f>'ERPs by country'!E58</f>
        <v>0.11183472718442829</v>
      </c>
      <c r="D52" s="24">
        <f>'ERPs by country'!D58</f>
        <v>4.9041109802463012E-2</v>
      </c>
      <c r="E52" s="24">
        <f t="shared" si="0"/>
        <v>0.11183472718442829</v>
      </c>
      <c r="F52" s="57">
        <f>'Country Tax Rates'!B52</f>
        <v>0.2</v>
      </c>
      <c r="G52" s="57">
        <f>E52-'ERPs by country'!$E$3</f>
        <v>6.5834727184428288E-2</v>
      </c>
      <c r="H52" s="75"/>
      <c r="N52" s="200" t="s">
        <v>108</v>
      </c>
      <c r="O52" s="75">
        <v>67</v>
      </c>
    </row>
    <row r="53" spans="1:15">
      <c r="A53" s="46" t="str">
        <f>'ERPs by country'!A59</f>
        <v>Finland</v>
      </c>
      <c r="B53" s="132">
        <f t="shared" si="1"/>
        <v>78.75</v>
      </c>
      <c r="C53" s="98">
        <f>'ERPs by country'!E59</f>
        <v>5.1844336094701203E-2</v>
      </c>
      <c r="D53" s="24">
        <f>'ERPs by country'!D59</f>
        <v>4.3535188858583353E-3</v>
      </c>
      <c r="E53" s="24">
        <f t="shared" si="0"/>
        <v>5.1844336094701203E-2</v>
      </c>
      <c r="F53" s="57">
        <f>'Country Tax Rates'!B53</f>
        <v>0.2</v>
      </c>
      <c r="G53" s="57">
        <f>E53-'ERPs by country'!$E$3</f>
        <v>5.8443360947012038E-3</v>
      </c>
      <c r="H53" s="75"/>
      <c r="N53" s="200" t="s">
        <v>59</v>
      </c>
      <c r="O53" s="75">
        <v>78</v>
      </c>
    </row>
    <row r="54" spans="1:15">
      <c r="A54" s="46" t="str">
        <f>'ERPs by country'!A60</f>
        <v>France</v>
      </c>
      <c r="B54" s="132">
        <f t="shared" si="1"/>
        <v>72.5</v>
      </c>
      <c r="C54" s="98">
        <f>'ERPs by country'!E60</f>
        <v>5.3219473999336783E-2</v>
      </c>
      <c r="D54" s="24">
        <f>'ERPs by country'!D60</f>
        <v>5.3778762707661788E-3</v>
      </c>
      <c r="E54" s="24">
        <f t="shared" si="0"/>
        <v>5.3219473999336783E-2</v>
      </c>
      <c r="F54" s="57">
        <f>'Country Tax Rates'!B54</f>
        <v>0.25</v>
      </c>
      <c r="G54" s="57">
        <f>E54-'ERPs by country'!$E$3</f>
        <v>7.219473999336784E-3</v>
      </c>
      <c r="H54" s="75"/>
      <c r="N54" s="200" t="s">
        <v>109</v>
      </c>
      <c r="O54" s="75">
        <v>70.75</v>
      </c>
    </row>
    <row r="55" spans="1:15">
      <c r="A55" s="46" t="str">
        <f>'ERPs by country'!A61</f>
        <v>Gabon</v>
      </c>
      <c r="B55" s="132">
        <f t="shared" si="1"/>
        <v>70</v>
      </c>
      <c r="C55" s="98">
        <f>'ERPs by country'!E61</f>
        <v>0.15566724789468733</v>
      </c>
      <c r="D55" s="24">
        <f>'ERPs by country'!D61</f>
        <v>8.1692501446400528E-2</v>
      </c>
      <c r="E55" s="24">
        <f t="shared" si="0"/>
        <v>0.15566724789468733</v>
      </c>
      <c r="F55" s="57">
        <f>'Country Tax Rates'!B55</f>
        <v>0.3</v>
      </c>
      <c r="G55" s="57">
        <f>E55-'ERPs by country'!$E$3</f>
        <v>0.10966724789468733</v>
      </c>
      <c r="H55" s="75"/>
      <c r="N55" s="200" t="s">
        <v>110</v>
      </c>
      <c r="O55" s="75">
        <v>80.75</v>
      </c>
    </row>
    <row r="56" spans="1:15">
      <c r="A56" s="46" t="str">
        <f>'ERPs by country'!A62</f>
        <v>Georgia</v>
      </c>
      <c r="B56" s="132" t="e">
        <f t="shared" si="1"/>
        <v>#N/A</v>
      </c>
      <c r="C56" s="98">
        <f>'ERPs by country'!E62</f>
        <v>9.0004412948338497E-2</v>
      </c>
      <c r="D56" s="24">
        <f>'ERPs by country'!D62</f>
        <v>3.2779436317050999E-2</v>
      </c>
      <c r="E56" s="24">
        <f t="shared" si="0"/>
        <v>9.0004412948338497E-2</v>
      </c>
      <c r="F56" s="57">
        <f>'Country Tax Rates'!B56</f>
        <v>0.15</v>
      </c>
      <c r="G56" s="57">
        <f>E56-'ERPs by country'!$E$3</f>
        <v>4.4004412948338498E-2</v>
      </c>
      <c r="H56" s="75"/>
      <c r="N56" s="200" t="s">
        <v>111</v>
      </c>
      <c r="O56" s="75">
        <v>70.25</v>
      </c>
    </row>
    <row r="57" spans="1:15">
      <c r="A57" s="46" t="str">
        <f>'ERPs by country'!A63</f>
        <v>Germany</v>
      </c>
      <c r="B57" s="132">
        <f t="shared" si="1"/>
        <v>79.25</v>
      </c>
      <c r="C57" s="98">
        <f>'ERPs by country'!E63</f>
        <v>4.5999999999999999E-2</v>
      </c>
      <c r="D57" s="24">
        <f>'ERPs by country'!D63</f>
        <v>0</v>
      </c>
      <c r="E57" s="24">
        <f t="shared" si="0"/>
        <v>4.5999999999999999E-2</v>
      </c>
      <c r="F57" s="57">
        <f>'Country Tax Rates'!B57</f>
        <v>0.3</v>
      </c>
      <c r="G57" s="57">
        <f>E57-'ERPs by country'!$E$3</f>
        <v>0</v>
      </c>
      <c r="H57" s="75"/>
      <c r="N57" s="200" t="s">
        <v>112</v>
      </c>
      <c r="O57" s="75">
        <v>69.25</v>
      </c>
    </row>
    <row r="58" spans="1:15">
      <c r="A58" s="46" t="str">
        <f>'ERPs by country'!A64</f>
        <v>Ghana</v>
      </c>
      <c r="B58" s="132">
        <f t="shared" si="1"/>
        <v>61.75</v>
      </c>
      <c r="C58" s="98">
        <f>'ERPs by country'!E64</f>
        <v>0.19228029460560964</v>
      </c>
      <c r="D58" s="24">
        <f>'ERPs by country'!D64</f>
        <v>0.10896601681957188</v>
      </c>
      <c r="E58" s="24">
        <f t="shared" si="0"/>
        <v>0.19228029460560964</v>
      </c>
      <c r="F58" s="57">
        <f>'Country Tax Rates'!B58</f>
        <v>0.25</v>
      </c>
      <c r="G58" s="57">
        <f>E58-'ERPs by country'!$E$3</f>
        <v>0.14628029460560965</v>
      </c>
      <c r="H58" s="75"/>
      <c r="N58" s="200" t="s">
        <v>327</v>
      </c>
      <c r="O58" s="75">
        <v>63</v>
      </c>
    </row>
    <row r="59" spans="1:15">
      <c r="A59" s="46" t="str">
        <f>'ERPs by country'!A65</f>
        <v>Greece</v>
      </c>
      <c r="B59" s="132">
        <f t="shared" si="1"/>
        <v>69.5</v>
      </c>
      <c r="C59" s="98">
        <f>'ERPs by country'!E65</f>
        <v>8.2613046710922261E-2</v>
      </c>
      <c r="D59" s="24">
        <f>'ERPs by country'!D65</f>
        <v>2.7273515373171343E-2</v>
      </c>
      <c r="E59" s="24">
        <f t="shared" si="0"/>
        <v>8.2613046710922261E-2</v>
      </c>
      <c r="F59" s="57">
        <f>'Country Tax Rates'!B59</f>
        <v>0.22</v>
      </c>
      <c r="G59" s="57">
        <f>E59-'ERPs by country'!$E$3</f>
        <v>3.6613046710922262E-2</v>
      </c>
      <c r="H59" s="75"/>
      <c r="N59" s="200" t="s">
        <v>330</v>
      </c>
      <c r="O59" s="75">
        <v>68.75</v>
      </c>
    </row>
    <row r="60" spans="1:15">
      <c r="A60" s="46" t="str">
        <f>'ERPs by country'!A66</f>
        <v>Guatemala</v>
      </c>
      <c r="B60" s="132">
        <f t="shared" si="1"/>
        <v>70.25</v>
      </c>
      <c r="C60" s="98">
        <f>'ERPs by country'!E66</f>
        <v>8.2613046710922261E-2</v>
      </c>
      <c r="D60" s="24">
        <f>'ERPs by country'!D66</f>
        <v>2.7273515373171343E-2</v>
      </c>
      <c r="E60" s="24">
        <f t="shared" si="0"/>
        <v>8.2613046710922261E-2</v>
      </c>
      <c r="F60" s="57">
        <f>'Country Tax Rates'!B60</f>
        <v>0.25</v>
      </c>
      <c r="G60" s="57">
        <f>E60-'ERPs by country'!$E$3</f>
        <v>3.6613046710922262E-2</v>
      </c>
      <c r="H60" s="75"/>
      <c r="N60" s="200" t="s">
        <v>182</v>
      </c>
      <c r="O60" s="75">
        <v>83.75</v>
      </c>
    </row>
    <row r="61" spans="1:15">
      <c r="A61" s="46" t="str">
        <f>'ERPs by country'!A67</f>
        <v>Guernsey (States of)</v>
      </c>
      <c r="B61" s="132" t="e">
        <f t="shared" si="1"/>
        <v>#N/A</v>
      </c>
      <c r="C61" s="98">
        <f>'ERPs by country'!E67</f>
        <v>5.6313534284766834E-2</v>
      </c>
      <c r="D61" s="24">
        <f>'ERPs by country'!D67</f>
        <v>7.6826803868088279E-3</v>
      </c>
      <c r="E61" s="24">
        <f t="shared" si="0"/>
        <v>5.6313534284766834E-2</v>
      </c>
      <c r="F61" s="57">
        <f>'Country Tax Rates'!B61</f>
        <v>0</v>
      </c>
      <c r="G61" s="57">
        <f>E61-'ERPs by country'!$E$3</f>
        <v>1.0313534284766834E-2</v>
      </c>
      <c r="H61" s="75"/>
      <c r="N61" s="200" t="s">
        <v>114</v>
      </c>
      <c r="O61" s="75">
        <v>74.25</v>
      </c>
    </row>
    <row r="62" spans="1:15">
      <c r="A62" s="46" t="str">
        <f>'ERPs by country'!A68</f>
        <v>Honduras</v>
      </c>
      <c r="B62" s="132">
        <f t="shared" si="1"/>
        <v>67</v>
      </c>
      <c r="C62" s="98">
        <f>'ERPs by country'!E68</f>
        <v>0.11183472718442829</v>
      </c>
      <c r="D62" s="24">
        <f>'ERPs by country'!D68</f>
        <v>4.9041109802463012E-2</v>
      </c>
      <c r="E62" s="24">
        <f t="shared" si="0"/>
        <v>0.11183472718442829</v>
      </c>
      <c r="F62" s="57">
        <f>'Country Tax Rates'!B62</f>
        <v>0.25</v>
      </c>
      <c r="G62" s="57">
        <f>E62-'ERPs by country'!$E$3</f>
        <v>6.5834727184428288E-2</v>
      </c>
      <c r="H62" s="75"/>
      <c r="N62" s="200" t="s">
        <v>145</v>
      </c>
      <c r="O62" s="75">
        <v>74.5</v>
      </c>
    </row>
    <row r="63" spans="1:15">
      <c r="A63" s="46" t="str">
        <f>'ERPs by country'!A69</f>
        <v>Hong Kong</v>
      </c>
      <c r="B63" s="132">
        <f t="shared" si="1"/>
        <v>78</v>
      </c>
      <c r="C63" s="98">
        <f>'ERPs by country'!E69</f>
        <v>5.4766504142051808E-2</v>
      </c>
      <c r="D63" s="24">
        <f>'ERPs by country'!D69</f>
        <v>6.5302783287875029E-3</v>
      </c>
      <c r="E63" s="24">
        <f t="shared" si="0"/>
        <v>5.4766504142051808E-2</v>
      </c>
      <c r="F63" s="57">
        <f>'Country Tax Rates'!B63</f>
        <v>0.16500000000000001</v>
      </c>
      <c r="G63" s="57">
        <f>E63-'ERPs by country'!$E$3</f>
        <v>8.7665041420518092E-3</v>
      </c>
      <c r="H63" s="75"/>
      <c r="N63" s="200" t="s">
        <v>115</v>
      </c>
      <c r="O63" s="75">
        <v>72.5</v>
      </c>
    </row>
    <row r="64" spans="1:15">
      <c r="A64" s="46" t="str">
        <f>'ERPs by country'!A70</f>
        <v>Hungary</v>
      </c>
      <c r="B64" s="132">
        <f t="shared" si="1"/>
        <v>70.75</v>
      </c>
      <c r="C64" s="98">
        <f>'ERPs by country'!E70</f>
        <v>7.3846542568870452E-2</v>
      </c>
      <c r="D64" s="24">
        <f>'ERPs by country'!D70</f>
        <v>2.0743237044383835E-2</v>
      </c>
      <c r="E64" s="24">
        <f t="shared" si="0"/>
        <v>7.3846542568870452E-2</v>
      </c>
      <c r="F64" s="57">
        <f>'Country Tax Rates'!B64</f>
        <v>0.09</v>
      </c>
      <c r="G64" s="57">
        <f>E64-'ERPs by country'!$E$3</f>
        <v>2.7846542568870453E-2</v>
      </c>
      <c r="H64" s="75"/>
      <c r="N64" s="200" t="s">
        <v>116</v>
      </c>
      <c r="O64" s="75">
        <v>80.5</v>
      </c>
    </row>
    <row r="65" spans="1:15">
      <c r="A65" s="46" t="str">
        <f>'ERPs by country'!A71</f>
        <v>Iceland</v>
      </c>
      <c r="B65" s="132">
        <f t="shared" si="1"/>
        <v>80.75</v>
      </c>
      <c r="C65" s="98">
        <f>'ERPs by country'!E71</f>
        <v>5.83762411417202E-2</v>
      </c>
      <c r="D65" s="24">
        <f>'ERPs by country'!D71</f>
        <v>9.2192164641705932E-3</v>
      </c>
      <c r="E65" s="24">
        <f t="shared" si="0"/>
        <v>5.83762411417202E-2</v>
      </c>
      <c r="F65" s="57">
        <f>'Country Tax Rates'!B65</f>
        <v>0.2</v>
      </c>
      <c r="G65" s="57">
        <f>E65-'ERPs by country'!$E$3</f>
        <v>1.2376241141720201E-2</v>
      </c>
      <c r="H65" s="75"/>
      <c r="N65" s="200" t="s">
        <v>117</v>
      </c>
      <c r="O65" s="75">
        <v>65.25</v>
      </c>
    </row>
    <row r="66" spans="1:15">
      <c r="A66" s="46" t="str">
        <f>'ERPs by country'!A72</f>
        <v>India</v>
      </c>
      <c r="B66" s="132">
        <f t="shared" si="1"/>
        <v>70.25</v>
      </c>
      <c r="C66" s="98">
        <f>'ERPs by country'!E72</f>
        <v>7.8143848520856624E-2</v>
      </c>
      <c r="D66" s="24">
        <f>'ERPs by country'!D72</f>
        <v>2.3944353872220846E-2</v>
      </c>
      <c r="E66" s="24">
        <f t="shared" si="0"/>
        <v>7.8143848520856624E-2</v>
      </c>
      <c r="F66" s="57">
        <f>'Country Tax Rates'!B66</f>
        <v>0.3</v>
      </c>
      <c r="G66" s="57">
        <f>E66-'ERPs by country'!$E$3</f>
        <v>3.2143848520856624E-2</v>
      </c>
      <c r="H66" s="75"/>
      <c r="N66" s="200" t="s">
        <v>118</v>
      </c>
      <c r="O66" s="75">
        <v>75.5</v>
      </c>
    </row>
    <row r="67" spans="1:15">
      <c r="A67" s="46" t="str">
        <f>'ERPs by country'!A73</f>
        <v>Indonesia</v>
      </c>
      <c r="B67" s="132">
        <f t="shared" si="1"/>
        <v>69.25</v>
      </c>
      <c r="C67" s="98">
        <f>'ERPs by country'!E73</f>
        <v>7.3846542568870452E-2</v>
      </c>
      <c r="D67" s="24">
        <f>'ERPs by country'!D73</f>
        <v>2.0743237044383835E-2</v>
      </c>
      <c r="E67" s="24">
        <f t="shared" ref="E67:E131" si="2">C67</f>
        <v>7.3846542568870452E-2</v>
      </c>
      <c r="F67" s="57">
        <f>'Country Tax Rates'!B67</f>
        <v>0.22</v>
      </c>
      <c r="G67" s="57">
        <f>E67-'ERPs by country'!$E$3</f>
        <v>2.7846542568870453E-2</v>
      </c>
      <c r="H67" s="75"/>
      <c r="N67" s="200" t="s">
        <v>183</v>
      </c>
      <c r="O67" s="75">
        <v>57</v>
      </c>
    </row>
    <row r="68" spans="1:15">
      <c r="A68" s="46" t="str">
        <f>'ERPs by country'!A74</f>
        <v>Iraq</v>
      </c>
      <c r="B68" s="132">
        <f t="shared" ref="B68:B131" si="3">VLOOKUP(A68,$N$1:$O$141,2,FALSE)</f>
        <v>68.75</v>
      </c>
      <c r="C68" s="98">
        <f>'ERPs by country'!E74</f>
        <v>0.15566724789468733</v>
      </c>
      <c r="D68" s="24">
        <f>'ERPs by country'!D74</f>
        <v>8.1692501446400528E-2</v>
      </c>
      <c r="E68" s="24">
        <f t="shared" si="2"/>
        <v>0.15566724789468733</v>
      </c>
      <c r="F68" s="57">
        <f>'Country Tax Rates'!B68</f>
        <v>0.15</v>
      </c>
      <c r="G68" s="57">
        <f>E68-'ERPs by country'!$E$3</f>
        <v>0.10966724789468733</v>
      </c>
      <c r="H68" s="75"/>
      <c r="N68" s="200" t="s">
        <v>369</v>
      </c>
      <c r="O68" s="75">
        <v>49.25</v>
      </c>
    </row>
    <row r="69" spans="1:15">
      <c r="A69" s="46" t="str">
        <f>'ERPs by country'!A75</f>
        <v>Ireland</v>
      </c>
      <c r="B69" s="132">
        <f t="shared" si="3"/>
        <v>83.75</v>
      </c>
      <c r="C69" s="98">
        <f>'ERPs by country'!E75</f>
        <v>5.4766504142051808E-2</v>
      </c>
      <c r="D69" s="24">
        <f>'ERPs by country'!D75</f>
        <v>6.5302783287875029E-3</v>
      </c>
      <c r="E69" s="24">
        <f t="shared" si="2"/>
        <v>5.4766504142051808E-2</v>
      </c>
      <c r="F69" s="57">
        <f>'Country Tax Rates'!B69</f>
        <v>0.125</v>
      </c>
      <c r="G69" s="57">
        <f>E69-'ERPs by country'!$E$3</f>
        <v>8.7665041420518092E-3</v>
      </c>
      <c r="H69" s="75"/>
      <c r="N69" s="200" t="s">
        <v>469</v>
      </c>
      <c r="O69" s="75">
        <v>80.25</v>
      </c>
    </row>
    <row r="70" spans="1:15">
      <c r="A70" s="46" t="str">
        <f>'ERPs by country'!A76</f>
        <v>Isle of Man</v>
      </c>
      <c r="B70" s="132" t="e">
        <f t="shared" si="3"/>
        <v>#N/A</v>
      </c>
      <c r="C70" s="98">
        <f>'ERPs by country'!E76</f>
        <v>5.4766504142051808E-2</v>
      </c>
      <c r="D70" s="24">
        <f>'ERPs by country'!D76</f>
        <v>6.5302783287875029E-3</v>
      </c>
      <c r="E70" s="24">
        <f t="shared" si="2"/>
        <v>5.4766504142051808E-2</v>
      </c>
      <c r="F70" s="57">
        <f>'Country Tax Rates'!B70</f>
        <v>0</v>
      </c>
      <c r="G70" s="57">
        <f>E70-'ERPs by country'!$E$3</f>
        <v>8.7665041420518092E-3</v>
      </c>
      <c r="H70" s="75"/>
      <c r="N70" s="200" t="s">
        <v>120</v>
      </c>
      <c r="O70" s="75">
        <v>80</v>
      </c>
    </row>
    <row r="71" spans="1:15">
      <c r="A71" s="46" t="str">
        <f>'ERPs by country'!A77</f>
        <v>Israel</v>
      </c>
      <c r="B71" s="132">
        <f t="shared" si="3"/>
        <v>74.25</v>
      </c>
      <c r="C71" s="98">
        <f>'ERPs by country'!E77</f>
        <v>5.6313534284766834E-2</v>
      </c>
      <c r="D71" s="24">
        <f>'ERPs by country'!D77</f>
        <v>7.6826803868088279E-3</v>
      </c>
      <c r="E71" s="24">
        <f t="shared" si="2"/>
        <v>5.6313534284766834E-2</v>
      </c>
      <c r="F71" s="57">
        <f>'Country Tax Rates'!B71</f>
        <v>0.23</v>
      </c>
      <c r="G71" s="57">
        <f>E71-'ERPs by country'!$E$3</f>
        <v>1.0313534284766834E-2</v>
      </c>
      <c r="H71" s="75"/>
      <c r="N71" s="200" t="s">
        <v>121</v>
      </c>
      <c r="O71" s="75">
        <v>72.75</v>
      </c>
    </row>
    <row r="72" spans="1:15">
      <c r="A72" s="46" t="str">
        <f>'ERPs by country'!A78</f>
        <v>Italy</v>
      </c>
      <c r="B72" s="132">
        <f t="shared" si="3"/>
        <v>74.5</v>
      </c>
      <c r="C72" s="98">
        <f>'ERPs by country'!E78</f>
        <v>7.8143848520856624E-2</v>
      </c>
      <c r="D72" s="24">
        <f>'ERPs by country'!D78</f>
        <v>2.3944353872220846E-2</v>
      </c>
      <c r="E72" s="24">
        <f t="shared" si="2"/>
        <v>7.8143848520856624E-2</v>
      </c>
      <c r="F72" s="57">
        <f>'Country Tax Rates'!B72</f>
        <v>0.24</v>
      </c>
      <c r="G72" s="57">
        <f>E72-'ERPs by country'!$E$3</f>
        <v>3.2143848520856624E-2</v>
      </c>
      <c r="H72" s="75"/>
      <c r="N72" s="200" t="s">
        <v>122</v>
      </c>
      <c r="O72" s="75">
        <v>35</v>
      </c>
    </row>
    <row r="73" spans="1:15">
      <c r="A73" s="46" t="str">
        <f>'ERPs by country'!A79</f>
        <v>Jamaica</v>
      </c>
      <c r="B73" s="132">
        <f t="shared" si="3"/>
        <v>72.5</v>
      </c>
      <c r="C73" s="98">
        <f>'ERPs by country'!E79</f>
        <v>0.11183472718442829</v>
      </c>
      <c r="D73" s="24">
        <f>'ERPs by country'!D79</f>
        <v>4.9041109802463012E-2</v>
      </c>
      <c r="E73" s="24">
        <f t="shared" si="2"/>
        <v>0.11183472718442829</v>
      </c>
      <c r="F73" s="57">
        <f>'Country Tax Rates'!B73</f>
        <v>0.25</v>
      </c>
      <c r="G73" s="57">
        <f>E73-'ERPs by country'!$E$3</f>
        <v>6.5834727184428288E-2</v>
      </c>
      <c r="H73" s="75"/>
      <c r="N73" s="200" t="s">
        <v>317</v>
      </c>
      <c r="O73" s="75">
        <v>55</v>
      </c>
    </row>
    <row r="74" spans="1:15">
      <c r="A74" s="46" t="str">
        <f>'ERPs by country'!A80</f>
        <v>Japan</v>
      </c>
      <c r="B74" s="132">
        <f t="shared" si="3"/>
        <v>80.5</v>
      </c>
      <c r="C74" s="98">
        <f>'ERPs by country'!E80</f>
        <v>5.6313534284766834E-2</v>
      </c>
      <c r="D74" s="24">
        <f>'ERPs by country'!D80</f>
        <v>7.6826803868088279E-3</v>
      </c>
      <c r="E74" s="24">
        <f t="shared" si="2"/>
        <v>5.6313534284766834E-2</v>
      </c>
      <c r="F74" s="57">
        <f>'Country Tax Rates'!B74</f>
        <v>0.30620000000000003</v>
      </c>
      <c r="G74" s="57">
        <f>E74-'ERPs by country'!$E$3</f>
        <v>1.0313534284766834E-2</v>
      </c>
      <c r="H74" s="75"/>
      <c r="N74" s="200" t="s">
        <v>321</v>
      </c>
      <c r="O74" s="75">
        <v>73.75</v>
      </c>
    </row>
    <row r="75" spans="1:15">
      <c r="A75" s="46" t="str">
        <f>'ERPs by country'!A81</f>
        <v>Jersey (States of)</v>
      </c>
      <c r="B75" s="132" t="e">
        <f t="shared" si="3"/>
        <v>#N/A</v>
      </c>
      <c r="C75" s="98">
        <f>'ERPs by country'!E81</f>
        <v>5.4766504142051808E-2</v>
      </c>
      <c r="D75" s="24">
        <f>'ERPs by country'!D81</f>
        <v>6.5302783287875029E-3</v>
      </c>
      <c r="E75" s="24">
        <f t="shared" si="2"/>
        <v>5.4766504142051808E-2</v>
      </c>
      <c r="F75" s="57">
        <f>'Country Tax Rates'!B75</f>
        <v>0</v>
      </c>
      <c r="G75" s="57">
        <f>E75-'ERPs by country'!$E$3</f>
        <v>8.7665041420518092E-3</v>
      </c>
      <c r="H75" s="75"/>
      <c r="N75" s="200" t="s">
        <v>13</v>
      </c>
      <c r="O75" s="75">
        <v>69.75</v>
      </c>
    </row>
    <row r="76" spans="1:15">
      <c r="A76" s="46" t="str">
        <f>'ERPs by country'!A82</f>
        <v>Jordan</v>
      </c>
      <c r="B76" s="132">
        <f t="shared" si="3"/>
        <v>65.25</v>
      </c>
      <c r="C76" s="98">
        <f>'ERPs by country'!E82</f>
        <v>0.11183472718442829</v>
      </c>
      <c r="D76" s="24">
        <f>'ERPs by country'!D82</f>
        <v>4.9041109802463012E-2</v>
      </c>
      <c r="E76" s="24">
        <f t="shared" si="2"/>
        <v>0.11183472718442829</v>
      </c>
      <c r="F76" s="57">
        <f>'Country Tax Rates'!B76</f>
        <v>0.2</v>
      </c>
      <c r="G76" s="57">
        <f>E76-'ERPs by country'!$E$3</f>
        <v>6.5834727184428288E-2</v>
      </c>
      <c r="H76" s="75"/>
      <c r="N76" s="200" t="s">
        <v>184</v>
      </c>
      <c r="O76" s="75">
        <v>85.75</v>
      </c>
    </row>
    <row r="77" spans="1:15">
      <c r="A77" s="46" t="str">
        <f>'ERPs by country'!A83</f>
        <v>Kazakhstan</v>
      </c>
      <c r="B77" s="132">
        <f t="shared" si="3"/>
        <v>75.5</v>
      </c>
      <c r="C77" s="98">
        <f>'ERPs by country'!E83</f>
        <v>7.3846542568870452E-2</v>
      </c>
      <c r="D77" s="24">
        <f>'ERPs by country'!D83</f>
        <v>2.0743237044383835E-2</v>
      </c>
      <c r="E77" s="24">
        <f t="shared" si="2"/>
        <v>7.3846542568870452E-2</v>
      </c>
      <c r="F77" s="57">
        <f>'Country Tax Rates'!B77</f>
        <v>0.2</v>
      </c>
      <c r="G77" s="57">
        <f>E77-'ERPs by country'!$E$3</f>
        <v>2.7846542568870453E-2</v>
      </c>
      <c r="H77" s="75"/>
      <c r="N77" s="200" t="s">
        <v>335</v>
      </c>
      <c r="O77" s="75">
        <v>62.75</v>
      </c>
    </row>
    <row r="78" spans="1:15">
      <c r="A78" s="46" t="str">
        <f>'ERPs by country'!A84</f>
        <v>Kenya</v>
      </c>
      <c r="B78" s="132">
        <f t="shared" si="3"/>
        <v>57</v>
      </c>
      <c r="C78" s="98">
        <f>'ERPs by country'!E84</f>
        <v>0.14105640765793431</v>
      </c>
      <c r="D78" s="24">
        <f>'ERPs by country'!D84</f>
        <v>7.0808704231754685E-2</v>
      </c>
      <c r="E78" s="24">
        <f t="shared" si="2"/>
        <v>0.14105640765793431</v>
      </c>
      <c r="F78" s="57">
        <f>'Country Tax Rates'!B78</f>
        <v>0.3</v>
      </c>
      <c r="G78" s="57">
        <f>E78-'ERPs by country'!$E$3</f>
        <v>9.5056407657934314E-2</v>
      </c>
      <c r="H78" s="75"/>
      <c r="N78" s="200" t="s">
        <v>326</v>
      </c>
      <c r="O78" s="75">
        <v>52.75</v>
      </c>
    </row>
    <row r="79" spans="1:15">
      <c r="A79" s="46" t="str">
        <f>'ERPs by country'!A85</f>
        <v>Korea</v>
      </c>
      <c r="B79" s="132" t="e">
        <f t="shared" si="3"/>
        <v>#N/A</v>
      </c>
      <c r="C79" s="98">
        <f>'ERPs by country'!E85</f>
        <v>5.3219473999336783E-2</v>
      </c>
      <c r="D79" s="24">
        <f>'ERPs by country'!D85</f>
        <v>5.3778762707661788E-3</v>
      </c>
      <c r="E79" s="24">
        <f t="shared" si="2"/>
        <v>5.3219473999336783E-2</v>
      </c>
      <c r="F79" s="57">
        <f>'Country Tax Rates'!B79</f>
        <v>0.25</v>
      </c>
      <c r="G79" s="57">
        <f>E79-'ERPs by country'!$E$3</f>
        <v>7.219473999336784E-3</v>
      </c>
      <c r="H79" s="75"/>
      <c r="N79" s="200" t="s">
        <v>14</v>
      </c>
      <c r="O79" s="75">
        <v>75</v>
      </c>
    </row>
    <row r="80" spans="1:15">
      <c r="A80" s="46" t="str">
        <f>'ERPs by country'!A86</f>
        <v>Kuwait</v>
      </c>
      <c r="B80" s="132">
        <f t="shared" si="3"/>
        <v>80</v>
      </c>
      <c r="C80" s="98">
        <f>'ERPs by country'!E86</f>
        <v>5.6313534284766834E-2</v>
      </c>
      <c r="D80" s="24">
        <f>'ERPs by country'!D86</f>
        <v>7.6826803868088279E-3</v>
      </c>
      <c r="E80" s="24">
        <f t="shared" si="2"/>
        <v>5.6313534284766834E-2</v>
      </c>
      <c r="F80" s="57">
        <f>'Country Tax Rates'!B80</f>
        <v>0.15</v>
      </c>
      <c r="G80" s="57">
        <f>E80-'ERPs by country'!$E$3</f>
        <v>1.0313534284766834E-2</v>
      </c>
      <c r="H80" s="75"/>
      <c r="N80" s="200" t="s">
        <v>324</v>
      </c>
      <c r="O80" s="75">
        <v>57.75</v>
      </c>
    </row>
    <row r="81" spans="1:15">
      <c r="A81" s="46" t="str">
        <f>'ERPs by country'!A87</f>
        <v>Kyrgyzstan</v>
      </c>
      <c r="B81" s="132" t="e">
        <f t="shared" si="3"/>
        <v>#N/A</v>
      </c>
      <c r="C81" s="98">
        <f>'ERPs by country'!E87</f>
        <v>0.14105640765793431</v>
      </c>
      <c r="D81" s="24">
        <f>'ERPs by country'!D87</f>
        <v>7.0808704231754685E-2</v>
      </c>
      <c r="E81" s="24">
        <f t="shared" si="2"/>
        <v>0.14105640765793431</v>
      </c>
      <c r="F81" s="57">
        <f>'Country Tax Rates'!B81</f>
        <v>0.1</v>
      </c>
      <c r="G81" s="57">
        <f>E81-'ERPs by country'!$E$3</f>
        <v>9.5056407657934314E-2</v>
      </c>
      <c r="H81" s="75"/>
      <c r="N81" s="200" t="s">
        <v>185</v>
      </c>
      <c r="O81" s="75">
        <v>73.75</v>
      </c>
    </row>
    <row r="82" spans="1:15">
      <c r="A82" s="46" t="str">
        <f>'ERPs by country'!A88</f>
        <v>Laos</v>
      </c>
      <c r="B82" s="132" t="e">
        <f t="shared" si="3"/>
        <v>#N/A</v>
      </c>
      <c r="C82" s="98">
        <f>'ERPs by country'!E88</f>
        <v>0.19228029460560964</v>
      </c>
      <c r="D82" s="24">
        <f>'ERPs by country'!D88</f>
        <v>0.10896601681957188</v>
      </c>
      <c r="E82" s="24">
        <f t="shared" ref="E82" si="4">C82</f>
        <v>0.19228029460560964</v>
      </c>
      <c r="F82" s="57">
        <f>'Country Tax Rates'!B82</f>
        <v>0.26860000000000001</v>
      </c>
      <c r="G82" s="57">
        <f>E82-'ERPs by country'!$E$3</f>
        <v>0.14628029460560965</v>
      </c>
      <c r="H82" s="75"/>
      <c r="N82" s="200" t="s">
        <v>16</v>
      </c>
      <c r="O82" s="75">
        <v>68.5</v>
      </c>
    </row>
    <row r="83" spans="1:15">
      <c r="A83" s="46" t="str">
        <f>'ERPs by country'!A89</f>
        <v>Latvia</v>
      </c>
      <c r="B83" s="132">
        <f t="shared" si="3"/>
        <v>72.75</v>
      </c>
      <c r="C83" s="98">
        <f>'ERPs by country'!E89</f>
        <v>6.3533008284103618E-2</v>
      </c>
      <c r="D83" s="24">
        <f>'ERPs by country'!D89</f>
        <v>1.3060556657575006E-2</v>
      </c>
      <c r="E83" s="24">
        <f t="shared" si="2"/>
        <v>6.3533008284103618E-2</v>
      </c>
      <c r="F83" s="57">
        <f>'Country Tax Rates'!B83</f>
        <v>0.2</v>
      </c>
      <c r="G83" s="57">
        <f>E83-'ERPs by country'!$E$3</f>
        <v>1.7533008284103618E-2</v>
      </c>
      <c r="H83" s="75"/>
      <c r="N83" s="200" t="s">
        <v>17</v>
      </c>
      <c r="O83" s="75">
        <v>61.25</v>
      </c>
    </row>
    <row r="84" spans="1:15">
      <c r="A84" s="46" t="str">
        <f>'ERPs by country'!A90</f>
        <v>Lebanon</v>
      </c>
      <c r="B84" s="132">
        <f t="shared" si="3"/>
        <v>35</v>
      </c>
      <c r="C84" s="98">
        <f>'ERPs by country'!E90</f>
        <v>0.28092692770782934</v>
      </c>
      <c r="D84" s="24">
        <f>'ERPs by country'!D90</f>
        <v>0.17499999999999999</v>
      </c>
      <c r="E84" s="24">
        <f t="shared" si="2"/>
        <v>0.28092692770782934</v>
      </c>
      <c r="F84" s="57">
        <f>'Country Tax Rates'!B84</f>
        <v>0.17</v>
      </c>
      <c r="G84" s="57">
        <f>E84-'ERPs by country'!$E$3</f>
        <v>0.23492692770782936</v>
      </c>
      <c r="H84" s="75"/>
      <c r="N84" s="200" t="s">
        <v>63</v>
      </c>
      <c r="O84" s="75">
        <v>66.5</v>
      </c>
    </row>
    <row r="85" spans="1:15">
      <c r="A85" s="46" t="str">
        <f>'ERPs by country'!A91</f>
        <v>Liechtenstein</v>
      </c>
      <c r="B85" s="132" t="e">
        <f t="shared" si="3"/>
        <v>#N/A</v>
      </c>
      <c r="C85" s="98">
        <f>'ERPs by country'!E91</f>
        <v>4.5999999999999999E-2</v>
      </c>
      <c r="D85" s="24">
        <f>'ERPs by country'!D91</f>
        <v>0</v>
      </c>
      <c r="E85" s="24">
        <f t="shared" si="2"/>
        <v>4.5999999999999999E-2</v>
      </c>
      <c r="F85" s="57">
        <f>'Country Tax Rates'!B85</f>
        <v>0.125</v>
      </c>
      <c r="G85" s="57">
        <f>E85-'ERPs by country'!$E$3</f>
        <v>0</v>
      </c>
      <c r="H85" s="75"/>
      <c r="N85" s="200" t="s">
        <v>18</v>
      </c>
      <c r="O85" s="75">
        <v>66.25</v>
      </c>
    </row>
    <row r="86" spans="1:15">
      <c r="A86" s="46" t="str">
        <f>'ERPs by country'!A92</f>
        <v>Lithuania</v>
      </c>
      <c r="B86" s="132">
        <f t="shared" si="3"/>
        <v>69.75</v>
      </c>
      <c r="C86" s="98">
        <f>'ERPs by country'!E92</f>
        <v>5.83762411417202E-2</v>
      </c>
      <c r="D86" s="24">
        <f>'ERPs by country'!D92</f>
        <v>9.2192164641705932E-3</v>
      </c>
      <c r="E86" s="24">
        <f t="shared" si="2"/>
        <v>5.83762411417202E-2</v>
      </c>
      <c r="F86" s="57">
        <f>'Country Tax Rates'!B86</f>
        <v>0.15</v>
      </c>
      <c r="G86" s="57">
        <f>E86-'ERPs by country'!$E$3</f>
        <v>1.2376241141720201E-2</v>
      </c>
      <c r="H86" s="75"/>
      <c r="N86" s="200" t="s">
        <v>225</v>
      </c>
      <c r="O86" s="75">
        <v>60</v>
      </c>
    </row>
    <row r="87" spans="1:15">
      <c r="A87" s="46" t="str">
        <f>'ERPs by country'!A93</f>
        <v>Luxembourg</v>
      </c>
      <c r="B87" s="132">
        <f t="shared" si="3"/>
        <v>85.75</v>
      </c>
      <c r="C87" s="98">
        <f>'ERPs by country'!E93</f>
        <v>4.5999999999999999E-2</v>
      </c>
      <c r="D87" s="24">
        <f>'ERPs by country'!D93</f>
        <v>0</v>
      </c>
      <c r="E87" s="24">
        <f t="shared" si="2"/>
        <v>4.5999999999999999E-2</v>
      </c>
      <c r="F87" s="57">
        <f>'Country Tax Rates'!B87</f>
        <v>0.24940000000000001</v>
      </c>
      <c r="G87" s="57">
        <f>E87-'ERPs by country'!$E$3</f>
        <v>0</v>
      </c>
      <c r="H87" s="75"/>
      <c r="N87" s="200" t="s">
        <v>334</v>
      </c>
      <c r="O87" s="75">
        <v>57</v>
      </c>
    </row>
    <row r="88" spans="1:15">
      <c r="A88" s="46" t="str">
        <f>'ERPs by country'!A94</f>
        <v>Macao</v>
      </c>
      <c r="B88" s="132" t="e">
        <f t="shared" si="3"/>
        <v>#N/A</v>
      </c>
      <c r="C88" s="98">
        <f>'ERPs by country'!E94</f>
        <v>5.4766504142051808E-2</v>
      </c>
      <c r="D88" s="24">
        <f>'ERPs by country'!D94</f>
        <v>6.5302783287875029E-3</v>
      </c>
      <c r="E88" s="24">
        <f t="shared" si="2"/>
        <v>5.4766504142051808E-2</v>
      </c>
      <c r="F88" s="57">
        <f>'Country Tax Rates'!B88</f>
        <v>0.26860000000000001</v>
      </c>
      <c r="G88" s="57">
        <f>E88-'ERPs by country'!$E$3</f>
        <v>8.7665041420518092E-3</v>
      </c>
      <c r="H88" s="75"/>
      <c r="N88" s="200" t="s">
        <v>136</v>
      </c>
      <c r="O88" s="75">
        <v>69</v>
      </c>
    </row>
    <row r="89" spans="1:15">
      <c r="A89" s="46" t="str">
        <f>'ERPs by country'!A95</f>
        <v>Macedonia</v>
      </c>
      <c r="B89" s="132" t="e">
        <f t="shared" si="3"/>
        <v>#N/A</v>
      </c>
      <c r="C89" s="98">
        <f>'ERPs by country'!E95</f>
        <v>9.8599024852310854E-2</v>
      </c>
      <c r="D89" s="24">
        <f>'ERPs by country'!D95</f>
        <v>3.9181669972725021E-2</v>
      </c>
      <c r="E89" s="24">
        <f t="shared" si="2"/>
        <v>9.8599024852310854E-2</v>
      </c>
      <c r="F89" s="57">
        <f>'Country Tax Rates'!B89</f>
        <v>0.1</v>
      </c>
      <c r="G89" s="57">
        <f>E89-'ERPs by country'!$E$3</f>
        <v>5.2599024852310855E-2</v>
      </c>
      <c r="H89" s="75"/>
      <c r="N89" s="200" t="s">
        <v>186</v>
      </c>
      <c r="O89" s="75">
        <v>80.5</v>
      </c>
    </row>
    <row r="90" spans="1:15">
      <c r="A90" s="46" t="str">
        <f>'ERPs by country'!A96</f>
        <v>Malaysia</v>
      </c>
      <c r="B90" s="132">
        <f t="shared" si="3"/>
        <v>75</v>
      </c>
      <c r="C90" s="98">
        <f>'ERPs by country'!E96</f>
        <v>6.3533008284103618E-2</v>
      </c>
      <c r="D90" s="24">
        <f>'ERPs by country'!D96</f>
        <v>1.3060556657575006E-2</v>
      </c>
      <c r="E90" s="24">
        <f t="shared" si="2"/>
        <v>6.3533008284103618E-2</v>
      </c>
      <c r="F90" s="57">
        <f>'Country Tax Rates'!B90</f>
        <v>0.24</v>
      </c>
      <c r="G90" s="57">
        <f>E90-'ERPs by country'!$E$3</f>
        <v>1.7533008284103618E-2</v>
      </c>
      <c r="H90" s="75"/>
      <c r="N90" s="200" t="s">
        <v>21</v>
      </c>
      <c r="O90" s="75">
        <v>77.75</v>
      </c>
    </row>
    <row r="91" spans="1:15">
      <c r="A91" s="46" t="str">
        <f>'ERPs by country'!A97</f>
        <v>Maldives</v>
      </c>
      <c r="B91" s="132" t="e">
        <f t="shared" si="3"/>
        <v>#N/A</v>
      </c>
      <c r="C91" s="98">
        <f>'ERPs by country'!E97</f>
        <v>0.15566724789468733</v>
      </c>
      <c r="D91" s="24">
        <f>'ERPs by country'!D97</f>
        <v>8.1692501446400528E-2</v>
      </c>
      <c r="E91" s="24">
        <f t="shared" si="2"/>
        <v>0.15566724789468733</v>
      </c>
      <c r="F91" s="57">
        <f>'Country Tax Rates'!B91</f>
        <v>0.26860000000000001</v>
      </c>
      <c r="G91" s="57">
        <f>E91-'ERPs by country'!$E$3</f>
        <v>0.10966724789468733</v>
      </c>
      <c r="H91" s="75"/>
      <c r="N91" s="200" t="s">
        <v>22</v>
      </c>
      <c r="O91" s="75">
        <v>63.75</v>
      </c>
    </row>
    <row r="92" spans="1:15">
      <c r="A92" s="46" t="str">
        <f>'ERPs by country'!A98</f>
        <v>Mali</v>
      </c>
      <c r="B92" s="132">
        <f t="shared" si="3"/>
        <v>57.75</v>
      </c>
      <c r="C92" s="98">
        <f>'ERPs by country'!E98</f>
        <v>0.17766945436885656</v>
      </c>
      <c r="D92" s="24">
        <f>'ERPs by country'!D98</f>
        <v>9.8082219604926024E-2</v>
      </c>
      <c r="E92" s="24">
        <f t="shared" si="2"/>
        <v>0.17766945436885656</v>
      </c>
      <c r="F92" s="57">
        <f>'Country Tax Rates'!B92</f>
        <v>0.26860000000000001</v>
      </c>
      <c r="G92" s="57">
        <f>E92-'ERPs by country'!$E$3</f>
        <v>0.13166945436885658</v>
      </c>
      <c r="H92" s="75"/>
      <c r="N92" s="200" t="s">
        <v>320</v>
      </c>
      <c r="O92" s="75">
        <v>46.75</v>
      </c>
    </row>
    <row r="93" spans="1:15">
      <c r="A93" s="46" t="str">
        <f>'ERPs by country'!A99</f>
        <v>Malta</v>
      </c>
      <c r="B93" s="132">
        <f t="shared" si="3"/>
        <v>73.75</v>
      </c>
      <c r="C93" s="98">
        <f>'ERPs by country'!E99</f>
        <v>5.83762411417202E-2</v>
      </c>
      <c r="D93" s="24">
        <f>'ERPs by country'!D99</f>
        <v>9.2192164641705932E-3</v>
      </c>
      <c r="E93" s="24">
        <f t="shared" si="2"/>
        <v>5.83762411417202E-2</v>
      </c>
      <c r="F93" s="57">
        <f>'Country Tax Rates'!B93</f>
        <v>0.35</v>
      </c>
      <c r="G93" s="57">
        <f>E93-'ERPs by country'!$E$3</f>
        <v>1.2376241141720201E-2</v>
      </c>
      <c r="H93" s="75"/>
      <c r="N93" s="200" t="s">
        <v>187</v>
      </c>
      <c r="O93" s="75">
        <v>55.5</v>
      </c>
    </row>
    <row r="94" spans="1:15">
      <c r="A94" s="46" t="str">
        <f>'ERPs by country'!A100</f>
        <v>Mauritius</v>
      </c>
      <c r="B94" s="132" t="e">
        <f t="shared" si="3"/>
        <v>#N/A</v>
      </c>
      <c r="C94" s="98">
        <f>'ERPs by country'!E100</f>
        <v>7.8143848520856624E-2</v>
      </c>
      <c r="D94" s="24">
        <f>'ERPs by country'!D100</f>
        <v>2.3944353872220846E-2</v>
      </c>
      <c r="E94" s="24">
        <f t="shared" si="2"/>
        <v>7.8143848520856624E-2</v>
      </c>
      <c r="F94" s="57">
        <f>'Country Tax Rates'!B94</f>
        <v>0.15</v>
      </c>
      <c r="G94" s="57">
        <f>E94-'ERPs by country'!$E$3</f>
        <v>3.2143848520856624E-2</v>
      </c>
      <c r="H94" s="75"/>
      <c r="N94" s="200" t="s">
        <v>23</v>
      </c>
      <c r="O94" s="75">
        <v>86.75</v>
      </c>
    </row>
    <row r="95" spans="1:15">
      <c r="A95" s="46" t="str">
        <f>'ERPs by country'!A101</f>
        <v>Mexico</v>
      </c>
      <c r="B95" s="132">
        <f t="shared" si="3"/>
        <v>68.5</v>
      </c>
      <c r="C95" s="98">
        <f>'ERPs by country'!E101</f>
        <v>7.3846542568870452E-2</v>
      </c>
      <c r="D95" s="24">
        <f>'ERPs by country'!D101</f>
        <v>2.0743237044383835E-2</v>
      </c>
      <c r="E95" s="24">
        <f t="shared" si="2"/>
        <v>7.3846542568870452E-2</v>
      </c>
      <c r="F95" s="57">
        <f>'Country Tax Rates'!B95</f>
        <v>0.3</v>
      </c>
      <c r="G95" s="57">
        <f>E95-'ERPs by country'!$E$3</f>
        <v>2.7846542568870453E-2</v>
      </c>
      <c r="H95" s="75"/>
      <c r="N95" s="200" t="s">
        <v>24</v>
      </c>
      <c r="O95" s="75">
        <v>76.5</v>
      </c>
    </row>
    <row r="96" spans="1:15">
      <c r="A96" s="46" t="str">
        <f>'ERPs by country'!A102</f>
        <v>Moldova</v>
      </c>
      <c r="B96" s="132">
        <f t="shared" si="3"/>
        <v>61.25</v>
      </c>
      <c r="C96" s="98">
        <f>'ERPs by country'!E102</f>
        <v>0.14105640765793431</v>
      </c>
      <c r="D96" s="24">
        <f>'ERPs by country'!D102</f>
        <v>7.0808704231754685E-2</v>
      </c>
      <c r="E96" s="24">
        <f t="shared" si="2"/>
        <v>0.14105640765793431</v>
      </c>
      <c r="F96" s="57">
        <f>'Country Tax Rates'!B96</f>
        <v>0.12</v>
      </c>
      <c r="G96" s="57">
        <f>E96-'ERPs by country'!$E$3</f>
        <v>9.5056407657934314E-2</v>
      </c>
      <c r="H96" s="75"/>
      <c r="N96" s="200" t="s">
        <v>25</v>
      </c>
      <c r="O96" s="75">
        <v>49.25</v>
      </c>
    </row>
    <row r="97" spans="1:15">
      <c r="A97" s="46" t="str">
        <f>'ERPs by country'!A103</f>
        <v>Mongolia</v>
      </c>
      <c r="B97" s="132">
        <f t="shared" si="3"/>
        <v>66.5</v>
      </c>
      <c r="C97" s="98">
        <f>'ERPs by country'!E103</f>
        <v>0.14105640765793431</v>
      </c>
      <c r="D97" s="24">
        <f>'ERPs by country'!D103</f>
        <v>7.0808704231754685E-2</v>
      </c>
      <c r="E97" s="24">
        <f t="shared" si="2"/>
        <v>0.14105640765793431</v>
      </c>
      <c r="F97" s="57">
        <f>'Country Tax Rates'!B97</f>
        <v>0.25</v>
      </c>
      <c r="G97" s="57">
        <f>E97-'ERPs by country'!$E$3</f>
        <v>9.5056407657934314E-2</v>
      </c>
      <c r="H97" s="75"/>
      <c r="N97" s="200" t="s">
        <v>26</v>
      </c>
      <c r="O97" s="75">
        <v>73.75</v>
      </c>
    </row>
    <row r="98" spans="1:15">
      <c r="A98" s="46" t="str">
        <f>'ERPs by country'!A104</f>
        <v>Montenegro</v>
      </c>
      <c r="B98" s="132" t="e">
        <f t="shared" si="3"/>
        <v>#N/A</v>
      </c>
      <c r="C98" s="98">
        <f>'ERPs by country'!E104</f>
        <v>0.11183472718442829</v>
      </c>
      <c r="D98" s="24">
        <f>'ERPs by country'!D104</f>
        <v>4.9041109802463012E-2</v>
      </c>
      <c r="E98" s="24">
        <f t="shared" si="2"/>
        <v>0.11183472718442829</v>
      </c>
      <c r="F98" s="57">
        <f>'Country Tax Rates'!B98</f>
        <v>0.15</v>
      </c>
      <c r="G98" s="57">
        <f>E98-'ERPs by country'!$E$3</f>
        <v>6.5834727184428288E-2</v>
      </c>
      <c r="H98" s="75"/>
      <c r="N98" s="200" t="s">
        <v>9</v>
      </c>
      <c r="O98" s="75">
        <v>69.25</v>
      </c>
    </row>
    <row r="99" spans="1:15">
      <c r="A99" s="46" t="str">
        <f>'ERPs by country'!A105</f>
        <v>Montserrat</v>
      </c>
      <c r="B99" s="132" t="e">
        <f t="shared" si="3"/>
        <v>#N/A</v>
      </c>
      <c r="C99" s="98">
        <f>'ERPs by country'!E105</f>
        <v>7.8143848520856624E-2</v>
      </c>
      <c r="D99" s="24">
        <f>'ERPs by country'!D105</f>
        <v>2.3944353872220846E-2</v>
      </c>
      <c r="E99" s="24">
        <f t="shared" si="2"/>
        <v>7.8143848520856624E-2</v>
      </c>
      <c r="F99" s="57">
        <f>'Country Tax Rates'!B99</f>
        <v>0.2853</v>
      </c>
      <c r="G99" s="57">
        <f>E99-'ERPs by country'!$E$3</f>
        <v>3.2143848520856624E-2</v>
      </c>
      <c r="H99" s="75"/>
      <c r="N99" s="200" t="s">
        <v>27</v>
      </c>
      <c r="O99" s="75">
        <v>65.25</v>
      </c>
    </row>
    <row r="100" spans="1:15">
      <c r="A100" s="46" t="str">
        <f>'ERPs by country'!A106</f>
        <v>Morocco</v>
      </c>
      <c r="B100" s="132">
        <f t="shared" si="3"/>
        <v>66.25</v>
      </c>
      <c r="C100" s="98">
        <f>'ERPs by country'!E106</f>
        <v>8.2613046710922261E-2</v>
      </c>
      <c r="D100" s="24">
        <f>'ERPs by country'!D106</f>
        <v>2.7273515373171343E-2</v>
      </c>
      <c r="E100" s="24">
        <f t="shared" si="2"/>
        <v>8.2613046710922261E-2</v>
      </c>
      <c r="F100" s="57">
        <f>'Country Tax Rates'!B100</f>
        <v>0.32</v>
      </c>
      <c r="G100" s="57">
        <f>E100-'ERPs by country'!$E$3</f>
        <v>3.6613046710922262E-2</v>
      </c>
      <c r="H100" s="75"/>
      <c r="N100" s="200" t="s">
        <v>28</v>
      </c>
      <c r="O100" s="75">
        <v>68.5</v>
      </c>
    </row>
    <row r="101" spans="1:15">
      <c r="A101" s="46" t="str">
        <f>'ERPs by country'!A107</f>
        <v>Mozambique</v>
      </c>
      <c r="B101" s="132">
        <f t="shared" si="3"/>
        <v>60</v>
      </c>
      <c r="C101" s="98">
        <f>'ERPs by country'!E107</f>
        <v>0.17766945436885656</v>
      </c>
      <c r="D101" s="24">
        <f>'ERPs by country'!D107</f>
        <v>9.8082219604926024E-2</v>
      </c>
      <c r="E101" s="24">
        <f t="shared" si="2"/>
        <v>0.17766945436885656</v>
      </c>
      <c r="F101" s="57">
        <f>'Country Tax Rates'!B101</f>
        <v>0.32</v>
      </c>
      <c r="G101" s="57">
        <f>E101-'ERPs by country'!$E$3</f>
        <v>0.13166945436885658</v>
      </c>
      <c r="H101" s="75"/>
      <c r="N101" s="200" t="s">
        <v>29</v>
      </c>
      <c r="O101" s="75">
        <v>71.75</v>
      </c>
    </row>
    <row r="102" spans="1:15">
      <c r="A102" s="46" t="str">
        <f>'ERPs by country'!A108</f>
        <v>Namibia</v>
      </c>
      <c r="B102" s="132">
        <f t="shared" si="3"/>
        <v>69</v>
      </c>
      <c r="C102" s="98">
        <f>'ERPs by country'!E108</f>
        <v>0.11183472718442829</v>
      </c>
      <c r="D102" s="24">
        <f>'ERPs by country'!D108</f>
        <v>4.9041109802463012E-2</v>
      </c>
      <c r="E102" s="24">
        <f t="shared" si="2"/>
        <v>0.11183472718442829</v>
      </c>
      <c r="F102" s="57">
        <f>'Country Tax Rates'!B102</f>
        <v>0.32</v>
      </c>
      <c r="G102" s="57">
        <f>E102-'ERPs by country'!$E$3</f>
        <v>6.5834727184428288E-2</v>
      </c>
      <c r="H102" s="75"/>
      <c r="N102" s="200" t="s">
        <v>30</v>
      </c>
      <c r="O102" s="75">
        <v>71.25</v>
      </c>
    </row>
    <row r="103" spans="1:15">
      <c r="A103" s="46" t="str">
        <f>'ERPs by country'!A109</f>
        <v>Netherlands</v>
      </c>
      <c r="B103" s="132">
        <f t="shared" si="3"/>
        <v>80.5</v>
      </c>
      <c r="C103" s="98">
        <f>'ERPs by country'!E109</f>
        <v>4.5999999999999999E-2</v>
      </c>
      <c r="D103" s="24">
        <f>'ERPs by country'!D109</f>
        <v>0</v>
      </c>
      <c r="E103" s="24">
        <f t="shared" si="2"/>
        <v>4.5999999999999999E-2</v>
      </c>
      <c r="F103" s="57">
        <f>'Country Tax Rates'!B103</f>
        <v>0.25800000000000001</v>
      </c>
      <c r="G103" s="57">
        <f>E103-'ERPs by country'!$E$3</f>
        <v>0</v>
      </c>
      <c r="H103" s="75"/>
      <c r="N103" s="200" t="s">
        <v>188</v>
      </c>
      <c r="O103" s="75">
        <v>77</v>
      </c>
    </row>
    <row r="104" spans="1:15">
      <c r="A104" s="46" t="str">
        <f>'ERPs by country'!A110</f>
        <v>New Zealand</v>
      </c>
      <c r="B104" s="132">
        <f t="shared" si="3"/>
        <v>77.75</v>
      </c>
      <c r="C104" s="98">
        <f>'ERPs by country'!E110</f>
        <v>4.5999999999999999E-2</v>
      </c>
      <c r="D104" s="24">
        <f>'ERPs by country'!D110</f>
        <v>0</v>
      </c>
      <c r="E104" s="24">
        <f t="shared" si="2"/>
        <v>4.5999999999999999E-2</v>
      </c>
      <c r="F104" s="57">
        <f>'Country Tax Rates'!B104</f>
        <v>0.28000000000000003</v>
      </c>
      <c r="G104" s="57">
        <f>E104-'ERPs by country'!$E$3</f>
        <v>0</v>
      </c>
      <c r="H104" s="75"/>
      <c r="N104" s="200" t="s">
        <v>74</v>
      </c>
      <c r="O104" s="75">
        <v>80.75</v>
      </c>
    </row>
    <row r="105" spans="1:15">
      <c r="A105" s="46" t="str">
        <f>'ERPs by country'!A111</f>
        <v>Nicaragua</v>
      </c>
      <c r="B105" s="132">
        <f t="shared" si="3"/>
        <v>63.75</v>
      </c>
      <c r="C105" s="98">
        <f>'ERPs by country'!E111</f>
        <v>0.14105640765793431</v>
      </c>
      <c r="D105" s="24">
        <f>'ERPs by country'!D111</f>
        <v>7.0808704231754685E-2</v>
      </c>
      <c r="E105" s="24">
        <f t="shared" si="2"/>
        <v>0.14105640765793431</v>
      </c>
      <c r="F105" s="57">
        <f>'Country Tax Rates'!B105</f>
        <v>0.3</v>
      </c>
      <c r="G105" s="57">
        <f>E105-'ERPs by country'!$E$3</f>
        <v>9.5056407657934314E-2</v>
      </c>
      <c r="H105" s="75"/>
      <c r="N105" s="200" t="s">
        <v>0</v>
      </c>
      <c r="O105" s="75">
        <v>67.25</v>
      </c>
    </row>
    <row r="106" spans="1:15">
      <c r="A106" s="46" t="str">
        <f>'ERPs by country'!A112</f>
        <v>Niger</v>
      </c>
      <c r="B106" s="132">
        <f t="shared" si="3"/>
        <v>46.75</v>
      </c>
      <c r="C106" s="98">
        <f>'ERPs by country'!E112</f>
        <v>0.17766945436885656</v>
      </c>
      <c r="D106" s="24">
        <f>'ERPs by country'!D112</f>
        <v>9.8082219604926024E-2</v>
      </c>
      <c r="E106" s="24">
        <f>C106</f>
        <v>0.17766945436885656</v>
      </c>
      <c r="F106" s="57">
        <f>'Country Tax Rates'!B106</f>
        <v>0.26860000000000001</v>
      </c>
      <c r="G106" s="57">
        <f>E106-'ERPs by country'!$E$3</f>
        <v>0.13166945436885658</v>
      </c>
      <c r="H106" s="75"/>
      <c r="N106" s="200" t="s">
        <v>1</v>
      </c>
      <c r="O106" s="75">
        <v>66.75</v>
      </c>
    </row>
    <row r="107" spans="1:15">
      <c r="A107" s="46" t="str">
        <f>'ERPs by country'!A113</f>
        <v>Nigeria</v>
      </c>
      <c r="B107" s="132">
        <f t="shared" si="3"/>
        <v>55.5</v>
      </c>
      <c r="C107" s="98">
        <f>'ERPs by country'!E113</f>
        <v>0.15566724789468733</v>
      </c>
      <c r="D107" s="24">
        <f>'ERPs by country'!D113</f>
        <v>8.1692501446400528E-2</v>
      </c>
      <c r="E107" s="24">
        <f t="shared" si="2"/>
        <v>0.15566724789468733</v>
      </c>
      <c r="F107" s="57">
        <f>'Country Tax Rates'!B107</f>
        <v>0.3</v>
      </c>
      <c r="G107" s="57">
        <f>E107-'ERPs by country'!$E$3</f>
        <v>0.10966724789468733</v>
      </c>
      <c r="H107" s="75"/>
      <c r="N107" s="200" t="s">
        <v>2</v>
      </c>
      <c r="O107" s="75">
        <v>82.5</v>
      </c>
    </row>
    <row r="108" spans="1:15">
      <c r="A108" s="46" t="str">
        <f>'ERPs by country'!A114</f>
        <v>Norway</v>
      </c>
      <c r="B108" s="132">
        <f t="shared" si="3"/>
        <v>86.75</v>
      </c>
      <c r="C108" s="98">
        <f>'ERPs by country'!E114</f>
        <v>4.5999999999999999E-2</v>
      </c>
      <c r="D108" s="24">
        <f>'ERPs by country'!D114</f>
        <v>0</v>
      </c>
      <c r="E108" s="24">
        <f t="shared" si="2"/>
        <v>4.5999999999999999E-2</v>
      </c>
      <c r="F108" s="57">
        <f>'Country Tax Rates'!B108</f>
        <v>0.22</v>
      </c>
      <c r="G108" s="57">
        <f>E108-'ERPs by country'!$E$3</f>
        <v>0</v>
      </c>
      <c r="H108" s="75"/>
      <c r="N108" s="200" t="s">
        <v>135</v>
      </c>
      <c r="O108" s="75">
        <v>58.5</v>
      </c>
    </row>
    <row r="109" spans="1:15">
      <c r="A109" s="46" t="str">
        <f>'ERPs by country'!A115</f>
        <v>Oman</v>
      </c>
      <c r="B109" s="132">
        <f t="shared" si="3"/>
        <v>76.5</v>
      </c>
      <c r="C109" s="98">
        <f>'ERPs by country'!E115</f>
        <v>8.2613046710922261E-2</v>
      </c>
      <c r="D109" s="24">
        <f>'ERPs by country'!D115</f>
        <v>2.7273515373171343E-2</v>
      </c>
      <c r="E109" s="24">
        <f t="shared" si="2"/>
        <v>8.2613046710922261E-2</v>
      </c>
      <c r="F109" s="57">
        <f>'Country Tax Rates'!B109</f>
        <v>0.15</v>
      </c>
      <c r="G109" s="57">
        <f>E109-'ERPs by country'!$E$3</f>
        <v>3.6613046710922262E-2</v>
      </c>
      <c r="H109" s="75"/>
      <c r="N109" s="200" t="s">
        <v>471</v>
      </c>
      <c r="O109" s="75">
        <v>66.5</v>
      </c>
    </row>
    <row r="110" spans="1:15">
      <c r="A110" s="46" t="str">
        <f>'ERPs by country'!A116</f>
        <v>Pakistan</v>
      </c>
      <c r="B110" s="132">
        <f t="shared" si="3"/>
        <v>49.25</v>
      </c>
      <c r="C110" s="98">
        <f>'ERPs by country'!E116</f>
        <v>0.19228029460560964</v>
      </c>
      <c r="D110" s="24">
        <f>'ERPs by country'!D116</f>
        <v>0.10896601681957188</v>
      </c>
      <c r="E110" s="24">
        <f t="shared" si="2"/>
        <v>0.19228029460560964</v>
      </c>
      <c r="F110" s="57">
        <f>'Country Tax Rates'!B110</f>
        <v>0.28999999999999998</v>
      </c>
      <c r="G110" s="57">
        <f>E110-'ERPs by country'!$E$3</f>
        <v>0.14628029460560965</v>
      </c>
      <c r="H110" s="75"/>
      <c r="N110" s="200" t="s">
        <v>328</v>
      </c>
      <c r="O110" s="75">
        <v>56.25</v>
      </c>
    </row>
    <row r="111" spans="1:15">
      <c r="A111" s="46" t="str">
        <f>'ERPs by country'!A117</f>
        <v>Panama</v>
      </c>
      <c r="B111" s="132">
        <f t="shared" si="3"/>
        <v>73.75</v>
      </c>
      <c r="C111" s="98">
        <f>'ERPs by country'!E117</f>
        <v>7.3846542568870452E-2</v>
      </c>
      <c r="D111" s="24">
        <f>'ERPs by country'!D117</f>
        <v>2.0743237044383835E-2</v>
      </c>
      <c r="E111" s="24">
        <f t="shared" si="2"/>
        <v>7.3846542568870452E-2</v>
      </c>
      <c r="F111" s="57">
        <f>'Country Tax Rates'!B111</f>
        <v>0.25</v>
      </c>
      <c r="G111" s="57">
        <f>E111-'ERPs by country'!$E$3</f>
        <v>2.7846542568870453E-2</v>
      </c>
      <c r="H111" s="75"/>
      <c r="N111" s="200" t="s">
        <v>3</v>
      </c>
      <c r="O111" s="75">
        <v>84.25</v>
      </c>
    </row>
    <row r="112" spans="1:15">
      <c r="A112" s="46" t="str">
        <f>'ERPs by country'!A118</f>
        <v>Papua New Guinea</v>
      </c>
      <c r="B112" s="132">
        <f t="shared" si="3"/>
        <v>69.25</v>
      </c>
      <c r="C112" s="98">
        <f>'ERPs by country'!E118</f>
        <v>0.12644556742118129</v>
      </c>
      <c r="D112" s="24">
        <f>'ERPs by country'!D118</f>
        <v>5.9924907017108855E-2</v>
      </c>
      <c r="E112" s="24">
        <f t="shared" si="2"/>
        <v>0.12644556742118129</v>
      </c>
      <c r="F112" s="57">
        <f>'Country Tax Rates'!B112</f>
        <v>0.3</v>
      </c>
      <c r="G112" s="57">
        <f>E112-'ERPs by country'!$E$3</f>
        <v>8.0445567421181294E-2</v>
      </c>
      <c r="H112" s="75"/>
      <c r="N112" s="200" t="s">
        <v>61</v>
      </c>
      <c r="O112" s="75">
        <v>67.5</v>
      </c>
    </row>
    <row r="113" spans="1:15">
      <c r="A113" s="46" t="str">
        <f>'ERPs by country'!A119</f>
        <v>Paraguay</v>
      </c>
      <c r="B113" s="132">
        <f t="shared" si="3"/>
        <v>65.25</v>
      </c>
      <c r="C113" s="98">
        <f>'ERPs by country'!E119</f>
        <v>8.2613046710922261E-2</v>
      </c>
      <c r="D113" s="24">
        <f>'ERPs by country'!D119</f>
        <v>2.7273515373171343E-2</v>
      </c>
      <c r="E113" s="24">
        <f t="shared" si="2"/>
        <v>8.2613046710922261E-2</v>
      </c>
      <c r="F113" s="57">
        <f>'Country Tax Rates'!B113</f>
        <v>0.1</v>
      </c>
      <c r="G113" s="57">
        <f>E113-'ERPs by country'!$E$3</f>
        <v>3.6613046710922262E-2</v>
      </c>
      <c r="H113" s="75"/>
      <c r="N113" s="200" t="s">
        <v>189</v>
      </c>
      <c r="O113" s="75">
        <v>74</v>
      </c>
    </row>
    <row r="114" spans="1:15">
      <c r="A114" s="46" t="str">
        <f>'ERPs by country'!A120</f>
        <v>Peru</v>
      </c>
      <c r="B114" s="132">
        <f t="shared" si="3"/>
        <v>68.5</v>
      </c>
      <c r="C114" s="98">
        <f>'ERPs by country'!E120</f>
        <v>6.9377344378804828E-2</v>
      </c>
      <c r="D114" s="24">
        <f>'ERPs by country'!D120</f>
        <v>1.7414075543433341E-2</v>
      </c>
      <c r="E114" s="24">
        <f t="shared" si="2"/>
        <v>6.9377344378804828E-2</v>
      </c>
      <c r="F114" s="57">
        <f>'Country Tax Rates'!B114</f>
        <v>0.29499999999999998</v>
      </c>
      <c r="G114" s="57">
        <f>E114-'ERPs by country'!$E$3</f>
        <v>2.3377344378804829E-2</v>
      </c>
      <c r="H114" s="75"/>
      <c r="N114" s="200" t="s">
        <v>314</v>
      </c>
      <c r="O114" s="75">
        <v>51.75</v>
      </c>
    </row>
    <row r="115" spans="1:15">
      <c r="A115" s="46" t="str">
        <f>'ERPs by country'!A121</f>
        <v>Philippines</v>
      </c>
      <c r="B115" s="132">
        <f t="shared" si="3"/>
        <v>71.75</v>
      </c>
      <c r="C115" s="98">
        <f>'ERPs by country'!E121</f>
        <v>7.3846542568870452E-2</v>
      </c>
      <c r="D115" s="24">
        <f>'ERPs by country'!D121</f>
        <v>2.0743237044383835E-2</v>
      </c>
      <c r="E115" s="24">
        <f t="shared" si="2"/>
        <v>7.3846542568870452E-2</v>
      </c>
      <c r="F115" s="57">
        <f>'Country Tax Rates'!B115</f>
        <v>0.25</v>
      </c>
      <c r="G115" s="57">
        <f>E115-'ERPs by country'!$E$3</f>
        <v>2.7846542568870453E-2</v>
      </c>
      <c r="H115" s="75"/>
      <c r="N115" s="200" t="s">
        <v>76</v>
      </c>
      <c r="O115" s="75">
        <v>67.25</v>
      </c>
    </row>
    <row r="116" spans="1:15">
      <c r="A116" s="46" t="str">
        <f>'ERPs by country'!A122</f>
        <v>Poland</v>
      </c>
      <c r="B116" s="132">
        <f t="shared" si="3"/>
        <v>71.25</v>
      </c>
      <c r="C116" s="98">
        <f>'ERPs by country'!E122</f>
        <v>5.83762411417202E-2</v>
      </c>
      <c r="D116" s="24">
        <f>'ERPs by country'!D122</f>
        <v>9.2192164641705932E-3</v>
      </c>
      <c r="E116" s="24">
        <f t="shared" si="2"/>
        <v>5.83762411417202E-2</v>
      </c>
      <c r="F116" s="57">
        <f>'Country Tax Rates'!B116</f>
        <v>0.19</v>
      </c>
      <c r="G116" s="57">
        <f>E116-'ERPs by country'!$E$3</f>
        <v>1.2376241141720201E-2</v>
      </c>
      <c r="H116" s="75"/>
      <c r="N116" s="200" t="s">
        <v>138</v>
      </c>
      <c r="O116" s="75">
        <v>72</v>
      </c>
    </row>
    <row r="117" spans="1:15">
      <c r="A117" s="46" t="str">
        <f>'ERPs by country'!A123</f>
        <v>Portugal</v>
      </c>
      <c r="B117" s="132">
        <f t="shared" si="3"/>
        <v>77</v>
      </c>
      <c r="C117" s="98">
        <f>'ERPs by country'!E123</f>
        <v>6.3533008284103618E-2</v>
      </c>
      <c r="D117" s="24">
        <f>'ERPs by country'!D123</f>
        <v>1.3060556657575006E-2</v>
      </c>
      <c r="E117" s="24">
        <f t="shared" si="2"/>
        <v>6.3533008284103618E-2</v>
      </c>
      <c r="F117" s="57">
        <f>'Country Tax Rates'!B117</f>
        <v>0.21</v>
      </c>
      <c r="G117" s="57">
        <f>E117-'ERPs by country'!$E$3</f>
        <v>1.7533008284103618E-2</v>
      </c>
      <c r="H117" s="75"/>
      <c r="N117" s="200" t="s">
        <v>134</v>
      </c>
      <c r="O117" s="75">
        <v>54.5</v>
      </c>
    </row>
    <row r="118" spans="1:15">
      <c r="A118" s="46" t="str">
        <f>'ERPs by country'!A124</f>
        <v>Qatar</v>
      </c>
      <c r="B118" s="132">
        <f t="shared" si="3"/>
        <v>80.75</v>
      </c>
      <c r="C118" s="98">
        <f>'ERPs by country'!E124</f>
        <v>5.4766504142051808E-2</v>
      </c>
      <c r="D118" s="24">
        <f>'ERPs by country'!D124</f>
        <v>6.5302783287875029E-3</v>
      </c>
      <c r="E118" s="24">
        <f t="shared" si="2"/>
        <v>5.4766504142051808E-2</v>
      </c>
      <c r="F118" s="57">
        <f>'Country Tax Rates'!B118</f>
        <v>0.1</v>
      </c>
      <c r="G118" s="57">
        <f>E118-'ERPs by country'!$E$3</f>
        <v>8.7665041420518092E-3</v>
      </c>
      <c r="H118" s="75"/>
      <c r="N118" s="200" t="s">
        <v>318</v>
      </c>
      <c r="O118" s="75">
        <v>44.75</v>
      </c>
    </row>
    <row r="119" spans="1:15">
      <c r="A119" s="46" t="str">
        <f>'ERPs by country'!A125</f>
        <v>Ras Al Khaimah (Emirate of)</v>
      </c>
      <c r="B119" s="132" t="e">
        <f t="shared" si="3"/>
        <v>#N/A</v>
      </c>
      <c r="C119" s="98">
        <f>'ERPs by country'!E125</f>
        <v>6.3533008284103618E-2</v>
      </c>
      <c r="D119" s="24">
        <f>'ERPs by country'!D125</f>
        <v>1.3060556657575006E-2</v>
      </c>
      <c r="E119" s="24">
        <f t="shared" si="2"/>
        <v>6.3533008284103618E-2</v>
      </c>
      <c r="F119" s="57">
        <f>'Country Tax Rates'!B119</f>
        <v>0</v>
      </c>
      <c r="G119" s="57">
        <f>E119-'ERPs by country'!$E$3</f>
        <v>1.7533008284103618E-2</v>
      </c>
      <c r="H119" s="75"/>
      <c r="N119" s="200" t="s">
        <v>33</v>
      </c>
      <c r="O119" s="75">
        <v>58.75</v>
      </c>
    </row>
    <row r="120" spans="1:15">
      <c r="A120" s="46" t="str">
        <f>'ERPs by country'!A126</f>
        <v>Romania</v>
      </c>
      <c r="B120" s="132">
        <f t="shared" si="3"/>
        <v>67.25</v>
      </c>
      <c r="C120" s="98">
        <f>'ERPs by country'!E126</f>
        <v>7.8143848520856624E-2</v>
      </c>
      <c r="D120" s="24">
        <f>'ERPs by country'!D126</f>
        <v>2.3944353872220846E-2</v>
      </c>
      <c r="E120" s="24">
        <f t="shared" si="2"/>
        <v>7.8143848520856624E-2</v>
      </c>
      <c r="F120" s="57">
        <f>'Country Tax Rates'!B120</f>
        <v>0.16</v>
      </c>
      <c r="G120" s="57">
        <f>E120-'ERPs by country'!$E$3</f>
        <v>3.2143848520856624E-2</v>
      </c>
      <c r="H120" s="75"/>
      <c r="N120" s="200" t="s">
        <v>34</v>
      </c>
      <c r="O120" s="75">
        <v>80</v>
      </c>
    </row>
    <row r="121" spans="1:15">
      <c r="A121" s="46" t="str">
        <f>'ERPs by country'!A127</f>
        <v>Rwanda</v>
      </c>
      <c r="B121" s="132" t="e">
        <f t="shared" si="3"/>
        <v>#N/A</v>
      </c>
      <c r="C121" s="98">
        <f>'ERPs by country'!E127</f>
        <v>0.12644556742118129</v>
      </c>
      <c r="D121" s="24">
        <f>'ERPs by country'!D127</f>
        <v>5.9924907017108855E-2</v>
      </c>
      <c r="E121" s="24">
        <f t="shared" si="2"/>
        <v>0.12644556742118129</v>
      </c>
      <c r="F121" s="57">
        <f>'Country Tax Rates'!B122</f>
        <v>0.3</v>
      </c>
      <c r="G121" s="57">
        <f>E121-'ERPs by country'!$E$3</f>
        <v>8.0445567421181294E-2</v>
      </c>
      <c r="H121" s="75"/>
      <c r="N121" s="200" t="s">
        <v>35</v>
      </c>
      <c r="O121" s="75">
        <v>86</v>
      </c>
    </row>
    <row r="122" spans="1:15">
      <c r="A122" s="46" t="str">
        <f>'ERPs by country'!A128</f>
        <v>Saudi Arabia</v>
      </c>
      <c r="B122" s="132">
        <f t="shared" si="3"/>
        <v>82.5</v>
      </c>
      <c r="C122" s="98">
        <f>'ERPs by country'!E128</f>
        <v>5.6313534284766834E-2</v>
      </c>
      <c r="D122" s="24">
        <f>'ERPs by country'!D128</f>
        <v>7.6826803868088279E-3</v>
      </c>
      <c r="E122" s="24">
        <f t="shared" si="2"/>
        <v>5.6313534284766834E-2</v>
      </c>
      <c r="F122" s="57">
        <f>'Country Tax Rates'!B123</f>
        <v>0.2</v>
      </c>
      <c r="G122" s="57">
        <f>E122-'ERPs by country'!$E$3</f>
        <v>1.0313534284766834E-2</v>
      </c>
      <c r="H122" s="75"/>
      <c r="N122" s="200" t="s">
        <v>315</v>
      </c>
      <c r="O122" s="75">
        <v>45</v>
      </c>
    </row>
    <row r="123" spans="1:15">
      <c r="A123" s="46" t="str">
        <f>'ERPs by country'!A129</f>
        <v>Senegal</v>
      </c>
      <c r="B123" s="132">
        <f t="shared" si="3"/>
        <v>58.5</v>
      </c>
      <c r="C123" s="98">
        <f>'ERPs by country'!E129</f>
        <v>9.8599024852310854E-2</v>
      </c>
      <c r="D123" s="24">
        <f>'ERPs by country'!D129</f>
        <v>3.9181669972725021E-2</v>
      </c>
      <c r="E123" s="24">
        <f t="shared" si="2"/>
        <v>9.8599024852310854E-2</v>
      </c>
      <c r="F123" s="57">
        <f>'Country Tax Rates'!B124</f>
        <v>0.3</v>
      </c>
      <c r="G123" s="57">
        <f>E123-'ERPs by country'!$E$3</f>
        <v>5.2599024852310855E-2</v>
      </c>
      <c r="H123" s="75"/>
      <c r="N123" s="200" t="s">
        <v>64</v>
      </c>
      <c r="O123" s="75">
        <v>84.5</v>
      </c>
    </row>
    <row r="124" spans="1:15">
      <c r="A124" s="46" t="str">
        <f>'ERPs by country'!A130</f>
        <v>Serbia</v>
      </c>
      <c r="B124" s="132" t="e">
        <f t="shared" si="3"/>
        <v>#N/A</v>
      </c>
      <c r="C124" s="98">
        <f>'ERPs by country'!E130</f>
        <v>9.0004412948338497E-2</v>
      </c>
      <c r="D124" s="24">
        <f>'ERPs by country'!D130</f>
        <v>3.2779436317050999E-2</v>
      </c>
      <c r="E124" s="24">
        <f t="shared" si="2"/>
        <v>9.0004412948338497E-2</v>
      </c>
      <c r="F124" s="57">
        <f>'Country Tax Rates'!B125</f>
        <v>0.15</v>
      </c>
      <c r="G124" s="57">
        <f>E124-'ERPs by country'!$E$3</f>
        <v>4.4004412948338498E-2</v>
      </c>
      <c r="H124" s="75"/>
      <c r="N124" s="200" t="s">
        <v>331</v>
      </c>
      <c r="O124" s="75">
        <v>66</v>
      </c>
    </row>
    <row r="125" spans="1:15">
      <c r="A125" s="46" t="str">
        <f>'ERPs by country'!A131</f>
        <v>Sharjah</v>
      </c>
      <c r="B125" s="132" t="e">
        <f t="shared" si="3"/>
        <v>#N/A</v>
      </c>
      <c r="C125" s="98">
        <f>'ERPs by country'!E131</f>
        <v>8.2613046710922261E-2</v>
      </c>
      <c r="D125" s="24">
        <f>'ERPs by country'!D131</f>
        <v>2.7273515373171343E-2</v>
      </c>
      <c r="E125" s="24">
        <f t="shared" si="2"/>
        <v>8.2613046710922261E-2</v>
      </c>
      <c r="F125" s="57">
        <f>'Country Tax Rates'!B126</f>
        <v>0</v>
      </c>
      <c r="G125" s="57">
        <f>E125-'ERPs by country'!$E$3</f>
        <v>3.6613046710922262E-2</v>
      </c>
      <c r="H125" s="75"/>
      <c r="N125" s="200" t="s">
        <v>65</v>
      </c>
      <c r="O125" s="75">
        <v>70.5</v>
      </c>
    </row>
    <row r="126" spans="1:15">
      <c r="A126" s="46" t="str">
        <f>'ERPs by country'!A132</f>
        <v>Singapore</v>
      </c>
      <c r="B126" s="132">
        <f t="shared" si="3"/>
        <v>84.25</v>
      </c>
      <c r="C126" s="98">
        <f>'ERPs by country'!E132</f>
        <v>4.5999999999999999E-2</v>
      </c>
      <c r="D126" s="24">
        <f>'ERPs by country'!D132</f>
        <v>0</v>
      </c>
      <c r="E126" s="24">
        <f t="shared" si="2"/>
        <v>4.5999999999999999E-2</v>
      </c>
      <c r="F126" s="57">
        <f>'Country Tax Rates'!B127</f>
        <v>0.17</v>
      </c>
      <c r="G126" s="57">
        <f>E126-'ERPs by country'!$E$3</f>
        <v>0</v>
      </c>
      <c r="H126" s="75"/>
      <c r="N126" s="200" t="s">
        <v>323</v>
      </c>
      <c r="O126" s="75">
        <v>63.5</v>
      </c>
    </row>
    <row r="127" spans="1:15">
      <c r="A127" s="46" t="str">
        <f>'ERPs by country'!A133</f>
        <v>Slovakia</v>
      </c>
      <c r="B127" s="132">
        <f t="shared" si="3"/>
        <v>67.5</v>
      </c>
      <c r="C127" s="98">
        <f>'ERPs by country'!E133</f>
        <v>5.83762411417202E-2</v>
      </c>
      <c r="D127" s="24">
        <f>'ERPs by country'!D133</f>
        <v>9.2192164641705932E-3</v>
      </c>
      <c r="E127" s="24">
        <f t="shared" si="2"/>
        <v>5.83762411417202E-2</v>
      </c>
      <c r="F127" s="57">
        <f>'Country Tax Rates'!B128</f>
        <v>0.21</v>
      </c>
      <c r="G127" s="57">
        <f>E127-'ERPs by country'!$E$3</f>
        <v>1.2376241141720201E-2</v>
      </c>
      <c r="H127" s="75"/>
      <c r="N127" s="200" t="s">
        <v>470</v>
      </c>
      <c r="O127" s="75">
        <v>77</v>
      </c>
    </row>
    <row r="128" spans="1:15">
      <c r="A128" s="46" t="str">
        <f>'ERPs by country'!A134</f>
        <v>Slovenia</v>
      </c>
      <c r="B128" s="132">
        <f t="shared" si="3"/>
        <v>74</v>
      </c>
      <c r="C128" s="98">
        <f>'ERPs by country'!E134</f>
        <v>6.3533008284103618E-2</v>
      </c>
      <c r="D128" s="24">
        <f>'ERPs by country'!D134</f>
        <v>1.3060556657575006E-2</v>
      </c>
      <c r="E128" s="24">
        <f t="shared" si="2"/>
        <v>6.3533008284103618E-2</v>
      </c>
      <c r="F128" s="57">
        <f>'Country Tax Rates'!B129</f>
        <v>0.19</v>
      </c>
      <c r="G128" s="57">
        <f>E128-'ERPs by country'!$E$3</f>
        <v>1.7533008284103618E-2</v>
      </c>
      <c r="H128" s="75"/>
      <c r="N128" s="200" t="s">
        <v>77</v>
      </c>
      <c r="O128" s="75">
        <v>59.75</v>
      </c>
    </row>
    <row r="129" spans="1:15">
      <c r="A129" s="46" t="str">
        <f>'ERPs by country'!A135</f>
        <v>Solomon Islands</v>
      </c>
      <c r="B129" s="132" t="e">
        <f t="shared" si="3"/>
        <v>#N/A</v>
      </c>
      <c r="C129" s="98">
        <f>'ERPs by country'!E135</f>
        <v>0.15566724789468733</v>
      </c>
      <c r="D129" s="24">
        <f>'ERPs by country'!D135</f>
        <v>8.1692501446400528E-2</v>
      </c>
      <c r="E129" s="24">
        <f t="shared" si="2"/>
        <v>0.15566724789468733</v>
      </c>
      <c r="F129" s="57">
        <f>'Country Tax Rates'!B130</f>
        <v>0.3</v>
      </c>
      <c r="G129" s="57">
        <f>E129-'ERPs by country'!$E$3</f>
        <v>0.10966724789468733</v>
      </c>
      <c r="H129" s="75"/>
      <c r="N129" s="200" t="s">
        <v>66</v>
      </c>
      <c r="O129" s="75">
        <v>55.25</v>
      </c>
    </row>
    <row r="130" spans="1:15">
      <c r="A130" s="46" t="str">
        <f>'ERPs by country'!A136</f>
        <v>South Africa</v>
      </c>
      <c r="B130" s="132">
        <f t="shared" si="3"/>
        <v>67.25</v>
      </c>
      <c r="C130" s="98">
        <f>'ERPs by country'!E136</f>
        <v>9.0004412948338497E-2</v>
      </c>
      <c r="D130" s="24">
        <f>'ERPs by country'!D136</f>
        <v>3.2779436317050999E-2</v>
      </c>
      <c r="E130" s="24">
        <f t="shared" si="2"/>
        <v>9.0004412948338497E-2</v>
      </c>
      <c r="F130" s="57">
        <f>'Country Tax Rates'!B131</f>
        <v>0.27</v>
      </c>
      <c r="G130" s="57">
        <f>E130-'ERPs by country'!$E$3</f>
        <v>4.4004412948338498E-2</v>
      </c>
      <c r="H130" s="75"/>
      <c r="N130" s="200" t="s">
        <v>227</v>
      </c>
      <c r="O130" s="75">
        <v>60</v>
      </c>
    </row>
    <row r="131" spans="1:15">
      <c r="A131" s="46" t="str">
        <f>'ERPs by country'!A137</f>
        <v>Spain</v>
      </c>
      <c r="B131" s="132">
        <f t="shared" si="3"/>
        <v>72</v>
      </c>
      <c r="C131" s="98">
        <f>'ERPs by country'!E137</f>
        <v>6.9377344378804828E-2</v>
      </c>
      <c r="D131" s="24">
        <f>'ERPs by country'!D137</f>
        <v>1.7414075543433341E-2</v>
      </c>
      <c r="E131" s="24">
        <f t="shared" si="2"/>
        <v>6.9377344378804828E-2</v>
      </c>
      <c r="F131" s="57">
        <f>'Country Tax Rates'!B132</f>
        <v>0.25</v>
      </c>
      <c r="G131" s="57">
        <f>E131-'ERPs by country'!$E$3</f>
        <v>2.3377344378804829E-2</v>
      </c>
      <c r="H131" s="75"/>
      <c r="N131" s="200" t="s">
        <v>68</v>
      </c>
      <c r="O131" s="75">
        <v>61.25</v>
      </c>
    </row>
    <row r="132" spans="1:15">
      <c r="A132" s="46" t="str">
        <f>'ERPs by country'!A138</f>
        <v>Sri Lanka</v>
      </c>
      <c r="B132" s="132">
        <f t="shared" ref="B132:B157" si="5">VLOOKUP(A132,$N$1:$O$141,2,FALSE)</f>
        <v>54.5</v>
      </c>
      <c r="C132" s="98">
        <f>'ERPs by country'!E138</f>
        <v>0.22150197507911562</v>
      </c>
      <c r="D132" s="24">
        <f>'ERPs by country'!D138</f>
        <v>0.13073361124886354</v>
      </c>
      <c r="E132" s="24">
        <f t="shared" ref="E132:E157" si="6">C132</f>
        <v>0.22150197507911562</v>
      </c>
      <c r="F132" s="57">
        <f>'Country Tax Rates'!B133</f>
        <v>0.24</v>
      </c>
      <c r="G132" s="57">
        <f>E132-'ERPs by country'!$E$3</f>
        <v>0.17550197507911564</v>
      </c>
      <c r="H132" s="75"/>
      <c r="N132" s="200" t="s">
        <v>60</v>
      </c>
      <c r="O132" s="75">
        <v>80.5</v>
      </c>
    </row>
    <row r="133" spans="1:15">
      <c r="A133" s="46" t="str">
        <f>'ERPs by country'!A139</f>
        <v>St. Maarten</v>
      </c>
      <c r="B133" s="132" t="e">
        <f t="shared" si="5"/>
        <v>#N/A</v>
      </c>
      <c r="C133" s="98">
        <f>'ERPs by country'!E139</f>
        <v>9.0004412948338497E-2</v>
      </c>
      <c r="D133" s="24">
        <f>'ERPs by country'!D139</f>
        <v>3.2779436317050999E-2</v>
      </c>
      <c r="E133" s="24">
        <f t="shared" si="6"/>
        <v>9.0004412948338497E-2</v>
      </c>
      <c r="F133" s="57">
        <f>'Country Tax Rates'!B134</f>
        <v>0.2853</v>
      </c>
      <c r="G133" s="57">
        <f>E133-'ERPs by country'!$E$3</f>
        <v>4.4004412948338498E-2</v>
      </c>
      <c r="H133" s="75"/>
      <c r="N133" s="200" t="s">
        <v>57</v>
      </c>
      <c r="O133" s="75">
        <v>74</v>
      </c>
    </row>
    <row r="134" spans="1:15">
      <c r="A134" s="46" t="str">
        <f>'ERPs by country'!A140</f>
        <v>St. Vincent &amp; the Grenadines</v>
      </c>
      <c r="B134" s="132" t="e">
        <f t="shared" si="5"/>
        <v>#N/A</v>
      </c>
      <c r="C134" s="98">
        <f>'ERPs by country'!E140</f>
        <v>0.14105640765793431</v>
      </c>
      <c r="D134" s="24">
        <f>'ERPs by country'!D140</f>
        <v>7.0808704231754685E-2</v>
      </c>
      <c r="E134" s="24">
        <f t="shared" si="6"/>
        <v>0.14105640765793431</v>
      </c>
      <c r="F134" s="57">
        <f>'Country Tax Rates'!B135</f>
        <v>0.2853</v>
      </c>
      <c r="G134" s="57">
        <f>E134-'ERPs by country'!$E$3</f>
        <v>9.5056407657934314E-2</v>
      </c>
      <c r="H134" s="75"/>
      <c r="N134" s="200" t="s">
        <v>355</v>
      </c>
      <c r="O134" s="75">
        <v>70.25</v>
      </c>
    </row>
    <row r="135" spans="1:15">
      <c r="A135" s="46" t="str">
        <f>'ERPs by country'!A141</f>
        <v>Suriname</v>
      </c>
      <c r="B135" s="132">
        <f t="shared" si="5"/>
        <v>58.75</v>
      </c>
      <c r="C135" s="98">
        <f>'ERPs by country'!E141</f>
        <v>0.19228029460560964</v>
      </c>
      <c r="D135" s="24">
        <f>'ERPs by country'!D141</f>
        <v>0.10896601681957188</v>
      </c>
      <c r="E135" s="24">
        <f t="shared" si="6"/>
        <v>0.19228029460560964</v>
      </c>
      <c r="F135" s="57">
        <f>'Country Tax Rates'!B136</f>
        <v>0.36</v>
      </c>
      <c r="G135" s="57">
        <f>E135-'ERPs by country'!$E$3</f>
        <v>0.14628029460560965</v>
      </c>
      <c r="H135" s="75"/>
      <c r="N135" s="200" t="s">
        <v>69</v>
      </c>
      <c r="O135" s="75">
        <v>73.75</v>
      </c>
    </row>
    <row r="136" spans="1:15">
      <c r="A136" s="46" t="str">
        <f>'ERPs by country'!A142</f>
        <v>Swaziland</v>
      </c>
      <c r="B136" s="132" t="e">
        <f t="shared" si="5"/>
        <v>#N/A</v>
      </c>
      <c r="C136" s="98">
        <f>'ERPs by country'!E142</f>
        <v>0.14105640765793431</v>
      </c>
      <c r="D136" s="24">
        <f>'ERPs by country'!D142</f>
        <v>7.0808704231754685E-2</v>
      </c>
      <c r="E136" s="24">
        <f t="shared" si="6"/>
        <v>0.14105640765793431</v>
      </c>
      <c r="F136" s="57">
        <f>'Country Tax Rates'!B137</f>
        <v>0.27500000000000002</v>
      </c>
      <c r="G136" s="57">
        <f>E136-'ERPs by country'!$E$3</f>
        <v>9.5056407657934314E-2</v>
      </c>
      <c r="H136" s="75"/>
      <c r="N136" s="200" t="s">
        <v>380</v>
      </c>
      <c r="O136" s="75">
        <v>74.75</v>
      </c>
    </row>
    <row r="137" spans="1:15">
      <c r="A137" s="46" t="str">
        <f>'ERPs by country'!A143</f>
        <v>Sweden</v>
      </c>
      <c r="B137" s="132">
        <f t="shared" si="5"/>
        <v>80</v>
      </c>
      <c r="C137" s="98">
        <f>'ERPs by country'!E143</f>
        <v>4.5999999999999999E-2</v>
      </c>
      <c r="D137" s="24">
        <f>'ERPs by country'!D143</f>
        <v>0</v>
      </c>
      <c r="E137" s="24">
        <f t="shared" si="6"/>
        <v>4.5999999999999999E-2</v>
      </c>
      <c r="F137" s="57">
        <f>'Country Tax Rates'!B138</f>
        <v>0.20600000000000002</v>
      </c>
      <c r="G137" s="57">
        <f>E137-'ERPs by country'!$E$3</f>
        <v>0</v>
      </c>
      <c r="H137" s="75"/>
      <c r="N137" s="200" t="s">
        <v>70</v>
      </c>
      <c r="O137" s="75">
        <v>55</v>
      </c>
    </row>
    <row r="138" spans="1:15">
      <c r="A138" s="46" t="str">
        <f>'ERPs by country'!A144</f>
        <v>Switzerland</v>
      </c>
      <c r="B138" s="132">
        <f t="shared" si="5"/>
        <v>86</v>
      </c>
      <c r="C138" s="98">
        <f>'ERPs by country'!E144</f>
        <v>4.5999999999999999E-2</v>
      </c>
      <c r="D138" s="24">
        <f>'ERPs by country'!D144</f>
        <v>0</v>
      </c>
      <c r="E138" s="24">
        <f t="shared" si="6"/>
        <v>4.5999999999999999E-2</v>
      </c>
      <c r="F138" s="57">
        <f>'Country Tax Rates'!B139</f>
        <v>0.14599999999999999</v>
      </c>
      <c r="G138" s="57">
        <f>E138-'ERPs by country'!$E$3</f>
        <v>0</v>
      </c>
      <c r="N138" s="200" t="s">
        <v>71</v>
      </c>
      <c r="O138" s="75">
        <v>71.5</v>
      </c>
    </row>
    <row r="139" spans="1:15">
      <c r="A139" s="46" t="str">
        <f>'ERPs by country'!A145</f>
        <v>Taiwan</v>
      </c>
      <c r="B139" s="132">
        <f t="shared" si="5"/>
        <v>84.5</v>
      </c>
      <c r="C139" s="98">
        <f>'ERPs by country'!E145</f>
        <v>5.4766504142051808E-2</v>
      </c>
      <c r="D139" s="24">
        <f>'ERPs by country'!D145</f>
        <v>6.5302783287875029E-3</v>
      </c>
      <c r="E139" s="24">
        <f t="shared" si="6"/>
        <v>5.4766504142051808E-2</v>
      </c>
      <c r="F139" s="57">
        <f>'Country Tax Rates'!B140</f>
        <v>0.2</v>
      </c>
      <c r="G139" s="57">
        <f>E139-'ERPs by country'!$E$3</f>
        <v>8.7665041420518092E-3</v>
      </c>
      <c r="N139" s="200" t="s">
        <v>322</v>
      </c>
      <c r="O139" s="75">
        <v>55.75</v>
      </c>
    </row>
    <row r="140" spans="1:15">
      <c r="A140" s="46" t="str">
        <f>'ERPs by country'!A146</f>
        <v>Tajikistan</v>
      </c>
      <c r="B140" s="132" t="e">
        <f t="shared" si="5"/>
        <v>#N/A</v>
      </c>
      <c r="C140" s="98">
        <f>'ERPs by country'!E146</f>
        <v>0.14105640765793431</v>
      </c>
      <c r="D140" s="24">
        <f>'ERPs by country'!D146</f>
        <v>7.0808704231754685E-2</v>
      </c>
      <c r="E140" s="24">
        <f t="shared" si="6"/>
        <v>0.14105640765793431</v>
      </c>
      <c r="F140" s="57">
        <f>'Country Tax Rates'!B141</f>
        <v>0.18</v>
      </c>
      <c r="G140" s="57">
        <f>E140-'ERPs by country'!$E$3</f>
        <v>9.5056407657934314E-2</v>
      </c>
      <c r="N140" s="200" t="s">
        <v>191</v>
      </c>
      <c r="O140" s="75">
        <v>62</v>
      </c>
    </row>
    <row r="141" spans="1:15">
      <c r="A141" s="46" t="str">
        <f>'ERPs by country'!A147</f>
        <v>Tanzania</v>
      </c>
      <c r="B141" s="132">
        <f t="shared" si="5"/>
        <v>66</v>
      </c>
      <c r="C141" s="98">
        <f>'ERPs by country'!E147</f>
        <v>0.12644556742118129</v>
      </c>
      <c r="D141" s="24">
        <f>'ERPs by country'!D147</f>
        <v>5.9924907017108855E-2</v>
      </c>
      <c r="E141" s="24">
        <f t="shared" si="6"/>
        <v>0.12644556742118129</v>
      </c>
      <c r="F141" s="57">
        <f>'Country Tax Rates'!B142</f>
        <v>0.3</v>
      </c>
      <c r="G141" s="57">
        <f>E141-'ERPs by country'!$E$3</f>
        <v>8.0445567421181294E-2</v>
      </c>
      <c r="N141" s="200" t="s">
        <v>319</v>
      </c>
      <c r="O141" s="75">
        <v>57.5</v>
      </c>
    </row>
    <row r="142" spans="1:15">
      <c r="A142" s="46" t="str">
        <f>'ERPs by country'!A148</f>
        <v>Thailand</v>
      </c>
      <c r="B142" s="132">
        <f t="shared" si="5"/>
        <v>70.5</v>
      </c>
      <c r="C142" s="98">
        <f>'ERPs by country'!E148</f>
        <v>6.9377344378804828E-2</v>
      </c>
      <c r="D142" s="24">
        <f>'ERPs by country'!D148</f>
        <v>1.7414075543433341E-2</v>
      </c>
      <c r="E142" s="24">
        <f t="shared" si="6"/>
        <v>6.9377344378804828E-2</v>
      </c>
      <c r="F142" s="57">
        <f>'Country Tax Rates'!B143</f>
        <v>0.2</v>
      </c>
      <c r="G142" s="57">
        <f>E142-'ERPs by country'!$E$3</f>
        <v>2.3377344378804829E-2</v>
      </c>
    </row>
    <row r="143" spans="1:15">
      <c r="A143" s="46" t="str">
        <f>'ERPs by country'!A149</f>
        <v>Togo</v>
      </c>
      <c r="B143" s="132">
        <f t="shared" si="5"/>
        <v>63.5</v>
      </c>
      <c r="C143" s="98">
        <f>'ERPs by country'!E149</f>
        <v>0.14105640765793431</v>
      </c>
      <c r="D143" s="24">
        <f>'ERPs by country'!D149</f>
        <v>7.0808704231754685E-2</v>
      </c>
      <c r="E143" s="24">
        <f t="shared" si="6"/>
        <v>0.14105640765793431</v>
      </c>
      <c r="F143" s="57">
        <f>'Country Tax Rates'!B144</f>
        <v>0.26860000000000001</v>
      </c>
      <c r="G143" s="57">
        <f>E143-'ERPs by country'!$E$3</f>
        <v>9.5056407657934314E-2</v>
      </c>
    </row>
    <row r="144" spans="1:15">
      <c r="A144" s="46" t="str">
        <f>'ERPs by country'!A150</f>
        <v>Trinidad and Tobago</v>
      </c>
      <c r="B144" s="132" t="e">
        <f t="shared" si="5"/>
        <v>#N/A</v>
      </c>
      <c r="C144" s="98">
        <f>'ERPs by country'!E150</f>
        <v>9.0004412948338497E-2</v>
      </c>
      <c r="D144" s="24">
        <f>'ERPs by country'!D150</f>
        <v>3.2779436317050999E-2</v>
      </c>
      <c r="E144" s="24">
        <f t="shared" si="6"/>
        <v>9.0004412948338497E-2</v>
      </c>
      <c r="F144" s="57">
        <f>'Country Tax Rates'!B145</f>
        <v>0.3</v>
      </c>
      <c r="G144" s="57">
        <f>E144-'ERPs by country'!$E$3</f>
        <v>4.4004412948338498E-2</v>
      </c>
    </row>
    <row r="145" spans="1:11">
      <c r="A145" s="46" t="str">
        <f>'ERPs by country'!A151</f>
        <v>Tunisia</v>
      </c>
      <c r="B145" s="132">
        <f t="shared" si="5"/>
        <v>59.75</v>
      </c>
      <c r="C145" s="98">
        <f>'ERPs by country'!E151</f>
        <v>0.17766945436885656</v>
      </c>
      <c r="D145" s="24">
        <f>'ERPs by country'!D151</f>
        <v>9.8082219604926024E-2</v>
      </c>
      <c r="E145" s="24">
        <f t="shared" si="6"/>
        <v>0.17766945436885656</v>
      </c>
      <c r="F145" s="57">
        <f>'Country Tax Rates'!B146</f>
        <v>0.15</v>
      </c>
      <c r="G145" s="57">
        <f>E145-'ERPs by country'!$E$3</f>
        <v>0.13166945436885658</v>
      </c>
    </row>
    <row r="146" spans="1:11">
      <c r="A146" s="46" t="str">
        <f>'ERPs by country'!A152</f>
        <v>Turkey</v>
      </c>
      <c r="B146" s="132">
        <f t="shared" si="5"/>
        <v>55.25</v>
      </c>
      <c r="C146" s="98">
        <f>'ERPs by country'!E152</f>
        <v>0.14105640765793431</v>
      </c>
      <c r="D146" s="24">
        <f>'ERPs by country'!D152</f>
        <v>7.0808704231754685E-2</v>
      </c>
      <c r="E146" s="24">
        <f t="shared" si="6"/>
        <v>0.14105640765793431</v>
      </c>
      <c r="F146" s="57">
        <f>'Country Tax Rates'!B147</f>
        <v>0.25</v>
      </c>
      <c r="G146" s="57">
        <f>E146-'ERPs by country'!$E$3</f>
        <v>9.5056407657934314E-2</v>
      </c>
    </row>
    <row r="147" spans="1:11">
      <c r="A147" s="46" t="str">
        <f>'ERPs by country'!A153</f>
        <v>Turks and Caicos Islands</v>
      </c>
      <c r="B147" s="132" t="e">
        <f t="shared" si="5"/>
        <v>#N/A</v>
      </c>
      <c r="C147" s="98">
        <f>'ERPs by country'!E153</f>
        <v>6.9377344378804828E-2</v>
      </c>
      <c r="D147" s="24">
        <f>'ERPs by country'!D153</f>
        <v>1.7414075543433341E-2</v>
      </c>
      <c r="E147" s="24">
        <f t="shared" si="6"/>
        <v>6.9377344378804828E-2</v>
      </c>
      <c r="F147" s="57">
        <f>'Country Tax Rates'!B148</f>
        <v>0</v>
      </c>
      <c r="G147" s="57">
        <f>E147-'ERPs by country'!$E$3</f>
        <v>2.3377344378804829E-2</v>
      </c>
    </row>
    <row r="148" spans="1:11">
      <c r="A148" s="46" t="str">
        <f>'ERPs by country'!A154</f>
        <v>Uganda</v>
      </c>
      <c r="B148" s="132">
        <f t="shared" si="5"/>
        <v>60</v>
      </c>
      <c r="C148" s="98">
        <f>'ERPs by country'!E154</f>
        <v>0.12644556742118129</v>
      </c>
      <c r="D148" s="24">
        <f>'ERPs by country'!D154</f>
        <v>5.9924907017108855E-2</v>
      </c>
      <c r="E148" s="24">
        <f t="shared" si="6"/>
        <v>0.12644556742118129</v>
      </c>
      <c r="F148" s="57">
        <f>'Country Tax Rates'!B149</f>
        <v>0.3</v>
      </c>
      <c r="G148" s="57">
        <f>E148-'ERPs by country'!$E$3</f>
        <v>8.0445567421181294E-2</v>
      </c>
    </row>
    <row r="149" spans="1:11">
      <c r="A149" s="46" t="str">
        <f>'ERPs by country'!A155</f>
        <v>Ukraine</v>
      </c>
      <c r="B149" s="132">
        <f t="shared" si="5"/>
        <v>61.25</v>
      </c>
      <c r="C149" s="98">
        <f>'ERPs by country'!E155</f>
        <v>0.22150197507911562</v>
      </c>
      <c r="D149" s="24">
        <f>'ERPs by country'!D155</f>
        <v>0.13073361124886354</v>
      </c>
      <c r="E149" s="24">
        <f t="shared" si="6"/>
        <v>0.22150197507911562</v>
      </c>
      <c r="F149" s="57">
        <f>'Country Tax Rates'!B150</f>
        <v>0.18</v>
      </c>
      <c r="G149" s="57">
        <f>E149-'ERPs by country'!$E$3</f>
        <v>0.17550197507911564</v>
      </c>
    </row>
    <row r="150" spans="1:11">
      <c r="A150" s="46" t="str">
        <f>'ERPs by country'!A156</f>
        <v>United Arab Emirates</v>
      </c>
      <c r="B150" s="132">
        <f t="shared" si="5"/>
        <v>80.5</v>
      </c>
      <c r="C150" s="98">
        <f>'ERPs by country'!E156</f>
        <v>5.3219473999336783E-2</v>
      </c>
      <c r="D150" s="24">
        <f>'ERPs by country'!D156</f>
        <v>5.3778762707661788E-3</v>
      </c>
      <c r="E150" s="24">
        <f t="shared" si="6"/>
        <v>5.3219473999336783E-2</v>
      </c>
      <c r="F150" s="57">
        <f>'Country Tax Rates'!B151</f>
        <v>0.25</v>
      </c>
      <c r="G150" s="57">
        <f>E150-'ERPs by country'!$E$3</f>
        <v>7.219473999336784E-3</v>
      </c>
    </row>
    <row r="151" spans="1:11">
      <c r="A151" s="46" t="str">
        <f>'ERPs by country'!A157</f>
        <v>United Kingdom</v>
      </c>
      <c r="B151" s="132">
        <f t="shared" si="5"/>
        <v>74</v>
      </c>
      <c r="C151" s="98">
        <f>'ERPs by country'!E157</f>
        <v>5.4766504142051808E-2</v>
      </c>
      <c r="D151" s="24">
        <f>'ERPs by country'!D157</f>
        <v>6.5302783287875029E-3</v>
      </c>
      <c r="E151" s="24">
        <f t="shared" si="6"/>
        <v>5.4766504142051808E-2</v>
      </c>
      <c r="F151" s="57">
        <f>'Country Tax Rates'!B152</f>
        <v>0.25</v>
      </c>
      <c r="G151" s="57">
        <f>E151-'ERPs by country'!$E$3</f>
        <v>8.7665041420518092E-3</v>
      </c>
    </row>
    <row r="152" spans="1:11">
      <c r="A152" s="46" t="str">
        <f>'ERPs by country'!A158</f>
        <v>United States</v>
      </c>
      <c r="B152" s="132">
        <f t="shared" si="5"/>
        <v>70.25</v>
      </c>
      <c r="C152" s="98">
        <f>'ERPs by country'!E158</f>
        <v>4.5999999999999999E-2</v>
      </c>
      <c r="D152" s="24">
        <f>'ERPs by country'!D158</f>
        <v>0</v>
      </c>
      <c r="E152" s="24">
        <f t="shared" si="6"/>
        <v>4.5999999999999999E-2</v>
      </c>
      <c r="F152" s="57">
        <f>'Country Tax Rates'!B153</f>
        <v>0.25</v>
      </c>
      <c r="G152" s="57">
        <f>E152-'ERPs by country'!$E$3</f>
        <v>0</v>
      </c>
    </row>
    <row r="153" spans="1:11">
      <c r="A153" s="46" t="str">
        <f>'ERPs by country'!A159</f>
        <v>Uruguay</v>
      </c>
      <c r="B153" s="132">
        <f t="shared" si="5"/>
        <v>73.75</v>
      </c>
      <c r="C153" s="98">
        <f>'ERPs by country'!E159</f>
        <v>7.3846542568870452E-2</v>
      </c>
      <c r="D153" s="24">
        <f>'ERPs by country'!D159</f>
        <v>2.0743237044383835E-2</v>
      </c>
      <c r="E153" s="24">
        <f t="shared" si="6"/>
        <v>7.3846542568870452E-2</v>
      </c>
      <c r="F153" s="57">
        <f>'Country Tax Rates'!B154</f>
        <v>0.25</v>
      </c>
      <c r="G153" s="57">
        <f>E153-'ERPs by country'!$E$3</f>
        <v>2.7846542568870453E-2</v>
      </c>
    </row>
    <row r="154" spans="1:11">
      <c r="A154" s="46" t="str">
        <f>'ERPs by country'!A160</f>
        <v>Uzbekistan</v>
      </c>
      <c r="B154" s="132">
        <f t="shared" si="5"/>
        <v>74.75</v>
      </c>
      <c r="C154" s="98">
        <f>'ERPs by country'!E160</f>
        <v>9.8599024852310854E-2</v>
      </c>
      <c r="D154" s="24">
        <f>'ERPs by country'!D160</f>
        <v>3.9181669972725021E-2</v>
      </c>
      <c r="E154" s="24">
        <f t="shared" si="6"/>
        <v>9.8599024852310854E-2</v>
      </c>
      <c r="F154" s="57">
        <f>'Country Tax Rates'!B155</f>
        <v>0.15</v>
      </c>
      <c r="G154" s="57">
        <f>E154-'ERPs by country'!$E$3</f>
        <v>5.2599024852310855E-2</v>
      </c>
    </row>
    <row r="155" spans="1:11">
      <c r="A155" s="46" t="str">
        <f>'ERPs by country'!A161</f>
        <v>Venezuela</v>
      </c>
      <c r="B155" s="132">
        <f t="shared" si="5"/>
        <v>55</v>
      </c>
      <c r="C155" s="98">
        <f>'ERPs by country'!E161</f>
        <v>0.28092692770782934</v>
      </c>
      <c r="D155" s="24">
        <f>'ERPs by country'!D161</f>
        <v>0.17499999999999999</v>
      </c>
      <c r="E155" s="24">
        <f t="shared" si="6"/>
        <v>0.28092692770782934</v>
      </c>
      <c r="F155" s="57">
        <f>'Country Tax Rates'!B156</f>
        <v>0.34</v>
      </c>
      <c r="G155" s="57">
        <f>E155-'ERPs by country'!$E$3</f>
        <v>0.23492692770782936</v>
      </c>
    </row>
    <row r="156" spans="1:11">
      <c r="A156" s="46" t="str">
        <f>'ERPs by country'!A162</f>
        <v>Vietnam</v>
      </c>
      <c r="B156" s="132">
        <f t="shared" si="5"/>
        <v>71.5</v>
      </c>
      <c r="C156" s="98">
        <f>'ERPs by country'!E162</f>
        <v>9.0004412948338497E-2</v>
      </c>
      <c r="D156" s="24">
        <f>'ERPs by country'!D162</f>
        <v>3.2779436317050999E-2</v>
      </c>
      <c r="E156" s="24">
        <f t="shared" si="6"/>
        <v>9.0004412948338497E-2</v>
      </c>
      <c r="F156" s="57">
        <f>'Country Tax Rates'!B157</f>
        <v>0.2</v>
      </c>
      <c r="G156" s="57">
        <f>E156-'ERPs by country'!$E$3</f>
        <v>4.4004412948338498E-2</v>
      </c>
    </row>
    <row r="157" spans="1:11">
      <c r="A157" s="46" t="str">
        <f>'ERPs by country'!A163</f>
        <v>Zambia</v>
      </c>
      <c r="B157" s="132">
        <f t="shared" si="5"/>
        <v>62</v>
      </c>
      <c r="C157" s="98">
        <f>'ERPs by country'!E163</f>
        <v>0.19228029460560964</v>
      </c>
      <c r="D157" s="24">
        <f>'ERPs by country'!D163</f>
        <v>0.10896601681957188</v>
      </c>
      <c r="E157" s="24">
        <f t="shared" si="6"/>
        <v>0.19228029460560964</v>
      </c>
      <c r="F157" s="57">
        <f>'Country Tax Rates'!B158</f>
        <v>0.35</v>
      </c>
      <c r="G157" s="57">
        <f>E157-'ERPs by country'!$E$3</f>
        <v>0.14628029460560965</v>
      </c>
    </row>
    <row r="158" spans="1:11">
      <c r="A158" s="46"/>
      <c r="B158" s="133"/>
      <c r="C158" s="98"/>
      <c r="D158" s="24"/>
      <c r="E158" s="24"/>
      <c r="F158" s="57"/>
      <c r="G158" s="57"/>
    </row>
    <row r="159" spans="1:11">
      <c r="A159" s="46"/>
      <c r="B159" s="133"/>
      <c r="C159" s="98"/>
      <c r="D159" s="24"/>
      <c r="E159" s="24"/>
      <c r="F159" s="57"/>
      <c r="G159" s="57"/>
      <c r="H159" s="75"/>
      <c r="J159" s="135" t="s">
        <v>170</v>
      </c>
      <c r="K159" s="136" t="s">
        <v>459</v>
      </c>
    </row>
    <row r="160" spans="1:11">
      <c r="A160" s="46"/>
      <c r="B160" s="133"/>
      <c r="C160" s="98"/>
      <c r="D160" s="24"/>
      <c r="E160" s="24"/>
      <c r="F160" s="57"/>
      <c r="G160" s="57"/>
      <c r="H160" s="75"/>
      <c r="J160" s="137" t="s">
        <v>128</v>
      </c>
      <c r="K160" s="138">
        <v>0.26857333333333339</v>
      </c>
    </row>
    <row r="161" spans="1:11">
      <c r="A161" s="46" t="s">
        <v>336</v>
      </c>
      <c r="B161" s="132">
        <f t="shared" ref="B161:B181" si="7">VLOOKUP(A161,$N$2:$O$141,2,FALSE)</f>
        <v>67.75</v>
      </c>
      <c r="C161" s="57"/>
      <c r="D161" s="57">
        <f>G161/'ERPs by country'!$E$5</f>
        <v>4.9041109802463012E-2</v>
      </c>
      <c r="E161" s="93">
        <f t="shared" ref="E161:E181" si="8">IF(C161&gt;0,C161,VLOOKUP(B161,$I$3:$K$19,3))</f>
        <v>0.11183472718442829</v>
      </c>
      <c r="F161" s="93">
        <v>0.26</v>
      </c>
      <c r="G161" s="57">
        <f>E161-'ERPs by country'!$E$3</f>
        <v>6.5834727184428288E-2</v>
      </c>
      <c r="H161" s="75"/>
      <c r="J161" s="137" t="s">
        <v>129</v>
      </c>
      <c r="K161" s="138">
        <v>0.24558260869565224</v>
      </c>
    </row>
    <row r="162" spans="1:11">
      <c r="A162" s="46" t="s">
        <v>337</v>
      </c>
      <c r="B162" s="132">
        <f t="shared" si="7"/>
        <v>81.5</v>
      </c>
      <c r="C162" s="57"/>
      <c r="D162" s="57">
        <f>G162/'ERPs by country'!$E$5</f>
        <v>6.5302783287875029E-3</v>
      </c>
      <c r="E162" s="93">
        <f t="shared" si="8"/>
        <v>5.4766504142051808E-2</v>
      </c>
      <c r="F162" s="57">
        <v>0.185</v>
      </c>
      <c r="G162" s="57">
        <f>E162-'ERPs by country'!$E$3</f>
        <v>8.7665041420518092E-3</v>
      </c>
      <c r="H162" s="75"/>
      <c r="J162" s="137" t="s">
        <v>53</v>
      </c>
      <c r="K162" s="138">
        <v>0.29246666666666665</v>
      </c>
    </row>
    <row r="163" spans="1:11">
      <c r="A163" s="46" t="s">
        <v>333</v>
      </c>
      <c r="B163" s="132">
        <f t="shared" si="7"/>
        <v>66.75</v>
      </c>
      <c r="C163" s="57"/>
      <c r="D163" s="57">
        <f>G163/'ERPs by country'!$E$5</f>
        <v>4.9041109802463012E-2</v>
      </c>
      <c r="E163" s="93">
        <f t="shared" si="8"/>
        <v>0.11183472718442829</v>
      </c>
      <c r="F163" s="57">
        <v>0.31</v>
      </c>
      <c r="G163" s="57">
        <f>E163-'ERPs by country'!$E$3</f>
        <v>6.5834727184428288E-2</v>
      </c>
      <c r="H163" s="75"/>
      <c r="J163" s="137" t="s">
        <v>54</v>
      </c>
      <c r="K163" s="138">
        <v>0.18638571428571429</v>
      </c>
    </row>
    <row r="164" spans="1:11">
      <c r="A164" s="46" t="s">
        <v>316</v>
      </c>
      <c r="B164" s="132">
        <f t="shared" si="7"/>
        <v>60</v>
      </c>
      <c r="C164" s="57"/>
      <c r="D164" s="57">
        <f>G164/'ERPs by country'!$E$5</f>
        <v>9.8082219604926024E-2</v>
      </c>
      <c r="E164" s="93">
        <f t="shared" si="8"/>
        <v>0.17766945436885656</v>
      </c>
      <c r="F164" s="57">
        <v>0.29149999999999998</v>
      </c>
      <c r="G164" s="57">
        <f>E164-'ERPs by country'!$E$3</f>
        <v>0.13166945436885658</v>
      </c>
      <c r="H164" s="75"/>
      <c r="J164" s="137" t="s">
        <v>51</v>
      </c>
      <c r="K164" s="138">
        <v>0.28532105263157892</v>
      </c>
    </row>
    <row r="165" spans="1:11">
      <c r="A165" s="46" t="s">
        <v>332</v>
      </c>
      <c r="B165" s="132">
        <f t="shared" si="7"/>
        <v>65.25</v>
      </c>
      <c r="C165" s="57"/>
      <c r="D165" s="57">
        <f>G165/'ERPs by country'!$E$5</f>
        <v>5.9924907017108842E-2</v>
      </c>
      <c r="E165" s="93">
        <f t="shared" si="8"/>
        <v>0.12644556742118129</v>
      </c>
      <c r="F165" s="57">
        <v>0.29149999999999998</v>
      </c>
      <c r="G165" s="57">
        <f>E165-'ERPs by country'!$E$3</f>
        <v>8.0445567421181294E-2</v>
      </c>
      <c r="H165" s="75"/>
      <c r="J165" s="137" t="s">
        <v>125</v>
      </c>
      <c r="K165" s="138">
        <v>0.16111111111111109</v>
      </c>
    </row>
    <row r="166" spans="1:11">
      <c r="A166" s="46" t="s">
        <v>329</v>
      </c>
      <c r="B166" s="132">
        <f t="shared" si="7"/>
        <v>75.25</v>
      </c>
      <c r="C166" s="57"/>
      <c r="D166" s="57">
        <f>G166/'ERPs by country'!$E$5</f>
        <v>1.7414075543433345E-2</v>
      </c>
      <c r="E166" s="93">
        <f t="shared" si="8"/>
        <v>6.9377344378804828E-2</v>
      </c>
      <c r="F166" s="57">
        <v>0.18640000000000001</v>
      </c>
      <c r="G166" s="57">
        <f>E166-'ERPs by country'!$E$3</f>
        <v>2.3377344378804829E-2</v>
      </c>
      <c r="H166" s="75"/>
      <c r="J166" s="137" t="s">
        <v>127</v>
      </c>
      <c r="K166" s="138">
        <v>0.13461538461538461</v>
      </c>
    </row>
    <row r="167" spans="1:11">
      <c r="A167" s="46" t="s">
        <v>325</v>
      </c>
      <c r="B167" s="132">
        <f t="shared" si="7"/>
        <v>56.5</v>
      </c>
      <c r="C167" s="57"/>
      <c r="D167" s="57">
        <f>G167/'ERPs by country'!$E$5</f>
        <v>0.10896601681957191</v>
      </c>
      <c r="E167" s="93">
        <f t="shared" si="8"/>
        <v>0.19228029460560964</v>
      </c>
      <c r="F167" s="57">
        <v>0.18640000000000001</v>
      </c>
      <c r="G167" s="57">
        <f>E167-'ERPs by country'!$E$3</f>
        <v>0.14628029460560965</v>
      </c>
      <c r="H167" s="75"/>
      <c r="J167" s="137" t="s">
        <v>130</v>
      </c>
      <c r="K167" s="138">
        <v>0.25750000000000001</v>
      </c>
    </row>
    <row r="168" spans="1:11">
      <c r="A168" s="46" t="s">
        <v>327</v>
      </c>
      <c r="B168" s="132">
        <f t="shared" si="7"/>
        <v>63</v>
      </c>
      <c r="C168" s="57"/>
      <c r="D168" s="57">
        <f>G168/'ERPs by country'!$E$5</f>
        <v>7.0808704231754685E-2</v>
      </c>
      <c r="E168" s="93">
        <f t="shared" si="8"/>
        <v>0.14105640765793431</v>
      </c>
      <c r="F168" s="57">
        <v>0.20230000000000001</v>
      </c>
      <c r="G168" s="57">
        <f>E168-'ERPs by country'!$E$3</f>
        <v>9.5056407657934314E-2</v>
      </c>
      <c r="H168" s="75"/>
      <c r="J168" s="137" t="s">
        <v>126</v>
      </c>
      <c r="K168" s="138">
        <v>0.1951615384615385</v>
      </c>
    </row>
    <row r="169" spans="1:11">
      <c r="A169" s="46" t="s">
        <v>369</v>
      </c>
      <c r="B169" s="132">
        <f t="shared" si="7"/>
        <v>49.25</v>
      </c>
      <c r="C169" s="57"/>
      <c r="D169" s="57">
        <f>G169/'ERPs by country'!$E$5</f>
        <v>0.17499999999999999</v>
      </c>
      <c r="E169" s="93">
        <f t="shared" si="8"/>
        <v>0.28092692770782934</v>
      </c>
      <c r="F169" s="57">
        <v>0.23100000000000001</v>
      </c>
      <c r="G169" s="57">
        <f>E169-'ERPs by country'!$E$3</f>
        <v>0.23492692770782936</v>
      </c>
      <c r="H169" s="75"/>
      <c r="K169" s="23"/>
    </row>
    <row r="170" spans="1:11">
      <c r="A170" s="46" t="s">
        <v>317</v>
      </c>
      <c r="B170" s="132">
        <f t="shared" si="7"/>
        <v>55</v>
      </c>
      <c r="C170" s="57"/>
      <c r="D170" s="57">
        <f>G170/'ERPs by country'!$E$5</f>
        <v>0.13073361124886354</v>
      </c>
      <c r="E170" s="93">
        <f t="shared" si="8"/>
        <v>0.22150197507911562</v>
      </c>
      <c r="F170" s="57">
        <v>0.29149999999999998</v>
      </c>
      <c r="G170" s="57">
        <f>E170-'ERPs by country'!$E$3</f>
        <v>0.17550197507911564</v>
      </c>
      <c r="H170" s="75"/>
    </row>
    <row r="171" spans="1:11">
      <c r="A171" s="46" t="s">
        <v>321</v>
      </c>
      <c r="B171" s="132">
        <f t="shared" si="7"/>
        <v>73.75</v>
      </c>
      <c r="C171" s="57"/>
      <c r="D171" s="57">
        <f>G171/'ERPs by country'!$E$5</f>
        <v>2.0743237044383835E-2</v>
      </c>
      <c r="E171" s="93">
        <f t="shared" si="8"/>
        <v>7.3846542568870452E-2</v>
      </c>
      <c r="F171" s="93">
        <v>0.2</v>
      </c>
      <c r="G171" s="57">
        <f>E171-'ERPs by country'!$E$3</f>
        <v>2.7846542568870453E-2</v>
      </c>
      <c r="H171" s="75"/>
    </row>
    <row r="172" spans="1:11">
      <c r="A172" s="46" t="s">
        <v>335</v>
      </c>
      <c r="B172" s="132">
        <f t="shared" si="7"/>
        <v>62.75</v>
      </c>
      <c r="C172" s="57"/>
      <c r="D172" s="57">
        <f>G172/'ERPs by country'!$E$5</f>
        <v>7.0808704231754685E-2</v>
      </c>
      <c r="E172" s="93">
        <f t="shared" si="8"/>
        <v>0.14105640765793431</v>
      </c>
      <c r="F172" s="57">
        <v>0.2</v>
      </c>
      <c r="G172" s="57">
        <f>E172-'ERPs by country'!$E$3</f>
        <v>9.5056407657934314E-2</v>
      </c>
      <c r="H172" s="75"/>
    </row>
    <row r="173" spans="1:11">
      <c r="A173" s="46" t="s">
        <v>326</v>
      </c>
      <c r="B173" s="132">
        <f t="shared" si="7"/>
        <v>52.75</v>
      </c>
      <c r="C173" s="57"/>
      <c r="D173" s="57">
        <f>G173/'ERPs by country'!$E$5</f>
        <v>0.13073361124886354</v>
      </c>
      <c r="E173" s="93">
        <f t="shared" si="8"/>
        <v>0.22150197507911562</v>
      </c>
      <c r="F173" s="57">
        <v>0.3</v>
      </c>
      <c r="G173" s="57">
        <f>E173-'ERPs by country'!$E$3</f>
        <v>0.17550197507911564</v>
      </c>
      <c r="H173" s="75"/>
    </row>
    <row r="174" spans="1:11">
      <c r="A174" s="46" t="s">
        <v>334</v>
      </c>
      <c r="B174" s="132">
        <f t="shared" si="7"/>
        <v>57</v>
      </c>
      <c r="C174" s="57"/>
      <c r="D174" s="57">
        <f>G174/'ERPs by country'!$E$5</f>
        <v>0.10896601681957191</v>
      </c>
      <c r="E174" s="93">
        <f t="shared" si="8"/>
        <v>0.19228029460560964</v>
      </c>
      <c r="F174" s="57">
        <v>0.25</v>
      </c>
      <c r="G174" s="57">
        <f>E174-'ERPs by country'!$E$3</f>
        <v>0.14628029460560965</v>
      </c>
      <c r="H174" s="75"/>
    </row>
    <row r="175" spans="1:11">
      <c r="A175" s="46" t="s">
        <v>1</v>
      </c>
      <c r="B175" s="132">
        <f t="shared" si="7"/>
        <v>66.75</v>
      </c>
      <c r="C175" s="57"/>
      <c r="D175" s="57">
        <f>G175/'ERPs by country'!$E$5</f>
        <v>4.9041109802463012E-2</v>
      </c>
      <c r="E175" s="93">
        <f>IF(C175&gt;0,C175,VLOOKUP(B175,$I$3:$K$19,3))</f>
        <v>0.11183472718442829</v>
      </c>
      <c r="F175" s="57">
        <v>0.25</v>
      </c>
      <c r="G175" s="57">
        <f>E175-'ERPs by country'!$E$3</f>
        <v>6.5834727184428288E-2</v>
      </c>
      <c r="H175" s="75"/>
    </row>
    <row r="176" spans="1:11">
      <c r="A176" s="46" t="s">
        <v>328</v>
      </c>
      <c r="B176" s="132">
        <f t="shared" si="7"/>
        <v>56.25</v>
      </c>
      <c r="C176" s="57"/>
      <c r="D176" s="57">
        <f>G176/'ERPs by country'!$E$5</f>
        <v>0.10896601681957191</v>
      </c>
      <c r="E176" s="93">
        <f t="shared" si="8"/>
        <v>0.19228029460560964</v>
      </c>
      <c r="F176" s="57">
        <v>0.3</v>
      </c>
      <c r="G176" s="57">
        <f>E176-'ERPs by country'!$E$3</f>
        <v>0.14628029460560965</v>
      </c>
      <c r="H176" s="75"/>
    </row>
    <row r="177" spans="1:8">
      <c r="A177" s="46" t="s">
        <v>314</v>
      </c>
      <c r="B177" s="132">
        <f t="shared" si="7"/>
        <v>51.75</v>
      </c>
      <c r="C177" s="57"/>
      <c r="D177" s="57">
        <f>G177/'ERPs by country'!$E$5</f>
        <v>0.13073361124886354</v>
      </c>
      <c r="E177" s="93">
        <f t="shared" si="8"/>
        <v>0.22150197507911562</v>
      </c>
      <c r="F177" s="57">
        <v>0.29149999999999998</v>
      </c>
      <c r="G177" s="57">
        <f>E177-'ERPs by country'!$E$3</f>
        <v>0.17550197507911564</v>
      </c>
      <c r="H177" s="75"/>
    </row>
    <row r="178" spans="1:8">
      <c r="A178" s="46" t="s">
        <v>318</v>
      </c>
      <c r="B178" s="132">
        <f t="shared" si="7"/>
        <v>44.75</v>
      </c>
      <c r="C178" s="57"/>
      <c r="D178" s="57">
        <f>G178/'ERPs by country'!$E$5</f>
        <v>0.17499999999999999</v>
      </c>
      <c r="E178" s="93">
        <f t="shared" si="8"/>
        <v>0.28092692770782934</v>
      </c>
      <c r="F178" s="57">
        <v>0.35</v>
      </c>
      <c r="G178" s="57">
        <f>E178-'ERPs by country'!$E$3</f>
        <v>0.23492692770782936</v>
      </c>
      <c r="H178" s="75"/>
    </row>
    <row r="179" spans="1:8">
      <c r="A179" s="46" t="s">
        <v>315</v>
      </c>
      <c r="B179" s="132">
        <f t="shared" si="7"/>
        <v>45</v>
      </c>
      <c r="C179" s="57"/>
      <c r="D179" s="57">
        <f>G179/'ERPs by country'!$E$5</f>
        <v>0.17499999999999999</v>
      </c>
      <c r="E179" s="93">
        <f t="shared" si="8"/>
        <v>0.28092692770782934</v>
      </c>
      <c r="F179" s="57">
        <v>0.28000000000000003</v>
      </c>
      <c r="G179" s="57">
        <f>E179-'ERPs by country'!$E$3</f>
        <v>0.23492692770782936</v>
      </c>
    </row>
    <row r="180" spans="1:8">
      <c r="A180" s="46" t="s">
        <v>322</v>
      </c>
      <c r="B180" s="132">
        <f t="shared" si="7"/>
        <v>55.75</v>
      </c>
      <c r="C180" s="57"/>
      <c r="D180" s="57">
        <f>G180/'ERPs by country'!$E$5</f>
        <v>0.10896601681957191</v>
      </c>
      <c r="E180" s="93">
        <f t="shared" si="8"/>
        <v>0.19228029460560964</v>
      </c>
      <c r="F180" s="57">
        <v>0.2</v>
      </c>
      <c r="G180" s="57">
        <f>E180-'ERPs by country'!$E$3</f>
        <v>0.14628029460560965</v>
      </c>
    </row>
    <row r="181" spans="1:8">
      <c r="A181" s="46" t="s">
        <v>319</v>
      </c>
      <c r="B181" s="132">
        <f t="shared" si="7"/>
        <v>57.5</v>
      </c>
      <c r="C181" s="57"/>
      <c r="D181" s="57">
        <f>G181/'ERPs by country'!$E$5</f>
        <v>9.8082219604926024E-2</v>
      </c>
      <c r="E181" s="93">
        <f t="shared" si="8"/>
        <v>0.17766945436885656</v>
      </c>
      <c r="F181" s="57">
        <v>0.25</v>
      </c>
      <c r="G181" s="57">
        <f>E181-'ERPs by country'!$E$3</f>
        <v>0.13166945436885658</v>
      </c>
    </row>
    <row r="182" spans="1:8" ht="13">
      <c r="A182"/>
      <c r="B182" s="79"/>
      <c r="C182"/>
      <c r="D182"/>
    </row>
  </sheetData>
  <sortState xmlns:xlrd2="http://schemas.microsoft.com/office/spreadsheetml/2017/richdata2" ref="N2:O182">
    <sortCondition ref="N2:N182"/>
  </sortState>
  <mergeCells count="1">
    <mergeCell ref="I1:J1"/>
  </mergeCell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10" sqref="A10"/>
    </sheetView>
  </sheetViews>
  <sheetFormatPr baseColWidth="10" defaultRowHeight="13"/>
  <sheetData>
    <row r="1" spans="1:1">
      <c r="A1" t="s">
        <v>475</v>
      </c>
    </row>
    <row r="2" spans="1:1">
      <c r="A2" t="s">
        <v>476</v>
      </c>
    </row>
    <row r="3" spans="1:1">
      <c r="A3" t="s">
        <v>477</v>
      </c>
    </row>
    <row r="4" spans="1:1">
      <c r="A4" t="s">
        <v>478</v>
      </c>
    </row>
    <row r="5" spans="1:1">
      <c r="A5" t="s">
        <v>479</v>
      </c>
    </row>
    <row r="6" spans="1:1">
      <c r="A6" t="s">
        <v>480</v>
      </c>
    </row>
    <row r="7" spans="1:1">
      <c r="A7" t="s">
        <v>481</v>
      </c>
    </row>
    <row r="8" spans="1:1">
      <c r="A8" t="s">
        <v>482</v>
      </c>
    </row>
    <row r="9" spans="1:1">
      <c r="A9" t="s">
        <v>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479C-4D1C-8445-8E38-2807E345CAB9}">
  <dimension ref="A1:B6"/>
  <sheetViews>
    <sheetView workbookViewId="0">
      <selection activeCell="B5" sqref="B5"/>
    </sheetView>
  </sheetViews>
  <sheetFormatPr baseColWidth="10" defaultRowHeight="16"/>
  <cols>
    <col min="1" max="1" width="33" style="226" customWidth="1"/>
    <col min="2" max="2" width="92" style="232" customWidth="1"/>
  </cols>
  <sheetData>
    <row r="1" spans="1:2" ht="17">
      <c r="A1" s="227"/>
      <c r="B1" s="230" t="s">
        <v>600</v>
      </c>
    </row>
    <row r="2" spans="1:2" ht="61" customHeight="1">
      <c r="A2" s="228" t="s">
        <v>597</v>
      </c>
      <c r="B2" s="229" t="s">
        <v>603</v>
      </c>
    </row>
    <row r="3" spans="1:2" ht="34">
      <c r="A3" s="228" t="s">
        <v>598</v>
      </c>
      <c r="B3" s="231" t="s">
        <v>602</v>
      </c>
    </row>
    <row r="4" spans="1:2" ht="68" customHeight="1">
      <c r="A4" s="228" t="s">
        <v>599</v>
      </c>
      <c r="B4" s="231" t="s">
        <v>601</v>
      </c>
    </row>
    <row r="5" spans="1:2" ht="102">
      <c r="A5" s="228" t="s">
        <v>596</v>
      </c>
      <c r="B5" s="231" t="s">
        <v>604</v>
      </c>
    </row>
    <row r="6" spans="1:2" ht="51">
      <c r="A6" s="227" t="s">
        <v>605</v>
      </c>
      <c r="B6" s="231" t="s">
        <v>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28" sqref="B28"/>
    </sheetView>
  </sheetViews>
  <sheetFormatPr baseColWidth="10" defaultRowHeight="16"/>
  <cols>
    <col min="1" max="1" width="35.6640625" style="38" bestFit="1" customWidth="1"/>
    <col min="2" max="2" width="22" customWidth="1"/>
  </cols>
  <sheetData>
    <row r="1" spans="1:4" s="37" customFormat="1" ht="19">
      <c r="A1" s="37" t="s">
        <v>255</v>
      </c>
    </row>
    <row r="2" spans="1:4">
      <c r="A2" s="38" t="s">
        <v>75</v>
      </c>
      <c r="B2" s="39" t="s">
        <v>131</v>
      </c>
      <c r="D2" s="1" t="s">
        <v>338</v>
      </c>
    </row>
    <row r="3" spans="1:4">
      <c r="B3" s="38"/>
      <c r="D3" s="1" t="s">
        <v>339</v>
      </c>
    </row>
    <row r="4" spans="1:4">
      <c r="A4" s="38" t="s">
        <v>258</v>
      </c>
      <c r="B4" s="41" t="str">
        <f>VLOOKUP(B2,'Ratings worksheet'!$A$2:$C$158,3, FALSE)</f>
        <v>B3</v>
      </c>
      <c r="C4" t="s">
        <v>260</v>
      </c>
    </row>
    <row r="5" spans="1:4">
      <c r="A5" s="38" t="s">
        <v>259</v>
      </c>
      <c r="B5" s="41" t="str">
        <f>VLOOKUP(B2,'Ratings worksheet'!$A$2:$C$158,2, FALSE)</f>
        <v>B-</v>
      </c>
      <c r="C5" t="s">
        <v>260</v>
      </c>
    </row>
    <row r="6" spans="1:4">
      <c r="A6" s="38" t="s">
        <v>257</v>
      </c>
      <c r="B6" s="42">
        <f>VLOOKUP(B2,'10-year CDS Spreads'!A2:D158,3, FALSE)</f>
        <v>7.8200000000000006E-2</v>
      </c>
    </row>
    <row r="7" spans="1:4">
      <c r="A7" s="38" t="s">
        <v>267</v>
      </c>
      <c r="B7" s="42">
        <f>IF(B6="NA","NA",VLOOKUP(B2,'ERPs by country'!A8:I163,9,FALSE)/'ERPs by country'!E5)</f>
        <v>7.2400000000000006E-2</v>
      </c>
    </row>
    <row r="8" spans="1:4">
      <c r="B8" s="40"/>
    </row>
    <row r="9" spans="1:4">
      <c r="A9" s="38" t="s">
        <v>350</v>
      </c>
      <c r="B9" s="76">
        <f>VLOOKUP(B2,'ERPs by country'!A8:I163,4,FALSE)</f>
        <v>7.0808704231754685E-2</v>
      </c>
    </row>
    <row r="10" spans="1:4">
      <c r="A10" s="38" t="s">
        <v>261</v>
      </c>
      <c r="B10" s="42">
        <f>VLOOKUP(B2,'ERPs by country'!A8:I163,6,FALSE)</f>
        <v>9.5056407657934314E-2</v>
      </c>
    </row>
    <row r="11" spans="1:4">
      <c r="A11" s="38" t="s">
        <v>262</v>
      </c>
      <c r="B11" s="42">
        <f>VLOOKUP(B2,'ERPs by country'!A8:I163,5,FALSE)</f>
        <v>0.14105640765793431</v>
      </c>
    </row>
    <row r="12" spans="1:4">
      <c r="B12" s="40"/>
    </row>
    <row r="13" spans="1:4">
      <c r="A13" s="38" t="s">
        <v>263</v>
      </c>
      <c r="B13" s="42">
        <f>VLOOKUP(B2,'ERPs by country'!A8:I163,9,FALSE)</f>
        <v>9.719262609169628E-2</v>
      </c>
    </row>
    <row r="14" spans="1:4">
      <c r="A14" s="38" t="s">
        <v>264</v>
      </c>
      <c r="B14" s="42">
        <f>VLOOKUP(B2,'ERPs by country'!A8:I163,8,FALSE)</f>
        <v>0.14319262609169628</v>
      </c>
    </row>
    <row r="16" spans="1:4" ht="19">
      <c r="A16" s="37" t="s">
        <v>256</v>
      </c>
    </row>
    <row r="17" spans="1:2">
      <c r="A17" s="38" t="s">
        <v>52</v>
      </c>
      <c r="B17" s="43" t="s">
        <v>129</v>
      </c>
    </row>
    <row r="19" spans="1:2">
      <c r="A19" s="38" t="s">
        <v>278</v>
      </c>
      <c r="B19" s="44">
        <f>VLOOKUP(B17,'Regional Simple Averages'!$A$5:$E$13,3,FALSE)</f>
        <v>5.6604861357118834E-2</v>
      </c>
    </row>
    <row r="20" spans="1:2">
      <c r="A20" s="38" t="s">
        <v>279</v>
      </c>
      <c r="B20" s="44">
        <f>VLOOKUP(B17,'Regional Simple Averages'!$A$5:$E$13,4,FALSE)</f>
        <v>0.10260486135711887</v>
      </c>
    </row>
    <row r="22" spans="1:2">
      <c r="A22" s="38" t="s">
        <v>265</v>
      </c>
      <c r="B22" s="44">
        <f>VLOOKUP(B17,'Regional Weighted Averages'!A171:C179,3,FALSE)</f>
        <v>1.6805405008578567E-2</v>
      </c>
    </row>
    <row r="23" spans="1:2">
      <c r="A23" s="38" t="s">
        <v>266</v>
      </c>
      <c r="B23" s="44">
        <f>VLOOKUP(B17,'Regional Weighted Averages'!A171:C179,2,FALSE)</f>
        <v>6.2805405008578549E-2</v>
      </c>
    </row>
    <row r="25" spans="1:2">
      <c r="A25" s="59" t="s">
        <v>351</v>
      </c>
    </row>
    <row r="27" spans="1:2" s="88" customFormat="1" ht="19">
      <c r="A27" s="37" t="s">
        <v>370</v>
      </c>
    </row>
    <row r="28" spans="1:2">
      <c r="A28" s="38" t="s">
        <v>75</v>
      </c>
      <c r="B28" s="39" t="s">
        <v>319</v>
      </c>
    </row>
    <row r="30" spans="1:2">
      <c r="A30" s="38" t="s">
        <v>348</v>
      </c>
      <c r="B30" s="86">
        <f>VLOOKUP(B28,'PRS Worksheet'!A161:E181,2,FALSE)</f>
        <v>57.5</v>
      </c>
    </row>
    <row r="31" spans="1:2">
      <c r="A31" s="38" t="s">
        <v>371</v>
      </c>
      <c r="B31" s="87">
        <f>VLOOKUP(B28,'PRS Worksheet'!A161:E181,5,FALSE)</f>
        <v>0.17766945436885656</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331B5B12-FF4C-C545-A9D1-02A4411FDF3A}">
          <x14:formula1>
            <xm:f>'Regional Weighted Averages'!$A$171:$A$179</xm:f>
          </x14:formula1>
          <xm:sqref>B17</xm:sqref>
        </x14:dataValidation>
        <x14:dataValidation type="list" allowBlank="1" showInputMessage="1" showErrorMessage="1" xr:uid="{FB10E05C-E029-A140-80E1-F8D8E47D1502}">
          <x14:formula1>
            <xm:f>'ERPs by country'!$A$167:$A$186</xm:f>
          </x14:formula1>
          <xm:sqref>B28</xm:sqref>
        </x14:dataValidation>
        <x14:dataValidation type="list" allowBlank="1" showInputMessage="1" showErrorMessage="1" xr:uid="{9A054817-EA37-CA4A-BFFC-C44EDB6606F2}">
          <x14:formula1>
            <xm:f>'ERPs by country'!$A$8:$A$163</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10"/>
  <sheetViews>
    <sheetView topLeftCell="A140" zoomScale="87" zoomScaleNormal="87" workbookViewId="0">
      <selection activeCell="C180" sqref="C180:E180"/>
    </sheetView>
  </sheetViews>
  <sheetFormatPr baseColWidth="10" defaultRowHeight="13"/>
  <cols>
    <col min="1" max="1" width="35.83203125" style="19" customWidth="1"/>
    <col min="2" max="2" width="25.83203125" style="19" customWidth="1"/>
    <col min="3" max="3" width="25.83203125" customWidth="1"/>
    <col min="4" max="4" width="26.6640625" customWidth="1"/>
    <col min="5" max="5" width="25.83203125" customWidth="1"/>
    <col min="6" max="6" width="21.83203125" customWidth="1"/>
    <col min="7" max="7" width="24.1640625" customWidth="1"/>
    <col min="8" max="8" width="26.5" customWidth="1"/>
    <col min="9" max="9" width="22.83203125" customWidth="1"/>
  </cols>
  <sheetData>
    <row r="1" spans="1:12" ht="16">
      <c r="A1" s="104" t="s">
        <v>464</v>
      </c>
      <c r="B1" s="104"/>
      <c r="C1" s="6"/>
      <c r="D1" s="6"/>
      <c r="E1" s="6"/>
      <c r="F1" s="6"/>
      <c r="G1" s="6"/>
      <c r="H1" s="6"/>
      <c r="I1" s="6"/>
      <c r="J1" s="6"/>
      <c r="K1" s="6"/>
      <c r="L1" s="6"/>
    </row>
    <row r="2" spans="1:12" ht="16">
      <c r="A2" s="5" t="s">
        <v>465</v>
      </c>
      <c r="B2" s="179">
        <v>43830</v>
      </c>
      <c r="C2" s="3"/>
      <c r="D2" s="3"/>
      <c r="E2" s="3"/>
      <c r="F2" s="3"/>
      <c r="G2" s="3"/>
      <c r="H2" s="3"/>
      <c r="I2" s="3"/>
      <c r="J2" s="3"/>
      <c r="K2" s="3"/>
      <c r="L2" s="3"/>
    </row>
    <row r="3" spans="1:12">
      <c r="A3" s="19" t="s">
        <v>72</v>
      </c>
      <c r="E3" s="12">
        <v>4.5999999999999999E-2</v>
      </c>
      <c r="F3" s="1"/>
    </row>
    <row r="4" spans="1:12">
      <c r="A4" s="19" t="s">
        <v>141</v>
      </c>
      <c r="E4" s="13" t="s">
        <v>73</v>
      </c>
      <c r="F4" s="18"/>
      <c r="G4" s="18"/>
    </row>
    <row r="5" spans="1:12">
      <c r="A5" s="19" t="s">
        <v>142</v>
      </c>
      <c r="E5" s="84">
        <f>'Relative Equity Volatility'!D7</f>
        <v>1.3424395869018821</v>
      </c>
      <c r="F5" s="95"/>
      <c r="G5" s="18"/>
    </row>
    <row r="7" spans="1:12" s="2" customFormat="1" ht="17">
      <c r="A7" s="109" t="s">
        <v>75</v>
      </c>
      <c r="B7" s="110" t="s">
        <v>128</v>
      </c>
      <c r="C7" s="111" t="s">
        <v>270</v>
      </c>
      <c r="D7" s="112" t="s">
        <v>139</v>
      </c>
      <c r="E7" s="112" t="s">
        <v>140</v>
      </c>
      <c r="F7" s="112" t="s">
        <v>37</v>
      </c>
      <c r="G7" s="113" t="s">
        <v>376</v>
      </c>
      <c r="H7" s="112" t="s">
        <v>433</v>
      </c>
      <c r="I7" s="114" t="s">
        <v>434</v>
      </c>
      <c r="J7" s="1" t="s">
        <v>38</v>
      </c>
    </row>
    <row r="8" spans="1:12" ht="16">
      <c r="A8" s="108" t="str">
        <f>'Sovereign Ratings (Moody''s,S&amp;P)'!A2</f>
        <v>Abu Dhabi</v>
      </c>
      <c r="B8" s="103" t="str">
        <f>VLOOKUP(A8,'Regional lookup table'!$A$2:$B$161,2)</f>
        <v>Middle East</v>
      </c>
      <c r="C8" s="9" t="str">
        <f>'Sovereign Ratings (Moody''s,S&amp;P)'!C2</f>
        <v>Aa2</v>
      </c>
      <c r="D8" s="21">
        <f>VLOOKUP(C8,$J$9:$K$31,2,FALSE)/10000</f>
        <v>5.3778762707661788E-3</v>
      </c>
      <c r="E8" s="21">
        <f>$E$3+F8</f>
        <v>5.3219473999336783E-2</v>
      </c>
      <c r="F8" s="11">
        <f>IF($E$4="Yes",D8*$E$5,D8)</f>
        <v>7.2194739993367832E-3</v>
      </c>
      <c r="G8" s="11">
        <f>VLOOKUP(A8,'10-year CDS Spreads'!$A$2:$D$157,4)</f>
        <v>1.7000000000000001E-3</v>
      </c>
      <c r="H8" s="11">
        <f>IF(I8="NA","NA",$E$3+I8)</f>
        <v>4.8282147297733197E-2</v>
      </c>
      <c r="I8" s="14">
        <f>IF(G8="NA","NA",G8*$E$5)</f>
        <v>2.2821472977331996E-3</v>
      </c>
      <c r="J8" s="17" t="s">
        <v>39</v>
      </c>
      <c r="K8" s="17" t="s">
        <v>40</v>
      </c>
    </row>
    <row r="9" spans="1:12" ht="16">
      <c r="A9" s="108" t="str">
        <f>'Sovereign Ratings (Moody''s,S&amp;P)'!A3</f>
        <v>Albania</v>
      </c>
      <c r="B9" s="103" t="str">
        <f>VLOOKUP(A9,'Regional lookup table'!$A$3:$B$161,2)</f>
        <v>Eastern Europe &amp; Russia</v>
      </c>
      <c r="C9" s="9" t="str">
        <f>'Sovereign Ratings (Moody''s,S&amp;P)'!C3</f>
        <v>B1</v>
      </c>
      <c r="D9" s="21">
        <f t="shared" ref="D9:D72" si="0">VLOOKUP(C9,$J$9:$K$31,2,FALSE)/10000</f>
        <v>4.9041109802463012E-2</v>
      </c>
      <c r="E9" s="21">
        <f t="shared" ref="E9:E72" si="1">$E$3+F9</f>
        <v>0.11183472718442829</v>
      </c>
      <c r="F9" s="11">
        <f t="shared" ref="F9:F72" si="2">IF($E$4="Yes",D9*$E$5,D9)</f>
        <v>6.5834727184428288E-2</v>
      </c>
      <c r="G9" s="11" t="str">
        <f>VLOOKUP(A9,'10-year CDS Spreads'!$A$2:$D$157,4)</f>
        <v>NA</v>
      </c>
      <c r="H9" s="11" t="str">
        <f t="shared" ref="H9:H72" si="3">IF(I9="NA","NA",$E$3+I9)</f>
        <v>NA</v>
      </c>
      <c r="I9" s="14" t="str">
        <f t="shared" ref="I9:I72" si="4">IF(G9="NA","NA",G9*$E$5)</f>
        <v>NA</v>
      </c>
      <c r="J9" s="4" t="s">
        <v>41</v>
      </c>
      <c r="K9" s="170">
        <f t="shared" ref="K9:K30" si="5">C189</f>
        <v>76.826803868088277</v>
      </c>
    </row>
    <row r="10" spans="1:12" ht="16">
      <c r="A10" s="108" t="str">
        <f>'Sovereign Ratings (Moody''s,S&amp;P)'!A4</f>
        <v>Andorra (Principality of)</v>
      </c>
      <c r="B10" s="103" t="str">
        <f>VLOOKUP(A10,'Regional lookup table'!$A$3:$B$161,2)</f>
        <v>Western Europe</v>
      </c>
      <c r="C10" s="9" t="str">
        <f>'Sovereign Ratings (Moody''s,S&amp;P)'!C4</f>
        <v>Baa2</v>
      </c>
      <c r="D10" s="21">
        <f t="shared" si="0"/>
        <v>2.0743237044383835E-2</v>
      </c>
      <c r="E10" s="21">
        <f t="shared" si="1"/>
        <v>7.3846542568870452E-2</v>
      </c>
      <c r="F10" s="11">
        <f t="shared" si="2"/>
        <v>2.7846542568870453E-2</v>
      </c>
      <c r="G10" s="11" t="str">
        <f>VLOOKUP(A10,'10-year CDS Spreads'!$A$2:$D$157,4)</f>
        <v>NA</v>
      </c>
      <c r="H10" s="11" t="str">
        <f t="shared" si="3"/>
        <v>NA</v>
      </c>
      <c r="I10" s="14" t="str">
        <f t="shared" si="4"/>
        <v>NA</v>
      </c>
      <c r="J10" s="4" t="s">
        <v>42</v>
      </c>
      <c r="K10" s="170">
        <f t="shared" si="5"/>
        <v>92.192164641705929</v>
      </c>
    </row>
    <row r="11" spans="1:12" ht="16">
      <c r="A11" s="108" t="str">
        <f>'Sovereign Ratings (Moody''s,S&amp;P)'!A5</f>
        <v>Angola</v>
      </c>
      <c r="B11" s="103" t="str">
        <f>VLOOKUP(A11,'Regional lookup table'!$A$3:$B$161,2)</f>
        <v>Africa</v>
      </c>
      <c r="C11" s="9" t="str">
        <f>'Sovereign Ratings (Moody''s,S&amp;P)'!C5</f>
        <v>B3</v>
      </c>
      <c r="D11" s="21">
        <f t="shared" si="0"/>
        <v>7.0808704231754685E-2</v>
      </c>
      <c r="E11" s="21">
        <f t="shared" si="1"/>
        <v>0.14105640765793431</v>
      </c>
      <c r="F11" s="11">
        <f t="shared" si="2"/>
        <v>9.5056407657934314E-2</v>
      </c>
      <c r="G11" s="11">
        <f>VLOOKUP(A11,'10-year CDS Spreads'!$A$2:$D$157,4)</f>
        <v>7.2400000000000006E-2</v>
      </c>
      <c r="H11" s="11">
        <f t="shared" si="3"/>
        <v>0.14319262609169628</v>
      </c>
      <c r="I11" s="14">
        <f t="shared" si="4"/>
        <v>9.719262609169628E-2</v>
      </c>
      <c r="J11" s="4" t="s">
        <v>43</v>
      </c>
      <c r="K11" s="170">
        <f t="shared" si="5"/>
        <v>130.60556657575006</v>
      </c>
    </row>
    <row r="12" spans="1:12" ht="16">
      <c r="A12" s="108" t="str">
        <f>'Sovereign Ratings (Moody''s,S&amp;P)'!A6</f>
        <v>Argentina</v>
      </c>
      <c r="B12" s="103" t="str">
        <f>VLOOKUP(A12,'Regional lookup table'!$A$3:$B$161,2)</f>
        <v>Central and South America</v>
      </c>
      <c r="C12" s="9" t="str">
        <f>'Sovereign Ratings (Moody''s,S&amp;P)'!C6</f>
        <v>Ca</v>
      </c>
      <c r="D12" s="21">
        <f t="shared" si="0"/>
        <v>0.13073361124886354</v>
      </c>
      <c r="E12" s="21">
        <f t="shared" si="1"/>
        <v>0.22150197507911562</v>
      </c>
      <c r="F12" s="11">
        <f t="shared" si="2"/>
        <v>0.17550197507911564</v>
      </c>
      <c r="G12" s="11" t="str">
        <f>VLOOKUP(A12,'10-year CDS Spreads'!$A$2:$D$157,4)</f>
        <v>NA</v>
      </c>
      <c r="H12" s="11" t="str">
        <f t="shared" si="3"/>
        <v>NA</v>
      </c>
      <c r="I12" s="14" t="str">
        <f t="shared" si="4"/>
        <v>NA</v>
      </c>
      <c r="J12" s="4" t="s">
        <v>44</v>
      </c>
      <c r="K12" s="170">
        <f t="shared" si="5"/>
        <v>43.535188858583354</v>
      </c>
    </row>
    <row r="13" spans="1:12" ht="16">
      <c r="A13" s="108" t="str">
        <f>'Sovereign Ratings (Moody''s,S&amp;P)'!A7</f>
        <v>Armenia</v>
      </c>
      <c r="B13" s="103" t="str">
        <f>VLOOKUP(A13,'Regional lookup table'!$A$3:$B$161,2)</f>
        <v>Eastern Europe &amp; Russia</v>
      </c>
      <c r="C13" s="9" t="str">
        <f>'Sovereign Ratings (Moody''s,S&amp;P)'!C7</f>
        <v>Ba3</v>
      </c>
      <c r="D13" s="21">
        <f t="shared" si="0"/>
        <v>3.9181669972725021E-2</v>
      </c>
      <c r="E13" s="21">
        <f t="shared" si="1"/>
        <v>9.8599024852310854E-2</v>
      </c>
      <c r="F13" s="11">
        <f t="shared" si="2"/>
        <v>5.2599024852310855E-2</v>
      </c>
      <c r="G13" s="11" t="str">
        <f>VLOOKUP(A13,'10-year CDS Spreads'!$A$2:$D$157,4)</f>
        <v>NA</v>
      </c>
      <c r="H13" s="11" t="str">
        <f t="shared" si="3"/>
        <v>NA</v>
      </c>
      <c r="I13" s="14" t="str">
        <f t="shared" si="4"/>
        <v>NA</v>
      </c>
      <c r="J13" s="4" t="s">
        <v>45</v>
      </c>
      <c r="K13" s="170">
        <f t="shared" si="5"/>
        <v>53.778762707661791</v>
      </c>
    </row>
    <row r="14" spans="1:12" ht="16">
      <c r="A14" s="108" t="str">
        <f>'Sovereign Ratings (Moody''s,S&amp;P)'!A8</f>
        <v>Aruba</v>
      </c>
      <c r="B14" s="103" t="str">
        <f>VLOOKUP(A14,'Regional lookup table'!$A$3:$B$161,2)</f>
        <v>Caribbean</v>
      </c>
      <c r="C14" s="9" t="str">
        <f>'Sovereign Ratings (Moody''s,S&amp;P)'!C8</f>
        <v>Baa2</v>
      </c>
      <c r="D14" s="21">
        <f t="shared" si="0"/>
        <v>2.0743237044383835E-2</v>
      </c>
      <c r="E14" s="21">
        <f t="shared" si="1"/>
        <v>7.3846542568870452E-2</v>
      </c>
      <c r="F14" s="11">
        <f t="shared" si="2"/>
        <v>2.7846542568870453E-2</v>
      </c>
      <c r="G14" s="11" t="str">
        <f>VLOOKUP(A14,'10-year CDS Spreads'!$A$2:$D$157,4)</f>
        <v>NA</v>
      </c>
      <c r="H14" s="11" t="str">
        <f t="shared" si="3"/>
        <v>NA</v>
      </c>
      <c r="I14" s="14" t="str">
        <f t="shared" si="4"/>
        <v>NA</v>
      </c>
      <c r="J14" s="4" t="s">
        <v>46</v>
      </c>
      <c r="K14" s="170">
        <f t="shared" si="5"/>
        <v>65.30278328787503</v>
      </c>
    </row>
    <row r="15" spans="1:12" ht="16">
      <c r="A15" s="108" t="str">
        <f>'Sovereign Ratings (Moody''s,S&amp;P)'!A9</f>
        <v>Australia</v>
      </c>
      <c r="B15" s="103" t="str">
        <f>VLOOKUP(A15,'Regional lookup table'!$A$3:$B$161,2)</f>
        <v>Australia &amp; New Zealand</v>
      </c>
      <c r="C15" s="9" t="str">
        <f>'Sovereign Ratings (Moody''s,S&amp;P)'!C9</f>
        <v>Aaa</v>
      </c>
      <c r="D15" s="21">
        <f t="shared" si="0"/>
        <v>0</v>
      </c>
      <c r="E15" s="21">
        <f t="shared" si="1"/>
        <v>4.5999999999999999E-2</v>
      </c>
      <c r="F15" s="11">
        <f t="shared" si="2"/>
        <v>0</v>
      </c>
      <c r="G15" s="11">
        <f>VLOOKUP(A15,'10-year CDS Spreads'!$A$2:$D$157,4)</f>
        <v>0</v>
      </c>
      <c r="H15" s="11">
        <f t="shared" si="3"/>
        <v>4.5999999999999999E-2</v>
      </c>
      <c r="I15" s="14">
        <f t="shared" si="4"/>
        <v>0</v>
      </c>
      <c r="J15" s="4" t="s">
        <v>47</v>
      </c>
      <c r="K15" s="170">
        <f t="shared" si="5"/>
        <v>0</v>
      </c>
    </row>
    <row r="16" spans="1:12" ht="16">
      <c r="A16" s="108" t="str">
        <f>'Sovereign Ratings (Moody''s,S&amp;P)'!A10</f>
        <v>Austria</v>
      </c>
      <c r="B16" s="103" t="str">
        <f>VLOOKUP(A16,'Regional lookup table'!$A$3:$B$161,2)</f>
        <v>Western Europe</v>
      </c>
      <c r="C16" s="9" t="str">
        <f>'Sovereign Ratings (Moody''s,S&amp;P)'!C10</f>
        <v>Aa1</v>
      </c>
      <c r="D16" s="21">
        <f t="shared" si="0"/>
        <v>4.3535188858583353E-3</v>
      </c>
      <c r="E16" s="21">
        <f t="shared" si="1"/>
        <v>5.1844336094701203E-2</v>
      </c>
      <c r="F16" s="11">
        <f t="shared" si="2"/>
        <v>5.8443360947012055E-3</v>
      </c>
      <c r="G16" s="11">
        <f>VLOOKUP(A16,'10-year CDS Spreads'!$A$2:$D$157,4)</f>
        <v>0</v>
      </c>
      <c r="H16" s="11">
        <f t="shared" si="3"/>
        <v>4.5999999999999999E-2</v>
      </c>
      <c r="I16" s="14">
        <f t="shared" si="4"/>
        <v>0</v>
      </c>
      <c r="J16" s="4" t="s">
        <v>48</v>
      </c>
      <c r="K16" s="170">
        <f t="shared" si="5"/>
        <v>490.41109802463012</v>
      </c>
    </row>
    <row r="17" spans="1:11" ht="16">
      <c r="A17" s="108" t="str">
        <f>'Sovereign Ratings (Moody''s,S&amp;P)'!A11</f>
        <v>Azerbaijan</v>
      </c>
      <c r="B17" s="103" t="str">
        <f>VLOOKUP(A17,'Regional lookup table'!$A$3:$B$161,2)</f>
        <v>Eastern Europe &amp; Russia</v>
      </c>
      <c r="C17" s="9" t="str">
        <f>'Sovereign Ratings (Moody''s,S&amp;P)'!C11</f>
        <v>Ba1</v>
      </c>
      <c r="D17" s="21">
        <f t="shared" si="0"/>
        <v>2.7273515373171343E-2</v>
      </c>
      <c r="E17" s="21">
        <f t="shared" si="1"/>
        <v>8.2613046710922261E-2</v>
      </c>
      <c r="F17" s="11">
        <f t="shared" si="2"/>
        <v>3.6613046710922269E-2</v>
      </c>
      <c r="G17" s="11" t="str">
        <f>VLOOKUP(A17,'10-year CDS Spreads'!$A$2:$D$157,4)</f>
        <v>NA</v>
      </c>
      <c r="H17" s="11" t="str">
        <f t="shared" si="3"/>
        <v>NA</v>
      </c>
      <c r="I17" s="14" t="str">
        <f t="shared" si="4"/>
        <v>NA</v>
      </c>
      <c r="J17" s="4" t="s">
        <v>49</v>
      </c>
      <c r="K17" s="170">
        <f t="shared" si="5"/>
        <v>599.24907017108853</v>
      </c>
    </row>
    <row r="18" spans="1:11" ht="16">
      <c r="A18" s="108" t="str">
        <f>'Sovereign Ratings (Moody''s,S&amp;P)'!A12</f>
        <v>Bahamas</v>
      </c>
      <c r="B18" s="103" t="str">
        <f>VLOOKUP(A18,'Regional lookup table'!$A$3:$B$161,2)</f>
        <v>Caribbean</v>
      </c>
      <c r="C18" s="9" t="str">
        <f>'Sovereign Ratings (Moody''s,S&amp;P)'!C12</f>
        <v>B1</v>
      </c>
      <c r="D18" s="21">
        <f t="shared" si="0"/>
        <v>4.9041109802463012E-2</v>
      </c>
      <c r="E18" s="21">
        <f t="shared" si="1"/>
        <v>0.11183472718442829</v>
      </c>
      <c r="F18" s="11">
        <f t="shared" si="2"/>
        <v>6.5834727184428288E-2</v>
      </c>
      <c r="G18" s="11" t="str">
        <f>VLOOKUP(A18,'10-year CDS Spreads'!$A$2:$D$157,4)</f>
        <v>NA</v>
      </c>
      <c r="H18" s="11" t="str">
        <f t="shared" si="3"/>
        <v>NA</v>
      </c>
      <c r="I18" s="14" t="str">
        <f t="shared" si="4"/>
        <v>NA</v>
      </c>
      <c r="J18" s="4" t="s">
        <v>78</v>
      </c>
      <c r="K18" s="170">
        <f t="shared" si="5"/>
        <v>708.08704231754689</v>
      </c>
    </row>
    <row r="19" spans="1:11" ht="16">
      <c r="A19" s="108" t="str">
        <f>'Sovereign Ratings (Moody''s,S&amp;P)'!A13</f>
        <v>Bahrain</v>
      </c>
      <c r="B19" s="103" t="str">
        <f>VLOOKUP(A19,'Regional lookup table'!$A$3:$B$161,2)</f>
        <v>Middle East</v>
      </c>
      <c r="C19" s="9" t="str">
        <f>'Sovereign Ratings (Moody''s,S&amp;P)'!C13</f>
        <v>B2</v>
      </c>
      <c r="D19" s="21">
        <f t="shared" si="0"/>
        <v>5.9924907017108855E-2</v>
      </c>
      <c r="E19" s="21">
        <f t="shared" si="1"/>
        <v>0.12644556742118129</v>
      </c>
      <c r="F19" s="11">
        <f t="shared" si="2"/>
        <v>8.0445567421181308E-2</v>
      </c>
      <c r="G19" s="11">
        <f>VLOOKUP(A19,'10-year CDS Spreads'!$A$2:$D$157,4)</f>
        <v>2.1600000000000001E-2</v>
      </c>
      <c r="H19" s="11">
        <f t="shared" si="3"/>
        <v>7.499669507708065E-2</v>
      </c>
      <c r="I19" s="14">
        <f t="shared" si="4"/>
        <v>2.8996695077080657E-2</v>
      </c>
      <c r="J19" s="4" t="s">
        <v>79</v>
      </c>
      <c r="K19" s="170">
        <f t="shared" si="5"/>
        <v>272.73515373171341</v>
      </c>
    </row>
    <row r="20" spans="1:11" ht="16">
      <c r="A20" s="108" t="str">
        <f>'Sovereign Ratings (Moody''s,S&amp;P)'!A14</f>
        <v>Bangladesh</v>
      </c>
      <c r="B20" s="103" t="str">
        <f>VLOOKUP(A20,'Regional lookup table'!$A$3:$B$161,2)</f>
        <v>Asia</v>
      </c>
      <c r="C20" s="9" t="str">
        <f>'Sovereign Ratings (Moody''s,S&amp;P)'!C14</f>
        <v>B1</v>
      </c>
      <c r="D20" s="21">
        <f t="shared" si="0"/>
        <v>4.9041109802463012E-2</v>
      </c>
      <c r="E20" s="21">
        <f t="shared" si="1"/>
        <v>0.11183472718442829</v>
      </c>
      <c r="F20" s="11">
        <f t="shared" si="2"/>
        <v>6.5834727184428288E-2</v>
      </c>
      <c r="G20" s="11" t="str">
        <f>VLOOKUP(A20,'10-year CDS Spreads'!$A$2:$D$157,4)</f>
        <v>NA</v>
      </c>
      <c r="H20" s="11" t="str">
        <f t="shared" si="3"/>
        <v>NA</v>
      </c>
      <c r="I20" s="14" t="str">
        <f t="shared" si="4"/>
        <v>NA</v>
      </c>
      <c r="J20" s="4" t="s">
        <v>80</v>
      </c>
      <c r="K20" s="170">
        <f t="shared" si="5"/>
        <v>327.79436317051</v>
      </c>
    </row>
    <row r="21" spans="1:11" ht="16">
      <c r="A21" s="108" t="str">
        <f>'Sovereign Ratings (Moody''s,S&amp;P)'!A15</f>
        <v>Barbados</v>
      </c>
      <c r="B21" s="103" t="str">
        <f>VLOOKUP(A21,'Regional lookup table'!$A$3:$B$161,2)</f>
        <v>Caribbean</v>
      </c>
      <c r="C21" s="9" t="str">
        <f>'Sovereign Ratings (Moody''s,S&amp;P)'!C15</f>
        <v>B3</v>
      </c>
      <c r="D21" s="21">
        <f t="shared" si="0"/>
        <v>7.0808704231754685E-2</v>
      </c>
      <c r="E21" s="21">
        <f t="shared" si="1"/>
        <v>0.14105640765793431</v>
      </c>
      <c r="F21" s="11">
        <f t="shared" si="2"/>
        <v>9.5056407657934314E-2</v>
      </c>
      <c r="G21" s="11" t="str">
        <f>VLOOKUP(A21,'10-year CDS Spreads'!$A$2:$D$157,4)</f>
        <v>NA</v>
      </c>
      <c r="H21" s="11" t="str">
        <f t="shared" si="3"/>
        <v>NA</v>
      </c>
      <c r="I21" s="14" t="str">
        <f t="shared" si="4"/>
        <v>NA</v>
      </c>
      <c r="J21" s="4" t="s">
        <v>81</v>
      </c>
      <c r="K21" s="170">
        <f t="shared" si="5"/>
        <v>391.81669972725018</v>
      </c>
    </row>
    <row r="22" spans="1:11" ht="16">
      <c r="A22" s="108" t="str">
        <f>'Sovereign Ratings (Moody''s,S&amp;P)'!A16</f>
        <v>Belarus</v>
      </c>
      <c r="B22" s="103" t="str">
        <f>VLOOKUP(A22,'Regional lookup table'!$A$3:$B$161,2)</f>
        <v>Eastern Europe &amp; Russia</v>
      </c>
      <c r="C22" s="9" t="str">
        <f>'Sovereign Ratings (Moody''s,S&amp;P)'!C16</f>
        <v>C</v>
      </c>
      <c r="D22" s="21">
        <f t="shared" si="0"/>
        <v>0.17499999999999999</v>
      </c>
      <c r="E22" s="21">
        <f t="shared" si="1"/>
        <v>0.28092692770782934</v>
      </c>
      <c r="F22" s="11">
        <f t="shared" si="2"/>
        <v>0.23492692770782936</v>
      </c>
      <c r="G22" s="11" t="str">
        <f>VLOOKUP(A22,'10-year CDS Spreads'!$A$2:$D$157,4)</f>
        <v>NA</v>
      </c>
      <c r="H22" s="11" t="str">
        <f t="shared" si="3"/>
        <v>NA</v>
      </c>
      <c r="I22" s="14" t="str">
        <f t="shared" si="4"/>
        <v>NA</v>
      </c>
      <c r="J22" s="4" t="s">
        <v>82</v>
      </c>
      <c r="K22" s="170">
        <f t="shared" si="5"/>
        <v>174.14075543433341</v>
      </c>
    </row>
    <row r="23" spans="1:11" ht="16">
      <c r="A23" s="108" t="str">
        <f>'Sovereign Ratings (Moody''s,S&amp;P)'!A17</f>
        <v>Belgium</v>
      </c>
      <c r="B23" s="103" t="str">
        <f>VLOOKUP(A23,'Regional lookup table'!$A$3:$B$161,2)</f>
        <v>Western Europe</v>
      </c>
      <c r="C23" s="9" t="str">
        <f>'Sovereign Ratings (Moody''s,S&amp;P)'!C17</f>
        <v>Aa3</v>
      </c>
      <c r="D23" s="21">
        <f t="shared" si="0"/>
        <v>6.5302783287875029E-3</v>
      </c>
      <c r="E23" s="21">
        <f t="shared" si="1"/>
        <v>5.4766504142051808E-2</v>
      </c>
      <c r="F23" s="11">
        <f t="shared" si="2"/>
        <v>8.7665041420518092E-3</v>
      </c>
      <c r="G23" s="11">
        <f>VLOOKUP(A23,'10-year CDS Spreads'!$A$2:$D$157,4)</f>
        <v>0</v>
      </c>
      <c r="H23" s="11">
        <f t="shared" si="3"/>
        <v>4.5999999999999999E-2</v>
      </c>
      <c r="I23" s="14">
        <f t="shared" si="4"/>
        <v>0</v>
      </c>
      <c r="J23" s="4" t="s">
        <v>83</v>
      </c>
      <c r="K23" s="170">
        <f t="shared" si="5"/>
        <v>207.43237044383835</v>
      </c>
    </row>
    <row r="24" spans="1:11" ht="16">
      <c r="A24" s="108" t="str">
        <f>'Sovereign Ratings (Moody''s,S&amp;P)'!A18</f>
        <v>Belize</v>
      </c>
      <c r="B24" s="103" t="str">
        <f>VLOOKUP(A24,'Regional lookup table'!$A$3:$B$161,2)</f>
        <v>Central and South America</v>
      </c>
      <c r="C24" s="9" t="str">
        <f>'Sovereign Ratings (Moody''s,S&amp;P)'!C18</f>
        <v>Caa2</v>
      </c>
      <c r="D24" s="21">
        <f t="shared" si="0"/>
        <v>9.8082219604926024E-2</v>
      </c>
      <c r="E24" s="21">
        <f t="shared" si="1"/>
        <v>0.17766945436885656</v>
      </c>
      <c r="F24" s="11">
        <f t="shared" si="2"/>
        <v>0.13166945436885658</v>
      </c>
      <c r="G24" s="11" t="str">
        <f>VLOOKUP(A24,'10-year CDS Spreads'!$A$2:$D$157,4)</f>
        <v>NA</v>
      </c>
      <c r="H24" s="11" t="str">
        <f t="shared" si="3"/>
        <v>NA</v>
      </c>
      <c r="I24" s="14" t="str">
        <f t="shared" si="4"/>
        <v>NA</v>
      </c>
      <c r="J24" s="4" t="s">
        <v>124</v>
      </c>
      <c r="K24" s="170">
        <f t="shared" si="5"/>
        <v>239.44353872220847</v>
      </c>
    </row>
    <row r="25" spans="1:11" ht="16">
      <c r="A25" s="108" t="str">
        <f>'Sovereign Ratings (Moody''s,S&amp;P)'!A19</f>
        <v>Benin</v>
      </c>
      <c r="B25" s="103" t="str">
        <f>VLOOKUP(A25,'Regional lookup table'!$A$3:$B$161,2)</f>
        <v>Africa</v>
      </c>
      <c r="C25" s="9" t="str">
        <f>'Sovereign Ratings (Moody''s,S&amp;P)'!C19</f>
        <v>B1</v>
      </c>
      <c r="D25" s="21">
        <f t="shared" si="0"/>
        <v>4.9041109802463012E-2</v>
      </c>
      <c r="E25" s="21">
        <f t="shared" si="1"/>
        <v>0.11183472718442829</v>
      </c>
      <c r="F25" s="11">
        <f t="shared" si="2"/>
        <v>6.5834727184428288E-2</v>
      </c>
      <c r="G25" s="11" t="str">
        <f>VLOOKUP(A25,'10-year CDS Spreads'!$A$2:$D$157,4)</f>
        <v>NA</v>
      </c>
      <c r="H25" s="11" t="str">
        <f t="shared" si="3"/>
        <v>NA</v>
      </c>
      <c r="I25" s="14" t="str">
        <f t="shared" si="4"/>
        <v>NA</v>
      </c>
      <c r="J25" s="4" t="s">
        <v>137</v>
      </c>
      <c r="K25" s="170">
        <f t="shared" si="5"/>
        <v>1750</v>
      </c>
    </row>
    <row r="26" spans="1:11" ht="16">
      <c r="A26" s="108" t="str">
        <f>'Sovereign Ratings (Moody''s,S&amp;P)'!A20</f>
        <v>Bermuda</v>
      </c>
      <c r="B26" s="103" t="str">
        <f>VLOOKUP(A26,'Regional lookup table'!$A$3:$B$161,2)</f>
        <v>Caribbean</v>
      </c>
      <c r="C26" s="9" t="str">
        <f>'Sovereign Ratings (Moody''s,S&amp;P)'!C20</f>
        <v>A2</v>
      </c>
      <c r="D26" s="21">
        <f t="shared" si="0"/>
        <v>9.2192164641705932E-3</v>
      </c>
      <c r="E26" s="21">
        <f t="shared" si="1"/>
        <v>5.83762411417202E-2</v>
      </c>
      <c r="F26" s="11">
        <f t="shared" si="2"/>
        <v>1.2376241141720201E-2</v>
      </c>
      <c r="G26" s="11" t="str">
        <f>VLOOKUP(A26,'10-year CDS Spreads'!$A$2:$D$157,4)</f>
        <v>NA</v>
      </c>
      <c r="H26" s="11" t="str">
        <f t="shared" si="3"/>
        <v>NA</v>
      </c>
      <c r="I26" s="14" t="str">
        <f t="shared" si="4"/>
        <v>NA</v>
      </c>
      <c r="J26" s="4" t="s">
        <v>345</v>
      </c>
      <c r="K26" s="170">
        <f t="shared" si="5"/>
        <v>1307.3361124886355</v>
      </c>
    </row>
    <row r="27" spans="1:11" ht="16">
      <c r="A27" s="108" t="str">
        <f>'Sovereign Ratings (Moody''s,S&amp;P)'!A21</f>
        <v>Bolivia</v>
      </c>
      <c r="B27" s="103" t="str">
        <f>VLOOKUP(A27,'Regional lookup table'!$A$3:$B$161,2)</f>
        <v>Central and South America</v>
      </c>
      <c r="C27" s="9" t="str">
        <f>'Sovereign Ratings (Moody''s,S&amp;P)'!C21</f>
        <v>Caa1</v>
      </c>
      <c r="D27" s="21">
        <f t="shared" si="0"/>
        <v>8.1692501446400528E-2</v>
      </c>
      <c r="E27" s="21">
        <f t="shared" si="1"/>
        <v>0.15566724789468733</v>
      </c>
      <c r="F27" s="11">
        <f t="shared" si="2"/>
        <v>0.10966724789468733</v>
      </c>
      <c r="G27" s="11" t="str">
        <f>VLOOKUP(A27,'10-year CDS Spreads'!$A$2:$D$157,4)</f>
        <v>NA</v>
      </c>
      <c r="H27" s="11" t="str">
        <f t="shared" si="3"/>
        <v>NA</v>
      </c>
      <c r="I27" s="14" t="str">
        <f t="shared" si="4"/>
        <v>NA</v>
      </c>
      <c r="J27" s="4" t="str">
        <f>B207</f>
        <v>Caa1</v>
      </c>
      <c r="K27" s="170">
        <f t="shared" si="5"/>
        <v>816.92501446400524</v>
      </c>
    </row>
    <row r="28" spans="1:11" ht="16">
      <c r="A28" s="108" t="str">
        <f>'Sovereign Ratings (Moody''s,S&amp;P)'!A22</f>
        <v>Bosnia and Herzegovina</v>
      </c>
      <c r="B28" s="103" t="str">
        <f>VLOOKUP(A28,'Regional lookup table'!$A$3:$B$161,2)</f>
        <v>Eastern Europe &amp; Russia</v>
      </c>
      <c r="C28" s="9" t="str">
        <f>'Sovereign Ratings (Moody''s,S&amp;P)'!C22</f>
        <v>B3</v>
      </c>
      <c r="D28" s="21">
        <f t="shared" si="0"/>
        <v>7.0808704231754685E-2</v>
      </c>
      <c r="E28" s="21">
        <f t="shared" si="1"/>
        <v>0.14105640765793431</v>
      </c>
      <c r="F28" s="11">
        <f t="shared" si="2"/>
        <v>9.5056407657934314E-2</v>
      </c>
      <c r="G28" s="11" t="str">
        <f>VLOOKUP(A28,'10-year CDS Spreads'!$A$2:$D$157,4)</f>
        <v>NA</v>
      </c>
      <c r="H28" s="11" t="str">
        <f t="shared" si="3"/>
        <v>NA</v>
      </c>
      <c r="I28" s="14" t="str">
        <f t="shared" si="4"/>
        <v>NA</v>
      </c>
      <c r="J28" s="4" t="str">
        <f>B208</f>
        <v>Caa2</v>
      </c>
      <c r="K28" s="170">
        <f t="shared" si="5"/>
        <v>980.82219604926024</v>
      </c>
    </row>
    <row r="29" spans="1:11" ht="16">
      <c r="A29" s="108" t="str">
        <f>'Sovereign Ratings (Moody''s,S&amp;P)'!A23</f>
        <v>Botswana</v>
      </c>
      <c r="B29" s="103" t="str">
        <f>VLOOKUP(A29,'Regional lookup table'!$A$3:$B$161,2)</f>
        <v>Africa</v>
      </c>
      <c r="C29" s="9" t="str">
        <f>'Sovereign Ratings (Moody''s,S&amp;P)'!C23</f>
        <v>A3</v>
      </c>
      <c r="D29" s="21">
        <f t="shared" si="0"/>
        <v>1.3060556657575006E-2</v>
      </c>
      <c r="E29" s="21">
        <f t="shared" si="1"/>
        <v>6.3533008284103618E-2</v>
      </c>
      <c r="F29" s="11">
        <f t="shared" si="2"/>
        <v>1.7533008284103618E-2</v>
      </c>
      <c r="G29" s="11" t="str">
        <f>VLOOKUP(A29,'10-year CDS Spreads'!$A$2:$D$157,4)</f>
        <v>NA</v>
      </c>
      <c r="H29" s="11" t="str">
        <f t="shared" si="3"/>
        <v>NA</v>
      </c>
      <c r="I29" s="14" t="str">
        <f t="shared" si="4"/>
        <v>NA</v>
      </c>
      <c r="J29" s="4" t="str">
        <f>B209</f>
        <v>Caa3</v>
      </c>
      <c r="K29" s="170">
        <f t="shared" si="5"/>
        <v>1089.6601681957188</v>
      </c>
    </row>
    <row r="30" spans="1:11" ht="16">
      <c r="A30" s="108" t="str">
        <f>'Sovereign Ratings (Moody''s,S&amp;P)'!A24</f>
        <v>Brazil</v>
      </c>
      <c r="B30" s="103" t="str">
        <f>VLOOKUP(A30,'Regional lookup table'!$A$3:$B$161,2)</f>
        <v>Central and South America</v>
      </c>
      <c r="C30" s="9" t="str">
        <f>'Sovereign Ratings (Moody''s,S&amp;P)'!C24</f>
        <v>Ba2</v>
      </c>
      <c r="D30" s="21">
        <f t="shared" si="0"/>
        <v>3.2779436317050999E-2</v>
      </c>
      <c r="E30" s="21">
        <f t="shared" si="1"/>
        <v>9.0004412948338497E-2</v>
      </c>
      <c r="F30" s="11">
        <f t="shared" si="2"/>
        <v>4.4004412948338498E-2</v>
      </c>
      <c r="G30" s="11">
        <f>VLOOKUP(A30,'10-year CDS Spreads'!$A$2:$D$157,4)</f>
        <v>1.8100000000000002E-2</v>
      </c>
      <c r="H30" s="11">
        <f t="shared" si="3"/>
        <v>7.0298156522924066E-2</v>
      </c>
      <c r="I30" s="14">
        <f t="shared" si="4"/>
        <v>2.429815652292407E-2</v>
      </c>
      <c r="J30" s="4" t="s">
        <v>276</v>
      </c>
      <c r="K30" s="171" t="str">
        <f t="shared" si="5"/>
        <v>NA</v>
      </c>
    </row>
    <row r="31" spans="1:11" ht="16">
      <c r="A31" s="108" t="str">
        <f>'Sovereign Ratings (Moody''s,S&amp;P)'!A25</f>
        <v>Bulgaria</v>
      </c>
      <c r="B31" s="103" t="str">
        <f>VLOOKUP(A31,'Regional lookup table'!$A$3:$B$161,2)</f>
        <v>Eastern Europe &amp; Russia</v>
      </c>
      <c r="C31" s="9" t="str">
        <f>'Sovereign Ratings (Moody''s,S&amp;P)'!C25</f>
        <v>Baa1</v>
      </c>
      <c r="D31" s="21">
        <f t="shared" si="0"/>
        <v>1.7414075543433341E-2</v>
      </c>
      <c r="E31" s="21">
        <f t="shared" si="1"/>
        <v>6.9377344378804828E-2</v>
      </c>
      <c r="F31" s="11">
        <f t="shared" si="2"/>
        <v>2.3377344378804822E-2</v>
      </c>
      <c r="G31" s="11">
        <f>VLOOKUP(A31,'10-year CDS Spreads'!$A$2:$D$157,4)</f>
        <v>8.8999999999999999E-3</v>
      </c>
      <c r="H31" s="11">
        <f t="shared" si="3"/>
        <v>5.7947712323426749E-2</v>
      </c>
      <c r="I31" s="14">
        <f t="shared" si="4"/>
        <v>1.1947712323426752E-2</v>
      </c>
    </row>
    <row r="32" spans="1:11" ht="16">
      <c r="A32" s="108" t="str">
        <f>'Sovereign Ratings (Moody''s,S&amp;P)'!A26</f>
        <v>Burkina Faso</v>
      </c>
      <c r="B32" s="103" t="str">
        <f>VLOOKUP(A32,'Regional lookup table'!$A$3:$B$161,2)</f>
        <v>Africa</v>
      </c>
      <c r="C32" s="9" t="str">
        <f>'Sovereign Ratings (Moody''s,S&amp;P)'!C26</f>
        <v>Caa1</v>
      </c>
      <c r="D32" s="21">
        <f t="shared" si="0"/>
        <v>8.1692501446400528E-2</v>
      </c>
      <c r="E32" s="21">
        <f t="shared" si="1"/>
        <v>0.15566724789468733</v>
      </c>
      <c r="F32" s="11">
        <f t="shared" si="2"/>
        <v>0.10966724789468733</v>
      </c>
      <c r="G32" s="11" t="str">
        <f>VLOOKUP(A32,'10-year CDS Spreads'!$A$2:$D$157,4)</f>
        <v>NA</v>
      </c>
      <c r="H32" s="11" t="str">
        <f t="shared" si="3"/>
        <v>NA</v>
      </c>
      <c r="I32" s="14" t="str">
        <f t="shared" si="4"/>
        <v>NA</v>
      </c>
    </row>
    <row r="33" spans="1:9" ht="16">
      <c r="A33" s="108" t="str">
        <f>'Sovereign Ratings (Moody''s,S&amp;P)'!A27</f>
        <v>Cambodia</v>
      </c>
      <c r="B33" s="103" t="str">
        <f>VLOOKUP(A33,'Regional lookup table'!$A$3:$B$161,2)</f>
        <v>Asia</v>
      </c>
      <c r="C33" s="9" t="str">
        <f>'Sovereign Ratings (Moody''s,S&amp;P)'!C27</f>
        <v>B2</v>
      </c>
      <c r="D33" s="21">
        <f t="shared" si="0"/>
        <v>5.9924907017108855E-2</v>
      </c>
      <c r="E33" s="21">
        <f t="shared" si="1"/>
        <v>0.12644556742118129</v>
      </c>
      <c r="F33" s="11">
        <f t="shared" si="2"/>
        <v>8.0445567421181308E-2</v>
      </c>
      <c r="G33" s="11" t="str">
        <f>VLOOKUP(A33,'10-year CDS Spreads'!$A$2:$D$157,4)</f>
        <v>NA</v>
      </c>
      <c r="H33" s="11" t="str">
        <f t="shared" si="3"/>
        <v>NA</v>
      </c>
      <c r="I33" s="14" t="str">
        <f t="shared" si="4"/>
        <v>NA</v>
      </c>
    </row>
    <row r="34" spans="1:9" ht="16">
      <c r="A34" s="108" t="str">
        <f>'Sovereign Ratings (Moody''s,S&amp;P)'!A28</f>
        <v>Cameroon</v>
      </c>
      <c r="B34" s="103" t="str">
        <f>VLOOKUP(A34,'Regional lookup table'!$A$3:$B$161,2)</f>
        <v>Africa</v>
      </c>
      <c r="C34" s="9" t="str">
        <f>'Sovereign Ratings (Moody''s,S&amp;P)'!C28</f>
        <v>Caa1</v>
      </c>
      <c r="D34" s="21">
        <f t="shared" si="0"/>
        <v>8.1692501446400528E-2</v>
      </c>
      <c r="E34" s="21">
        <f t="shared" si="1"/>
        <v>0.15566724789468733</v>
      </c>
      <c r="F34" s="11">
        <f t="shared" si="2"/>
        <v>0.10966724789468733</v>
      </c>
      <c r="G34" s="11">
        <f>VLOOKUP(A34,'10-year CDS Spreads'!$A$2:$D$157,4)</f>
        <v>8.5599999999999996E-2</v>
      </c>
      <c r="H34" s="11">
        <f t="shared" si="3"/>
        <v>0.1609128286388011</v>
      </c>
      <c r="I34" s="14">
        <f t="shared" si="4"/>
        <v>0.1149128286388011</v>
      </c>
    </row>
    <row r="35" spans="1:9" ht="16">
      <c r="A35" s="108" t="str">
        <f>'Sovereign Ratings (Moody''s,S&amp;P)'!A29</f>
        <v>Canada</v>
      </c>
      <c r="B35" s="103" t="str">
        <f>VLOOKUP(A35,'Regional lookup table'!$A$3:$B$161,2)</f>
        <v>North America</v>
      </c>
      <c r="C35" s="9" t="str">
        <f>'Sovereign Ratings (Moody''s,S&amp;P)'!C29</f>
        <v>Aaa</v>
      </c>
      <c r="D35" s="21">
        <f t="shared" si="0"/>
        <v>0</v>
      </c>
      <c r="E35" s="21">
        <f t="shared" si="1"/>
        <v>4.5999999999999999E-2</v>
      </c>
      <c r="F35" s="11">
        <f t="shared" si="2"/>
        <v>0</v>
      </c>
      <c r="G35" s="11">
        <f>VLOOKUP(A35,'10-year CDS Spreads'!$A$2:$D$157,4)</f>
        <v>0</v>
      </c>
      <c r="H35" s="11">
        <f t="shared" si="3"/>
        <v>4.5999999999999999E-2</v>
      </c>
      <c r="I35" s="14">
        <f t="shared" si="4"/>
        <v>0</v>
      </c>
    </row>
    <row r="36" spans="1:9" ht="16">
      <c r="A36" s="108" t="str">
        <f>'Sovereign Ratings (Moody''s,S&amp;P)'!A30</f>
        <v>Cape Verde</v>
      </c>
      <c r="B36" s="103" t="str">
        <f>VLOOKUP(A36,'Regional lookup table'!$A$3:$B$161,2)</f>
        <v>Africa</v>
      </c>
      <c r="C36" s="9" t="str">
        <f>'Sovereign Ratings (Moody''s,S&amp;P)'!C30</f>
        <v>B3</v>
      </c>
      <c r="D36" s="21">
        <f t="shared" si="0"/>
        <v>7.0808704231754685E-2</v>
      </c>
      <c r="E36" s="21">
        <f t="shared" si="1"/>
        <v>0.14105640765793431</v>
      </c>
      <c r="F36" s="11">
        <f t="shared" si="2"/>
        <v>9.5056407657934314E-2</v>
      </c>
      <c r="G36" s="11" t="str">
        <f>VLOOKUP(A36,'10-year CDS Spreads'!$A$2:$D$157,4)</f>
        <v>NA</v>
      </c>
      <c r="H36" s="11" t="str">
        <f t="shared" si="3"/>
        <v>NA</v>
      </c>
      <c r="I36" s="14" t="str">
        <f t="shared" si="4"/>
        <v>NA</v>
      </c>
    </row>
    <row r="37" spans="1:9" ht="16">
      <c r="A37" s="108" t="str">
        <f>'Sovereign Ratings (Moody''s,S&amp;P)'!A31</f>
        <v>Cayman Islands</v>
      </c>
      <c r="B37" s="103" t="str">
        <f>VLOOKUP(A37,'Regional lookup table'!$A$3:$B$161,2)</f>
        <v>Caribbean</v>
      </c>
      <c r="C37" s="9" t="str">
        <f>'Sovereign Ratings (Moody''s,S&amp;P)'!C31</f>
        <v>Aa3</v>
      </c>
      <c r="D37" s="21">
        <f t="shared" si="0"/>
        <v>6.5302783287875029E-3</v>
      </c>
      <c r="E37" s="21">
        <f t="shared" si="1"/>
        <v>5.4766504142051808E-2</v>
      </c>
      <c r="F37" s="11">
        <f t="shared" si="2"/>
        <v>8.7665041420518092E-3</v>
      </c>
      <c r="G37" s="11" t="str">
        <f>VLOOKUP(A37,'10-year CDS Spreads'!$A$2:$D$157,4)</f>
        <v>NA</v>
      </c>
      <c r="H37" s="11" t="str">
        <f t="shared" si="3"/>
        <v>NA</v>
      </c>
      <c r="I37" s="14" t="str">
        <f t="shared" si="4"/>
        <v>NA</v>
      </c>
    </row>
    <row r="38" spans="1:9" ht="16">
      <c r="A38" s="108" t="str">
        <f>'Sovereign Ratings (Moody''s,S&amp;P)'!A32</f>
        <v>Chile</v>
      </c>
      <c r="B38" s="103" t="str">
        <f>VLOOKUP(A38,'Regional lookup table'!$A$3:$B$161,2)</f>
        <v>Central and South America</v>
      </c>
      <c r="C38" s="9" t="str">
        <f>'Sovereign Ratings (Moody''s,S&amp;P)'!C32</f>
        <v>A2</v>
      </c>
      <c r="D38" s="21">
        <f t="shared" si="0"/>
        <v>9.2192164641705932E-3</v>
      </c>
      <c r="E38" s="21">
        <f t="shared" si="1"/>
        <v>5.83762411417202E-2</v>
      </c>
      <c r="F38" s="11">
        <f t="shared" si="2"/>
        <v>1.2376241141720201E-2</v>
      </c>
      <c r="G38" s="11">
        <f>VLOOKUP(A38,'10-year CDS Spreads'!$A$2:$D$157,4)</f>
        <v>5.7000000000000002E-3</v>
      </c>
      <c r="H38" s="11">
        <f t="shared" si="3"/>
        <v>5.3651905645340725E-2</v>
      </c>
      <c r="I38" s="14">
        <f t="shared" si="4"/>
        <v>7.6519056453407284E-3</v>
      </c>
    </row>
    <row r="39" spans="1:9" ht="16">
      <c r="A39" s="108" t="str">
        <f>'Sovereign Ratings (Moody''s,S&amp;P)'!A33</f>
        <v>China</v>
      </c>
      <c r="B39" s="103" t="str">
        <f>VLOOKUP(A39,'Regional lookup table'!$A$3:$B$161,2)</f>
        <v>Asia</v>
      </c>
      <c r="C39" s="9" t="str">
        <f>'Sovereign Ratings (Moody''s,S&amp;P)'!C33</f>
        <v>A1</v>
      </c>
      <c r="D39" s="21">
        <f t="shared" si="0"/>
        <v>7.6826803868088279E-3</v>
      </c>
      <c r="E39" s="21">
        <f t="shared" si="1"/>
        <v>5.6313534284766834E-2</v>
      </c>
      <c r="F39" s="11">
        <f t="shared" si="2"/>
        <v>1.0313534284766834E-2</v>
      </c>
      <c r="G39" s="11">
        <f>VLOOKUP(A39,'10-year CDS Spreads'!$A$2:$D$157,4)</f>
        <v>4.1000000000000012E-3</v>
      </c>
      <c r="H39" s="11">
        <f t="shared" si="3"/>
        <v>5.1504002306297716E-2</v>
      </c>
      <c r="I39" s="14">
        <f t="shared" si="4"/>
        <v>5.5040023062977181E-3</v>
      </c>
    </row>
    <row r="40" spans="1:9" ht="16">
      <c r="A40" s="108" t="str">
        <f>'Sovereign Ratings (Moody''s,S&amp;P)'!A34</f>
        <v>Colombia</v>
      </c>
      <c r="B40" s="103" t="str">
        <f>VLOOKUP(A40,'Regional lookup table'!$A$3:$B$161,2)</f>
        <v>Central and South America</v>
      </c>
      <c r="C40" s="9" t="str">
        <f>'Sovereign Ratings (Moody''s,S&amp;P)'!C34</f>
        <v>Baa2</v>
      </c>
      <c r="D40" s="21">
        <f t="shared" si="0"/>
        <v>2.0743237044383835E-2</v>
      </c>
      <c r="E40" s="21">
        <f t="shared" si="1"/>
        <v>7.3846542568870452E-2</v>
      </c>
      <c r="F40" s="11">
        <f t="shared" si="2"/>
        <v>2.7846542568870453E-2</v>
      </c>
      <c r="G40" s="11">
        <f>VLOOKUP(A40,'10-year CDS Spreads'!$A$2:$D$157,4)</f>
        <v>2.1600000000000001E-2</v>
      </c>
      <c r="H40" s="11">
        <f t="shared" si="3"/>
        <v>7.499669507708065E-2</v>
      </c>
      <c r="I40" s="14">
        <f t="shared" si="4"/>
        <v>2.8996695077080657E-2</v>
      </c>
    </row>
    <row r="41" spans="1:9" ht="16">
      <c r="A41" s="108" t="str">
        <f>'Sovereign Ratings (Moody''s,S&amp;P)'!A35</f>
        <v>Congo (Democratic Republic of)</v>
      </c>
      <c r="B41" s="103" t="str">
        <f>VLOOKUP(A41,'Regional lookup table'!$A$3:$B$161,2)</f>
        <v>Africa</v>
      </c>
      <c r="C41" s="9" t="str">
        <f>'Sovereign Ratings (Moody''s,S&amp;P)'!C35</f>
        <v>B3</v>
      </c>
      <c r="D41" s="21">
        <f t="shared" si="0"/>
        <v>7.0808704231754685E-2</v>
      </c>
      <c r="E41" s="21">
        <f t="shared" si="1"/>
        <v>0.14105640765793431</v>
      </c>
      <c r="F41" s="11">
        <f t="shared" si="2"/>
        <v>9.5056407657934314E-2</v>
      </c>
      <c r="G41" s="11" t="str">
        <f>VLOOKUP(A41,'10-year CDS Spreads'!$A$2:$D$157,4)</f>
        <v>NA</v>
      </c>
      <c r="H41" s="11" t="str">
        <f t="shared" si="3"/>
        <v>NA</v>
      </c>
      <c r="I41" s="14" t="str">
        <f t="shared" si="4"/>
        <v>NA</v>
      </c>
    </row>
    <row r="42" spans="1:9" ht="16">
      <c r="A42" s="108" t="str">
        <f>'Sovereign Ratings (Moody''s,S&amp;P)'!A36</f>
        <v>Congo (Republic of)</v>
      </c>
      <c r="B42" s="103" t="str">
        <f>VLOOKUP(A42,'Regional lookup table'!$A$3:$B$161,2)</f>
        <v>Africa</v>
      </c>
      <c r="C42" s="9" t="str">
        <f>'Sovereign Ratings (Moody''s,S&amp;P)'!C36</f>
        <v>Caa2</v>
      </c>
      <c r="D42" s="21">
        <f t="shared" si="0"/>
        <v>9.8082219604926024E-2</v>
      </c>
      <c r="E42" s="21">
        <f t="shared" si="1"/>
        <v>0.17766945436885656</v>
      </c>
      <c r="F42" s="11">
        <f t="shared" si="2"/>
        <v>0.13166945436885658</v>
      </c>
      <c r="G42" s="11" t="str">
        <f>VLOOKUP(A42,'10-year CDS Spreads'!$A$2:$D$157,4)</f>
        <v>NA</v>
      </c>
      <c r="H42" s="11" t="str">
        <f t="shared" si="3"/>
        <v>NA</v>
      </c>
      <c r="I42" s="14" t="str">
        <f t="shared" si="4"/>
        <v>NA</v>
      </c>
    </row>
    <row r="43" spans="1:9" ht="16">
      <c r="A43" s="108" t="str">
        <f>'Sovereign Ratings (Moody''s,S&amp;P)'!A37</f>
        <v>Cook Islands</v>
      </c>
      <c r="B43" s="103" t="str">
        <f>VLOOKUP(A43,'Regional lookup table'!$A$3:$B$161,2)</f>
        <v>Australia &amp; New Zealand</v>
      </c>
      <c r="C43" s="9" t="str">
        <f>'Sovereign Ratings (Moody''s,S&amp;P)'!C37</f>
        <v>B1</v>
      </c>
      <c r="D43" s="21">
        <f t="shared" si="0"/>
        <v>4.9041109802463012E-2</v>
      </c>
      <c r="E43" s="21">
        <f t="shared" si="1"/>
        <v>0.11183472718442829</v>
      </c>
      <c r="F43" s="11">
        <f t="shared" si="2"/>
        <v>6.5834727184428288E-2</v>
      </c>
      <c r="G43" s="11" t="str">
        <f>VLOOKUP(A43,'10-year CDS Spreads'!$A$2:$D$157,4)</f>
        <v>NA</v>
      </c>
      <c r="H43" s="11" t="str">
        <f t="shared" si="3"/>
        <v>NA</v>
      </c>
      <c r="I43" s="14" t="str">
        <f t="shared" si="4"/>
        <v>NA</v>
      </c>
    </row>
    <row r="44" spans="1:9" ht="16">
      <c r="A44" s="108" t="str">
        <f>'Sovereign Ratings (Moody''s,S&amp;P)'!A38</f>
        <v>Costa Rica</v>
      </c>
      <c r="B44" s="103" t="str">
        <f>VLOOKUP(A44,'Regional lookup table'!$A$3:$B$161,2)</f>
        <v>Central and South America</v>
      </c>
      <c r="C44" s="9" t="str">
        <f>'Sovereign Ratings (Moody''s,S&amp;P)'!C38</f>
        <v>B1</v>
      </c>
      <c r="D44" s="21">
        <f t="shared" si="0"/>
        <v>4.9041109802463012E-2</v>
      </c>
      <c r="E44" s="21">
        <f t="shared" si="1"/>
        <v>0.11183472718442829</v>
      </c>
      <c r="F44" s="11">
        <f t="shared" si="2"/>
        <v>6.5834727184428288E-2</v>
      </c>
      <c r="G44" s="11">
        <f>VLOOKUP(A44,'10-year CDS Spreads'!$A$2:$D$157,4)</f>
        <v>2.53E-2</v>
      </c>
      <c r="H44" s="11">
        <f t="shared" si="3"/>
        <v>7.9963721548617611E-2</v>
      </c>
      <c r="I44" s="14">
        <f t="shared" si="4"/>
        <v>3.3963721548617619E-2</v>
      </c>
    </row>
    <row r="45" spans="1:9" ht="16">
      <c r="A45" s="108" t="str">
        <f>'Sovereign Ratings (Moody''s,S&amp;P)'!A39</f>
        <v>Côte d'Ivoire</v>
      </c>
      <c r="B45" s="103" t="str">
        <f>VLOOKUP(A45,'Regional lookup table'!$A$3:$B$161,2)</f>
        <v>Africa</v>
      </c>
      <c r="C45" s="9" t="str">
        <f>'Sovereign Ratings (Moody''s,S&amp;P)'!C39</f>
        <v>Ba3</v>
      </c>
      <c r="D45" s="21">
        <f t="shared" si="0"/>
        <v>3.9181669972725021E-2</v>
      </c>
      <c r="E45" s="21">
        <f t="shared" si="1"/>
        <v>9.8599024852310854E-2</v>
      </c>
      <c r="F45" s="11">
        <f t="shared" si="2"/>
        <v>5.2599024852310855E-2</v>
      </c>
      <c r="G45" s="11" t="str">
        <f>VLOOKUP(A45,'10-year CDS Spreads'!$A$2:$D$157,4)</f>
        <v>NA</v>
      </c>
      <c r="H45" s="11" t="str">
        <f t="shared" si="3"/>
        <v>NA</v>
      </c>
      <c r="I45" s="14" t="str">
        <f t="shared" si="4"/>
        <v>NA</v>
      </c>
    </row>
    <row r="46" spans="1:9" ht="16">
      <c r="A46" s="108" t="str">
        <f>'Sovereign Ratings (Moody''s,S&amp;P)'!A40</f>
        <v>Croatia</v>
      </c>
      <c r="B46" s="103" t="str">
        <f>VLOOKUP(A46,'Regional lookup table'!$A$3:$B$161,2)</f>
        <v>Eastern Europe &amp; Russia</v>
      </c>
      <c r="C46" s="9" t="str">
        <f>'Sovereign Ratings (Moody''s,S&amp;P)'!C40</f>
        <v>Baa2</v>
      </c>
      <c r="D46" s="21">
        <f t="shared" si="0"/>
        <v>2.0743237044383835E-2</v>
      </c>
      <c r="E46" s="21">
        <f t="shared" si="1"/>
        <v>7.3846542568870452E-2</v>
      </c>
      <c r="F46" s="11">
        <f t="shared" si="2"/>
        <v>2.7846542568870453E-2</v>
      </c>
      <c r="G46" s="11">
        <f>VLOOKUP(A46,'10-year CDS Spreads'!$A$2:$D$157,4)</f>
        <v>7.6000000000000009E-3</v>
      </c>
      <c r="H46" s="11">
        <f t="shared" si="3"/>
        <v>5.6202540860454307E-2</v>
      </c>
      <c r="I46" s="14">
        <f t="shared" si="4"/>
        <v>1.0202540860454306E-2</v>
      </c>
    </row>
    <row r="47" spans="1:9" ht="16">
      <c r="A47" s="108" t="str">
        <f>'Sovereign Ratings (Moody''s,S&amp;P)'!A41</f>
        <v>Cuba</v>
      </c>
      <c r="B47" s="103" t="str">
        <f>VLOOKUP(A47,'Regional lookup table'!$A$3:$B$161,2)</f>
        <v>Caribbean</v>
      </c>
      <c r="C47" s="9" t="str">
        <f>'Sovereign Ratings (Moody''s,S&amp;P)'!C41</f>
        <v>Ca</v>
      </c>
      <c r="D47" s="21">
        <f t="shared" si="0"/>
        <v>0.13073361124886354</v>
      </c>
      <c r="E47" s="21">
        <f t="shared" si="1"/>
        <v>0.22150197507911562</v>
      </c>
      <c r="F47" s="11">
        <f t="shared" si="2"/>
        <v>0.17550197507911564</v>
      </c>
      <c r="G47" s="11" t="str">
        <f>VLOOKUP(A47,'10-year CDS Spreads'!$A$2:$D$157,4)</f>
        <v>NA</v>
      </c>
      <c r="H47" s="11" t="str">
        <f t="shared" si="3"/>
        <v>NA</v>
      </c>
      <c r="I47" s="14" t="str">
        <f t="shared" si="4"/>
        <v>NA</v>
      </c>
    </row>
    <row r="48" spans="1:9" ht="16">
      <c r="A48" s="108" t="str">
        <f>'Sovereign Ratings (Moody''s,S&amp;P)'!A42</f>
        <v>Curacao</v>
      </c>
      <c r="B48" s="103" t="str">
        <f>VLOOKUP(A48,'Regional lookup table'!$A$3:$B$161,2)</f>
        <v>Caribbean</v>
      </c>
      <c r="C48" s="9" t="str">
        <f>'Sovereign Ratings (Moody''s,S&amp;P)'!C42</f>
        <v>Baa3</v>
      </c>
      <c r="D48" s="21">
        <f t="shared" si="0"/>
        <v>2.3944353872220846E-2</v>
      </c>
      <c r="E48" s="21">
        <f t="shared" si="1"/>
        <v>7.8143848520856624E-2</v>
      </c>
      <c r="F48" s="11">
        <f t="shared" si="2"/>
        <v>3.2143848520856631E-2</v>
      </c>
      <c r="G48" s="11" t="str">
        <f>VLOOKUP(A48,'10-year CDS Spreads'!$A$2:$D$157,4)</f>
        <v>NA</v>
      </c>
      <c r="H48" s="11" t="str">
        <f t="shared" si="3"/>
        <v>NA</v>
      </c>
      <c r="I48" s="14" t="str">
        <f t="shared" si="4"/>
        <v>NA</v>
      </c>
    </row>
    <row r="49" spans="1:9" ht="16">
      <c r="A49" s="108" t="str">
        <f>'Sovereign Ratings (Moody''s,S&amp;P)'!A43</f>
        <v>Cyprus</v>
      </c>
      <c r="B49" s="103" t="str">
        <f>VLOOKUP(A49,'Regional lookup table'!$A$3:$B$161,2)</f>
        <v>Western Europe</v>
      </c>
      <c r="C49" s="9" t="str">
        <f>'Sovereign Ratings (Moody''s,S&amp;P)'!C43</f>
        <v>Baa2</v>
      </c>
      <c r="D49" s="21">
        <f t="shared" si="0"/>
        <v>2.0743237044383835E-2</v>
      </c>
      <c r="E49" s="21">
        <f t="shared" si="1"/>
        <v>7.3846542568870452E-2</v>
      </c>
      <c r="F49" s="11">
        <f t="shared" si="2"/>
        <v>2.7846542568870453E-2</v>
      </c>
      <c r="G49" s="11">
        <f>VLOOKUP(A49,'10-year CDS Spreads'!$A$2:$D$157,4)</f>
        <v>5.3000000000000009E-3</v>
      </c>
      <c r="H49" s="11">
        <f t="shared" si="3"/>
        <v>5.3114929810579976E-2</v>
      </c>
      <c r="I49" s="14">
        <f t="shared" si="4"/>
        <v>7.1149298105799763E-3</v>
      </c>
    </row>
    <row r="50" spans="1:9" ht="16">
      <c r="A50" s="108" t="str">
        <f>'Sovereign Ratings (Moody''s,S&amp;P)'!A44</f>
        <v>Czech Republic</v>
      </c>
      <c r="B50" s="103" t="str">
        <f>VLOOKUP(A50,'Regional lookup table'!$A$3:$B$161,2)</f>
        <v>Eastern Europe &amp; Russia</v>
      </c>
      <c r="C50" s="9" t="str">
        <f>'Sovereign Ratings (Moody''s,S&amp;P)'!C44</f>
        <v>Aa3</v>
      </c>
      <c r="D50" s="21">
        <f t="shared" si="0"/>
        <v>6.5302783287875029E-3</v>
      </c>
      <c r="E50" s="21">
        <f t="shared" si="1"/>
        <v>5.4766504142051808E-2</v>
      </c>
      <c r="F50" s="11">
        <f t="shared" si="2"/>
        <v>8.7665041420518092E-3</v>
      </c>
      <c r="G50" s="11">
        <f>VLOOKUP(A50,'10-year CDS Spreads'!$A$2:$D$157,4)</f>
        <v>0</v>
      </c>
      <c r="H50" s="11">
        <f t="shared" si="3"/>
        <v>4.5999999999999999E-2</v>
      </c>
      <c r="I50" s="14">
        <f t="shared" si="4"/>
        <v>0</v>
      </c>
    </row>
    <row r="51" spans="1:9" ht="16">
      <c r="A51" s="108" t="str">
        <f>'Sovereign Ratings (Moody''s,S&amp;P)'!A45</f>
        <v>Denmark</v>
      </c>
      <c r="B51" s="103" t="str">
        <f>VLOOKUP(A51,'Regional lookup table'!$A$3:$B$161,2)</f>
        <v>Western Europe</v>
      </c>
      <c r="C51" s="9" t="str">
        <f>'Sovereign Ratings (Moody''s,S&amp;P)'!C45</f>
        <v>Aaa</v>
      </c>
      <c r="D51" s="21">
        <f t="shared" si="0"/>
        <v>0</v>
      </c>
      <c r="E51" s="21">
        <f t="shared" si="1"/>
        <v>4.5999999999999999E-2</v>
      </c>
      <c r="F51" s="11">
        <f t="shared" si="2"/>
        <v>0</v>
      </c>
      <c r="G51" s="11">
        <f>VLOOKUP(A51,'10-year CDS Spreads'!$A$2:$D$157,4)</f>
        <v>0</v>
      </c>
      <c r="H51" s="11">
        <f t="shared" si="3"/>
        <v>4.5999999999999999E-2</v>
      </c>
      <c r="I51" s="14">
        <f t="shared" si="4"/>
        <v>0</v>
      </c>
    </row>
    <row r="52" spans="1:9" ht="16">
      <c r="A52" s="108" t="str">
        <f>'Sovereign Ratings (Moody''s,S&amp;P)'!A46</f>
        <v>Dominican Republic</v>
      </c>
      <c r="B52" s="103" t="str">
        <f>VLOOKUP(A52,'Regional lookup table'!$A$3:$B$161,2)</f>
        <v>Caribbean</v>
      </c>
      <c r="C52" s="9" t="str">
        <f>'Sovereign Ratings (Moody''s,S&amp;P)'!C46</f>
        <v>Ba3</v>
      </c>
      <c r="D52" s="21">
        <f t="shared" si="0"/>
        <v>3.9181669972725021E-2</v>
      </c>
      <c r="E52" s="21">
        <f t="shared" si="1"/>
        <v>9.8599024852310854E-2</v>
      </c>
      <c r="F52" s="11">
        <f t="shared" si="2"/>
        <v>5.2599024852310855E-2</v>
      </c>
      <c r="G52" s="11" t="str">
        <f>VLOOKUP(A52,'10-year CDS Spreads'!$A$2:$D$157,4)</f>
        <v>NA</v>
      </c>
      <c r="H52" s="11" t="str">
        <f t="shared" si="3"/>
        <v>NA</v>
      </c>
      <c r="I52" s="14" t="str">
        <f t="shared" si="4"/>
        <v>NA</v>
      </c>
    </row>
    <row r="53" spans="1:9" ht="16">
      <c r="A53" s="108" t="str">
        <f>'Sovereign Ratings (Moody''s,S&amp;P)'!A47</f>
        <v>Ecuador</v>
      </c>
      <c r="B53" s="103" t="str">
        <f>VLOOKUP(A53,'Regional lookup table'!$A$3:$B$161,2)</f>
        <v>Central and South America</v>
      </c>
      <c r="C53" s="9" t="str">
        <f>'Sovereign Ratings (Moody''s,S&amp;P)'!C47</f>
        <v>Caa3</v>
      </c>
      <c r="D53" s="21">
        <f t="shared" si="0"/>
        <v>0.10896601681957188</v>
      </c>
      <c r="E53" s="21">
        <f t="shared" si="1"/>
        <v>0.19228029460560964</v>
      </c>
      <c r="F53" s="11">
        <f t="shared" si="2"/>
        <v>0.14628029460560962</v>
      </c>
      <c r="G53" s="11">
        <f>VLOOKUP(A53,'10-year CDS Spreads'!$A$2:$D$157,4)</f>
        <v>0.52159999999999995</v>
      </c>
      <c r="H53" s="11">
        <f t="shared" si="3"/>
        <v>0.74621648852802169</v>
      </c>
      <c r="I53" s="14">
        <f t="shared" si="4"/>
        <v>0.70021648852802165</v>
      </c>
    </row>
    <row r="54" spans="1:9" ht="16">
      <c r="A54" s="108" t="str">
        <f>'Sovereign Ratings (Moody''s,S&amp;P)'!A48</f>
        <v>Egypt</v>
      </c>
      <c r="B54" s="103" t="str">
        <f>VLOOKUP(A54,'Regional lookup table'!$A$3:$B$161,2)</f>
        <v>Africa</v>
      </c>
      <c r="C54" s="9" t="str">
        <f>'Sovereign Ratings (Moody''s,S&amp;P)'!C48</f>
        <v>Caa1</v>
      </c>
      <c r="D54" s="21">
        <f t="shared" si="0"/>
        <v>8.1692501446400528E-2</v>
      </c>
      <c r="E54" s="21">
        <f t="shared" si="1"/>
        <v>0.15566724789468733</v>
      </c>
      <c r="F54" s="11">
        <f t="shared" si="2"/>
        <v>0.10966724789468733</v>
      </c>
      <c r="G54" s="11">
        <f>VLOOKUP(A54,'10-year CDS Spreads'!$A$2:$D$157,4)</f>
        <v>9.5500000000000002E-2</v>
      </c>
      <c r="H54" s="11">
        <f t="shared" si="3"/>
        <v>0.17420298054912975</v>
      </c>
      <c r="I54" s="14">
        <f t="shared" si="4"/>
        <v>0.12820298054912974</v>
      </c>
    </row>
    <row r="55" spans="1:9" ht="16">
      <c r="A55" s="108" t="str">
        <f>'Sovereign Ratings (Moody''s,S&amp;P)'!A49</f>
        <v>El Salvador</v>
      </c>
      <c r="B55" s="103" t="str">
        <f>VLOOKUP(A55,'Regional lookup table'!$A$3:$B$161,2)</f>
        <v>Central and South America</v>
      </c>
      <c r="C55" s="9" t="str">
        <f>'Sovereign Ratings (Moody''s,S&amp;P)'!C49</f>
        <v>Caa3</v>
      </c>
      <c r="D55" s="21">
        <f t="shared" si="0"/>
        <v>0.10896601681957188</v>
      </c>
      <c r="E55" s="21">
        <f t="shared" si="1"/>
        <v>0.19228029460560964</v>
      </c>
      <c r="F55" s="11">
        <f t="shared" si="2"/>
        <v>0.14628029460560962</v>
      </c>
      <c r="G55" s="11">
        <f>VLOOKUP(A55,'10-year CDS Spreads'!$A$2:$D$157,4)</f>
        <v>7.8200000000000006E-2</v>
      </c>
      <c r="H55" s="11">
        <f t="shared" si="3"/>
        <v>0.15097877569572721</v>
      </c>
      <c r="I55" s="14">
        <f t="shared" si="4"/>
        <v>0.10497877569572719</v>
      </c>
    </row>
    <row r="56" spans="1:9" ht="16">
      <c r="A56" s="108" t="str">
        <f>'Sovereign Ratings (Moody''s,S&amp;P)'!A50</f>
        <v>Estonia</v>
      </c>
      <c r="B56" s="103" t="str">
        <f>VLOOKUP(A56,'Regional lookup table'!$A$3:$B$161,2)</f>
        <v>Eastern Europe &amp; Russia</v>
      </c>
      <c r="C56" s="9" t="str">
        <f>'Sovereign Ratings (Moody''s,S&amp;P)'!C50</f>
        <v>A1</v>
      </c>
      <c r="D56" s="21">
        <f t="shared" si="0"/>
        <v>7.6826803868088279E-3</v>
      </c>
      <c r="E56" s="21">
        <f t="shared" si="1"/>
        <v>5.6313534284766834E-2</v>
      </c>
      <c r="F56" s="11">
        <f t="shared" si="2"/>
        <v>1.0313534284766834E-2</v>
      </c>
      <c r="G56" s="11">
        <f>VLOOKUP(A56,'10-year CDS Spreads'!$A$2:$D$157,4)</f>
        <v>2.0000000000000052E-4</v>
      </c>
      <c r="H56" s="11">
        <f t="shared" si="3"/>
        <v>4.6268487917380377E-2</v>
      </c>
      <c r="I56" s="14">
        <f t="shared" si="4"/>
        <v>2.6848791738037715E-4</v>
      </c>
    </row>
    <row r="57" spans="1:9" ht="16">
      <c r="A57" s="108" t="str">
        <f>'Sovereign Ratings (Moody''s,S&amp;P)'!A51</f>
        <v>Ethiopia</v>
      </c>
      <c r="B57" s="103" t="str">
        <f>VLOOKUP(A57,'Regional lookup table'!$A$3:$B$161,2)</f>
        <v>Africa</v>
      </c>
      <c r="C57" s="9" t="str">
        <f>'Sovereign Ratings (Moody''s,S&amp;P)'!C51</f>
        <v>Caa2</v>
      </c>
      <c r="D57" s="21">
        <f t="shared" si="0"/>
        <v>9.8082219604926024E-2</v>
      </c>
      <c r="E57" s="21">
        <f t="shared" si="1"/>
        <v>0.17766945436885656</v>
      </c>
      <c r="F57" s="11">
        <f t="shared" si="2"/>
        <v>0.13166945436885658</v>
      </c>
      <c r="G57" s="11">
        <f>VLOOKUP(A57,'10-year CDS Spreads'!$A$2:$D$157,4)</f>
        <v>0.31730000000000003</v>
      </c>
      <c r="H57" s="11">
        <f t="shared" si="3"/>
        <v>0.47195608092396724</v>
      </c>
      <c r="I57" s="14">
        <f t="shared" si="4"/>
        <v>0.42595608092396725</v>
      </c>
    </row>
    <row r="58" spans="1:9" ht="16">
      <c r="A58" s="108" t="str">
        <f>'Sovereign Ratings (Moody''s,S&amp;P)'!A52</f>
        <v>Fiji</v>
      </c>
      <c r="B58" s="103" t="str">
        <f>VLOOKUP(A58,'Regional lookup table'!$A$3:$B$161,2)</f>
        <v>Asia</v>
      </c>
      <c r="C58" s="9" t="str">
        <f>'Sovereign Ratings (Moody''s,S&amp;P)'!C52</f>
        <v>B1</v>
      </c>
      <c r="D58" s="21">
        <f t="shared" si="0"/>
        <v>4.9041109802463012E-2</v>
      </c>
      <c r="E58" s="21">
        <f t="shared" si="1"/>
        <v>0.11183472718442829</v>
      </c>
      <c r="F58" s="11">
        <f t="shared" si="2"/>
        <v>6.5834727184428288E-2</v>
      </c>
      <c r="G58" s="11" t="str">
        <f>VLOOKUP(A58,'10-year CDS Spreads'!$A$2:$D$157,4)</f>
        <v>NA</v>
      </c>
      <c r="H58" s="11" t="str">
        <f t="shared" si="3"/>
        <v>NA</v>
      </c>
      <c r="I58" s="14" t="str">
        <f t="shared" si="4"/>
        <v>NA</v>
      </c>
    </row>
    <row r="59" spans="1:9" ht="16">
      <c r="A59" s="108" t="str">
        <f>'Sovereign Ratings (Moody''s,S&amp;P)'!A53</f>
        <v>Finland</v>
      </c>
      <c r="B59" s="103" t="str">
        <f>VLOOKUP(A59,'Regional lookup table'!$A$3:$B$161,2)</f>
        <v>Western Europe</v>
      </c>
      <c r="C59" s="9" t="str">
        <f>'Sovereign Ratings (Moody''s,S&amp;P)'!C53</f>
        <v>Aa1</v>
      </c>
      <c r="D59" s="21">
        <f t="shared" si="0"/>
        <v>4.3535188858583353E-3</v>
      </c>
      <c r="E59" s="21">
        <f t="shared" si="1"/>
        <v>5.1844336094701203E-2</v>
      </c>
      <c r="F59" s="11">
        <f t="shared" si="2"/>
        <v>5.8443360947012055E-3</v>
      </c>
      <c r="G59" s="11">
        <f>VLOOKUP(A59,'10-year CDS Spreads'!$A$2:$D$157,4)</f>
        <v>0</v>
      </c>
      <c r="H59" s="11">
        <f t="shared" si="3"/>
        <v>4.5999999999999999E-2</v>
      </c>
      <c r="I59" s="14">
        <f t="shared" si="4"/>
        <v>0</v>
      </c>
    </row>
    <row r="60" spans="1:9" ht="16">
      <c r="A60" s="108" t="str">
        <f>'Sovereign Ratings (Moody''s,S&amp;P)'!A54</f>
        <v>France</v>
      </c>
      <c r="B60" s="103" t="str">
        <f>VLOOKUP(A60,'Regional lookup table'!$A$3:$B$161,2)</f>
        <v>Western Europe</v>
      </c>
      <c r="C60" s="9" t="str">
        <f>'Sovereign Ratings (Moody''s,S&amp;P)'!C54</f>
        <v>Aa2</v>
      </c>
      <c r="D60" s="21">
        <f t="shared" si="0"/>
        <v>5.3778762707661788E-3</v>
      </c>
      <c r="E60" s="21">
        <f t="shared" si="1"/>
        <v>5.3219473999336783E-2</v>
      </c>
      <c r="F60" s="11">
        <f t="shared" si="2"/>
        <v>7.2194739993367832E-3</v>
      </c>
      <c r="G60" s="11">
        <f>VLOOKUP(A60,'10-year CDS Spreads'!$A$2:$D$157,4)</f>
        <v>0</v>
      </c>
      <c r="H60" s="11">
        <f t="shared" si="3"/>
        <v>4.5999999999999999E-2</v>
      </c>
      <c r="I60" s="14">
        <f t="shared" si="4"/>
        <v>0</v>
      </c>
    </row>
    <row r="61" spans="1:9" ht="16">
      <c r="A61" s="108" t="str">
        <f>'Sovereign Ratings (Moody''s,S&amp;P)'!A55</f>
        <v>Gabon</v>
      </c>
      <c r="B61" s="103" t="str">
        <f>VLOOKUP(A61,'Regional lookup table'!$A$3:$B$161,2)</f>
        <v>Africa</v>
      </c>
      <c r="C61" s="9" t="str">
        <f>'Sovereign Ratings (Moody''s,S&amp;P)'!C55</f>
        <v>Caa1</v>
      </c>
      <c r="D61" s="21">
        <f t="shared" si="0"/>
        <v>8.1692501446400528E-2</v>
      </c>
      <c r="E61" s="21">
        <f t="shared" si="1"/>
        <v>0.15566724789468733</v>
      </c>
      <c r="F61" s="11">
        <f t="shared" si="2"/>
        <v>0.10966724789468733</v>
      </c>
      <c r="G61" s="11" t="str">
        <f>VLOOKUP(A61,'10-year CDS Spreads'!$A$2:$D$157,4)</f>
        <v>NA</v>
      </c>
      <c r="H61" s="11" t="str">
        <f t="shared" si="3"/>
        <v>NA</v>
      </c>
      <c r="I61" s="14" t="str">
        <f t="shared" si="4"/>
        <v>NA</v>
      </c>
    </row>
    <row r="62" spans="1:9" ht="16">
      <c r="A62" s="108" t="str">
        <f>'Sovereign Ratings (Moody''s,S&amp;P)'!A56</f>
        <v>Georgia</v>
      </c>
      <c r="B62" s="103" t="str">
        <f>VLOOKUP(A62,'Regional lookup table'!$A$3:$B$161,2)</f>
        <v>Eastern Europe &amp; Russia</v>
      </c>
      <c r="C62" s="9" t="str">
        <f>'Sovereign Ratings (Moody''s,S&amp;P)'!C56</f>
        <v>Ba2</v>
      </c>
      <c r="D62" s="21">
        <f t="shared" si="0"/>
        <v>3.2779436317050999E-2</v>
      </c>
      <c r="E62" s="21">
        <f t="shared" si="1"/>
        <v>9.0004412948338497E-2</v>
      </c>
      <c r="F62" s="11">
        <f t="shared" si="2"/>
        <v>4.4004412948338498E-2</v>
      </c>
      <c r="G62" s="11" t="str">
        <f>VLOOKUP(A62,'10-year CDS Spreads'!$A$2:$D$157,4)</f>
        <v>NA</v>
      </c>
      <c r="H62" s="11" t="str">
        <f t="shared" si="3"/>
        <v>NA</v>
      </c>
      <c r="I62" s="14" t="str">
        <f t="shared" si="4"/>
        <v>NA</v>
      </c>
    </row>
    <row r="63" spans="1:9" ht="16">
      <c r="A63" s="108" t="str">
        <f>'Sovereign Ratings (Moody''s,S&amp;P)'!A57</f>
        <v>Germany</v>
      </c>
      <c r="B63" s="103" t="str">
        <f>VLOOKUP(A63,'Regional lookup table'!$A$3:$B$161,2)</f>
        <v>Western Europe</v>
      </c>
      <c r="C63" s="9" t="str">
        <f>'Sovereign Ratings (Moody''s,S&amp;P)'!C57</f>
        <v>Aaa</v>
      </c>
      <c r="D63" s="21">
        <f t="shared" si="0"/>
        <v>0</v>
      </c>
      <c r="E63" s="21">
        <f t="shared" si="1"/>
        <v>4.5999999999999999E-2</v>
      </c>
      <c r="F63" s="11">
        <f t="shared" si="2"/>
        <v>0</v>
      </c>
      <c r="G63" s="11">
        <f>VLOOKUP(A63,'10-year CDS Spreads'!$A$2:$D$157,4)</f>
        <v>0</v>
      </c>
      <c r="H63" s="11">
        <f t="shared" si="3"/>
        <v>4.5999999999999999E-2</v>
      </c>
      <c r="I63" s="14">
        <f t="shared" si="4"/>
        <v>0</v>
      </c>
    </row>
    <row r="64" spans="1:9" ht="16">
      <c r="A64" s="108" t="str">
        <f>'Sovereign Ratings (Moody''s,S&amp;P)'!A58</f>
        <v>Ghana</v>
      </c>
      <c r="B64" s="103" t="str">
        <f>VLOOKUP(A64,'Regional lookup table'!$A$3:$B$161,2)</f>
        <v>Africa</v>
      </c>
      <c r="C64" s="9" t="str">
        <f>'Sovereign Ratings (Moody''s,S&amp;P)'!C58</f>
        <v>Caa3</v>
      </c>
      <c r="D64" s="21">
        <f t="shared" si="0"/>
        <v>0.10896601681957188</v>
      </c>
      <c r="E64" s="21">
        <f t="shared" si="1"/>
        <v>0.19228029460560964</v>
      </c>
      <c r="F64" s="11">
        <f t="shared" si="2"/>
        <v>0.14628029460560962</v>
      </c>
      <c r="G64" s="11" t="str">
        <f>VLOOKUP(A64,'10-year CDS Spreads'!$A$2:$D$157,4)</f>
        <v>NA</v>
      </c>
      <c r="H64" s="11" t="str">
        <f t="shared" si="3"/>
        <v>NA</v>
      </c>
      <c r="I64" s="14" t="str">
        <f t="shared" si="4"/>
        <v>NA</v>
      </c>
    </row>
    <row r="65" spans="1:9" ht="16">
      <c r="A65" s="108" t="str">
        <f>'Sovereign Ratings (Moody''s,S&amp;P)'!A59</f>
        <v>Greece</v>
      </c>
      <c r="B65" s="103" t="str">
        <f>VLOOKUP(A65,'Regional lookup table'!$A$3:$B$161,2)</f>
        <v>Western Europe</v>
      </c>
      <c r="C65" s="9" t="str">
        <f>'Sovereign Ratings (Moody''s,S&amp;P)'!C59</f>
        <v>Ba1</v>
      </c>
      <c r="D65" s="21">
        <f t="shared" si="0"/>
        <v>2.7273515373171343E-2</v>
      </c>
      <c r="E65" s="21">
        <f t="shared" si="1"/>
        <v>8.2613046710922261E-2</v>
      </c>
      <c r="F65" s="11">
        <f t="shared" si="2"/>
        <v>3.6613046710922269E-2</v>
      </c>
      <c r="G65" s="11">
        <f>VLOOKUP(A65,'10-year CDS Spreads'!$A$2:$D$157,4)</f>
        <v>7.000000000000001E-3</v>
      </c>
      <c r="H65" s="11">
        <f t="shared" si="3"/>
        <v>5.5397077108313174E-2</v>
      </c>
      <c r="I65" s="14">
        <f t="shared" si="4"/>
        <v>9.3970771083131763E-3</v>
      </c>
    </row>
    <row r="66" spans="1:9" ht="16">
      <c r="A66" s="108" t="str">
        <f>'Sovereign Ratings (Moody''s,S&amp;P)'!A60</f>
        <v>Guatemala</v>
      </c>
      <c r="B66" s="103" t="str">
        <f>VLOOKUP(A66,'Regional lookup table'!$A$3:$B$161,2)</f>
        <v>Central and South America</v>
      </c>
      <c r="C66" s="9" t="str">
        <f>'Sovereign Ratings (Moody''s,S&amp;P)'!C60</f>
        <v>Ba1</v>
      </c>
      <c r="D66" s="21">
        <f t="shared" si="0"/>
        <v>2.7273515373171343E-2</v>
      </c>
      <c r="E66" s="21">
        <f t="shared" si="1"/>
        <v>8.2613046710922261E-2</v>
      </c>
      <c r="F66" s="11">
        <f t="shared" si="2"/>
        <v>3.6613046710922269E-2</v>
      </c>
      <c r="G66" s="11" t="str">
        <f>VLOOKUP(A66,'10-year CDS Spreads'!$A$2:$D$157,4)</f>
        <v>NA</v>
      </c>
      <c r="H66" s="11" t="str">
        <f t="shared" si="3"/>
        <v>NA</v>
      </c>
      <c r="I66" s="14" t="str">
        <f t="shared" si="4"/>
        <v>NA</v>
      </c>
    </row>
    <row r="67" spans="1:9" ht="16">
      <c r="A67" s="108" t="str">
        <f>'Sovereign Ratings (Moody''s,S&amp;P)'!A61</f>
        <v>Guernsey (States of)</v>
      </c>
      <c r="B67" s="103" t="str">
        <f>VLOOKUP(A67,'Regional lookup table'!$A$3:$B$161,2)</f>
        <v>Western Europe</v>
      </c>
      <c r="C67" s="9" t="str">
        <f>'Sovereign Ratings (Moody''s,S&amp;P)'!C61</f>
        <v>A1</v>
      </c>
      <c r="D67" s="21">
        <f t="shared" si="0"/>
        <v>7.6826803868088279E-3</v>
      </c>
      <c r="E67" s="21">
        <f t="shared" si="1"/>
        <v>5.6313534284766834E-2</v>
      </c>
      <c r="F67" s="11">
        <f t="shared" si="2"/>
        <v>1.0313534284766834E-2</v>
      </c>
      <c r="G67" s="11" t="str">
        <f>VLOOKUP(A67,'10-year CDS Spreads'!$A$2:$D$157,4)</f>
        <v>NA</v>
      </c>
      <c r="H67" s="11" t="str">
        <f t="shared" si="3"/>
        <v>NA</v>
      </c>
      <c r="I67" s="14" t="str">
        <f t="shared" si="4"/>
        <v>NA</v>
      </c>
    </row>
    <row r="68" spans="1:9" ht="16">
      <c r="A68" s="108" t="str">
        <f>'Sovereign Ratings (Moody''s,S&amp;P)'!A62</f>
        <v>Honduras</v>
      </c>
      <c r="B68" s="103" t="str">
        <f>VLOOKUP(A68,'Regional lookup table'!$A$3:$B$161,2)</f>
        <v>Central and South America</v>
      </c>
      <c r="C68" s="9" t="str">
        <f>'Sovereign Ratings (Moody''s,S&amp;P)'!C62</f>
        <v>B1</v>
      </c>
      <c r="D68" s="21">
        <f t="shared" si="0"/>
        <v>4.9041109802463012E-2</v>
      </c>
      <c r="E68" s="21">
        <f t="shared" si="1"/>
        <v>0.11183472718442829</v>
      </c>
      <c r="F68" s="11">
        <f t="shared" si="2"/>
        <v>6.5834727184428288E-2</v>
      </c>
      <c r="G68" s="11" t="str">
        <f>VLOOKUP(A68,'10-year CDS Spreads'!$A$2:$D$157,4)</f>
        <v>NA</v>
      </c>
      <c r="H68" s="11" t="str">
        <f t="shared" si="3"/>
        <v>NA</v>
      </c>
      <c r="I68" s="14" t="str">
        <f t="shared" si="4"/>
        <v>NA</v>
      </c>
    </row>
    <row r="69" spans="1:9" ht="16">
      <c r="A69" s="108" t="str">
        <f>'Sovereign Ratings (Moody''s,S&amp;P)'!A63</f>
        <v>Hong Kong</v>
      </c>
      <c r="B69" s="103" t="str">
        <f>VLOOKUP(A69,'Regional lookup table'!$A$3:$B$161,2)</f>
        <v>Asia</v>
      </c>
      <c r="C69" s="9" t="str">
        <f>'Sovereign Ratings (Moody''s,S&amp;P)'!C63</f>
        <v>Aa3</v>
      </c>
      <c r="D69" s="21">
        <f t="shared" si="0"/>
        <v>6.5302783287875029E-3</v>
      </c>
      <c r="E69" s="21">
        <f t="shared" si="1"/>
        <v>5.4766504142051808E-2</v>
      </c>
      <c r="F69" s="11">
        <f t="shared" si="2"/>
        <v>8.7665041420518092E-3</v>
      </c>
      <c r="G69" s="11">
        <f>VLOOKUP(A69,'10-year CDS Spreads'!$A$2:$D$157,4)</f>
        <v>2.0000000000000052E-4</v>
      </c>
      <c r="H69" s="11">
        <f t="shared" si="3"/>
        <v>4.6268487917380377E-2</v>
      </c>
      <c r="I69" s="14">
        <f t="shared" si="4"/>
        <v>2.6848791738037715E-4</v>
      </c>
    </row>
    <row r="70" spans="1:9" ht="16">
      <c r="A70" s="108" t="str">
        <f>'Sovereign Ratings (Moody''s,S&amp;P)'!A64</f>
        <v>Hungary</v>
      </c>
      <c r="B70" s="103" t="str">
        <f>VLOOKUP(A70,'Regional lookup table'!$A$3:$B$161,2)</f>
        <v>Eastern Europe &amp; Russia</v>
      </c>
      <c r="C70" s="9" t="str">
        <f>'Sovereign Ratings (Moody''s,S&amp;P)'!C64</f>
        <v>Baa2</v>
      </c>
      <c r="D70" s="21">
        <f t="shared" si="0"/>
        <v>2.0743237044383835E-2</v>
      </c>
      <c r="E70" s="21">
        <f t="shared" si="1"/>
        <v>7.3846542568870452E-2</v>
      </c>
      <c r="F70" s="11">
        <f t="shared" si="2"/>
        <v>2.7846542568870453E-2</v>
      </c>
      <c r="G70" s="11">
        <f>VLOOKUP(A70,'10-year CDS Spreads'!$A$2:$D$157,4)</f>
        <v>1.37E-2</v>
      </c>
      <c r="H70" s="11">
        <f t="shared" si="3"/>
        <v>6.4391422340555782E-2</v>
      </c>
      <c r="I70" s="14">
        <f t="shared" si="4"/>
        <v>1.8391422340555786E-2</v>
      </c>
    </row>
    <row r="71" spans="1:9" ht="16">
      <c r="A71" s="108" t="str">
        <f>'Sovereign Ratings (Moody''s,S&amp;P)'!A65</f>
        <v>Iceland</v>
      </c>
      <c r="B71" s="103" t="str">
        <f>VLOOKUP(A71,'Regional lookup table'!$A$3:$B$161,2)</f>
        <v>Western Europe</v>
      </c>
      <c r="C71" s="9" t="str">
        <f>'Sovereign Ratings (Moody''s,S&amp;P)'!C65</f>
        <v>A2</v>
      </c>
      <c r="D71" s="21">
        <f t="shared" si="0"/>
        <v>9.2192164641705932E-3</v>
      </c>
      <c r="E71" s="21">
        <f t="shared" si="1"/>
        <v>5.83762411417202E-2</v>
      </c>
      <c r="F71" s="11">
        <f t="shared" si="2"/>
        <v>1.2376241141720201E-2</v>
      </c>
      <c r="G71" s="11">
        <f>VLOOKUP(A71,'10-year CDS Spreads'!$A$2:$D$157,4)</f>
        <v>3.0000000000000009E-3</v>
      </c>
      <c r="H71" s="11">
        <f t="shared" si="3"/>
        <v>5.0027318760705645E-2</v>
      </c>
      <c r="I71" s="14">
        <f t="shared" si="4"/>
        <v>4.027318760705648E-3</v>
      </c>
    </row>
    <row r="72" spans="1:9" ht="16">
      <c r="A72" s="108" t="str">
        <f>'Sovereign Ratings (Moody''s,S&amp;P)'!A66</f>
        <v>India</v>
      </c>
      <c r="B72" s="103" t="str">
        <f>VLOOKUP(A72,'Regional lookup table'!$A$3:$B$161,2)</f>
        <v>Asia</v>
      </c>
      <c r="C72" s="9" t="str">
        <f>'Sovereign Ratings (Moody''s,S&amp;P)'!C66</f>
        <v>Baa3</v>
      </c>
      <c r="D72" s="21">
        <f t="shared" si="0"/>
        <v>2.3944353872220846E-2</v>
      </c>
      <c r="E72" s="21">
        <f t="shared" si="1"/>
        <v>7.8143848520856624E-2</v>
      </c>
      <c r="F72" s="11">
        <f t="shared" si="2"/>
        <v>3.2143848520856631E-2</v>
      </c>
      <c r="G72" s="11">
        <f>VLOOKUP(A72,'10-year CDS Spreads'!$A$2:$D$157,4)</f>
        <v>4.1000000000000012E-3</v>
      </c>
      <c r="H72" s="11">
        <f t="shared" si="3"/>
        <v>5.1504002306297716E-2</v>
      </c>
      <c r="I72" s="14">
        <f t="shared" si="4"/>
        <v>5.5040023062977181E-3</v>
      </c>
    </row>
    <row r="73" spans="1:9" ht="16">
      <c r="A73" s="108" t="str">
        <f>'Sovereign Ratings (Moody''s,S&amp;P)'!A67</f>
        <v>Indonesia</v>
      </c>
      <c r="B73" s="103" t="str">
        <f>VLOOKUP(A73,'Regional lookup table'!$A$3:$B$161,2)</f>
        <v>Asia</v>
      </c>
      <c r="C73" s="9" t="str">
        <f>'Sovereign Ratings (Moody''s,S&amp;P)'!C67</f>
        <v>Baa2</v>
      </c>
      <c r="D73" s="21">
        <f t="shared" ref="D73:D135" si="6">VLOOKUP(C73,$J$9:$K$31,2,FALSE)/10000</f>
        <v>2.0743237044383835E-2</v>
      </c>
      <c r="E73" s="21">
        <f>$E$3+F73</f>
        <v>7.3846542568870452E-2</v>
      </c>
      <c r="F73" s="11">
        <f>IF($E$4="Yes",D73*$E$5,D73)</f>
        <v>2.7846542568870453E-2</v>
      </c>
      <c r="G73" s="11">
        <f>VLOOKUP(A73,'10-year CDS Spreads'!$A$2:$D$157,4)</f>
        <v>7.4000000000000003E-3</v>
      </c>
      <c r="H73" s="11">
        <f>IF(I73="NA","NA",$E$3+I73)</f>
        <v>5.5934052943073929E-2</v>
      </c>
      <c r="I73" s="14">
        <f t="shared" ref="I73:I139" si="7">IF(G73="NA","NA",G73*$E$5)</f>
        <v>9.9340529430739285E-3</v>
      </c>
    </row>
    <row r="74" spans="1:9" ht="16">
      <c r="A74" s="108" t="str">
        <f>'Sovereign Ratings (Moody''s,S&amp;P)'!A68</f>
        <v>Iraq</v>
      </c>
      <c r="B74" s="103" t="str">
        <f>VLOOKUP(A74,'Regional lookup table'!$A$3:$B$161,2)</f>
        <v>Middle East</v>
      </c>
      <c r="C74" s="9" t="str">
        <f>'Sovereign Ratings (Moody''s,S&amp;P)'!C68</f>
        <v>Caa1</v>
      </c>
      <c r="D74" s="21">
        <f t="shared" si="6"/>
        <v>8.1692501446400528E-2</v>
      </c>
      <c r="E74" s="21">
        <f t="shared" ref="E74:E143" si="8">$E$3+F74</f>
        <v>0.15566724789468733</v>
      </c>
      <c r="F74" s="11">
        <f t="shared" ref="F74:F129" si="9">IF($E$4="Yes",D74*$E$5,D74)</f>
        <v>0.10966724789468733</v>
      </c>
      <c r="G74" s="11">
        <f>VLOOKUP(A74,'10-year CDS Spreads'!$A$2:$D$157,4)</f>
        <v>4.5600000000000002E-2</v>
      </c>
      <c r="H74" s="11">
        <f t="shared" ref="H74:H143" si="10">IF(I74="NA","NA",$E$3+I74)</f>
        <v>0.10721524516272582</v>
      </c>
      <c r="I74" s="14">
        <f t="shared" si="7"/>
        <v>6.1215245162725827E-2</v>
      </c>
    </row>
    <row r="75" spans="1:9" ht="16">
      <c r="A75" s="108" t="str">
        <f>'Sovereign Ratings (Moody''s,S&amp;P)'!A69</f>
        <v>Ireland</v>
      </c>
      <c r="B75" s="103" t="str">
        <f>VLOOKUP(A75,'Regional lookup table'!$A$3:$B$161,2)</f>
        <v>Western Europe</v>
      </c>
      <c r="C75" s="9" t="str">
        <f>'Sovereign Ratings (Moody''s,S&amp;P)'!C69</f>
        <v>Aa3</v>
      </c>
      <c r="D75" s="21">
        <f t="shared" si="6"/>
        <v>6.5302783287875029E-3</v>
      </c>
      <c r="E75" s="21">
        <f t="shared" si="8"/>
        <v>5.4766504142051808E-2</v>
      </c>
      <c r="F75" s="11">
        <f t="shared" si="9"/>
        <v>8.7665041420518092E-3</v>
      </c>
      <c r="G75" s="11">
        <f>VLOOKUP(A75,'10-year CDS Spreads'!$A$2:$D$157,4)</f>
        <v>0</v>
      </c>
      <c r="H75" s="11">
        <f t="shared" si="10"/>
        <v>4.5999999999999999E-2</v>
      </c>
      <c r="I75" s="14">
        <f t="shared" si="7"/>
        <v>0</v>
      </c>
    </row>
    <row r="76" spans="1:9" ht="16">
      <c r="A76" s="108" t="str">
        <f>'Sovereign Ratings (Moody''s,S&amp;P)'!A70</f>
        <v>Isle of Man</v>
      </c>
      <c r="B76" s="103" t="str">
        <f>VLOOKUP(A76,'Regional lookup table'!$A$3:$B$161,2)</f>
        <v>Western Europe</v>
      </c>
      <c r="C76" s="9" t="str">
        <f>'Sovereign Ratings (Moody''s,S&amp;P)'!C70</f>
        <v>Aa3</v>
      </c>
      <c r="D76" s="21">
        <f t="shared" si="6"/>
        <v>6.5302783287875029E-3</v>
      </c>
      <c r="E76" s="21">
        <f t="shared" si="8"/>
        <v>5.4766504142051808E-2</v>
      </c>
      <c r="F76" s="11">
        <f t="shared" si="9"/>
        <v>8.7665041420518092E-3</v>
      </c>
      <c r="G76" s="11" t="str">
        <f>VLOOKUP(A76,'10-year CDS Spreads'!$A$2:$D$157,4)</f>
        <v>NA</v>
      </c>
      <c r="H76" s="11" t="str">
        <f t="shared" si="10"/>
        <v>NA</v>
      </c>
      <c r="I76" s="14" t="str">
        <f t="shared" si="7"/>
        <v>NA</v>
      </c>
    </row>
    <row r="77" spans="1:9" ht="16">
      <c r="A77" s="108" t="str">
        <f>'Sovereign Ratings (Moody''s,S&amp;P)'!A71</f>
        <v>Israel</v>
      </c>
      <c r="B77" s="103" t="str">
        <f>VLOOKUP(A77,'Regional lookup table'!$A$3:$B$161,2)</f>
        <v>Middle East</v>
      </c>
      <c r="C77" s="9" t="str">
        <f>'Sovereign Ratings (Moody''s,S&amp;P)'!C71</f>
        <v>A1</v>
      </c>
      <c r="D77" s="21">
        <f t="shared" si="6"/>
        <v>7.6826803868088279E-3</v>
      </c>
      <c r="E77" s="21">
        <f t="shared" si="8"/>
        <v>5.6313534284766834E-2</v>
      </c>
      <c r="F77" s="11">
        <f t="shared" si="9"/>
        <v>1.0313534284766834E-2</v>
      </c>
      <c r="G77" s="11">
        <f>VLOOKUP(A77,'10-year CDS Spreads'!$A$2:$D$157,4)</f>
        <v>9.8999999999999991E-3</v>
      </c>
      <c r="H77" s="11">
        <f t="shared" si="10"/>
        <v>5.9290151910328631E-2</v>
      </c>
      <c r="I77" s="14">
        <f t="shared" si="7"/>
        <v>1.3290151910328632E-2</v>
      </c>
    </row>
    <row r="78" spans="1:9" ht="16">
      <c r="A78" s="108" t="str">
        <f>'Sovereign Ratings (Moody''s,S&amp;P)'!A72</f>
        <v>Italy</v>
      </c>
      <c r="B78" s="103" t="str">
        <f>VLOOKUP(A78,'Regional lookup table'!$A$3:$B$161,2)</f>
        <v>Western Europe</v>
      </c>
      <c r="C78" s="9" t="str">
        <f>'Sovereign Ratings (Moody''s,S&amp;P)'!C72</f>
        <v>Baa3</v>
      </c>
      <c r="D78" s="21">
        <f t="shared" si="6"/>
        <v>2.3944353872220846E-2</v>
      </c>
      <c r="E78" s="21">
        <f t="shared" si="8"/>
        <v>7.8143848520856624E-2</v>
      </c>
      <c r="F78" s="11">
        <f t="shared" si="9"/>
        <v>3.2143848520856631E-2</v>
      </c>
      <c r="G78" s="11">
        <f>VLOOKUP(A78,'10-year CDS Spreads'!$A$2:$D$157,4)</f>
        <v>7.6000000000000009E-3</v>
      </c>
      <c r="H78" s="11">
        <f t="shared" si="10"/>
        <v>5.6202540860454307E-2</v>
      </c>
      <c r="I78" s="14">
        <f t="shared" si="7"/>
        <v>1.0202540860454306E-2</v>
      </c>
    </row>
    <row r="79" spans="1:9" ht="16">
      <c r="A79" s="108" t="str">
        <f>'Sovereign Ratings (Moody''s,S&amp;P)'!A73</f>
        <v>Jamaica</v>
      </c>
      <c r="B79" s="103" t="str">
        <f>VLOOKUP(A79,'Regional lookup table'!$A$3:$B$161,2)</f>
        <v>Caribbean</v>
      </c>
      <c r="C79" s="9" t="str">
        <f>'Sovereign Ratings (Moody''s,S&amp;P)'!C73</f>
        <v>B1</v>
      </c>
      <c r="D79" s="21">
        <f t="shared" si="6"/>
        <v>4.9041109802463012E-2</v>
      </c>
      <c r="E79" s="21">
        <f t="shared" si="8"/>
        <v>0.11183472718442829</v>
      </c>
      <c r="F79" s="11">
        <f t="shared" si="9"/>
        <v>6.5834727184428288E-2</v>
      </c>
      <c r="G79" s="11" t="str">
        <f>VLOOKUP(A79,'10-year CDS Spreads'!$A$2:$D$157,4)</f>
        <v>NA</v>
      </c>
      <c r="H79" s="11" t="str">
        <f t="shared" si="10"/>
        <v>NA</v>
      </c>
      <c r="I79" s="14" t="str">
        <f t="shared" si="7"/>
        <v>NA</v>
      </c>
    </row>
    <row r="80" spans="1:9" ht="16">
      <c r="A80" s="108" t="str">
        <f>'Sovereign Ratings (Moody''s,S&amp;P)'!A74</f>
        <v>Japan</v>
      </c>
      <c r="B80" s="103" t="str">
        <f>VLOOKUP(A80,'Regional lookup table'!$A$3:$B$161,2)</f>
        <v>Asia</v>
      </c>
      <c r="C80" s="9" t="str">
        <f>'Sovereign Ratings (Moody''s,S&amp;P)'!C74</f>
        <v>A1</v>
      </c>
      <c r="D80" s="21">
        <f t="shared" si="6"/>
        <v>7.6826803868088279E-3</v>
      </c>
      <c r="E80" s="21">
        <f t="shared" si="8"/>
        <v>5.6313534284766834E-2</v>
      </c>
      <c r="F80" s="11">
        <f t="shared" si="9"/>
        <v>1.0313534284766834E-2</v>
      </c>
      <c r="G80" s="11">
        <f>VLOOKUP(A80,'10-year CDS Spreads'!$A$2:$D$157,4)</f>
        <v>0</v>
      </c>
      <c r="H80" s="11">
        <f t="shared" si="10"/>
        <v>4.5999999999999999E-2</v>
      </c>
      <c r="I80" s="14">
        <f t="shared" si="7"/>
        <v>0</v>
      </c>
    </row>
    <row r="81" spans="1:9" ht="16">
      <c r="A81" s="108" t="str">
        <f>'Sovereign Ratings (Moody''s,S&amp;P)'!A75</f>
        <v>Jersey (States of)</v>
      </c>
      <c r="B81" s="103" t="str">
        <f>VLOOKUP(A81,'Regional lookup table'!$A$3:$B$161,2)</f>
        <v>Western Europe</v>
      </c>
      <c r="C81" s="9" t="str">
        <f>'Sovereign Ratings (Moody''s,S&amp;P)'!C75</f>
        <v>Aa3</v>
      </c>
      <c r="D81" s="21">
        <f t="shared" si="6"/>
        <v>6.5302783287875029E-3</v>
      </c>
      <c r="E81" s="21">
        <f t="shared" si="8"/>
        <v>5.4766504142051808E-2</v>
      </c>
      <c r="F81" s="11">
        <f t="shared" si="9"/>
        <v>8.7665041420518092E-3</v>
      </c>
      <c r="G81" s="11" t="str">
        <f>VLOOKUP(A81,'10-year CDS Spreads'!$A$2:$D$157,4)</f>
        <v>NA</v>
      </c>
      <c r="H81" s="11" t="str">
        <f t="shared" si="10"/>
        <v>NA</v>
      </c>
      <c r="I81" s="14" t="str">
        <f t="shared" si="7"/>
        <v>NA</v>
      </c>
    </row>
    <row r="82" spans="1:9" ht="16">
      <c r="A82" s="108" t="str">
        <f>'Sovereign Ratings (Moody''s,S&amp;P)'!A76</f>
        <v>Jordan</v>
      </c>
      <c r="B82" s="103" t="str">
        <f>VLOOKUP(A82,'Regional lookup table'!$A$3:$B$161,2)</f>
        <v>Middle East</v>
      </c>
      <c r="C82" s="9" t="str">
        <f>'Sovereign Ratings (Moody''s,S&amp;P)'!C76</f>
        <v>B1</v>
      </c>
      <c r="D82" s="21">
        <f t="shared" si="6"/>
        <v>4.9041109802463012E-2</v>
      </c>
      <c r="E82" s="21">
        <f t="shared" si="8"/>
        <v>0.11183472718442829</v>
      </c>
      <c r="F82" s="11">
        <f t="shared" si="9"/>
        <v>6.5834727184428288E-2</v>
      </c>
      <c r="G82" s="11" t="str">
        <f>VLOOKUP(A82,'10-year CDS Spreads'!$A$2:$D$157,4)</f>
        <v>NA</v>
      </c>
      <c r="H82" s="11" t="str">
        <f t="shared" si="10"/>
        <v>NA</v>
      </c>
      <c r="I82" s="14" t="str">
        <f t="shared" si="7"/>
        <v>NA</v>
      </c>
    </row>
    <row r="83" spans="1:9" ht="16">
      <c r="A83" s="108" t="str">
        <f>'Sovereign Ratings (Moody''s,S&amp;P)'!A77</f>
        <v>Kazakhstan</v>
      </c>
      <c r="B83" s="103" t="str">
        <f>VLOOKUP(A83,'Regional lookup table'!$A$3:$B$161,2)</f>
        <v>Eastern Europe &amp; Russia</v>
      </c>
      <c r="C83" s="9" t="str">
        <f>'Sovereign Ratings (Moody''s,S&amp;P)'!C77</f>
        <v>Baa2</v>
      </c>
      <c r="D83" s="21">
        <f t="shared" si="6"/>
        <v>2.0743237044383835E-2</v>
      </c>
      <c r="E83" s="21">
        <f t="shared" si="8"/>
        <v>7.3846542568870452E-2</v>
      </c>
      <c r="F83" s="11">
        <f t="shared" si="9"/>
        <v>2.7846542568870453E-2</v>
      </c>
      <c r="G83" s="11">
        <f>VLOOKUP(A83,'10-year CDS Spreads'!$A$2:$D$157,4)</f>
        <v>1.1800000000000001E-2</v>
      </c>
      <c r="H83" s="11">
        <f t="shared" si="10"/>
        <v>6.1840787125442206E-2</v>
      </c>
      <c r="I83" s="14">
        <f t="shared" si="7"/>
        <v>1.5840787125442211E-2</v>
      </c>
    </row>
    <row r="84" spans="1:9" ht="16">
      <c r="A84" s="108" t="str">
        <f>'Sovereign Ratings (Moody''s,S&amp;P)'!A78</f>
        <v>Kenya</v>
      </c>
      <c r="B84" s="103" t="str">
        <f>VLOOKUP(A84,'Regional lookup table'!$A$3:$B$161,2)</f>
        <v>Africa</v>
      </c>
      <c r="C84" s="9" t="str">
        <f>'Sovereign Ratings (Moody''s,S&amp;P)'!C78</f>
        <v>B3</v>
      </c>
      <c r="D84" s="21">
        <f t="shared" si="6"/>
        <v>7.0808704231754685E-2</v>
      </c>
      <c r="E84" s="21">
        <f t="shared" si="8"/>
        <v>0.14105640765793431</v>
      </c>
      <c r="F84" s="11">
        <f t="shared" si="9"/>
        <v>9.5056407657934314E-2</v>
      </c>
      <c r="G84" s="11">
        <f>VLOOKUP(A84,'10-year CDS Spreads'!$A$2:$D$157,4)</f>
        <v>6.4600000000000005E-2</v>
      </c>
      <c r="H84" s="11">
        <f t="shared" si="10"/>
        <v>0.13272159731386157</v>
      </c>
      <c r="I84" s="14">
        <f t="shared" si="7"/>
        <v>8.6721597313861587E-2</v>
      </c>
    </row>
    <row r="85" spans="1:9" ht="16">
      <c r="A85" s="108" t="str">
        <f>'Sovereign Ratings (Moody''s,S&amp;P)'!A79</f>
        <v>Korea</v>
      </c>
      <c r="B85" s="103" t="str">
        <f>VLOOKUP(A85,'Regional lookup table'!$A$3:$B$161,2)</f>
        <v>Asia</v>
      </c>
      <c r="C85" s="9" t="str">
        <f>'Sovereign Ratings (Moody''s,S&amp;P)'!C79</f>
        <v>Aa2</v>
      </c>
      <c r="D85" s="21">
        <f t="shared" si="6"/>
        <v>5.3778762707661788E-3</v>
      </c>
      <c r="E85" s="21">
        <f>$E$3+F85</f>
        <v>5.3219473999336783E-2</v>
      </c>
      <c r="F85" s="11">
        <f>IF($E$4="Yes",D85*$E$5,D85)</f>
        <v>7.2194739993367832E-3</v>
      </c>
      <c r="G85" s="11">
        <f>VLOOKUP(A85,'10-year CDS Spreads'!$A$2:$D$157,4)</f>
        <v>0</v>
      </c>
      <c r="H85" s="11">
        <f>IF(I85="NA","NA",$E$3+I85)</f>
        <v>4.5999999999999999E-2</v>
      </c>
      <c r="I85" s="14">
        <f t="shared" si="7"/>
        <v>0</v>
      </c>
    </row>
    <row r="86" spans="1:9" ht="16">
      <c r="A86" s="108" t="str">
        <f>'Sovereign Ratings (Moody''s,S&amp;P)'!A80</f>
        <v>Kuwait</v>
      </c>
      <c r="B86" s="103" t="str">
        <f>VLOOKUP(A86,'Regional lookup table'!$A$3:$B$161,2)</f>
        <v>Middle East</v>
      </c>
      <c r="C86" s="9" t="str">
        <f>'Sovereign Ratings (Moody''s,S&amp;P)'!C80</f>
        <v>A1</v>
      </c>
      <c r="D86" s="21">
        <f t="shared" si="6"/>
        <v>7.6826803868088279E-3</v>
      </c>
      <c r="E86" s="21">
        <f t="shared" si="8"/>
        <v>5.6313534284766834E-2</v>
      </c>
      <c r="F86" s="11">
        <f t="shared" si="9"/>
        <v>1.0313534284766834E-2</v>
      </c>
      <c r="G86" s="11">
        <f>VLOOKUP(A86,'10-year CDS Spreads'!$A$2:$D$157,4)</f>
        <v>2.5000000000000005E-3</v>
      </c>
      <c r="H86" s="11">
        <f t="shared" si="10"/>
        <v>4.9356098967254708E-2</v>
      </c>
      <c r="I86" s="14">
        <f t="shared" si="7"/>
        <v>3.3560989672547061E-3</v>
      </c>
    </row>
    <row r="87" spans="1:9" ht="16">
      <c r="A87" s="108" t="str">
        <f>'Sovereign Ratings (Moody''s,S&amp;P)'!A81</f>
        <v>Kyrgyzstan</v>
      </c>
      <c r="B87" s="103" t="str">
        <f>VLOOKUP(A87,'Regional lookup table'!$A$3:$B$161,2)</f>
        <v>Eastern Europe &amp; Russia</v>
      </c>
      <c r="C87" s="9" t="str">
        <f>'Sovereign Ratings (Moody''s,S&amp;P)'!C81</f>
        <v>B3</v>
      </c>
      <c r="D87" s="21">
        <f t="shared" si="6"/>
        <v>7.0808704231754685E-2</v>
      </c>
      <c r="E87" s="21">
        <f t="shared" si="8"/>
        <v>0.14105640765793431</v>
      </c>
      <c r="F87" s="11">
        <f t="shared" si="9"/>
        <v>9.5056407657934314E-2</v>
      </c>
      <c r="G87" s="11" t="str">
        <f>VLOOKUP(A87,'10-year CDS Spreads'!$A$2:$D$157,4)</f>
        <v>NA</v>
      </c>
      <c r="H87" s="11" t="str">
        <f t="shared" si="10"/>
        <v>NA</v>
      </c>
      <c r="I87" s="14" t="str">
        <f t="shared" si="7"/>
        <v>NA</v>
      </c>
    </row>
    <row r="88" spans="1:9" ht="16">
      <c r="A88" s="108" t="str">
        <f>'Sovereign Ratings (Moody''s,S&amp;P)'!A82</f>
        <v>Laos</v>
      </c>
      <c r="B88" s="103" t="str">
        <f>VLOOKUP(A88,'Regional lookup table'!$A$3:$B$161,2)</f>
        <v>Asia</v>
      </c>
      <c r="C88" s="9" t="str">
        <f>'Sovereign Ratings (Moody''s,S&amp;P)'!C82</f>
        <v>Caa3</v>
      </c>
      <c r="D88" s="21">
        <f t="shared" si="6"/>
        <v>0.10896601681957188</v>
      </c>
      <c r="E88" s="21">
        <f>$E$3+F88</f>
        <v>0.19228029460560964</v>
      </c>
      <c r="F88" s="11">
        <f>IF($E$4="Yes",D88*$E$5,D88)</f>
        <v>0.14628029460560962</v>
      </c>
      <c r="G88" s="11" t="str">
        <f>VLOOKUP(A88,'10-year CDS Spreads'!$A$2:$D$157,4)</f>
        <v>NA</v>
      </c>
      <c r="H88" s="11" t="str">
        <f>IF(I88="NA","NA",$E$3+I88)</f>
        <v>NA</v>
      </c>
      <c r="I88" s="14" t="str">
        <f>IF(G88="NA","NA",G88*$E$5)</f>
        <v>NA</v>
      </c>
    </row>
    <row r="89" spans="1:9" ht="16">
      <c r="A89" s="108" t="str">
        <f>'Sovereign Ratings (Moody''s,S&amp;P)'!A83</f>
        <v>Latvia</v>
      </c>
      <c r="B89" s="103" t="str">
        <f>VLOOKUP(A89,'Regional lookup table'!$A$3:$B$161,2)</f>
        <v>Eastern Europe &amp; Russia</v>
      </c>
      <c r="C89" s="9" t="str">
        <f>'Sovereign Ratings (Moody''s,S&amp;P)'!C83</f>
        <v>A3</v>
      </c>
      <c r="D89" s="21">
        <f t="shared" si="6"/>
        <v>1.3060556657575006E-2</v>
      </c>
      <c r="E89" s="21">
        <f t="shared" si="8"/>
        <v>6.3533008284103618E-2</v>
      </c>
      <c r="F89" s="11">
        <f t="shared" si="9"/>
        <v>1.7533008284103618E-2</v>
      </c>
      <c r="G89" s="11">
        <f>VLOOKUP(A89,'10-year CDS Spreads'!$A$2:$D$157,4)</f>
        <v>3.6000000000000008E-3</v>
      </c>
      <c r="H89" s="11">
        <f t="shared" si="10"/>
        <v>5.0832782512846779E-2</v>
      </c>
      <c r="I89" s="14">
        <f t="shared" si="7"/>
        <v>4.8327825128467771E-3</v>
      </c>
    </row>
    <row r="90" spans="1:9" ht="16">
      <c r="A90" s="108" t="str">
        <f>'Sovereign Ratings (Moody''s,S&amp;P)'!A84</f>
        <v>Lebanon</v>
      </c>
      <c r="B90" s="103" t="str">
        <f>VLOOKUP(A90,'Regional lookup table'!$A$3:$B$161,2)</f>
        <v>Middle East</v>
      </c>
      <c r="C90" s="9" t="str">
        <f>'Sovereign Ratings (Moody''s,S&amp;P)'!C84</f>
        <v>C</v>
      </c>
      <c r="D90" s="21">
        <f t="shared" si="6"/>
        <v>0.17499999999999999</v>
      </c>
      <c r="E90" s="21">
        <f t="shared" si="8"/>
        <v>0.28092692770782934</v>
      </c>
      <c r="F90" s="11">
        <f t="shared" si="9"/>
        <v>0.23492692770782936</v>
      </c>
      <c r="G90" s="11" t="str">
        <f>VLOOKUP(A90,'10-year CDS Spreads'!$A$2:$D$157,4)</f>
        <v>NA</v>
      </c>
      <c r="H90" s="11" t="str">
        <f t="shared" si="10"/>
        <v>NA</v>
      </c>
      <c r="I90" s="14" t="str">
        <f t="shared" si="7"/>
        <v>NA</v>
      </c>
    </row>
    <row r="91" spans="1:9" ht="16">
      <c r="A91" s="108" t="str">
        <f>'Sovereign Ratings (Moody''s,S&amp;P)'!A85</f>
        <v>Liechtenstein</v>
      </c>
      <c r="B91" s="103" t="str">
        <f>VLOOKUP(A91,'Regional lookup table'!$A$3:$B$161,2)</f>
        <v>Western Europe</v>
      </c>
      <c r="C91" s="9" t="str">
        <f>'Sovereign Ratings (Moody''s,S&amp;P)'!C85</f>
        <v>Aaa</v>
      </c>
      <c r="D91" s="21">
        <f t="shared" si="6"/>
        <v>0</v>
      </c>
      <c r="E91" s="21">
        <f t="shared" si="8"/>
        <v>4.5999999999999999E-2</v>
      </c>
      <c r="F91" s="11">
        <f t="shared" si="9"/>
        <v>0</v>
      </c>
      <c r="G91" s="11" t="str">
        <f>VLOOKUP(A91,'10-year CDS Spreads'!$A$2:$D$157,4)</f>
        <v>NA</v>
      </c>
      <c r="H91" s="11" t="str">
        <f t="shared" si="10"/>
        <v>NA</v>
      </c>
      <c r="I91" s="14" t="str">
        <f t="shared" si="7"/>
        <v>NA</v>
      </c>
    </row>
    <row r="92" spans="1:9" ht="16">
      <c r="A92" s="108" t="str">
        <f>'Sovereign Ratings (Moody''s,S&amp;P)'!A86</f>
        <v>Lithuania</v>
      </c>
      <c r="B92" s="103" t="str">
        <f>VLOOKUP(A92,'Regional lookup table'!$A$3:$B$161,2)</f>
        <v>Eastern Europe &amp; Russia</v>
      </c>
      <c r="C92" s="9" t="str">
        <f>'Sovereign Ratings (Moody''s,S&amp;P)'!C86</f>
        <v>A2</v>
      </c>
      <c r="D92" s="21">
        <f t="shared" si="6"/>
        <v>9.2192164641705932E-3</v>
      </c>
      <c r="E92" s="21">
        <f t="shared" si="8"/>
        <v>5.83762411417202E-2</v>
      </c>
      <c r="F92" s="11">
        <f t="shared" si="9"/>
        <v>1.2376241141720201E-2</v>
      </c>
      <c r="G92" s="11">
        <f>VLOOKUP(A92,'10-year CDS Spreads'!$A$2:$D$157,4)</f>
        <v>3.1999999999999997E-3</v>
      </c>
      <c r="H92" s="11">
        <f t="shared" si="10"/>
        <v>5.0295806678086023E-2</v>
      </c>
      <c r="I92" s="14">
        <f t="shared" si="7"/>
        <v>4.2958066780860223E-3</v>
      </c>
    </row>
    <row r="93" spans="1:9" ht="16">
      <c r="A93" s="108" t="str">
        <f>'Sovereign Ratings (Moody''s,S&amp;P)'!A87</f>
        <v>Luxembourg</v>
      </c>
      <c r="B93" s="103" t="str">
        <f>VLOOKUP(A93,'Regional lookup table'!$A$3:$B$161,2)</f>
        <v>Western Europe</v>
      </c>
      <c r="C93" s="9" t="str">
        <f>'Sovereign Ratings (Moody''s,S&amp;P)'!C87</f>
        <v>Aaa</v>
      </c>
      <c r="D93" s="21">
        <f t="shared" si="6"/>
        <v>0</v>
      </c>
      <c r="E93" s="21">
        <f t="shared" si="8"/>
        <v>4.5999999999999999E-2</v>
      </c>
      <c r="F93" s="11">
        <f t="shared" si="9"/>
        <v>0</v>
      </c>
      <c r="G93" s="11" t="str">
        <f>VLOOKUP(A93,'10-year CDS Spreads'!$A$2:$D$157,4)</f>
        <v>NA</v>
      </c>
      <c r="H93" s="11" t="str">
        <f t="shared" si="10"/>
        <v>NA</v>
      </c>
      <c r="I93" s="14" t="str">
        <f t="shared" si="7"/>
        <v>NA</v>
      </c>
    </row>
    <row r="94" spans="1:9" ht="16">
      <c r="A94" s="108" t="str">
        <f>'Sovereign Ratings (Moody''s,S&amp;P)'!A88</f>
        <v>Macao</v>
      </c>
      <c r="B94" s="103" t="str">
        <f>VLOOKUP(A94,'Regional lookup table'!$A$3:$B$161,2)</f>
        <v>Asia</v>
      </c>
      <c r="C94" s="9" t="str">
        <f>'Sovereign Ratings (Moody''s,S&amp;P)'!C88</f>
        <v>Aa3</v>
      </c>
      <c r="D94" s="21">
        <f t="shared" si="6"/>
        <v>6.5302783287875029E-3</v>
      </c>
      <c r="E94" s="21">
        <f t="shared" si="8"/>
        <v>5.4766504142051808E-2</v>
      </c>
      <c r="F94" s="11">
        <f t="shared" si="9"/>
        <v>8.7665041420518092E-3</v>
      </c>
      <c r="G94" s="11" t="str">
        <f>VLOOKUP(A94,'10-year CDS Spreads'!$A$2:$D$157,4)</f>
        <v>NA</v>
      </c>
      <c r="H94" s="11" t="str">
        <f t="shared" si="10"/>
        <v>NA</v>
      </c>
      <c r="I94" s="14" t="str">
        <f t="shared" si="7"/>
        <v>NA</v>
      </c>
    </row>
    <row r="95" spans="1:9" ht="16">
      <c r="A95" s="108" t="str">
        <f>'Sovereign Ratings (Moody''s,S&amp;P)'!A89</f>
        <v>Macedonia</v>
      </c>
      <c r="B95" s="103" t="str">
        <f>VLOOKUP(A95,'Regional lookup table'!$A$3:$B$161,2)</f>
        <v>Eastern Europe &amp; Russia</v>
      </c>
      <c r="C95" s="9" t="str">
        <f>'Sovereign Ratings (Moody''s,S&amp;P)'!C89</f>
        <v>Ba3</v>
      </c>
      <c r="D95" s="21">
        <f t="shared" si="6"/>
        <v>3.9181669972725021E-2</v>
      </c>
      <c r="E95" s="21">
        <f t="shared" si="8"/>
        <v>9.8599024852310854E-2</v>
      </c>
      <c r="F95" s="11">
        <f t="shared" si="9"/>
        <v>5.2599024852310855E-2</v>
      </c>
      <c r="G95" s="11" t="str">
        <f>VLOOKUP(A95,'10-year CDS Spreads'!$A$2:$D$157,4)</f>
        <v>NA</v>
      </c>
      <c r="H95" s="11" t="str">
        <f t="shared" si="10"/>
        <v>NA</v>
      </c>
      <c r="I95" s="14" t="str">
        <f t="shared" si="7"/>
        <v>NA</v>
      </c>
    </row>
    <row r="96" spans="1:9" ht="16">
      <c r="A96" s="108" t="str">
        <f>'Sovereign Ratings (Moody''s,S&amp;P)'!A90</f>
        <v>Malaysia</v>
      </c>
      <c r="B96" s="103" t="str">
        <f>VLOOKUP(A96,'Regional lookup table'!$A$3:$B$161,2)</f>
        <v>Asia</v>
      </c>
      <c r="C96" s="9" t="str">
        <f>'Sovereign Ratings (Moody''s,S&amp;P)'!C90</f>
        <v>A3</v>
      </c>
      <c r="D96" s="21">
        <f t="shared" si="6"/>
        <v>1.3060556657575006E-2</v>
      </c>
      <c r="E96" s="21">
        <f>$E$3+F96</f>
        <v>6.3533008284103618E-2</v>
      </c>
      <c r="F96" s="11">
        <f>IF($E$4="Yes",D96*$E$5,D96)</f>
        <v>1.7533008284103618E-2</v>
      </c>
      <c r="G96" s="11">
        <f>VLOOKUP(A96,'10-year CDS Spreads'!$A$2:$D$157,4)</f>
        <v>2.8000000000000004E-3</v>
      </c>
      <c r="H96" s="11">
        <f>IF(I96="NA","NA",$E$3+I96)</f>
        <v>4.9758830843325268E-2</v>
      </c>
      <c r="I96" s="14">
        <f>IF(G96="NA","NA",G96*$E$5)</f>
        <v>3.7588308433252706E-3</v>
      </c>
    </row>
    <row r="97" spans="1:9" ht="16">
      <c r="A97" s="108" t="str">
        <f>'Sovereign Ratings (Moody''s,S&amp;P)'!A91</f>
        <v>Maldives</v>
      </c>
      <c r="B97" s="103" t="str">
        <f>VLOOKUP(A97,'Regional lookup table'!$A$3:$B$161,2)</f>
        <v>Asia</v>
      </c>
      <c r="C97" s="9" t="str">
        <f>'Sovereign Ratings (Moody''s,S&amp;P)'!C91</f>
        <v>Caa1</v>
      </c>
      <c r="D97" s="21">
        <f t="shared" si="6"/>
        <v>8.1692501446400528E-2</v>
      </c>
      <c r="E97" s="21">
        <f t="shared" si="8"/>
        <v>0.15566724789468733</v>
      </c>
      <c r="F97" s="11">
        <f t="shared" si="9"/>
        <v>0.10966724789468733</v>
      </c>
      <c r="G97" s="11" t="str">
        <f>VLOOKUP(A97,'10-year CDS Spreads'!$A$2:$D$157,4)</f>
        <v>NA</v>
      </c>
      <c r="H97" s="11" t="str">
        <f t="shared" si="10"/>
        <v>NA</v>
      </c>
      <c r="I97" s="14" t="str">
        <f t="shared" si="7"/>
        <v>NA</v>
      </c>
    </row>
    <row r="98" spans="1:9" ht="16">
      <c r="A98" s="108" t="str">
        <f>'Sovereign Ratings (Moody''s,S&amp;P)'!A92</f>
        <v>Mali</v>
      </c>
      <c r="B98" s="103" t="str">
        <f>VLOOKUP(A98,'Regional lookup table'!$A$3:$B$161,2)</f>
        <v>Africa</v>
      </c>
      <c r="C98" s="9" t="str">
        <f>'Sovereign Ratings (Moody''s,S&amp;P)'!C92</f>
        <v>Caa2</v>
      </c>
      <c r="D98" s="21">
        <f t="shared" si="6"/>
        <v>9.8082219604926024E-2</v>
      </c>
      <c r="E98" s="21">
        <f t="shared" si="8"/>
        <v>0.17766945436885656</v>
      </c>
      <c r="F98" s="11">
        <f t="shared" si="9"/>
        <v>0.13166945436885658</v>
      </c>
      <c r="G98" s="11" t="str">
        <f>VLOOKUP(A98,'10-year CDS Spreads'!$A$2:$D$157,4)</f>
        <v>NA</v>
      </c>
      <c r="H98" s="11" t="str">
        <f t="shared" si="10"/>
        <v>NA</v>
      </c>
      <c r="I98" s="14" t="str">
        <f t="shared" si="7"/>
        <v>NA</v>
      </c>
    </row>
    <row r="99" spans="1:9" ht="16">
      <c r="A99" s="108" t="str">
        <f>'Sovereign Ratings (Moody''s,S&amp;P)'!A93</f>
        <v>Malta</v>
      </c>
      <c r="B99" s="103" t="str">
        <f>VLOOKUP(A99,'Regional lookup table'!$A$3:$B$161,2)</f>
        <v>Western Europe</v>
      </c>
      <c r="C99" s="9" t="str">
        <f>'Sovereign Ratings (Moody''s,S&amp;P)'!C93</f>
        <v>A2</v>
      </c>
      <c r="D99" s="21">
        <f t="shared" si="6"/>
        <v>9.2192164641705932E-3</v>
      </c>
      <c r="E99" s="21">
        <f t="shared" si="8"/>
        <v>5.83762411417202E-2</v>
      </c>
      <c r="F99" s="11">
        <f t="shared" si="9"/>
        <v>1.2376241141720201E-2</v>
      </c>
      <c r="G99" s="11" t="str">
        <f>VLOOKUP(A99,'10-year CDS Spreads'!$A$2:$D$157,4)</f>
        <v>NA</v>
      </c>
      <c r="H99" s="11" t="str">
        <f t="shared" si="10"/>
        <v>NA</v>
      </c>
      <c r="I99" s="14" t="str">
        <f t="shared" si="7"/>
        <v>NA</v>
      </c>
    </row>
    <row r="100" spans="1:9" ht="16">
      <c r="A100" s="108" t="str">
        <f>'Sovereign Ratings (Moody''s,S&amp;P)'!A94</f>
        <v>Mauritius</v>
      </c>
      <c r="B100" s="103" t="str">
        <f>VLOOKUP(A100,'Regional lookup table'!$A$3:$B$161,2)</f>
        <v>Africa</v>
      </c>
      <c r="C100" s="9" t="str">
        <f>'Sovereign Ratings (Moody''s,S&amp;P)'!C94</f>
        <v>Baa3</v>
      </c>
      <c r="D100" s="21">
        <f t="shared" si="6"/>
        <v>2.3944353872220846E-2</v>
      </c>
      <c r="E100" s="21">
        <f t="shared" si="8"/>
        <v>7.8143848520856624E-2</v>
      </c>
      <c r="F100" s="11">
        <f t="shared" si="9"/>
        <v>3.2143848520856631E-2</v>
      </c>
      <c r="G100" s="11" t="str">
        <f>VLOOKUP(A100,'10-year CDS Spreads'!$A$2:$D$157,4)</f>
        <v>NA</v>
      </c>
      <c r="H100" s="11" t="str">
        <f t="shared" si="10"/>
        <v>NA</v>
      </c>
      <c r="I100" s="14" t="str">
        <f t="shared" si="7"/>
        <v>NA</v>
      </c>
    </row>
    <row r="101" spans="1:9" ht="16">
      <c r="A101" s="108" t="str">
        <f>'Sovereign Ratings (Moody''s,S&amp;P)'!A95</f>
        <v>Mexico</v>
      </c>
      <c r="B101" s="103" t="str">
        <f>VLOOKUP(A101,'Regional lookup table'!$A$3:$B$161,2)</f>
        <v>Central and South America</v>
      </c>
      <c r="C101" s="9" t="str">
        <f>'Sovereign Ratings (Moody''s,S&amp;P)'!C95</f>
        <v>Baa2</v>
      </c>
      <c r="D101" s="21">
        <f t="shared" si="6"/>
        <v>2.0743237044383835E-2</v>
      </c>
      <c r="E101" s="21">
        <f t="shared" si="8"/>
        <v>7.3846542568870452E-2</v>
      </c>
      <c r="F101" s="11">
        <f t="shared" si="9"/>
        <v>2.7846542568870453E-2</v>
      </c>
      <c r="G101" s="11">
        <f>VLOOKUP(A101,'10-year CDS Spreads'!$A$2:$D$157,4)</f>
        <v>1.0999999999999999E-2</v>
      </c>
      <c r="H101" s="11">
        <f t="shared" si="10"/>
        <v>6.0766835455920702E-2</v>
      </c>
      <c r="I101" s="14">
        <f t="shared" si="7"/>
        <v>1.4766835455920703E-2</v>
      </c>
    </row>
    <row r="102" spans="1:9" ht="16">
      <c r="A102" s="108" t="str">
        <f>'Sovereign Ratings (Moody''s,S&amp;P)'!A96</f>
        <v>Moldova</v>
      </c>
      <c r="B102" s="103" t="str">
        <f>VLOOKUP(A102,'Regional lookup table'!$A$3:$B$161,2)</f>
        <v>Eastern Europe &amp; Russia</v>
      </c>
      <c r="C102" s="9" t="str">
        <f>'Sovereign Ratings (Moody''s,S&amp;P)'!C96</f>
        <v>B3</v>
      </c>
      <c r="D102" s="21">
        <f t="shared" si="6"/>
        <v>7.0808704231754685E-2</v>
      </c>
      <c r="E102" s="21">
        <f t="shared" si="8"/>
        <v>0.14105640765793431</v>
      </c>
      <c r="F102" s="11">
        <f t="shared" si="9"/>
        <v>9.5056407657934314E-2</v>
      </c>
      <c r="G102" s="11" t="str">
        <f>VLOOKUP(A102,'10-year CDS Spreads'!$A$2:$D$157,4)</f>
        <v>NA</v>
      </c>
      <c r="H102" s="11" t="str">
        <f t="shared" si="10"/>
        <v>NA</v>
      </c>
      <c r="I102" s="14" t="str">
        <f t="shared" si="7"/>
        <v>NA</v>
      </c>
    </row>
    <row r="103" spans="1:9" ht="16">
      <c r="A103" s="108" t="str">
        <f>'Sovereign Ratings (Moody''s,S&amp;P)'!A97</f>
        <v>Mongolia</v>
      </c>
      <c r="B103" s="103" t="str">
        <f>VLOOKUP(A103,'Regional lookup table'!$A$3:$B$161,2)</f>
        <v>Asia</v>
      </c>
      <c r="C103" s="9" t="str">
        <f>'Sovereign Ratings (Moody''s,S&amp;P)'!C97</f>
        <v>B3</v>
      </c>
      <c r="D103" s="21">
        <f t="shared" si="6"/>
        <v>7.0808704231754685E-2</v>
      </c>
      <c r="E103" s="21">
        <f t="shared" si="8"/>
        <v>0.14105640765793431</v>
      </c>
      <c r="F103" s="11">
        <f t="shared" si="9"/>
        <v>9.5056407657934314E-2</v>
      </c>
      <c r="G103" s="11" t="str">
        <f>VLOOKUP(A103,'10-year CDS Spreads'!$A$2:$D$157,4)</f>
        <v>NA</v>
      </c>
      <c r="H103" s="11" t="str">
        <f t="shared" si="10"/>
        <v>NA</v>
      </c>
      <c r="I103" s="14" t="str">
        <f t="shared" si="7"/>
        <v>NA</v>
      </c>
    </row>
    <row r="104" spans="1:9" ht="16">
      <c r="A104" s="108" t="str">
        <f>'Sovereign Ratings (Moody''s,S&amp;P)'!A98</f>
        <v>Montenegro</v>
      </c>
      <c r="B104" s="103" t="str">
        <f>VLOOKUP(A104,'Regional lookup table'!$A$3:$B$161,2)</f>
        <v>Eastern Europe &amp; Russia</v>
      </c>
      <c r="C104" s="9" t="str">
        <f>'Sovereign Ratings (Moody''s,S&amp;P)'!C98</f>
        <v>B1</v>
      </c>
      <c r="D104" s="21">
        <f t="shared" si="6"/>
        <v>4.9041109802463012E-2</v>
      </c>
      <c r="E104" s="21">
        <f t="shared" si="8"/>
        <v>0.11183472718442829</v>
      </c>
      <c r="F104" s="11">
        <f t="shared" si="9"/>
        <v>6.5834727184428288E-2</v>
      </c>
      <c r="G104" s="11" t="str">
        <f>VLOOKUP(A104,'10-year CDS Spreads'!$A$2:$D$157,4)</f>
        <v>NA</v>
      </c>
      <c r="H104" s="11" t="str">
        <f t="shared" si="10"/>
        <v>NA</v>
      </c>
      <c r="I104" s="14" t="str">
        <f t="shared" si="7"/>
        <v>NA</v>
      </c>
    </row>
    <row r="105" spans="1:9" ht="16">
      <c r="A105" s="108" t="str">
        <f>'Sovereign Ratings (Moody''s,S&amp;P)'!A99</f>
        <v>Montserrat</v>
      </c>
      <c r="B105" s="103" t="str">
        <f>VLOOKUP(A105,'Regional lookup table'!$A$3:$B$161,2)</f>
        <v>Caribbean</v>
      </c>
      <c r="C105" s="9" t="str">
        <f>'Sovereign Ratings (Moody''s,S&amp;P)'!C99</f>
        <v>Baa3</v>
      </c>
      <c r="D105" s="21">
        <f t="shared" si="6"/>
        <v>2.3944353872220846E-2</v>
      </c>
      <c r="E105" s="21">
        <f t="shared" si="8"/>
        <v>7.8143848520856624E-2</v>
      </c>
      <c r="F105" s="11">
        <f t="shared" si="9"/>
        <v>3.2143848520856631E-2</v>
      </c>
      <c r="G105" s="11" t="str">
        <f>VLOOKUP(A105,'10-year CDS Spreads'!$A$2:$D$157,4)</f>
        <v>NA</v>
      </c>
      <c r="H105" s="11" t="str">
        <f t="shared" si="10"/>
        <v>NA</v>
      </c>
      <c r="I105" s="14" t="str">
        <f t="shared" si="7"/>
        <v>NA</v>
      </c>
    </row>
    <row r="106" spans="1:9" ht="16">
      <c r="A106" s="108" t="str">
        <f>'Sovereign Ratings (Moody''s,S&amp;P)'!A100</f>
        <v>Morocco</v>
      </c>
      <c r="B106" s="103" t="str">
        <f>VLOOKUP(A106,'Regional lookup table'!$A$3:$B$161,2)</f>
        <v>Africa</v>
      </c>
      <c r="C106" s="9" t="str">
        <f>'Sovereign Ratings (Moody''s,S&amp;P)'!C100</f>
        <v>Ba1</v>
      </c>
      <c r="D106" s="21">
        <f t="shared" si="6"/>
        <v>2.7273515373171343E-2</v>
      </c>
      <c r="E106" s="21">
        <f t="shared" si="8"/>
        <v>8.2613046710922261E-2</v>
      </c>
      <c r="F106" s="11">
        <f t="shared" si="9"/>
        <v>3.6613046710922269E-2</v>
      </c>
      <c r="G106" s="11">
        <f>VLOOKUP(A106,'10-year CDS Spreads'!$A$2:$D$157,4)</f>
        <v>1.32E-2</v>
      </c>
      <c r="H106" s="11">
        <f t="shared" si="10"/>
        <v>6.3720202547104837E-2</v>
      </c>
      <c r="I106" s="14">
        <f t="shared" si="7"/>
        <v>1.7720202547104845E-2</v>
      </c>
    </row>
    <row r="107" spans="1:9" ht="16">
      <c r="A107" s="108" t="str">
        <f>'Sovereign Ratings (Moody''s,S&amp;P)'!A101</f>
        <v>Mozambique</v>
      </c>
      <c r="B107" s="103" t="str">
        <f>VLOOKUP(A107,'Regional lookup table'!$A$3:$B$161,2)</f>
        <v>Africa</v>
      </c>
      <c r="C107" s="9" t="str">
        <f>'Sovereign Ratings (Moody''s,S&amp;P)'!C101</f>
        <v>Caa2</v>
      </c>
      <c r="D107" s="21">
        <f t="shared" si="6"/>
        <v>9.8082219604926024E-2</v>
      </c>
      <c r="E107" s="21">
        <f t="shared" si="8"/>
        <v>0.17766945436885656</v>
      </c>
      <c r="F107" s="11">
        <f t="shared" si="9"/>
        <v>0.13166945436885658</v>
      </c>
      <c r="G107" s="11" t="str">
        <f>VLOOKUP(A107,'10-year CDS Spreads'!$A$2:$D$157,4)</f>
        <v>NA</v>
      </c>
      <c r="H107" s="11" t="str">
        <f t="shared" si="10"/>
        <v>NA</v>
      </c>
      <c r="I107" s="14" t="str">
        <f t="shared" si="7"/>
        <v>NA</v>
      </c>
    </row>
    <row r="108" spans="1:9" ht="16">
      <c r="A108" s="108" t="str">
        <f>'Sovereign Ratings (Moody''s,S&amp;P)'!A102</f>
        <v>Namibia</v>
      </c>
      <c r="B108" s="103" t="str">
        <f>VLOOKUP(A108,'Regional lookup table'!$A$3:$B$161,2)</f>
        <v>Africa</v>
      </c>
      <c r="C108" s="9" t="str">
        <f>'Sovereign Ratings (Moody''s,S&amp;P)'!C102</f>
        <v>B1</v>
      </c>
      <c r="D108" s="21">
        <f t="shared" si="6"/>
        <v>4.9041109802463012E-2</v>
      </c>
      <c r="E108" s="21">
        <f t="shared" si="8"/>
        <v>0.11183472718442829</v>
      </c>
      <c r="F108" s="11">
        <f t="shared" si="9"/>
        <v>6.5834727184428288E-2</v>
      </c>
      <c r="G108" s="11" t="str">
        <f>VLOOKUP(A108,'10-year CDS Spreads'!$A$2:$D$157,4)</f>
        <v>NA</v>
      </c>
      <c r="H108" s="11" t="str">
        <f t="shared" si="10"/>
        <v>NA</v>
      </c>
      <c r="I108" s="14" t="str">
        <f t="shared" si="7"/>
        <v>NA</v>
      </c>
    </row>
    <row r="109" spans="1:9" ht="16">
      <c r="A109" s="108" t="str">
        <f>'Sovereign Ratings (Moody''s,S&amp;P)'!A103</f>
        <v>Netherlands</v>
      </c>
      <c r="B109" s="103" t="str">
        <f>VLOOKUP(A109,'Regional lookup table'!$A$3:$B$161,2)</f>
        <v>Western Europe</v>
      </c>
      <c r="C109" s="9" t="str">
        <f>'Sovereign Ratings (Moody''s,S&amp;P)'!C103</f>
        <v>Aaa</v>
      </c>
      <c r="D109" s="21">
        <f t="shared" si="6"/>
        <v>0</v>
      </c>
      <c r="E109" s="21">
        <f t="shared" si="8"/>
        <v>4.5999999999999999E-2</v>
      </c>
      <c r="F109" s="11">
        <f t="shared" si="9"/>
        <v>0</v>
      </c>
      <c r="G109" s="11">
        <f>VLOOKUP(A109,'10-year CDS Spreads'!$A$2:$D$157,4)</f>
        <v>0</v>
      </c>
      <c r="H109" s="11">
        <f t="shared" si="10"/>
        <v>4.5999999999999999E-2</v>
      </c>
      <c r="I109" s="14">
        <f t="shared" si="7"/>
        <v>0</v>
      </c>
    </row>
    <row r="110" spans="1:9" ht="16">
      <c r="A110" s="108" t="str">
        <f>'Sovereign Ratings (Moody''s,S&amp;P)'!A104</f>
        <v>New Zealand</v>
      </c>
      <c r="B110" s="103" t="str">
        <f>VLOOKUP(A110,'Regional lookup table'!$A$3:$B$161,2)</f>
        <v>Australia &amp; New Zealand</v>
      </c>
      <c r="C110" s="9" t="str">
        <f>'Sovereign Ratings (Moody''s,S&amp;P)'!C104</f>
        <v>Aaa</v>
      </c>
      <c r="D110" s="21">
        <f t="shared" si="6"/>
        <v>0</v>
      </c>
      <c r="E110" s="21">
        <f t="shared" si="8"/>
        <v>4.5999999999999999E-2</v>
      </c>
      <c r="F110" s="11">
        <f t="shared" si="9"/>
        <v>0</v>
      </c>
      <c r="G110" s="11">
        <f>VLOOKUP(A110,'10-year CDS Spreads'!$A$2:$D$157,4)</f>
        <v>0</v>
      </c>
      <c r="H110" s="11">
        <f t="shared" si="10"/>
        <v>4.5999999999999999E-2</v>
      </c>
      <c r="I110" s="14">
        <f t="shared" si="7"/>
        <v>0</v>
      </c>
    </row>
    <row r="111" spans="1:9" ht="16">
      <c r="A111" s="108" t="str">
        <f>'Sovereign Ratings (Moody''s,S&amp;P)'!A105</f>
        <v>Nicaragua</v>
      </c>
      <c r="B111" s="103" t="str">
        <f>VLOOKUP(A111,'Regional lookup table'!$A$3:$B$161,2)</f>
        <v>Central and South America</v>
      </c>
      <c r="C111" s="9" t="str">
        <f>'Sovereign Ratings (Moody''s,S&amp;P)'!C105</f>
        <v>B3</v>
      </c>
      <c r="D111" s="21">
        <f t="shared" si="6"/>
        <v>7.0808704231754685E-2</v>
      </c>
      <c r="E111" s="21">
        <f t="shared" si="8"/>
        <v>0.14105640765793431</v>
      </c>
      <c r="F111" s="11">
        <f t="shared" si="9"/>
        <v>9.5056407657934314E-2</v>
      </c>
      <c r="G111" s="11">
        <f>VLOOKUP(A111,'10-year CDS Spreads'!$A$2:$D$157,4)</f>
        <v>4.3099999999999999E-2</v>
      </c>
      <c r="H111" s="11">
        <f t="shared" si="10"/>
        <v>0.10385914619547112</v>
      </c>
      <c r="I111" s="14">
        <f t="shared" si="7"/>
        <v>5.7859146195471119E-2</v>
      </c>
    </row>
    <row r="112" spans="1:9" ht="16">
      <c r="A112" s="108" t="str">
        <f>'Sovereign Ratings (Moody''s,S&amp;P)'!A106</f>
        <v>Niger</v>
      </c>
      <c r="B112" s="103" t="str">
        <f>VLOOKUP(A112,'Regional lookup table'!$A$3:$B$161,2)</f>
        <v>Africa</v>
      </c>
      <c r="C112" s="9" t="str">
        <f>'Sovereign Ratings (Moody''s,S&amp;P)'!C106</f>
        <v>Caa2</v>
      </c>
      <c r="D112" s="21">
        <f t="shared" si="6"/>
        <v>9.8082219604926024E-2</v>
      </c>
      <c r="E112" s="21">
        <f>$E$3+F112</f>
        <v>0.17766945436885656</v>
      </c>
      <c r="F112" s="11">
        <f>IF($E$4="Yes",D112*$E$5,D112)</f>
        <v>0.13166945436885658</v>
      </c>
      <c r="G112" s="11" t="str">
        <f>VLOOKUP(A112,'10-year CDS Spreads'!$A$2:$D$157,4)</f>
        <v>NA</v>
      </c>
      <c r="H112" s="11" t="str">
        <f>IF(I112="NA","NA",$E$3+I112)</f>
        <v>NA</v>
      </c>
      <c r="I112" s="14" t="str">
        <f>IF(G112="NA","NA",G112*$E$5)</f>
        <v>NA</v>
      </c>
    </row>
    <row r="113" spans="1:9" ht="16">
      <c r="A113" s="108" t="str">
        <f>'Sovereign Ratings (Moody''s,S&amp;P)'!A107</f>
        <v>Nigeria</v>
      </c>
      <c r="B113" s="103" t="str">
        <f>VLOOKUP(A113,'Regional lookup table'!$A$3:$B$161,2)</f>
        <v>Africa</v>
      </c>
      <c r="C113" s="9" t="str">
        <f>'Sovereign Ratings (Moody''s,S&amp;P)'!C107</f>
        <v>Caa1</v>
      </c>
      <c r="D113" s="21">
        <f t="shared" si="6"/>
        <v>8.1692501446400528E-2</v>
      </c>
      <c r="E113" s="21">
        <f t="shared" si="8"/>
        <v>0.15566724789468733</v>
      </c>
      <c r="F113" s="11">
        <f t="shared" si="9"/>
        <v>0.10966724789468733</v>
      </c>
      <c r="G113" s="11">
        <f>VLOOKUP(A113,'10-year CDS Spreads'!$A$2:$D$157,4)</f>
        <v>5.8599999999999999E-2</v>
      </c>
      <c r="H113" s="11">
        <f t="shared" si="10"/>
        <v>0.12466695979245029</v>
      </c>
      <c r="I113" s="14">
        <f t="shared" si="7"/>
        <v>7.8666959792450294E-2</v>
      </c>
    </row>
    <row r="114" spans="1:9" ht="16">
      <c r="A114" s="108" t="str">
        <f>'Sovereign Ratings (Moody''s,S&amp;P)'!A108</f>
        <v>Norway</v>
      </c>
      <c r="B114" s="103" t="str">
        <f>VLOOKUP(A114,'Regional lookup table'!$A$3:$B$161,2)</f>
        <v>Western Europe</v>
      </c>
      <c r="C114" s="9" t="str">
        <f>'Sovereign Ratings (Moody''s,S&amp;P)'!C108</f>
        <v>Aaa</v>
      </c>
      <c r="D114" s="21">
        <f t="shared" si="6"/>
        <v>0</v>
      </c>
      <c r="E114" s="21">
        <f t="shared" si="8"/>
        <v>4.5999999999999999E-2</v>
      </c>
      <c r="F114" s="11">
        <f t="shared" si="9"/>
        <v>0</v>
      </c>
      <c r="G114" s="11">
        <f>VLOOKUP(A114,'10-year CDS Spreads'!$A$2:$D$157,4)</f>
        <v>0</v>
      </c>
      <c r="H114" s="11">
        <f t="shared" si="10"/>
        <v>4.5999999999999999E-2</v>
      </c>
      <c r="I114" s="14">
        <f t="shared" si="7"/>
        <v>0</v>
      </c>
    </row>
    <row r="115" spans="1:9" ht="16">
      <c r="A115" s="108" t="str">
        <f>'Sovereign Ratings (Moody''s,S&amp;P)'!A109</f>
        <v>Oman</v>
      </c>
      <c r="B115" s="103" t="str">
        <f>VLOOKUP(A115,'Regional lookup table'!$A$3:$B$161,2)</f>
        <v>Middle East</v>
      </c>
      <c r="C115" s="9" t="str">
        <f>'Sovereign Ratings (Moody''s,S&amp;P)'!C109</f>
        <v>Ba1</v>
      </c>
      <c r="D115" s="21">
        <f t="shared" si="6"/>
        <v>2.7273515373171343E-2</v>
      </c>
      <c r="E115" s="21">
        <f t="shared" si="8"/>
        <v>8.2613046710922261E-2</v>
      </c>
      <c r="F115" s="11">
        <f t="shared" si="9"/>
        <v>3.6613046710922269E-2</v>
      </c>
      <c r="G115" s="11">
        <f>VLOOKUP(A115,'10-year CDS Spreads'!$A$2:$D$157,4)</f>
        <v>1.3399999999999999E-2</v>
      </c>
      <c r="H115" s="11">
        <f t="shared" si="10"/>
        <v>6.3988690464485215E-2</v>
      </c>
      <c r="I115" s="14">
        <f t="shared" si="7"/>
        <v>1.7988690464485219E-2</v>
      </c>
    </row>
    <row r="116" spans="1:9" ht="16">
      <c r="A116" s="108" t="str">
        <f>'Sovereign Ratings (Moody''s,S&amp;P)'!A110</f>
        <v>Pakistan</v>
      </c>
      <c r="B116" s="103" t="str">
        <f>VLOOKUP(A116,'Regional lookup table'!$A$3:$B$161,2)</f>
        <v>Asia</v>
      </c>
      <c r="C116" s="9" t="str">
        <f>'Sovereign Ratings (Moody''s,S&amp;P)'!C110</f>
        <v>Caa3</v>
      </c>
      <c r="D116" s="21">
        <f t="shared" si="6"/>
        <v>0.10896601681957188</v>
      </c>
      <c r="E116" s="21">
        <f t="shared" si="8"/>
        <v>0.19228029460560964</v>
      </c>
      <c r="F116" s="11">
        <f t="shared" si="9"/>
        <v>0.14628029460560962</v>
      </c>
      <c r="G116" s="11">
        <f>VLOOKUP(A116,'10-year CDS Spreads'!$A$2:$D$157,4)</f>
        <v>0.40459999999999996</v>
      </c>
      <c r="H116" s="11">
        <f t="shared" si="10"/>
        <v>0.58915105686050151</v>
      </c>
      <c r="I116" s="14">
        <f t="shared" si="7"/>
        <v>0.54315105686050147</v>
      </c>
    </row>
    <row r="117" spans="1:9" ht="16">
      <c r="A117" s="108" t="str">
        <f>'Sovereign Ratings (Moody''s,S&amp;P)'!A111</f>
        <v>Panama</v>
      </c>
      <c r="B117" s="103" t="str">
        <f>VLOOKUP(A117,'Regional lookup table'!$A$3:$B$161,2)</f>
        <v>Central and South America</v>
      </c>
      <c r="C117" s="9" t="str">
        <f>'Sovereign Ratings (Moody''s,S&amp;P)'!C111</f>
        <v>Baa2</v>
      </c>
      <c r="D117" s="21">
        <f t="shared" si="6"/>
        <v>2.0743237044383835E-2</v>
      </c>
      <c r="E117" s="21">
        <f t="shared" si="8"/>
        <v>7.3846542568870452E-2</v>
      </c>
      <c r="F117" s="11">
        <f t="shared" si="9"/>
        <v>2.7846542568870453E-2</v>
      </c>
      <c r="G117" s="11">
        <f>VLOOKUP(A117,'10-year CDS Spreads'!$A$2:$D$157,4)</f>
        <v>1.7299999999999999E-2</v>
      </c>
      <c r="H117" s="11">
        <f t="shared" si="10"/>
        <v>6.9224204853402554E-2</v>
      </c>
      <c r="I117" s="14">
        <f t="shared" si="7"/>
        <v>2.3224204853402559E-2</v>
      </c>
    </row>
    <row r="118" spans="1:9" ht="16">
      <c r="A118" s="108" t="str">
        <f>'Sovereign Ratings (Moody''s,S&amp;P)'!A112</f>
        <v>Papua New Guinea</v>
      </c>
      <c r="B118" s="103" t="str">
        <f>VLOOKUP(A118,'Regional lookup table'!$A$3:$B$161,2)</f>
        <v>Asia</v>
      </c>
      <c r="C118" s="9" t="str">
        <f>'Sovereign Ratings (Moody''s,S&amp;P)'!C112</f>
        <v>B2</v>
      </c>
      <c r="D118" s="21">
        <f t="shared" si="6"/>
        <v>5.9924907017108855E-2</v>
      </c>
      <c r="E118" s="21">
        <f t="shared" si="8"/>
        <v>0.12644556742118129</v>
      </c>
      <c r="F118" s="11">
        <f t="shared" si="9"/>
        <v>8.0445567421181308E-2</v>
      </c>
      <c r="G118" s="11" t="str">
        <f>VLOOKUP(A118,'10-year CDS Spreads'!$A$2:$D$157,4)</f>
        <v>NA</v>
      </c>
      <c r="H118" s="11" t="str">
        <f t="shared" si="10"/>
        <v>NA</v>
      </c>
      <c r="I118" s="14" t="str">
        <f t="shared" si="7"/>
        <v>NA</v>
      </c>
    </row>
    <row r="119" spans="1:9" ht="16">
      <c r="A119" s="108" t="str">
        <f>'Sovereign Ratings (Moody''s,S&amp;P)'!A113</f>
        <v>Paraguay</v>
      </c>
      <c r="B119" s="103" t="str">
        <f>VLOOKUP(A119,'Regional lookup table'!$A$3:$B$161,2)</f>
        <v>Central and South America</v>
      </c>
      <c r="C119" s="9" t="str">
        <f>'Sovereign Ratings (Moody''s,S&amp;P)'!C113</f>
        <v>Ba1</v>
      </c>
      <c r="D119" s="21">
        <f t="shared" si="6"/>
        <v>2.7273515373171343E-2</v>
      </c>
      <c r="E119" s="21">
        <f t="shared" si="8"/>
        <v>8.2613046710922261E-2</v>
      </c>
      <c r="F119" s="11">
        <f t="shared" si="9"/>
        <v>3.6613046710922269E-2</v>
      </c>
      <c r="G119" s="11" t="str">
        <f>VLOOKUP(A119,'10-year CDS Spreads'!$A$2:$D$157,4)</f>
        <v>NA</v>
      </c>
      <c r="H119" s="11" t="str">
        <f t="shared" si="10"/>
        <v>NA</v>
      </c>
      <c r="I119" s="14" t="str">
        <f t="shared" si="7"/>
        <v>NA</v>
      </c>
    </row>
    <row r="120" spans="1:9" ht="16">
      <c r="A120" s="108" t="str">
        <f>'Sovereign Ratings (Moody''s,S&amp;P)'!A114</f>
        <v>Peru</v>
      </c>
      <c r="B120" s="103" t="str">
        <f>VLOOKUP(A120,'Regional lookup table'!$A$3:$B$161,2)</f>
        <v>Central and South America</v>
      </c>
      <c r="C120" s="9" t="str">
        <f>'Sovereign Ratings (Moody''s,S&amp;P)'!C114</f>
        <v>Baa1</v>
      </c>
      <c r="D120" s="21">
        <f t="shared" si="6"/>
        <v>1.7414075543433341E-2</v>
      </c>
      <c r="E120" s="21">
        <f t="shared" si="8"/>
        <v>6.9377344378804828E-2</v>
      </c>
      <c r="F120" s="11">
        <f t="shared" si="9"/>
        <v>2.3377344378804822E-2</v>
      </c>
      <c r="G120" s="11">
        <f>VLOOKUP(A120,'10-year CDS Spreads'!$A$2:$D$157,4)</f>
        <v>7.9000000000000008E-3</v>
      </c>
      <c r="H120" s="11">
        <f t="shared" si="10"/>
        <v>5.6605272736524867E-2</v>
      </c>
      <c r="I120" s="14">
        <f t="shared" si="7"/>
        <v>1.060527273652487E-2</v>
      </c>
    </row>
    <row r="121" spans="1:9" ht="16">
      <c r="A121" s="108" t="str">
        <f>'Sovereign Ratings (Moody''s,S&amp;P)'!A115</f>
        <v>Philippines</v>
      </c>
      <c r="B121" s="103" t="str">
        <f>VLOOKUP(A121,'Regional lookup table'!$A$3:$B$161,2)</f>
        <v>Asia</v>
      </c>
      <c r="C121" s="9" t="str">
        <f>'Sovereign Ratings (Moody''s,S&amp;P)'!C115</f>
        <v>Baa2</v>
      </c>
      <c r="D121" s="21">
        <f t="shared" si="6"/>
        <v>2.0743237044383835E-2</v>
      </c>
      <c r="E121" s="21">
        <f t="shared" si="8"/>
        <v>7.3846542568870452E-2</v>
      </c>
      <c r="F121" s="11">
        <f t="shared" si="9"/>
        <v>2.7846542568870453E-2</v>
      </c>
      <c r="G121" s="11">
        <f>VLOOKUP(A121,'10-year CDS Spreads'!$A$2:$D$157,4)</f>
        <v>6.0000000000000001E-3</v>
      </c>
      <c r="H121" s="11">
        <f t="shared" si="10"/>
        <v>5.4054637521411292E-2</v>
      </c>
      <c r="I121" s="14">
        <f t="shared" si="7"/>
        <v>8.0546375214112925E-3</v>
      </c>
    </row>
    <row r="122" spans="1:9" ht="16">
      <c r="A122" s="108" t="str">
        <f>'Sovereign Ratings (Moody''s,S&amp;P)'!A116</f>
        <v>Poland</v>
      </c>
      <c r="B122" s="103" t="str">
        <f>VLOOKUP(A122,'Regional lookup table'!$A$3:$B$161,2)</f>
        <v>Eastern Europe &amp; Russia</v>
      </c>
      <c r="C122" s="9" t="str">
        <f>'Sovereign Ratings (Moody''s,S&amp;P)'!C116</f>
        <v>A2</v>
      </c>
      <c r="D122" s="21">
        <f t="shared" si="6"/>
        <v>9.2192164641705932E-3</v>
      </c>
      <c r="E122" s="21">
        <f t="shared" si="8"/>
        <v>5.83762411417202E-2</v>
      </c>
      <c r="F122" s="11">
        <f t="shared" si="9"/>
        <v>1.2376241141720201E-2</v>
      </c>
      <c r="G122" s="11">
        <f>VLOOKUP(A122,'10-year CDS Spreads'!$A$2:$D$157,4)</f>
        <v>4.8000000000000004E-3</v>
      </c>
      <c r="H122" s="11">
        <f t="shared" si="10"/>
        <v>5.2443710017129032E-2</v>
      </c>
      <c r="I122" s="14">
        <f t="shared" si="7"/>
        <v>6.4437100171290352E-3</v>
      </c>
    </row>
    <row r="123" spans="1:9" ht="16">
      <c r="A123" s="108" t="str">
        <f>'Sovereign Ratings (Moody''s,S&amp;P)'!A117</f>
        <v>Portugal</v>
      </c>
      <c r="B123" s="103" t="str">
        <f>VLOOKUP(A123,'Regional lookup table'!$A$3:$B$161,2)</f>
        <v>Western Europe</v>
      </c>
      <c r="C123" s="9" t="str">
        <f>'Sovereign Ratings (Moody''s,S&amp;P)'!C117</f>
        <v>A3</v>
      </c>
      <c r="D123" s="21">
        <f t="shared" si="6"/>
        <v>1.3060556657575006E-2</v>
      </c>
      <c r="E123" s="21">
        <f t="shared" si="8"/>
        <v>6.3533008284103618E-2</v>
      </c>
      <c r="F123" s="11">
        <f t="shared" si="9"/>
        <v>1.7533008284103618E-2</v>
      </c>
      <c r="G123" s="11">
        <f>VLOOKUP(A123,'10-year CDS Spreads'!$A$2:$D$157,4)</f>
        <v>1.7000000000000001E-3</v>
      </c>
      <c r="H123" s="11">
        <f t="shared" si="10"/>
        <v>4.8282147297733197E-2</v>
      </c>
      <c r="I123" s="14">
        <f t="shared" si="7"/>
        <v>2.2821472977331996E-3</v>
      </c>
    </row>
    <row r="124" spans="1:9" ht="16">
      <c r="A124" s="108" t="str">
        <f>'Sovereign Ratings (Moody''s,S&amp;P)'!A118</f>
        <v>Qatar</v>
      </c>
      <c r="B124" s="103" t="str">
        <f>VLOOKUP(A124,'Regional lookup table'!$A$3:$B$161,2)</f>
        <v>Middle East</v>
      </c>
      <c r="C124" s="9" t="str">
        <f>'Sovereign Ratings (Moody''s,S&amp;P)'!C118</f>
        <v>Aa3</v>
      </c>
      <c r="D124" s="21">
        <f t="shared" si="6"/>
        <v>6.5302783287875029E-3</v>
      </c>
      <c r="E124" s="21">
        <f t="shared" si="8"/>
        <v>5.4766504142051808E-2</v>
      </c>
      <c r="F124" s="11">
        <f t="shared" si="9"/>
        <v>8.7665041420518092E-3</v>
      </c>
      <c r="G124" s="11">
        <f>VLOOKUP(A124,'10-year CDS Spreads'!$A$2:$D$157,4)</f>
        <v>2.5000000000000005E-3</v>
      </c>
      <c r="H124" s="11">
        <f t="shared" si="10"/>
        <v>4.9356098967254708E-2</v>
      </c>
      <c r="I124" s="14">
        <f t="shared" si="7"/>
        <v>3.3560989672547061E-3</v>
      </c>
    </row>
    <row r="125" spans="1:9" ht="16">
      <c r="A125" s="108" t="str">
        <f>'Sovereign Ratings (Moody''s,S&amp;P)'!A119</f>
        <v>Ras Al Khaimah (Emirate of)</v>
      </c>
      <c r="B125" s="103" t="str">
        <f>VLOOKUP(A125,'Regional lookup table'!$A$3:$B$161,2)</f>
        <v>Middle East</v>
      </c>
      <c r="C125" s="9" t="str">
        <f>'Sovereign Ratings (Moody''s,S&amp;P)'!C119</f>
        <v>A3</v>
      </c>
      <c r="D125" s="21">
        <f t="shared" si="6"/>
        <v>1.3060556657575006E-2</v>
      </c>
      <c r="E125" s="21">
        <f t="shared" si="8"/>
        <v>6.3533008284103618E-2</v>
      </c>
      <c r="F125" s="11">
        <f t="shared" si="9"/>
        <v>1.7533008284103618E-2</v>
      </c>
      <c r="G125" s="11" t="str">
        <f>VLOOKUP(A125,'10-year CDS Spreads'!$A$2:$D$157,4)</f>
        <v>NA</v>
      </c>
      <c r="H125" s="11" t="str">
        <f t="shared" si="10"/>
        <v>NA</v>
      </c>
      <c r="I125" s="14" t="str">
        <f t="shared" si="7"/>
        <v>NA</v>
      </c>
    </row>
    <row r="126" spans="1:9" ht="16">
      <c r="A126" s="108" t="str">
        <f>'Sovereign Ratings (Moody''s,S&amp;P)'!A120</f>
        <v>Romania</v>
      </c>
      <c r="B126" s="103" t="str">
        <f>VLOOKUP(A126,'Regional lookup table'!$A$3:$B$161,2)</f>
        <v>Eastern Europe &amp; Russia</v>
      </c>
      <c r="C126" s="9" t="str">
        <f>'Sovereign Ratings (Moody''s,S&amp;P)'!C120</f>
        <v>Baa3</v>
      </c>
      <c r="D126" s="21">
        <f t="shared" si="6"/>
        <v>2.3944353872220846E-2</v>
      </c>
      <c r="E126" s="21">
        <f t="shared" si="8"/>
        <v>7.8143848520856624E-2</v>
      </c>
      <c r="F126" s="11">
        <f t="shared" si="9"/>
        <v>3.2143848520856631E-2</v>
      </c>
      <c r="G126" s="11">
        <f>VLOOKUP(A126,'10-year CDS Spreads'!$A$2:$D$157,4)</f>
        <v>1.7299999999999999E-2</v>
      </c>
      <c r="H126" s="11">
        <f t="shared" si="10"/>
        <v>6.9224204853402554E-2</v>
      </c>
      <c r="I126" s="14">
        <f t="shared" si="7"/>
        <v>2.3224204853402559E-2</v>
      </c>
    </row>
    <row r="127" spans="1:9" ht="16">
      <c r="A127" s="108" t="str">
        <f>'Sovereign Ratings (Moody''s,S&amp;P)'!A122</f>
        <v>Rwanda</v>
      </c>
      <c r="B127" s="103" t="str">
        <f>VLOOKUP(A127,'Regional lookup table'!$A$3:$B$161,2)</f>
        <v>Africa</v>
      </c>
      <c r="C127" s="9" t="str">
        <f>'Sovereign Ratings (Moody''s,S&amp;P)'!C122</f>
        <v>B2</v>
      </c>
      <c r="D127" s="21">
        <f t="shared" si="6"/>
        <v>5.9924907017108855E-2</v>
      </c>
      <c r="E127" s="21">
        <f t="shared" si="8"/>
        <v>0.12644556742118129</v>
      </c>
      <c r="F127" s="11">
        <f t="shared" si="9"/>
        <v>8.0445567421181308E-2</v>
      </c>
      <c r="G127" s="11">
        <f>VLOOKUP(A127,'10-year CDS Spreads'!$A$2:$D$157,4)</f>
        <v>4.9500000000000002E-2</v>
      </c>
      <c r="H127" s="11">
        <f t="shared" si="10"/>
        <v>0.11245075955164317</v>
      </c>
      <c r="I127" s="14">
        <f t="shared" si="7"/>
        <v>6.6450759551643174E-2</v>
      </c>
    </row>
    <row r="128" spans="1:9" ht="16">
      <c r="A128" s="108" t="str">
        <f>'Sovereign Ratings (Moody''s,S&amp;P)'!A123</f>
        <v>Saudi Arabia</v>
      </c>
      <c r="B128" s="103" t="str">
        <f>VLOOKUP(A128,'Regional lookup table'!$A$3:$B$161,2)</f>
        <v>Middle East</v>
      </c>
      <c r="C128" s="9" t="str">
        <f>'Sovereign Ratings (Moody''s,S&amp;P)'!C123</f>
        <v>A1</v>
      </c>
      <c r="D128" s="21">
        <f t="shared" si="6"/>
        <v>7.6826803868088279E-3</v>
      </c>
      <c r="E128" s="21">
        <f t="shared" si="8"/>
        <v>5.6313534284766834E-2</v>
      </c>
      <c r="F128" s="11">
        <f t="shared" si="9"/>
        <v>1.0313534284766834E-2</v>
      </c>
      <c r="G128" s="11">
        <f>VLOOKUP(A128,'10-year CDS Spreads'!$A$2:$D$157,4)</f>
        <v>2.700000000000001E-3</v>
      </c>
      <c r="H128" s="11">
        <f t="shared" si="10"/>
        <v>4.9624586884635086E-2</v>
      </c>
      <c r="I128" s="14">
        <f t="shared" si="7"/>
        <v>3.624586884635083E-3</v>
      </c>
    </row>
    <row r="129" spans="1:9" ht="16">
      <c r="A129" s="108" t="str">
        <f>'Sovereign Ratings (Moody''s,S&amp;P)'!A124</f>
        <v>Senegal</v>
      </c>
      <c r="B129" s="103" t="str">
        <f>VLOOKUP(A129,'Regional lookup table'!$A$3:$B$161,2)</f>
        <v>Africa</v>
      </c>
      <c r="C129" s="9" t="str">
        <f>'Sovereign Ratings (Moody''s,S&amp;P)'!C124</f>
        <v>Ba3</v>
      </c>
      <c r="D129" s="21">
        <f t="shared" si="6"/>
        <v>3.9181669972725021E-2</v>
      </c>
      <c r="E129" s="21">
        <f t="shared" si="8"/>
        <v>9.8599024852310854E-2</v>
      </c>
      <c r="F129" s="11">
        <f t="shared" si="9"/>
        <v>5.2599024852310855E-2</v>
      </c>
      <c r="G129" s="11">
        <f>VLOOKUP(A129,'10-year CDS Spreads'!$A$2:$D$157,4)</f>
        <v>6.3100000000000003E-2</v>
      </c>
      <c r="H129" s="11">
        <f t="shared" si="10"/>
        <v>0.13070793793350877</v>
      </c>
      <c r="I129" s="14">
        <f t="shared" si="7"/>
        <v>8.4707937933508767E-2</v>
      </c>
    </row>
    <row r="130" spans="1:9" ht="16">
      <c r="A130" s="108" t="str">
        <f>'Sovereign Ratings (Moody''s,S&amp;P)'!A125</f>
        <v>Serbia</v>
      </c>
      <c r="B130" s="103" t="str">
        <f>VLOOKUP(A130,'Regional lookup table'!$A$3:$B$161,2)</f>
        <v>Eastern Europe &amp; Russia</v>
      </c>
      <c r="C130" s="9" t="str">
        <f>'Sovereign Ratings (Moody''s,S&amp;P)'!C125</f>
        <v>Ba2</v>
      </c>
      <c r="D130" s="21">
        <f t="shared" si="6"/>
        <v>3.2779436317050999E-2</v>
      </c>
      <c r="E130" s="21">
        <f t="shared" si="8"/>
        <v>9.0004412948338497E-2</v>
      </c>
      <c r="F130" s="11">
        <f>IF($E$4="Yes",D130*$E$5,D130)</f>
        <v>4.4004412948338498E-2</v>
      </c>
      <c r="G130" s="11">
        <f>VLOOKUP(A130,'10-year CDS Spreads'!$A$2:$D$157,4)</f>
        <v>2.2800000000000001E-2</v>
      </c>
      <c r="H130" s="11">
        <f t="shared" si="10"/>
        <v>7.6607622581362916E-2</v>
      </c>
      <c r="I130" s="14">
        <f t="shared" si="7"/>
        <v>3.0607622581362914E-2</v>
      </c>
    </row>
    <row r="131" spans="1:9" ht="16">
      <c r="A131" s="108" t="str">
        <f>'Sovereign Ratings (Moody''s,S&amp;P)'!A126</f>
        <v>Sharjah</v>
      </c>
      <c r="B131" s="103" t="str">
        <f>VLOOKUP(A131,'Regional lookup table'!$A$3:$B$161,2)</f>
        <v>Middle East</v>
      </c>
      <c r="C131" s="9" t="str">
        <f>'Sovereign Ratings (Moody''s,S&amp;P)'!C126</f>
        <v>Ba1</v>
      </c>
      <c r="D131" s="21">
        <f t="shared" si="6"/>
        <v>2.7273515373171343E-2</v>
      </c>
      <c r="E131" s="21">
        <f t="shared" si="8"/>
        <v>8.2613046710922261E-2</v>
      </c>
      <c r="F131" s="11">
        <f t="shared" ref="F131:F142" si="11">IF($E$4="Yes",D131*$E$5,D131)</f>
        <v>3.6613046710922269E-2</v>
      </c>
      <c r="G131" s="11" t="str">
        <f>VLOOKUP(A131,'10-year CDS Spreads'!$A$2:$D$157,4)</f>
        <v>NA</v>
      </c>
      <c r="H131" s="11" t="str">
        <f t="shared" si="10"/>
        <v>NA</v>
      </c>
      <c r="I131" s="14" t="str">
        <f t="shared" si="7"/>
        <v>NA</v>
      </c>
    </row>
    <row r="132" spans="1:9" ht="16">
      <c r="A132" s="108" t="str">
        <f>'Sovereign Ratings (Moody''s,S&amp;P)'!A127</f>
        <v>Singapore</v>
      </c>
      <c r="B132" s="103" t="str">
        <f>VLOOKUP(A132,'Regional lookup table'!$A$3:$B$161,2)</f>
        <v>Asia</v>
      </c>
      <c r="C132" s="9" t="str">
        <f>'Sovereign Ratings (Moody''s,S&amp;P)'!C127</f>
        <v>Aaa</v>
      </c>
      <c r="D132" s="21">
        <f t="shared" si="6"/>
        <v>0</v>
      </c>
      <c r="E132" s="21">
        <f t="shared" si="8"/>
        <v>4.5999999999999999E-2</v>
      </c>
      <c r="F132" s="11">
        <f t="shared" si="11"/>
        <v>0</v>
      </c>
      <c r="G132" s="11" t="str">
        <f>VLOOKUP(A132,'10-year CDS Spreads'!$A$2:$D$157,4)</f>
        <v>NA</v>
      </c>
      <c r="H132" s="11" t="str">
        <f t="shared" si="10"/>
        <v>NA</v>
      </c>
      <c r="I132" s="14" t="str">
        <f t="shared" si="7"/>
        <v>NA</v>
      </c>
    </row>
    <row r="133" spans="1:9" ht="16">
      <c r="A133" s="108" t="str">
        <f>'Sovereign Ratings (Moody''s,S&amp;P)'!A128</f>
        <v>Slovakia</v>
      </c>
      <c r="B133" s="103" t="str">
        <f>VLOOKUP(A133,'Regional lookup table'!$A$3:$B$161,2)</f>
        <v>Eastern Europe &amp; Russia</v>
      </c>
      <c r="C133" s="9" t="str">
        <f>'Sovereign Ratings (Moody''s,S&amp;P)'!C128</f>
        <v>A2</v>
      </c>
      <c r="D133" s="21">
        <f t="shared" si="6"/>
        <v>9.2192164641705932E-3</v>
      </c>
      <c r="E133" s="21">
        <f>$E$3+F133</f>
        <v>5.83762411417202E-2</v>
      </c>
      <c r="F133" s="11">
        <f>IF($E$4="Yes",D133*$E$5,D133)</f>
        <v>1.2376241141720201E-2</v>
      </c>
      <c r="G133" s="11">
        <f>VLOOKUP(A133,'10-year CDS Spreads'!$A$2:$D$157,4)</f>
        <v>2.0000000000000052E-4</v>
      </c>
      <c r="H133" s="11">
        <f>IF(I133="NA","NA",$E$3+I133)</f>
        <v>4.6268487917380377E-2</v>
      </c>
      <c r="I133" s="14">
        <f>IF(G133="NA","NA",G133*$E$5)</f>
        <v>2.6848791738037715E-4</v>
      </c>
    </row>
    <row r="134" spans="1:9" ht="16">
      <c r="A134" s="108" t="str">
        <f>'Sovereign Ratings (Moody''s,S&amp;P)'!A129</f>
        <v>Slovenia</v>
      </c>
      <c r="B134" s="103" t="str">
        <f>VLOOKUP(A134,'Regional lookup table'!$A$3:$B$161,2)</f>
        <v>Eastern Europe &amp; Russia</v>
      </c>
      <c r="C134" s="9" t="str">
        <f>'Sovereign Ratings (Moody''s,S&amp;P)'!C129</f>
        <v>A3</v>
      </c>
      <c r="D134" s="21">
        <f t="shared" si="6"/>
        <v>1.3060556657575006E-2</v>
      </c>
      <c r="E134" s="21">
        <f t="shared" si="8"/>
        <v>6.3533008284103618E-2</v>
      </c>
      <c r="F134" s="11">
        <f t="shared" si="11"/>
        <v>1.7533008284103618E-2</v>
      </c>
      <c r="G134" s="11">
        <f>VLOOKUP(A134,'10-year CDS Spreads'!$A$2:$D$157,4)</f>
        <v>1.8000000000000004E-3</v>
      </c>
      <c r="H134" s="11">
        <f t="shared" si="10"/>
        <v>4.8416391256423386E-2</v>
      </c>
      <c r="I134" s="14">
        <f t="shared" si="7"/>
        <v>2.4163912564233885E-3</v>
      </c>
    </row>
    <row r="135" spans="1:9" ht="16">
      <c r="A135" s="108" t="str">
        <f>'Sovereign Ratings (Moody''s,S&amp;P)'!A130</f>
        <v>Solomon Islands</v>
      </c>
      <c r="B135" s="103" t="str">
        <f>VLOOKUP(A135,'Regional lookup table'!$A$3:$B$161,2)</f>
        <v>Asia</v>
      </c>
      <c r="C135" s="9" t="str">
        <f>'Sovereign Ratings (Moody''s,S&amp;P)'!C130</f>
        <v>Caa1</v>
      </c>
      <c r="D135" s="21">
        <f t="shared" si="6"/>
        <v>8.1692501446400528E-2</v>
      </c>
      <c r="E135" s="21">
        <f t="shared" si="8"/>
        <v>0.15566724789468733</v>
      </c>
      <c r="F135" s="11">
        <f t="shared" si="11"/>
        <v>0.10966724789468733</v>
      </c>
      <c r="G135" s="11" t="str">
        <f>VLOOKUP(A135,'10-year CDS Spreads'!$A$2:$D$157,4)</f>
        <v>NA</v>
      </c>
      <c r="H135" s="11" t="str">
        <f t="shared" si="10"/>
        <v>NA</v>
      </c>
      <c r="I135" s="14" t="str">
        <f t="shared" si="7"/>
        <v>NA</v>
      </c>
    </row>
    <row r="136" spans="1:9" ht="16">
      <c r="A136" s="108" t="str">
        <f>'Sovereign Ratings (Moody''s,S&amp;P)'!A131</f>
        <v>South Africa</v>
      </c>
      <c r="B136" s="103" t="str">
        <f>VLOOKUP(A136,'Regional lookup table'!$A$3:$B$161,2)</f>
        <v>Africa</v>
      </c>
      <c r="C136" s="9" t="str">
        <f>'Sovereign Ratings (Moody''s,S&amp;P)'!C131</f>
        <v>Ba2</v>
      </c>
      <c r="D136" s="21">
        <f t="shared" ref="D136:D163" si="12">VLOOKUP(C136,$J$9:$K$31,2,FALSE)/10000</f>
        <v>3.2779436317050999E-2</v>
      </c>
      <c r="E136" s="21">
        <f t="shared" si="8"/>
        <v>9.0004412948338497E-2</v>
      </c>
      <c r="F136" s="11">
        <f t="shared" si="11"/>
        <v>4.4004412948338498E-2</v>
      </c>
      <c r="G136" s="11">
        <f>VLOOKUP(A136,'10-year CDS Spreads'!$A$2:$D$157,4)</f>
        <v>2.5800000000000003E-2</v>
      </c>
      <c r="H136" s="11">
        <f t="shared" si="10"/>
        <v>8.0634941342068556E-2</v>
      </c>
      <c r="I136" s="14">
        <f t="shared" si="7"/>
        <v>3.4634941342068563E-2</v>
      </c>
    </row>
    <row r="137" spans="1:9" ht="16">
      <c r="A137" s="108" t="str">
        <f>'Sovereign Ratings (Moody''s,S&amp;P)'!A132</f>
        <v>Spain</v>
      </c>
      <c r="B137" s="103" t="str">
        <f>VLOOKUP(A137,'Regional lookup table'!$A$3:$B$161,2)</f>
        <v>Western Europe</v>
      </c>
      <c r="C137" s="9" t="str">
        <f>'Sovereign Ratings (Moody''s,S&amp;P)'!C132</f>
        <v>Baa1</v>
      </c>
      <c r="D137" s="21">
        <f t="shared" si="12"/>
        <v>1.7414075543433341E-2</v>
      </c>
      <c r="E137" s="21">
        <f t="shared" si="8"/>
        <v>6.9377344378804828E-2</v>
      </c>
      <c r="F137" s="11">
        <f t="shared" si="11"/>
        <v>2.3377344378804822E-2</v>
      </c>
      <c r="G137" s="11">
        <f>VLOOKUP(A137,'10-year CDS Spreads'!$A$2:$D$157,4)</f>
        <v>2E-3</v>
      </c>
      <c r="H137" s="11">
        <f t="shared" si="10"/>
        <v>4.8684879173803763E-2</v>
      </c>
      <c r="I137" s="14">
        <f t="shared" si="7"/>
        <v>2.6848791738037642E-3</v>
      </c>
    </row>
    <row r="138" spans="1:9" ht="16">
      <c r="A138" s="108" t="str">
        <f>'Sovereign Ratings (Moody''s,S&amp;P)'!A133</f>
        <v>Sri Lanka</v>
      </c>
      <c r="B138" s="103" t="str">
        <f>VLOOKUP(A138,'Regional lookup table'!$A$3:$B$161,2)</f>
        <v>Asia</v>
      </c>
      <c r="C138" s="9" t="str">
        <f>'Sovereign Ratings (Moody''s,S&amp;P)'!C133</f>
        <v>Ca</v>
      </c>
      <c r="D138" s="21">
        <f t="shared" si="12"/>
        <v>0.13073361124886354</v>
      </c>
      <c r="E138" s="21">
        <f t="shared" si="8"/>
        <v>0.22150197507911562</v>
      </c>
      <c r="F138" s="11">
        <f t="shared" si="11"/>
        <v>0.17550197507911564</v>
      </c>
      <c r="G138" s="11">
        <f>VLOOKUP(A138,'10-year CDS Spreads'!$A$2:$D$157,4)</f>
        <v>0.58779999999999999</v>
      </c>
      <c r="H138" s="11">
        <f t="shared" si="10"/>
        <v>0.83508598918092636</v>
      </c>
      <c r="I138" s="14">
        <f t="shared" si="7"/>
        <v>0.78908598918092632</v>
      </c>
    </row>
    <row r="139" spans="1:9" ht="16">
      <c r="A139" s="108" t="str">
        <f>'Sovereign Ratings (Moody''s,S&amp;P)'!A134</f>
        <v>St. Maarten</v>
      </c>
      <c r="B139" s="103" t="str">
        <f>VLOOKUP(A139,'Regional lookup table'!$A$3:$B$161,2)</f>
        <v>Caribbean</v>
      </c>
      <c r="C139" s="9" t="str">
        <f>'Sovereign Ratings (Moody''s,S&amp;P)'!C134</f>
        <v>Ba2</v>
      </c>
      <c r="D139" s="21">
        <f t="shared" si="12"/>
        <v>3.2779436317050999E-2</v>
      </c>
      <c r="E139" s="21">
        <f t="shared" si="8"/>
        <v>9.0004412948338497E-2</v>
      </c>
      <c r="F139" s="11">
        <f t="shared" si="11"/>
        <v>4.4004412948338498E-2</v>
      </c>
      <c r="G139" s="11" t="str">
        <f>VLOOKUP(A139,'10-year CDS Spreads'!$A$2:$D$157,4)</f>
        <v>NA</v>
      </c>
      <c r="H139" s="11" t="str">
        <f t="shared" si="10"/>
        <v>NA</v>
      </c>
      <c r="I139" s="14" t="str">
        <f t="shared" si="7"/>
        <v>NA</v>
      </c>
    </row>
    <row r="140" spans="1:9" ht="16">
      <c r="A140" s="108" t="str">
        <f>'Sovereign Ratings (Moody''s,S&amp;P)'!A135</f>
        <v>St. Vincent &amp; the Grenadines</v>
      </c>
      <c r="B140" s="103" t="str">
        <f>VLOOKUP(A140,'Regional lookup table'!$A$3:$B$161,2)</f>
        <v>Caribbean</v>
      </c>
      <c r="C140" s="9" t="str">
        <f>'Sovereign Ratings (Moody''s,S&amp;P)'!C135</f>
        <v>B3</v>
      </c>
      <c r="D140" s="21">
        <f t="shared" si="12"/>
        <v>7.0808704231754685E-2</v>
      </c>
      <c r="E140" s="21">
        <f>$E$3+F140</f>
        <v>0.14105640765793431</v>
      </c>
      <c r="F140" s="11">
        <f>IF($E$4="Yes",D140*$E$5,D140)</f>
        <v>9.5056407657934314E-2</v>
      </c>
      <c r="G140" s="11" t="str">
        <f>VLOOKUP(A140,'10-year CDS Spreads'!$A$2:$D$157,4)</f>
        <v>NA</v>
      </c>
      <c r="H140" s="11" t="str">
        <f>IF(I140="NA","NA",$E$3+I140)</f>
        <v>NA</v>
      </c>
      <c r="I140" s="14" t="str">
        <f>IF(G140="NA","NA",G140*$E$5)</f>
        <v>NA</v>
      </c>
    </row>
    <row r="141" spans="1:9" ht="16">
      <c r="A141" s="108" t="str">
        <f>'Sovereign Ratings (Moody''s,S&amp;P)'!A136</f>
        <v>Suriname</v>
      </c>
      <c r="B141" s="103" t="str">
        <f>VLOOKUP(A141,'Regional lookup table'!$A$3:$B$161,2)</f>
        <v>Central and South America</v>
      </c>
      <c r="C141" s="9" t="str">
        <f>'Sovereign Ratings (Moody''s,S&amp;P)'!C136</f>
        <v>Caa3</v>
      </c>
      <c r="D141" s="21">
        <f t="shared" si="12"/>
        <v>0.10896601681957188</v>
      </c>
      <c r="E141" s="21">
        <f t="shared" si="8"/>
        <v>0.19228029460560964</v>
      </c>
      <c r="F141" s="11">
        <f t="shared" si="11"/>
        <v>0.14628029460560962</v>
      </c>
      <c r="G141" s="11" t="str">
        <f>VLOOKUP(A141,'10-year CDS Spreads'!$A$2:$D$157,4)</f>
        <v>NA</v>
      </c>
      <c r="H141" s="11" t="str">
        <f t="shared" si="10"/>
        <v>NA</v>
      </c>
      <c r="I141" s="14" t="str">
        <f t="shared" ref="I141:I159" si="13">IF(G141="NA","NA",G141*$E$5)</f>
        <v>NA</v>
      </c>
    </row>
    <row r="142" spans="1:9" ht="16">
      <c r="A142" s="108" t="str">
        <f>'Sovereign Ratings (Moody''s,S&amp;P)'!A137</f>
        <v>Swaziland</v>
      </c>
      <c r="B142" s="103" t="str">
        <f>VLOOKUP(A142,'Regional lookup table'!$A$3:$B$161,2)</f>
        <v>Africa</v>
      </c>
      <c r="C142" s="9" t="str">
        <f>'Sovereign Ratings (Moody''s,S&amp;P)'!C137</f>
        <v>B3</v>
      </c>
      <c r="D142" s="21">
        <f t="shared" si="12"/>
        <v>7.0808704231754685E-2</v>
      </c>
      <c r="E142" s="21">
        <f t="shared" si="8"/>
        <v>0.14105640765793431</v>
      </c>
      <c r="F142" s="11">
        <f t="shared" si="11"/>
        <v>9.5056407657934314E-2</v>
      </c>
      <c r="G142" s="11" t="str">
        <f>VLOOKUP(A142,'10-year CDS Spreads'!$A$2:$D$157,4)</f>
        <v>NA</v>
      </c>
      <c r="H142" s="11" t="str">
        <f t="shared" si="10"/>
        <v>NA</v>
      </c>
      <c r="I142" s="14" t="str">
        <f t="shared" si="13"/>
        <v>NA</v>
      </c>
    </row>
    <row r="143" spans="1:9" ht="16">
      <c r="A143" s="108" t="str">
        <f>'Sovereign Ratings (Moody''s,S&amp;P)'!A138</f>
        <v>Sweden</v>
      </c>
      <c r="B143" s="103" t="str">
        <f>VLOOKUP(A143,'Regional lookup table'!$A$3:$B$161,2)</f>
        <v>Western Europe</v>
      </c>
      <c r="C143" s="9" t="str">
        <f>'Sovereign Ratings (Moody''s,S&amp;P)'!C138</f>
        <v>Aaa</v>
      </c>
      <c r="D143" s="21">
        <f t="shared" si="12"/>
        <v>0</v>
      </c>
      <c r="E143" s="21">
        <f t="shared" si="8"/>
        <v>4.5999999999999999E-2</v>
      </c>
      <c r="F143" s="11">
        <f t="shared" ref="F143:F150" si="14">IF($E$4="Yes",D143*$E$5,D143)</f>
        <v>0</v>
      </c>
      <c r="G143" s="11">
        <f>VLOOKUP(A143,'10-year CDS Spreads'!$A$2:$D$157,4)</f>
        <v>0</v>
      </c>
      <c r="H143" s="11">
        <f t="shared" si="10"/>
        <v>4.5999999999999999E-2</v>
      </c>
      <c r="I143" s="14">
        <f t="shared" si="13"/>
        <v>0</v>
      </c>
    </row>
    <row r="144" spans="1:9" ht="16">
      <c r="A144" s="108" t="str">
        <f>'Sovereign Ratings (Moody''s,S&amp;P)'!A139</f>
        <v>Switzerland</v>
      </c>
      <c r="B144" s="103" t="str">
        <f>VLOOKUP(A144,'Regional lookup table'!$A$3:$B$161,2)</f>
        <v>Western Europe</v>
      </c>
      <c r="C144" s="9" t="str">
        <f>'Sovereign Ratings (Moody''s,S&amp;P)'!C139</f>
        <v>Aaa</v>
      </c>
      <c r="D144" s="21">
        <f t="shared" si="12"/>
        <v>0</v>
      </c>
      <c r="E144" s="21">
        <f>$E$3+F144</f>
        <v>4.5999999999999999E-2</v>
      </c>
      <c r="F144" s="11">
        <f>IF($E$4="Yes",D144*$E$5,D144)</f>
        <v>0</v>
      </c>
      <c r="G144" s="11">
        <f>VLOOKUP(A144,'10-year CDS Spreads'!$A$2:$D$157,4)</f>
        <v>0</v>
      </c>
      <c r="H144" s="11">
        <f>IF(I144="NA","NA",$E$3+I144)</f>
        <v>4.5999999999999999E-2</v>
      </c>
      <c r="I144" s="14">
        <f>IF(G144="NA","NA",G144*$E$5)</f>
        <v>0</v>
      </c>
    </row>
    <row r="145" spans="1:9" ht="16">
      <c r="A145" s="108" t="str">
        <f>'Sovereign Ratings (Moody''s,S&amp;P)'!A140</f>
        <v>Taiwan</v>
      </c>
      <c r="B145" s="103" t="str">
        <f>VLOOKUP(A145,'Regional lookup table'!$A$3:$B$161,2)</f>
        <v>Asia</v>
      </c>
      <c r="C145" s="9" t="str">
        <f>'Sovereign Ratings (Moody''s,S&amp;P)'!C140</f>
        <v>Aa3</v>
      </c>
      <c r="D145" s="21">
        <f t="shared" si="12"/>
        <v>6.5302783287875029E-3</v>
      </c>
      <c r="E145" s="21">
        <f>$E$3+F145</f>
        <v>5.4766504142051808E-2</v>
      </c>
      <c r="F145" s="11">
        <f>IF($E$4="Yes",D145*$E$5,D145)</f>
        <v>8.7665041420518092E-3</v>
      </c>
      <c r="G145" s="11" t="str">
        <f>VLOOKUP(A145,'10-year CDS Spreads'!$A$2:$D$157,4)</f>
        <v>NA</v>
      </c>
      <c r="H145" s="11" t="str">
        <f>IF(I145="NA","NA",$E$3+I145)</f>
        <v>NA</v>
      </c>
      <c r="I145" s="14" t="str">
        <f>IF(G145="NA","NA",G145*$E$5)</f>
        <v>NA</v>
      </c>
    </row>
    <row r="146" spans="1:9" ht="16">
      <c r="A146" s="108" t="str">
        <f>'Sovereign Ratings (Moody''s,S&amp;P)'!A141</f>
        <v>Tajikistan</v>
      </c>
      <c r="B146" s="103" t="str">
        <f>VLOOKUP(A146,'Regional lookup table'!$A$3:$B$161,2)</f>
        <v>Eastern Europe &amp; Russia</v>
      </c>
      <c r="C146" s="9" t="str">
        <f>'Sovereign Ratings (Moody''s,S&amp;P)'!C141</f>
        <v>B3</v>
      </c>
      <c r="D146" s="21">
        <f t="shared" si="12"/>
        <v>7.0808704231754685E-2</v>
      </c>
      <c r="E146" s="21">
        <f t="shared" ref="E146:E154" si="15">$E$3+F146</f>
        <v>0.14105640765793431</v>
      </c>
      <c r="F146" s="11">
        <f t="shared" si="14"/>
        <v>9.5056407657934314E-2</v>
      </c>
      <c r="G146" s="11" t="str">
        <f>VLOOKUP(A146,'10-year CDS Spreads'!$A$2:$D$157,4)</f>
        <v>NA</v>
      </c>
      <c r="H146" s="11" t="str">
        <f t="shared" ref="H146:H154" si="16">IF(I146="NA","NA",$E$3+I146)</f>
        <v>NA</v>
      </c>
      <c r="I146" s="14" t="str">
        <f t="shared" si="13"/>
        <v>NA</v>
      </c>
    </row>
    <row r="147" spans="1:9" ht="16">
      <c r="A147" s="108" t="str">
        <f>'Sovereign Ratings (Moody''s,S&amp;P)'!A142</f>
        <v>Tanzania</v>
      </c>
      <c r="B147" s="103" t="str">
        <f>VLOOKUP(A147,'Regional lookup table'!$A$3:$B$161,2)</f>
        <v>Africa</v>
      </c>
      <c r="C147" s="9" t="str">
        <f>'Sovereign Ratings (Moody''s,S&amp;P)'!C142</f>
        <v>B2</v>
      </c>
      <c r="D147" s="21">
        <f t="shared" si="12"/>
        <v>5.9924907017108855E-2</v>
      </c>
      <c r="E147" s="21">
        <f t="shared" si="15"/>
        <v>0.12644556742118129</v>
      </c>
      <c r="F147" s="11">
        <f t="shared" si="14"/>
        <v>8.0445567421181308E-2</v>
      </c>
      <c r="G147" s="11" t="str">
        <f>VLOOKUP(A147,'10-year CDS Spreads'!$A$2:$D$157,4)</f>
        <v>NA</v>
      </c>
      <c r="H147" s="11" t="str">
        <f t="shared" si="16"/>
        <v>NA</v>
      </c>
      <c r="I147" s="14" t="str">
        <f t="shared" si="13"/>
        <v>NA</v>
      </c>
    </row>
    <row r="148" spans="1:9" ht="16">
      <c r="A148" s="108" t="str">
        <f>'Sovereign Ratings (Moody''s,S&amp;P)'!A143</f>
        <v>Thailand</v>
      </c>
      <c r="B148" s="103" t="str">
        <f>VLOOKUP(A148,'Regional lookup table'!$A$3:$B$161,2)</f>
        <v>Asia</v>
      </c>
      <c r="C148" s="9" t="str">
        <f>'Sovereign Ratings (Moody''s,S&amp;P)'!C143</f>
        <v>Baa1</v>
      </c>
      <c r="D148" s="21">
        <f t="shared" si="12"/>
        <v>1.7414075543433341E-2</v>
      </c>
      <c r="E148" s="21">
        <f t="shared" si="15"/>
        <v>6.9377344378804828E-2</v>
      </c>
      <c r="F148" s="11">
        <f t="shared" si="14"/>
        <v>2.3377344378804822E-2</v>
      </c>
      <c r="G148" s="11">
        <f>VLOOKUP(A148,'10-year CDS Spreads'!$A$2:$D$157,4)</f>
        <v>7.000000000000001E-4</v>
      </c>
      <c r="H148" s="11">
        <f t="shared" si="16"/>
        <v>4.6939707710831315E-2</v>
      </c>
      <c r="I148" s="14">
        <f t="shared" si="13"/>
        <v>9.3970771083131766E-4</v>
      </c>
    </row>
    <row r="149" spans="1:9" ht="16">
      <c r="A149" s="108" t="str">
        <f>'Sovereign Ratings (Moody''s,S&amp;P)'!A144</f>
        <v>Togo</v>
      </c>
      <c r="B149" s="103" t="str">
        <f>VLOOKUP(A149,'Regional lookup table'!$A$3:$B$161,2)</f>
        <v>Africa</v>
      </c>
      <c r="C149" s="9" t="str">
        <f>'Sovereign Ratings (Moody''s,S&amp;P)'!C144</f>
        <v>B3</v>
      </c>
      <c r="D149" s="21">
        <f t="shared" si="12"/>
        <v>7.0808704231754685E-2</v>
      </c>
      <c r="E149" s="21">
        <f t="shared" si="15"/>
        <v>0.14105640765793431</v>
      </c>
      <c r="F149" s="11">
        <f t="shared" si="14"/>
        <v>9.5056407657934314E-2</v>
      </c>
      <c r="G149" s="11" t="str">
        <f>VLOOKUP(A149,'10-year CDS Spreads'!$A$2:$D$157,4)</f>
        <v>NA</v>
      </c>
      <c r="H149" s="11" t="str">
        <f t="shared" si="16"/>
        <v>NA</v>
      </c>
      <c r="I149" s="14" t="str">
        <f t="shared" si="13"/>
        <v>NA</v>
      </c>
    </row>
    <row r="150" spans="1:9" ht="16">
      <c r="A150" s="108" t="str">
        <f>'Sovereign Ratings (Moody''s,S&amp;P)'!A145</f>
        <v>Trinidad and Tobago</v>
      </c>
      <c r="B150" s="103" t="str">
        <f>VLOOKUP(A150,'Regional lookup table'!$A$3:$B$161,2)</f>
        <v>Caribbean</v>
      </c>
      <c r="C150" s="9" t="str">
        <f>'Sovereign Ratings (Moody''s,S&amp;P)'!C145</f>
        <v>Ba2</v>
      </c>
      <c r="D150" s="21">
        <f t="shared" si="12"/>
        <v>3.2779436317050999E-2</v>
      </c>
      <c r="E150" s="21">
        <f t="shared" si="15"/>
        <v>9.0004412948338497E-2</v>
      </c>
      <c r="F150" s="11">
        <f t="shared" si="14"/>
        <v>4.4004412948338498E-2</v>
      </c>
      <c r="G150" s="11" t="str">
        <f>VLOOKUP(A150,'10-year CDS Spreads'!$A$2:$D$157,4)</f>
        <v>NA</v>
      </c>
      <c r="H150" s="11" t="str">
        <f t="shared" si="16"/>
        <v>NA</v>
      </c>
      <c r="I150" s="14" t="str">
        <f t="shared" si="13"/>
        <v>NA</v>
      </c>
    </row>
    <row r="151" spans="1:9" ht="16">
      <c r="A151" s="108" t="str">
        <f>'Sovereign Ratings (Moody''s,S&amp;P)'!A146</f>
        <v>Tunisia</v>
      </c>
      <c r="B151" s="103" t="str">
        <f>VLOOKUP(A151,'Regional lookup table'!$A$3:$B$161,2)</f>
        <v>Africa</v>
      </c>
      <c r="C151" s="9" t="str">
        <f>'Sovereign Ratings (Moody''s,S&amp;P)'!C146</f>
        <v>Caa2</v>
      </c>
      <c r="D151" s="21">
        <f t="shared" si="12"/>
        <v>9.8082219604926024E-2</v>
      </c>
      <c r="E151" s="21">
        <f t="shared" si="15"/>
        <v>0.17766945436885656</v>
      </c>
      <c r="F151" s="11">
        <f t="shared" ref="F151:F159" si="17">IF($E$4="Yes",D151*$E$5,D151)</f>
        <v>0.13166945436885658</v>
      </c>
      <c r="G151" s="11">
        <f>VLOOKUP(A151,'10-year CDS Spreads'!$A$2:$D$157,4)</f>
        <v>9.1999999999999998E-2</v>
      </c>
      <c r="H151" s="11">
        <f t="shared" si="16"/>
        <v>0.16950444199497317</v>
      </c>
      <c r="I151" s="14">
        <f t="shared" si="13"/>
        <v>0.12350444199497315</v>
      </c>
    </row>
    <row r="152" spans="1:9" ht="16">
      <c r="A152" s="108" t="str">
        <f>'Sovereign Ratings (Moody''s,S&amp;P)'!A147</f>
        <v>Turkey</v>
      </c>
      <c r="B152" s="103" t="str">
        <f>VLOOKUP(A152,'Regional lookup table'!$A$3:$B$161,2)</f>
        <v>Western Europe</v>
      </c>
      <c r="C152" s="9" t="str">
        <f>'Sovereign Ratings (Moody''s,S&amp;P)'!C147</f>
        <v>B3</v>
      </c>
      <c r="D152" s="21">
        <f t="shared" si="12"/>
        <v>7.0808704231754685E-2</v>
      </c>
      <c r="E152" s="21">
        <f t="shared" si="15"/>
        <v>0.14105640765793431</v>
      </c>
      <c r="F152" s="11">
        <f t="shared" si="17"/>
        <v>9.5056407657934314E-2</v>
      </c>
      <c r="G152" s="11">
        <f>VLOOKUP(A152,'10-year CDS Spreads'!$A$2:$D$157,4)</f>
        <v>3.2800000000000003E-2</v>
      </c>
      <c r="H152" s="11">
        <f t="shared" si="16"/>
        <v>9.0032018450381737E-2</v>
      </c>
      <c r="I152" s="14">
        <f t="shared" si="13"/>
        <v>4.4032018450381738E-2</v>
      </c>
    </row>
    <row r="153" spans="1:9" ht="16">
      <c r="A153" s="108" t="str">
        <f>'Sovereign Ratings (Moody''s,S&amp;P)'!A148</f>
        <v>Turks and Caicos Islands</v>
      </c>
      <c r="B153" s="103" t="str">
        <f>VLOOKUP(A153,'Regional lookup table'!$A$3:$B$161,2)</f>
        <v>Caribbean</v>
      </c>
      <c r="C153" s="9" t="str">
        <f>'Sovereign Ratings (Moody''s,S&amp;P)'!C148</f>
        <v>Baa1</v>
      </c>
      <c r="D153" s="21">
        <f t="shared" si="12"/>
        <v>1.7414075543433341E-2</v>
      </c>
      <c r="E153" s="21">
        <f t="shared" si="15"/>
        <v>6.9377344378804828E-2</v>
      </c>
      <c r="F153" s="11">
        <f t="shared" si="17"/>
        <v>2.3377344378804822E-2</v>
      </c>
      <c r="G153" s="11" t="str">
        <f>VLOOKUP(A153,'10-year CDS Spreads'!$A$2:$D$157,4)</f>
        <v>NA</v>
      </c>
      <c r="H153" s="11" t="str">
        <f t="shared" si="16"/>
        <v>NA</v>
      </c>
      <c r="I153" s="14" t="str">
        <f t="shared" si="13"/>
        <v>NA</v>
      </c>
    </row>
    <row r="154" spans="1:9" ht="16">
      <c r="A154" s="108" t="str">
        <f>'Sovereign Ratings (Moody''s,S&amp;P)'!A149</f>
        <v>Uganda</v>
      </c>
      <c r="B154" s="103" t="str">
        <f>VLOOKUP(A154,'Regional lookup table'!$A$3:$B$161,2)</f>
        <v>Africa</v>
      </c>
      <c r="C154" s="9" t="str">
        <f>'Sovereign Ratings (Moody''s,S&amp;P)'!C149</f>
        <v>B2</v>
      </c>
      <c r="D154" s="21">
        <f t="shared" si="12"/>
        <v>5.9924907017108855E-2</v>
      </c>
      <c r="E154" s="21">
        <f t="shared" si="15"/>
        <v>0.12644556742118129</v>
      </c>
      <c r="F154" s="11">
        <f t="shared" si="17"/>
        <v>8.0445567421181308E-2</v>
      </c>
      <c r="G154" s="11" t="str">
        <f>VLOOKUP(A154,'10-year CDS Spreads'!$A$2:$D$157,4)</f>
        <v>NA</v>
      </c>
      <c r="H154" s="11" t="str">
        <f t="shared" si="16"/>
        <v>NA</v>
      </c>
      <c r="I154" s="14" t="str">
        <f t="shared" si="13"/>
        <v>NA</v>
      </c>
    </row>
    <row r="155" spans="1:9" ht="16">
      <c r="A155" s="108" t="str">
        <f>'Sovereign Ratings (Moody''s,S&amp;P)'!A150</f>
        <v>Ukraine</v>
      </c>
      <c r="B155" s="103" t="str">
        <f>VLOOKUP(A155,'Regional lookup table'!$A$3:$B$161,2)</f>
        <v>Eastern Europe &amp; Russia</v>
      </c>
      <c r="C155" s="9" t="str">
        <f>'Sovereign Ratings (Moody''s,S&amp;P)'!C150</f>
        <v>Ca</v>
      </c>
      <c r="D155" s="21">
        <f t="shared" si="12"/>
        <v>0.13073361124886354</v>
      </c>
      <c r="E155" s="21">
        <f t="shared" ref="E155:E160" si="18">$E$3+F155</f>
        <v>0.22150197507911562</v>
      </c>
      <c r="F155" s="11">
        <f t="shared" si="17"/>
        <v>0.17550197507911564</v>
      </c>
      <c r="G155" s="11" t="str">
        <f>VLOOKUP(A155,'10-year CDS Spreads'!$A$2:$D$157,4)</f>
        <v>NA</v>
      </c>
      <c r="H155" s="11" t="str">
        <f t="shared" ref="H155:H160" si="19">IF(I155="NA","NA",$E$3+I155)</f>
        <v>NA</v>
      </c>
      <c r="I155" s="14" t="str">
        <f t="shared" si="13"/>
        <v>NA</v>
      </c>
    </row>
    <row r="156" spans="1:9" ht="16">
      <c r="A156" s="108" t="str">
        <f>'Sovereign Ratings (Moody''s,S&amp;P)'!A151</f>
        <v>United Arab Emirates</v>
      </c>
      <c r="B156" s="103" t="str">
        <f>VLOOKUP(A156,'Regional lookup table'!$A$3:$B$161,2)</f>
        <v>Middle East</v>
      </c>
      <c r="C156" s="9" t="str">
        <f>'Sovereign Ratings (Moody''s,S&amp;P)'!C151</f>
        <v>Aa2</v>
      </c>
      <c r="D156" s="21">
        <f t="shared" si="12"/>
        <v>5.3778762707661788E-3</v>
      </c>
      <c r="E156" s="21">
        <f t="shared" si="18"/>
        <v>5.3219473999336783E-2</v>
      </c>
      <c r="F156" s="11">
        <f t="shared" si="17"/>
        <v>7.2194739993367832E-3</v>
      </c>
      <c r="G156" s="11" t="str">
        <f>VLOOKUP(A156,'10-year CDS Spreads'!$A$2:$D$157,4)</f>
        <v>NA</v>
      </c>
      <c r="H156" s="11" t="str">
        <f t="shared" si="19"/>
        <v>NA</v>
      </c>
      <c r="I156" s="14" t="str">
        <f t="shared" si="13"/>
        <v>NA</v>
      </c>
    </row>
    <row r="157" spans="1:9" ht="16">
      <c r="A157" s="108" t="str">
        <f>'Sovereign Ratings (Moody''s,S&amp;P)'!A152</f>
        <v>United Kingdom</v>
      </c>
      <c r="B157" s="103" t="str">
        <f>VLOOKUP(A157,'Regional lookup table'!$A$3:$B$161,2)</f>
        <v>Western Europe</v>
      </c>
      <c r="C157" s="9" t="str">
        <f>'Sovereign Ratings (Moody''s,S&amp;P)'!C152</f>
        <v>Aa3</v>
      </c>
      <c r="D157" s="21">
        <f t="shared" si="12"/>
        <v>6.5302783287875029E-3</v>
      </c>
      <c r="E157" s="21">
        <f t="shared" si="18"/>
        <v>5.4766504142051808E-2</v>
      </c>
      <c r="F157" s="11">
        <f t="shared" si="17"/>
        <v>8.7665041420518092E-3</v>
      </c>
      <c r="G157" s="11">
        <f>VLOOKUP(A157,'10-year CDS Spreads'!$A$2:$D$157,4)</f>
        <v>0</v>
      </c>
      <c r="H157" s="11">
        <f t="shared" si="19"/>
        <v>4.5999999999999999E-2</v>
      </c>
      <c r="I157" s="14">
        <f t="shared" si="13"/>
        <v>0</v>
      </c>
    </row>
    <row r="158" spans="1:9" ht="16">
      <c r="A158" s="108" t="str">
        <f>'Sovereign Ratings (Moody''s,S&amp;P)'!A153</f>
        <v>United States</v>
      </c>
      <c r="B158" s="103" t="str">
        <f>VLOOKUP(A158,'Regional lookup table'!$A$3:$B$161,2)</f>
        <v>North America</v>
      </c>
      <c r="C158" s="9" t="str">
        <f>'Sovereign Ratings (Moody''s,S&amp;P)'!C153</f>
        <v>Aaa</v>
      </c>
      <c r="D158" s="21">
        <f t="shared" si="12"/>
        <v>0</v>
      </c>
      <c r="E158" s="21">
        <f t="shared" si="18"/>
        <v>4.5999999999999999E-2</v>
      </c>
      <c r="F158" s="11">
        <f t="shared" si="17"/>
        <v>0</v>
      </c>
      <c r="G158" s="11">
        <f>VLOOKUP(A158,'10-year CDS Spreads'!$A$2:$D$157,4)</f>
        <v>0</v>
      </c>
      <c r="H158" s="11">
        <f t="shared" si="19"/>
        <v>4.5999999999999999E-2</v>
      </c>
      <c r="I158" s="14">
        <f t="shared" si="13"/>
        <v>0</v>
      </c>
    </row>
    <row r="159" spans="1:9" ht="16">
      <c r="A159" s="115" t="str">
        <f>'Sovereign Ratings (Moody''s,S&amp;P)'!A154</f>
        <v>Uruguay</v>
      </c>
      <c r="B159" s="105" t="str">
        <f>VLOOKUP(A159,'Regional lookup table'!$A$3:$B$161,2)</f>
        <v>Central and South America</v>
      </c>
      <c r="C159" s="90" t="str">
        <f>'Sovereign Ratings (Moody''s,S&amp;P)'!C154</f>
        <v>Baa2</v>
      </c>
      <c r="D159" s="21">
        <f t="shared" si="12"/>
        <v>2.0743237044383835E-2</v>
      </c>
      <c r="E159" s="116">
        <f t="shared" si="18"/>
        <v>7.3846542568870452E-2</v>
      </c>
      <c r="F159" s="117">
        <f t="shared" si="17"/>
        <v>2.7846542568870453E-2</v>
      </c>
      <c r="G159" s="117">
        <f>VLOOKUP(A159,'10-year CDS Spreads'!$A$2:$D$157,4)</f>
        <v>5.6000000000000008E-3</v>
      </c>
      <c r="H159" s="117">
        <f t="shared" si="19"/>
        <v>5.3517661686650543E-2</v>
      </c>
      <c r="I159" s="118">
        <f t="shared" si="13"/>
        <v>7.5176616866505412E-3</v>
      </c>
    </row>
    <row r="160" spans="1:9" ht="16">
      <c r="A160" s="147" t="str">
        <f>'Sovereign Ratings (Moody''s,S&amp;P)'!A155</f>
        <v>Uzbekistan</v>
      </c>
      <c r="B160" s="103" t="str">
        <f>VLOOKUP(A160,'Regional lookup table'!$A$3:$B$161,2)</f>
        <v>Eastern Europe &amp; Russia</v>
      </c>
      <c r="C160" s="9" t="str">
        <f>'Sovereign Ratings (Moody''s,S&amp;P)'!C155</f>
        <v>Ba3</v>
      </c>
      <c r="D160" s="21">
        <f t="shared" si="12"/>
        <v>3.9181669972725021E-2</v>
      </c>
      <c r="E160" s="21">
        <f t="shared" si="18"/>
        <v>9.8599024852310854E-2</v>
      </c>
      <c r="F160" s="11">
        <f>IF($E$4="Yes",D160*$E$5,D160)</f>
        <v>5.2599024852310855E-2</v>
      </c>
      <c r="G160" s="11" t="str">
        <f>VLOOKUP(A160,'10-year CDS Spreads'!$A$2:$D$157,4)</f>
        <v>NA</v>
      </c>
      <c r="H160" s="11" t="str">
        <f t="shared" si="19"/>
        <v>NA</v>
      </c>
      <c r="I160" s="11" t="str">
        <f>IF(G160="NA","NA",G160*$E$5)</f>
        <v>NA</v>
      </c>
    </row>
    <row r="161" spans="1:51" s="146" customFormat="1" ht="16">
      <c r="A161" s="148" t="str">
        <f>'Sovereign Ratings (Moody''s,S&amp;P)'!A156</f>
        <v>Venezuela</v>
      </c>
      <c r="B161" s="149" t="str">
        <f>VLOOKUP(A161,'Regional lookup table'!$A$3:$B$161,2)</f>
        <v>Central and South America</v>
      </c>
      <c r="C161" s="150" t="str">
        <f>'Sovereign Ratings (Moody''s,S&amp;P)'!C156</f>
        <v>C</v>
      </c>
      <c r="D161" s="151">
        <f t="shared" si="12"/>
        <v>0.17499999999999999</v>
      </c>
      <c r="E161" s="151">
        <f>$E$3+F161</f>
        <v>0.28092692770782934</v>
      </c>
      <c r="F161" s="152">
        <f>IF($E$4="Yes",D161*$E$5,D161)</f>
        <v>0.23492692770782936</v>
      </c>
      <c r="G161" s="152">
        <f>VLOOKUP(A161,'10-year CDS Spreads'!$A$2:$D$157,4)</f>
        <v>0.1067</v>
      </c>
      <c r="H161" s="152">
        <f>IF(I161="NA","NA",$E$3+I161)</f>
        <v>0.18923830392243085</v>
      </c>
      <c r="I161" s="152">
        <f>IF(G161="NA","NA",G161*$E$5)</f>
        <v>0.14323830392243084</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row>
    <row r="162" spans="1:51" ht="16">
      <c r="A162" s="147" t="str">
        <f>'Sovereign Ratings (Moody''s,S&amp;P)'!A157</f>
        <v>Vietnam</v>
      </c>
      <c r="B162" s="103" t="str">
        <f>VLOOKUP(A162,'Regional lookup table'!$A$3:$B$161,2)</f>
        <v>Asia</v>
      </c>
      <c r="C162" s="9" t="str">
        <f>'Sovereign Ratings (Moody''s,S&amp;P)'!C157</f>
        <v>Ba2</v>
      </c>
      <c r="D162" s="21">
        <f t="shared" si="12"/>
        <v>3.2779436317050999E-2</v>
      </c>
      <c r="E162" s="21">
        <f>$E$3+F162</f>
        <v>9.0004412948338497E-2</v>
      </c>
      <c r="F162" s="11">
        <f>IF($E$4="Yes",D162*$E$5,D162)</f>
        <v>4.4004412948338498E-2</v>
      </c>
      <c r="G162" s="11">
        <f>VLOOKUP(A162,'10-year CDS Spreads'!$A$2:$D$157,4)</f>
        <v>1.26E-2</v>
      </c>
      <c r="H162" s="11">
        <f>IF(I162="NA","NA",$E$3+I162)</f>
        <v>6.2914738794963718E-2</v>
      </c>
      <c r="I162" s="11">
        <f>IF(G162="NA","NA",G162*$E$5)</f>
        <v>1.6914738794963715E-2</v>
      </c>
    </row>
    <row r="163" spans="1:51" ht="16">
      <c r="A163" s="148" t="str">
        <f>'Sovereign Ratings (Moody''s,S&amp;P)'!A158</f>
        <v>Zambia</v>
      </c>
      <c r="B163" s="149" t="str">
        <f>VLOOKUP(A163,'Regional lookup table'!$A$3:$B$161,2)</f>
        <v>Africa</v>
      </c>
      <c r="C163" s="150" t="str">
        <f>'Sovereign Ratings (Moody''s,S&amp;P)'!C158</f>
        <v>Caa3</v>
      </c>
      <c r="D163" s="151">
        <f t="shared" si="12"/>
        <v>0.10896601681957188</v>
      </c>
      <c r="E163" s="151">
        <f>$E$3+F163</f>
        <v>0.19228029460560964</v>
      </c>
      <c r="F163" s="152">
        <f>IF($E$4="Yes",D163*$E$5,D163)</f>
        <v>0.14628029460560962</v>
      </c>
      <c r="G163" s="152" t="str">
        <f>VLOOKUP(A163,'10-year CDS Spreads'!$A$2:$D$158,4)</f>
        <v>NA</v>
      </c>
      <c r="H163" s="152" t="str">
        <f>IF(I163="NA","NA",$E$3+I163)</f>
        <v>NA</v>
      </c>
      <c r="I163" s="152" t="str">
        <f>IF(G163="NA","NA",G163*$E$5)</f>
        <v>NA</v>
      </c>
    </row>
    <row r="164" spans="1:51" ht="16">
      <c r="A164" s="258" t="s">
        <v>372</v>
      </c>
      <c r="B164" s="258"/>
      <c r="C164" s="258"/>
      <c r="D164" s="258"/>
      <c r="E164" s="258"/>
      <c r="F164" s="27"/>
      <c r="G164" s="27"/>
      <c r="H164" s="27"/>
      <c r="I164" s="27"/>
    </row>
    <row r="165" spans="1:51" s="96" customFormat="1" ht="16">
      <c r="A165" s="106" t="s">
        <v>75</v>
      </c>
      <c r="B165" s="106" t="s">
        <v>373</v>
      </c>
      <c r="C165" s="96" t="s">
        <v>311</v>
      </c>
      <c r="D165" s="96" t="s">
        <v>374</v>
      </c>
      <c r="E165" s="96" t="s">
        <v>312</v>
      </c>
      <c r="F165" s="100"/>
      <c r="G165" s="100"/>
      <c r="H165" s="100"/>
      <c r="I165" s="100"/>
      <c r="J165"/>
      <c r="K165"/>
    </row>
    <row r="166" spans="1:51" ht="16">
      <c r="A166" s="46" t="str">
        <f>'PRS Worksheet'!A161</f>
        <v>Algeria</v>
      </c>
      <c r="B166" s="56">
        <f>'PRS Worksheet'!B161</f>
        <v>67.75</v>
      </c>
      <c r="C166" s="93">
        <f>'PRS Worksheet'!E161</f>
        <v>0.11183472718442829</v>
      </c>
      <c r="D166" s="57">
        <f>'PRS Worksheet'!G161</f>
        <v>6.5834727184428288E-2</v>
      </c>
      <c r="E166" s="57">
        <f>'PRS Worksheet'!D161</f>
        <v>4.9041109802463012E-2</v>
      </c>
      <c r="F166" s="27"/>
      <c r="G166" s="27"/>
      <c r="H166" s="27"/>
      <c r="J166" s="96"/>
      <c r="K166" s="96"/>
    </row>
    <row r="167" spans="1:51" ht="16">
      <c r="A167" s="46" t="str">
        <f>'PRS Worksheet'!A162</f>
        <v>Brunei</v>
      </c>
      <c r="B167" s="56">
        <f>'PRS Worksheet'!B162</f>
        <v>81.5</v>
      </c>
      <c r="C167" s="93">
        <f>'PRS Worksheet'!E162</f>
        <v>5.4766504142051808E-2</v>
      </c>
      <c r="D167" s="57">
        <f>'PRS Worksheet'!G162</f>
        <v>8.7665041420518092E-3</v>
      </c>
      <c r="E167" s="57">
        <f>'PRS Worksheet'!D162</f>
        <v>6.5302783287875029E-3</v>
      </c>
      <c r="F167" s="27"/>
      <c r="G167" s="27"/>
      <c r="H167" s="27"/>
    </row>
    <row r="168" spans="1:51" ht="16">
      <c r="A168" s="46" t="str">
        <f>'PRS Worksheet'!A163</f>
        <v>Gambia</v>
      </c>
      <c r="B168" s="56">
        <f>'PRS Worksheet'!B163</f>
        <v>66.75</v>
      </c>
      <c r="C168" s="93">
        <f>'PRS Worksheet'!E163</f>
        <v>0.11183472718442829</v>
      </c>
      <c r="D168" s="57">
        <f>'PRS Worksheet'!G163</f>
        <v>6.5834727184428288E-2</v>
      </c>
      <c r="E168" s="57">
        <f>'PRS Worksheet'!D163</f>
        <v>4.9041109802463012E-2</v>
      </c>
      <c r="F168" s="27"/>
      <c r="G168" s="27"/>
      <c r="H168" s="27"/>
    </row>
    <row r="169" spans="1:51" ht="16">
      <c r="A169" s="46" t="str">
        <f>'PRS Worksheet'!A164</f>
        <v>Guinea</v>
      </c>
      <c r="B169" s="56">
        <f>'PRS Worksheet'!B164</f>
        <v>60</v>
      </c>
      <c r="C169" s="93">
        <f>'PRS Worksheet'!E164</f>
        <v>0.17766945436885656</v>
      </c>
      <c r="D169" s="57">
        <f>'PRS Worksheet'!G164</f>
        <v>0.13166945436885658</v>
      </c>
      <c r="E169" s="57">
        <f>'PRS Worksheet'!D164</f>
        <v>9.8082219604926024E-2</v>
      </c>
      <c r="F169" s="27"/>
      <c r="G169" s="27"/>
      <c r="H169" s="27"/>
    </row>
    <row r="170" spans="1:51" ht="16">
      <c r="A170" s="46" t="str">
        <f>'PRS Worksheet'!A165</f>
        <v>Guinea-Bissau</v>
      </c>
      <c r="B170" s="56">
        <f>'PRS Worksheet'!B165</f>
        <v>65.25</v>
      </c>
      <c r="C170" s="93">
        <f>'PRS Worksheet'!E165</f>
        <v>0.12644556742118129</v>
      </c>
      <c r="D170" s="57">
        <f>'PRS Worksheet'!G165</f>
        <v>8.0445567421181294E-2</v>
      </c>
      <c r="E170" s="57">
        <f>'PRS Worksheet'!D165</f>
        <v>5.9924907017108842E-2</v>
      </c>
      <c r="F170" s="27"/>
      <c r="G170" s="27"/>
      <c r="H170" s="27"/>
    </row>
    <row r="171" spans="1:51" ht="16">
      <c r="A171" s="46" t="str">
        <f>'PRS Worksheet'!A166</f>
        <v>Guyana</v>
      </c>
      <c r="B171" s="56">
        <f>'PRS Worksheet'!B166</f>
        <v>75.25</v>
      </c>
      <c r="C171" s="93">
        <f>'PRS Worksheet'!E166</f>
        <v>6.9377344378804828E-2</v>
      </c>
      <c r="D171" s="57">
        <f>'PRS Worksheet'!G166</f>
        <v>2.3377344378804829E-2</v>
      </c>
      <c r="E171" s="57">
        <f>'PRS Worksheet'!D166</f>
        <v>1.7414075543433345E-2</v>
      </c>
      <c r="F171" s="27"/>
      <c r="G171" s="27"/>
      <c r="H171" s="27"/>
    </row>
    <row r="172" spans="1:51" ht="16">
      <c r="A172" s="46" t="str">
        <f>'PRS Worksheet'!A167</f>
        <v>Haiti</v>
      </c>
      <c r="B172" s="56">
        <f>'PRS Worksheet'!B167</f>
        <v>56.5</v>
      </c>
      <c r="C172" s="93">
        <f>'PRS Worksheet'!E167</f>
        <v>0.19228029460560964</v>
      </c>
      <c r="D172" s="57">
        <f>'PRS Worksheet'!G167</f>
        <v>0.14628029460560965</v>
      </c>
      <c r="E172" s="57">
        <f>'PRS Worksheet'!D167</f>
        <v>0.10896601681957191</v>
      </c>
      <c r="F172" s="27"/>
      <c r="G172" s="27"/>
      <c r="H172" s="27"/>
    </row>
    <row r="173" spans="1:51" ht="16">
      <c r="A173" s="46" t="str">
        <f>'PRS Worksheet'!A168</f>
        <v>Iran</v>
      </c>
      <c r="B173" s="56">
        <f>'PRS Worksheet'!B168</f>
        <v>63</v>
      </c>
      <c r="C173" s="93">
        <f>'PRS Worksheet'!E168</f>
        <v>0.14105640765793431</v>
      </c>
      <c r="D173" s="57">
        <f>'PRS Worksheet'!G168</f>
        <v>9.5056407657934314E-2</v>
      </c>
      <c r="E173" s="57">
        <f>'PRS Worksheet'!D168</f>
        <v>7.0808704231754685E-2</v>
      </c>
      <c r="F173" s="27"/>
      <c r="G173" s="27"/>
      <c r="H173" s="27"/>
    </row>
    <row r="174" spans="1:51" ht="16">
      <c r="A174" s="46" t="str">
        <f>'PRS Worksheet'!A169</f>
        <v>Korea, D.P.R.</v>
      </c>
      <c r="B174" s="56">
        <f>'PRS Worksheet'!B169</f>
        <v>49.25</v>
      </c>
      <c r="C174" s="93">
        <f>'PRS Worksheet'!E169</f>
        <v>0.28092692770782934</v>
      </c>
      <c r="D174" s="57">
        <f>'PRS Worksheet'!G169</f>
        <v>0.23492692770782936</v>
      </c>
      <c r="E174" s="57">
        <f>'PRS Worksheet'!D169</f>
        <v>0.17499999999999999</v>
      </c>
      <c r="F174" s="27"/>
      <c r="G174" s="27"/>
      <c r="H174" s="27"/>
    </row>
    <row r="175" spans="1:51" ht="16">
      <c r="A175" s="46" t="str">
        <f>'PRS Worksheet'!A170</f>
        <v>Liberia</v>
      </c>
      <c r="B175" s="56">
        <f>'PRS Worksheet'!B170</f>
        <v>55</v>
      </c>
      <c r="C175" s="93">
        <f>'PRS Worksheet'!E170</f>
        <v>0.22150197507911562</v>
      </c>
      <c r="D175" s="57">
        <f>'PRS Worksheet'!G170</f>
        <v>0.17550197507911564</v>
      </c>
      <c r="E175" s="57">
        <f>'PRS Worksheet'!D170</f>
        <v>0.13073361124886354</v>
      </c>
      <c r="F175" s="27"/>
      <c r="G175" s="27"/>
      <c r="H175" s="27"/>
    </row>
    <row r="176" spans="1:51" ht="16">
      <c r="A176" s="46" t="str">
        <f>'PRS Worksheet'!A171</f>
        <v>Libya</v>
      </c>
      <c r="B176" s="56">
        <f>'PRS Worksheet'!B171</f>
        <v>73.75</v>
      </c>
      <c r="C176" s="93">
        <f>'PRS Worksheet'!E171</f>
        <v>7.3846542568870452E-2</v>
      </c>
      <c r="D176" s="57">
        <f>'PRS Worksheet'!G171</f>
        <v>2.7846542568870453E-2</v>
      </c>
      <c r="E176" s="57">
        <f>'PRS Worksheet'!D171</f>
        <v>2.0743237044383835E-2</v>
      </c>
      <c r="F176" s="27"/>
      <c r="G176" s="27"/>
      <c r="H176" s="27"/>
    </row>
    <row r="177" spans="1:8" ht="16">
      <c r="A177" s="46" t="str">
        <f>'PRS Worksheet'!A172</f>
        <v>Madagascar</v>
      </c>
      <c r="B177" s="56">
        <f>'PRS Worksheet'!B172</f>
        <v>62.75</v>
      </c>
      <c r="C177" s="93">
        <f>'PRS Worksheet'!E172</f>
        <v>0.14105640765793431</v>
      </c>
      <c r="D177" s="57">
        <f>'PRS Worksheet'!G172</f>
        <v>9.5056407657934314E-2</v>
      </c>
      <c r="E177" s="57">
        <f>'PRS Worksheet'!D172</f>
        <v>7.0808704231754685E-2</v>
      </c>
      <c r="F177" s="27"/>
      <c r="G177" s="27"/>
      <c r="H177" s="27"/>
    </row>
    <row r="178" spans="1:8" ht="16">
      <c r="A178" s="46" t="str">
        <f>'PRS Worksheet'!A173</f>
        <v>Malawi</v>
      </c>
      <c r="B178" s="56">
        <f>'PRS Worksheet'!B173</f>
        <v>52.75</v>
      </c>
      <c r="C178" s="93">
        <f>'PRS Worksheet'!E173</f>
        <v>0.22150197507911562</v>
      </c>
      <c r="D178" s="57">
        <f>'PRS Worksheet'!G173</f>
        <v>0.17550197507911564</v>
      </c>
      <c r="E178" s="57">
        <f>'PRS Worksheet'!D173</f>
        <v>0.13073361124886354</v>
      </c>
      <c r="F178" s="27"/>
      <c r="G178" s="27"/>
      <c r="H178" s="27"/>
    </row>
    <row r="179" spans="1:8" ht="16">
      <c r="A179" s="46" t="str">
        <f>'PRS Worksheet'!A174</f>
        <v>Myanmar</v>
      </c>
      <c r="B179" s="56">
        <f>'PRS Worksheet'!B174</f>
        <v>57</v>
      </c>
      <c r="C179" s="93">
        <f>'PRS Worksheet'!E174</f>
        <v>0.19228029460560964</v>
      </c>
      <c r="D179" s="57">
        <f>'PRS Worksheet'!G174</f>
        <v>0.14628029460560965</v>
      </c>
      <c r="E179" s="57">
        <f>'PRS Worksheet'!D174</f>
        <v>0.10896601681957191</v>
      </c>
      <c r="F179" s="27"/>
      <c r="G179" s="27"/>
      <c r="H179" s="27"/>
    </row>
    <row r="180" spans="1:8" ht="16">
      <c r="A180" s="46" t="str">
        <f>'PRS Worksheet'!A175</f>
        <v>Russia</v>
      </c>
      <c r="B180" s="56">
        <f>'PRS Worksheet'!B175</f>
        <v>66.75</v>
      </c>
      <c r="C180" s="93">
        <f>'PRS Worksheet'!E175</f>
        <v>0.11183472718442829</v>
      </c>
      <c r="D180" s="57">
        <f>'PRS Worksheet'!G175</f>
        <v>6.5834727184428288E-2</v>
      </c>
      <c r="E180" s="57">
        <f>'PRS Worksheet'!D175</f>
        <v>4.9041109802463012E-2</v>
      </c>
      <c r="F180" s="27"/>
      <c r="G180" s="27"/>
      <c r="H180" s="27"/>
    </row>
    <row r="181" spans="1:8" ht="16">
      <c r="A181" s="46" t="str">
        <f>'PRS Worksheet'!A176</f>
        <v>Sierra Leone</v>
      </c>
      <c r="B181" s="56">
        <f>'PRS Worksheet'!B176</f>
        <v>56.25</v>
      </c>
      <c r="C181" s="93">
        <f>'PRS Worksheet'!E176</f>
        <v>0.19228029460560964</v>
      </c>
      <c r="D181" s="57">
        <f>'PRS Worksheet'!G176</f>
        <v>0.14628029460560965</v>
      </c>
      <c r="E181" s="57">
        <f>'PRS Worksheet'!D176</f>
        <v>0.10896601681957191</v>
      </c>
      <c r="F181" s="27"/>
      <c r="G181" s="27"/>
      <c r="H181" s="27"/>
    </row>
    <row r="182" spans="1:8" ht="16">
      <c r="A182" s="46" t="str">
        <f>'PRS Worksheet'!A177</f>
        <v>Somalia</v>
      </c>
      <c r="B182" s="56">
        <f>'PRS Worksheet'!B177</f>
        <v>51.75</v>
      </c>
      <c r="C182" s="93">
        <f>'PRS Worksheet'!E177</f>
        <v>0.22150197507911562</v>
      </c>
      <c r="D182" s="57">
        <f>'PRS Worksheet'!G177</f>
        <v>0.17550197507911564</v>
      </c>
      <c r="E182" s="57">
        <f>'PRS Worksheet'!D177</f>
        <v>0.13073361124886354</v>
      </c>
      <c r="F182" s="27"/>
      <c r="G182" s="27"/>
      <c r="H182" s="27"/>
    </row>
    <row r="183" spans="1:8" ht="16">
      <c r="A183" s="46" t="str">
        <f>'PRS Worksheet'!A178</f>
        <v>Sudan</v>
      </c>
      <c r="B183" s="56">
        <f>'PRS Worksheet'!B178</f>
        <v>44.75</v>
      </c>
      <c r="C183" s="93">
        <f>'PRS Worksheet'!E178</f>
        <v>0.28092692770782934</v>
      </c>
      <c r="D183" s="57">
        <f>'PRS Worksheet'!G178</f>
        <v>0.23492692770782936</v>
      </c>
      <c r="E183" s="57">
        <f>'PRS Worksheet'!D178</f>
        <v>0.17499999999999999</v>
      </c>
      <c r="F183" s="27"/>
      <c r="G183" s="27"/>
      <c r="H183" s="27"/>
    </row>
    <row r="184" spans="1:8" ht="16">
      <c r="A184" s="46" t="str">
        <f>'PRS Worksheet'!A179</f>
        <v>Syria</v>
      </c>
      <c r="B184" s="56">
        <f>'PRS Worksheet'!B179</f>
        <v>45</v>
      </c>
      <c r="C184" s="93">
        <f>'PRS Worksheet'!E179</f>
        <v>0.28092692770782934</v>
      </c>
      <c r="D184" s="57">
        <f>'PRS Worksheet'!G179</f>
        <v>0.23492692770782936</v>
      </c>
      <c r="E184" s="57">
        <f>'PRS Worksheet'!D179</f>
        <v>0.17499999999999999</v>
      </c>
      <c r="F184" s="27"/>
      <c r="G184" s="27"/>
      <c r="H184" s="27"/>
    </row>
    <row r="185" spans="1:8" ht="16">
      <c r="A185" s="46" t="str">
        <f>'PRS Worksheet'!A180</f>
        <v>Yemen, Republic</v>
      </c>
      <c r="B185" s="56">
        <f>'PRS Worksheet'!B180</f>
        <v>55.75</v>
      </c>
      <c r="C185" s="93">
        <f>'PRS Worksheet'!E180</f>
        <v>0.19228029460560964</v>
      </c>
      <c r="D185" s="57">
        <f>'PRS Worksheet'!G180</f>
        <v>0.14628029460560965</v>
      </c>
      <c r="E185" s="57">
        <f>'PRS Worksheet'!D180</f>
        <v>0.10896601681957191</v>
      </c>
      <c r="F185" s="27"/>
      <c r="G185" s="27"/>
      <c r="H185" s="27"/>
    </row>
    <row r="186" spans="1:8" ht="16">
      <c r="A186" s="46" t="str">
        <f>'PRS Worksheet'!A181</f>
        <v>Zimbabwe</v>
      </c>
      <c r="B186" s="56">
        <f>'PRS Worksheet'!B181</f>
        <v>57.5</v>
      </c>
      <c r="C186" s="93">
        <f>'PRS Worksheet'!E181</f>
        <v>0.17766945436885656</v>
      </c>
      <c r="D186" s="57">
        <f>'PRS Worksheet'!G181</f>
        <v>0.13166945436885658</v>
      </c>
      <c r="E186" s="57">
        <f>'PRS Worksheet'!D181</f>
        <v>9.8082219604926024E-2</v>
      </c>
      <c r="F186" s="27"/>
      <c r="G186" s="27"/>
      <c r="H186" s="27"/>
    </row>
    <row r="187" spans="1:8" ht="16">
      <c r="A187" s="91"/>
      <c r="B187" s="107"/>
      <c r="C187" s="92"/>
      <c r="D187" s="26"/>
      <c r="E187" s="27"/>
    </row>
    <row r="188" spans="1:8">
      <c r="B188" s="17" t="s">
        <v>39</v>
      </c>
      <c r="C188" s="17" t="s">
        <v>40</v>
      </c>
    </row>
    <row r="189" spans="1:8">
      <c r="B189" s="4" t="s">
        <v>41</v>
      </c>
      <c r="C189" s="128">
        <f>'Default Spreads for Ratings'!C2</f>
        <v>76.826803868088277</v>
      </c>
    </row>
    <row r="190" spans="1:8">
      <c r="B190" s="4" t="s">
        <v>42</v>
      </c>
      <c r="C190" s="128">
        <f>'Default Spreads for Ratings'!C3</f>
        <v>92.192164641705929</v>
      </c>
    </row>
    <row r="191" spans="1:8">
      <c r="B191" s="4" t="s">
        <v>43</v>
      </c>
      <c r="C191" s="128">
        <f>'Default Spreads for Ratings'!C4</f>
        <v>130.60556657575006</v>
      </c>
    </row>
    <row r="192" spans="1:8">
      <c r="B192" s="4" t="s">
        <v>44</v>
      </c>
      <c r="C192" s="128">
        <f>'Default Spreads for Ratings'!C5</f>
        <v>43.535188858583354</v>
      </c>
    </row>
    <row r="193" spans="2:3">
      <c r="B193" s="4" t="s">
        <v>45</v>
      </c>
      <c r="C193" s="128">
        <f>'Default Spreads for Ratings'!C6</f>
        <v>53.778762707661791</v>
      </c>
    </row>
    <row r="194" spans="2:3">
      <c r="B194" s="4" t="s">
        <v>46</v>
      </c>
      <c r="C194" s="128">
        <f>'Default Spreads for Ratings'!C7</f>
        <v>65.30278328787503</v>
      </c>
    </row>
    <row r="195" spans="2:3">
      <c r="B195" s="4" t="s">
        <v>47</v>
      </c>
      <c r="C195" s="128">
        <f>'Default Spreads for Ratings'!C8</f>
        <v>0</v>
      </c>
    </row>
    <row r="196" spans="2:3">
      <c r="B196" s="4" t="s">
        <v>48</v>
      </c>
      <c r="C196" s="128">
        <f>'Default Spreads for Ratings'!C9</f>
        <v>490.41109802463012</v>
      </c>
    </row>
    <row r="197" spans="2:3">
      <c r="B197" s="4" t="s">
        <v>49</v>
      </c>
      <c r="C197" s="128">
        <f>'Default Spreads for Ratings'!C10</f>
        <v>599.24907017108853</v>
      </c>
    </row>
    <row r="198" spans="2:3">
      <c r="B198" s="4" t="s">
        <v>78</v>
      </c>
      <c r="C198" s="128">
        <f>'Default Spreads for Ratings'!C11</f>
        <v>708.08704231754689</v>
      </c>
    </row>
    <row r="199" spans="2:3">
      <c r="B199" s="4" t="s">
        <v>79</v>
      </c>
      <c r="C199" s="128">
        <f>'Default Spreads for Ratings'!C12</f>
        <v>272.73515373171341</v>
      </c>
    </row>
    <row r="200" spans="2:3">
      <c r="B200" s="4" t="s">
        <v>80</v>
      </c>
      <c r="C200" s="128">
        <f>'Default Spreads for Ratings'!C13</f>
        <v>327.79436317051</v>
      </c>
    </row>
    <row r="201" spans="2:3">
      <c r="B201" s="4" t="s">
        <v>81</v>
      </c>
      <c r="C201" s="128">
        <f>'Default Spreads for Ratings'!C14</f>
        <v>391.81669972725018</v>
      </c>
    </row>
    <row r="202" spans="2:3">
      <c r="B202" s="4" t="s">
        <v>82</v>
      </c>
      <c r="C202" s="128">
        <f>'Default Spreads for Ratings'!C15</f>
        <v>174.14075543433341</v>
      </c>
    </row>
    <row r="203" spans="2:3">
      <c r="B203" s="4" t="s">
        <v>83</v>
      </c>
      <c r="C203" s="128">
        <f>'Default Spreads for Ratings'!C16</f>
        <v>207.43237044383835</v>
      </c>
    </row>
    <row r="204" spans="2:3">
      <c r="B204" s="4" t="s">
        <v>124</v>
      </c>
      <c r="C204" s="128">
        <f>'Default Spreads for Ratings'!C17</f>
        <v>239.44353872220847</v>
      </c>
    </row>
    <row r="205" spans="2:3">
      <c r="B205" s="4" t="s">
        <v>137</v>
      </c>
      <c r="C205" s="128">
        <v>1750</v>
      </c>
    </row>
    <row r="206" spans="2:3">
      <c r="B206" s="4" t="s">
        <v>345</v>
      </c>
      <c r="C206" s="128">
        <f>'Default Spreads for Ratings'!C18</f>
        <v>1307.3361124886355</v>
      </c>
    </row>
    <row r="207" spans="2:3">
      <c r="B207" s="4" t="s">
        <v>100</v>
      </c>
      <c r="C207" s="128">
        <f>'Default Spreads for Ratings'!C19</f>
        <v>816.92501446400524</v>
      </c>
    </row>
    <row r="208" spans="2:3">
      <c r="B208" s="4" t="s">
        <v>58</v>
      </c>
      <c r="C208" s="128">
        <f>'Default Spreads for Ratings'!C20</f>
        <v>980.82219604926024</v>
      </c>
    </row>
    <row r="209" spans="2:3">
      <c r="B209" s="4" t="s">
        <v>62</v>
      </c>
      <c r="C209" s="128">
        <f>'Default Spreads for Ratings'!C21</f>
        <v>1089.6601681957188</v>
      </c>
    </row>
    <row r="210" spans="2:3">
      <c r="B210" s="4" t="s">
        <v>276</v>
      </c>
      <c r="C210" s="4" t="s">
        <v>143</v>
      </c>
    </row>
  </sheetData>
  <mergeCells count="1">
    <mergeCell ref="A164:E164"/>
  </mergeCells>
  <phoneticPr fontId="9"/>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25"/>
  <sheetViews>
    <sheetView workbookViewId="0">
      <selection activeCell="O23" sqref="O23"/>
    </sheetView>
  </sheetViews>
  <sheetFormatPr baseColWidth="10" defaultRowHeight="13"/>
  <cols>
    <col min="1" max="1" width="31.33203125" customWidth="1"/>
    <col min="2" max="2" width="12.5" bestFit="1" customWidth="1"/>
    <col min="3" max="3" width="15.5" customWidth="1"/>
    <col min="4" max="4" width="8" bestFit="1" customWidth="1"/>
    <col min="6" max="6" width="20" customWidth="1"/>
    <col min="15" max="15" width="13.5" customWidth="1"/>
  </cols>
  <sheetData>
    <row r="1" spans="1:19" ht="13" customHeight="1">
      <c r="A1" s="4" t="s">
        <v>293</v>
      </c>
      <c r="B1" s="4" t="s">
        <v>520</v>
      </c>
      <c r="C1" s="4" t="s">
        <v>592</v>
      </c>
      <c r="D1" s="4" t="s">
        <v>521</v>
      </c>
      <c r="J1" s="259" t="s">
        <v>593</v>
      </c>
      <c r="K1" s="260"/>
      <c r="L1" s="260"/>
      <c r="M1" s="260"/>
      <c r="N1" s="260"/>
      <c r="O1" s="260"/>
      <c r="P1" s="260"/>
      <c r="Q1" s="260"/>
      <c r="R1" s="260"/>
      <c r="S1" s="261"/>
    </row>
    <row r="2" spans="1:19" ht="13" customHeight="1">
      <c r="A2" s="4">
        <v>2019</v>
      </c>
      <c r="B2" s="72">
        <f>STDEV(I16:I275)*(260^0.5)</f>
        <v>0.10699848974672005</v>
      </c>
      <c r="C2" s="72">
        <f>STDEV(C16:C266)*(260^0.5)</f>
        <v>5.6072964225887555E-2</v>
      </c>
      <c r="D2" s="207">
        <f t="shared" ref="D2:D7" si="0">B2/C2</f>
        <v>1.9082010595281029</v>
      </c>
      <c r="E2" s="23"/>
      <c r="F2" s="223">
        <f>STDEV(C16:C265)*(260^0.5)</f>
        <v>5.6183186613063624E-2</v>
      </c>
      <c r="J2" s="262"/>
      <c r="K2" s="263"/>
      <c r="L2" s="263"/>
      <c r="M2" s="263"/>
      <c r="N2" s="263"/>
      <c r="O2" s="263"/>
      <c r="P2" s="263"/>
      <c r="Q2" s="263"/>
      <c r="R2" s="263"/>
      <c r="S2" s="264"/>
    </row>
    <row r="3" spans="1:19" ht="13" customHeight="1">
      <c r="A3" s="4">
        <v>2020</v>
      </c>
      <c r="B3" s="72">
        <f>STDEV(I276:I537)*(260^0.5)</f>
        <v>0.22918086105991806</v>
      </c>
      <c r="C3" s="72">
        <f>STDEV(C267:C519)*(260^0.5)</f>
        <v>0.19394439923125728</v>
      </c>
      <c r="D3" s="207">
        <f t="shared" si="0"/>
        <v>1.1816833173235655</v>
      </c>
      <c r="E3" s="23"/>
      <c r="J3" s="262"/>
      <c r="K3" s="263"/>
      <c r="L3" s="263"/>
      <c r="M3" s="263"/>
      <c r="N3" s="263"/>
      <c r="O3" s="263"/>
      <c r="P3" s="263"/>
      <c r="Q3" s="263"/>
      <c r="R3" s="263"/>
      <c r="S3" s="264"/>
    </row>
    <row r="4" spans="1:19" ht="13" customHeight="1">
      <c r="A4" s="4">
        <v>2021</v>
      </c>
      <c r="B4" s="72">
        <f>STDEV(I538:I798)*(260^0.5)</f>
        <v>0.14287884625137667</v>
      </c>
      <c r="C4" s="72">
        <f>STDEV(C520:C771)*(260^0.5)</f>
        <v>7.0209839847951511E-2</v>
      </c>
      <c r="D4" s="207">
        <f t="shared" si="0"/>
        <v>2.0350259530686765</v>
      </c>
      <c r="E4" s="79"/>
      <c r="J4" s="262"/>
      <c r="K4" s="263"/>
      <c r="L4" s="263"/>
      <c r="M4" s="263"/>
      <c r="N4" s="263"/>
      <c r="O4" s="263"/>
      <c r="P4" s="263"/>
      <c r="Q4" s="263"/>
      <c r="R4" s="263"/>
      <c r="S4" s="264"/>
    </row>
    <row r="5" spans="1:19" ht="14" customHeight="1">
      <c r="A5" s="4">
        <v>2022</v>
      </c>
      <c r="B5" s="72">
        <f>STDEV(I799:I1058)*(260^0.5)</f>
        <v>0.18670507814633716</v>
      </c>
      <c r="C5" s="72">
        <f>STDEV(C772:C1022)*(260^0.5)</f>
        <v>0.15803109775144505</v>
      </c>
      <c r="D5" s="207">
        <f t="shared" si="0"/>
        <v>1.1814451763158109</v>
      </c>
      <c r="J5" s="262"/>
      <c r="K5" s="263"/>
      <c r="L5" s="263"/>
      <c r="M5" s="263"/>
      <c r="N5" s="263"/>
      <c r="O5" s="263"/>
      <c r="P5" s="263"/>
      <c r="Q5" s="263"/>
      <c r="R5" s="263"/>
      <c r="S5" s="264"/>
    </row>
    <row r="6" spans="1:19" ht="13" customHeight="1">
      <c r="A6" s="4">
        <v>2023</v>
      </c>
      <c r="B6" s="72">
        <f>STDEV(I1059:I1318)*(260^0.5)</f>
        <v>0.11162814740976974</v>
      </c>
      <c r="C6" s="72">
        <f>STDEV(C1023:C1272)*(260^0.5)</f>
        <v>0.10083027037646163</v>
      </c>
      <c r="D6" s="207">
        <f t="shared" si="0"/>
        <v>1.1070896368024501</v>
      </c>
      <c r="J6" s="262"/>
      <c r="K6" s="263"/>
      <c r="L6" s="263"/>
      <c r="M6" s="263"/>
      <c r="N6" s="263"/>
      <c r="O6" s="263"/>
      <c r="P6" s="263"/>
      <c r="Q6" s="263"/>
      <c r="R6" s="263"/>
      <c r="S6" s="264"/>
    </row>
    <row r="7" spans="1:19" ht="13" customHeight="1" thickBot="1">
      <c r="A7" s="15" t="s">
        <v>522</v>
      </c>
      <c r="B7" s="215">
        <f>AVERAGE(B2:B6)</f>
        <v>0.15547828452282436</v>
      </c>
      <c r="C7" s="215">
        <f>AVERAGE(C2:C6)</f>
        <v>0.11581771428660062</v>
      </c>
      <c r="D7" s="208">
        <f t="shared" si="0"/>
        <v>1.3424395869018821</v>
      </c>
      <c r="J7" s="265"/>
      <c r="K7" s="266"/>
      <c r="L7" s="266"/>
      <c r="M7" s="266"/>
      <c r="N7" s="266"/>
      <c r="O7" s="266"/>
      <c r="P7" s="266"/>
      <c r="Q7" s="266"/>
      <c r="R7" s="266"/>
      <c r="S7" s="267"/>
    </row>
    <row r="9" spans="1:19" ht="14">
      <c r="A9" t="s">
        <v>360</v>
      </c>
      <c r="B9" s="224" t="s">
        <v>589</v>
      </c>
      <c r="G9" t="s">
        <v>360</v>
      </c>
      <c r="H9" t="s">
        <v>367</v>
      </c>
    </row>
    <row r="10" spans="1:19">
      <c r="A10" t="s">
        <v>253</v>
      </c>
      <c r="B10" t="s">
        <v>591</v>
      </c>
      <c r="G10" t="s">
        <v>253</v>
      </c>
      <c r="H10" t="s">
        <v>366</v>
      </c>
    </row>
    <row r="11" spans="1:19">
      <c r="B11" s="101" t="s">
        <v>590</v>
      </c>
      <c r="H11" s="101" t="s">
        <v>523</v>
      </c>
    </row>
    <row r="12" spans="1:19" ht="16">
      <c r="A12" t="s">
        <v>361</v>
      </c>
      <c r="B12" t="s">
        <v>524</v>
      </c>
      <c r="C12" t="s">
        <v>527</v>
      </c>
      <c r="G12" t="s">
        <v>361</v>
      </c>
      <c r="H12" s="209" t="s">
        <v>524</v>
      </c>
      <c r="I12" t="s">
        <v>527</v>
      </c>
      <c r="J12" s="209"/>
    </row>
    <row r="13" spans="1:19">
      <c r="A13" t="s">
        <v>362</v>
      </c>
      <c r="B13" t="s">
        <v>363</v>
      </c>
      <c r="G13" t="s">
        <v>362</v>
      </c>
      <c r="H13" t="s">
        <v>363</v>
      </c>
    </row>
    <row r="14" spans="1:19" ht="28">
      <c r="A14" t="s">
        <v>588</v>
      </c>
      <c r="B14" t="s">
        <v>610</v>
      </c>
      <c r="C14" s="225" t="s">
        <v>365</v>
      </c>
      <c r="G14" s="80" t="s">
        <v>364</v>
      </c>
      <c r="H14" s="77" t="s">
        <v>487</v>
      </c>
      <c r="I14" s="77" t="s">
        <v>365</v>
      </c>
      <c r="J14" s="77"/>
      <c r="K14" s="77"/>
    </row>
    <row r="15" spans="1:19" ht="16">
      <c r="A15" s="233">
        <v>42005</v>
      </c>
      <c r="B15">
        <v>83.126052999999999</v>
      </c>
      <c r="D15" s="210"/>
      <c r="G15" s="81">
        <v>42004</v>
      </c>
      <c r="H15" s="82">
        <v>252.74</v>
      </c>
      <c r="I15" s="211"/>
      <c r="J15" s="77"/>
      <c r="K15" s="212"/>
    </row>
    <row r="16" spans="1:19" ht="17" thickBot="1">
      <c r="A16" s="233">
        <v>42006</v>
      </c>
      <c r="B16">
        <v>83.478012000000007</v>
      </c>
      <c r="C16" s="47">
        <f>B16/B15-1</f>
        <v>4.2340395976698808E-3</v>
      </c>
      <c r="D16" s="210"/>
      <c r="G16" s="81">
        <v>42005</v>
      </c>
      <c r="H16" s="82">
        <v>250.55</v>
      </c>
      <c r="I16" s="211">
        <f t="shared" ref="I16:I79" si="1">H16/H15-1</f>
        <v>-8.6650312574186872E-3</v>
      </c>
      <c r="J16" s="77"/>
      <c r="K16" s="212"/>
    </row>
    <row r="17" spans="1:15" ht="17" thickBot="1">
      <c r="A17" s="233">
        <v>42007</v>
      </c>
      <c r="B17">
        <v>84.109993000000003</v>
      </c>
      <c r="C17" s="47">
        <f t="shared" ref="C17:C80" si="2">B17/B16-1</f>
        <v>7.5706282991021556E-3</v>
      </c>
      <c r="D17" s="213"/>
      <c r="G17" s="81">
        <v>42006</v>
      </c>
      <c r="H17" s="82">
        <v>249.51</v>
      </c>
      <c r="I17" s="211">
        <f t="shared" si="1"/>
        <v>-4.1508680902015982E-3</v>
      </c>
      <c r="J17" s="77"/>
      <c r="K17" s="77"/>
    </row>
    <row r="18" spans="1:15" ht="16">
      <c r="A18" s="233">
        <v>42010</v>
      </c>
      <c r="B18">
        <v>84.470023999999995</v>
      </c>
      <c r="C18" s="47">
        <f t="shared" si="2"/>
        <v>4.2804783017873493E-3</v>
      </c>
      <c r="G18" s="81">
        <v>42007</v>
      </c>
      <c r="H18" s="82">
        <v>253.63</v>
      </c>
      <c r="I18" s="211">
        <f t="shared" si="1"/>
        <v>1.6512364233898458E-2</v>
      </c>
      <c r="J18" s="77"/>
      <c r="K18" s="77"/>
      <c r="L18" s="25"/>
      <c r="M18" s="25"/>
      <c r="N18" s="25"/>
      <c r="O18" s="25"/>
    </row>
    <row r="19" spans="1:15" ht="16">
      <c r="A19" s="233">
        <v>42011</v>
      </c>
      <c r="B19">
        <v>84.405997999999997</v>
      </c>
      <c r="C19" s="47">
        <f t="shared" si="2"/>
        <v>-7.5797302958025004E-4</v>
      </c>
      <c r="G19" s="81">
        <v>42010</v>
      </c>
      <c r="H19" s="82">
        <v>256.58999999999997</v>
      </c>
      <c r="I19" s="211">
        <f t="shared" si="1"/>
        <v>1.167054370539744E-2</v>
      </c>
      <c r="J19" s="77"/>
      <c r="K19" s="77"/>
      <c r="L19" s="25"/>
      <c r="M19" s="214"/>
      <c r="N19" s="214"/>
      <c r="O19" s="126"/>
    </row>
    <row r="20" spans="1:15" ht="16">
      <c r="A20" s="233">
        <v>42012</v>
      </c>
      <c r="B20">
        <v>84.558006000000006</v>
      </c>
      <c r="C20" s="47">
        <f t="shared" si="2"/>
        <v>1.8009146695949774E-3</v>
      </c>
      <c r="G20" s="81">
        <v>42011</v>
      </c>
      <c r="H20" s="82">
        <v>256.27</v>
      </c>
      <c r="I20" s="211">
        <f t="shared" si="1"/>
        <v>-1.2471257648388745E-3</v>
      </c>
      <c r="J20" s="77"/>
      <c r="K20" s="77"/>
      <c r="L20" s="25"/>
      <c r="M20" s="214"/>
      <c r="N20" s="214"/>
      <c r="O20" s="126"/>
    </row>
    <row r="21" spans="1:15" ht="16">
      <c r="A21" s="233">
        <v>42013</v>
      </c>
      <c r="B21">
        <v>84.405997999999997</v>
      </c>
      <c r="C21" s="47">
        <f t="shared" si="2"/>
        <v>-1.7976772063429403E-3</v>
      </c>
      <c r="G21" s="81">
        <v>42012</v>
      </c>
      <c r="H21" s="82">
        <v>260.38</v>
      </c>
      <c r="I21" s="211">
        <f t="shared" si="1"/>
        <v>1.6037772661646077E-2</v>
      </c>
      <c r="J21" s="77"/>
      <c r="K21" s="77"/>
      <c r="L21" s="25"/>
      <c r="M21" s="214"/>
      <c r="N21" s="214"/>
      <c r="O21" s="126"/>
    </row>
    <row r="22" spans="1:15" ht="16">
      <c r="A22" s="233">
        <v>42014</v>
      </c>
      <c r="B22">
        <v>84.414017000000001</v>
      </c>
      <c r="C22" s="47">
        <f t="shared" si="2"/>
        <v>9.5005096675704337E-5</v>
      </c>
      <c r="G22" s="81">
        <v>42013</v>
      </c>
      <c r="H22" s="82">
        <v>261.42</v>
      </c>
      <c r="I22" s="211">
        <f t="shared" si="1"/>
        <v>3.9941623780628266E-3</v>
      </c>
      <c r="J22" s="77"/>
      <c r="K22" s="77"/>
      <c r="L22" s="25"/>
      <c r="M22" s="214"/>
      <c r="N22" s="214"/>
      <c r="O22" s="126"/>
    </row>
    <row r="23" spans="1:15" ht="16">
      <c r="A23" s="233">
        <v>42017</v>
      </c>
      <c r="B23">
        <v>84.317993000000001</v>
      </c>
      <c r="C23" s="47">
        <f t="shared" si="2"/>
        <v>-1.1375361985201948E-3</v>
      </c>
      <c r="G23" s="81">
        <v>42014</v>
      </c>
      <c r="H23" s="82">
        <v>261.73</v>
      </c>
      <c r="I23" s="211">
        <f t="shared" si="1"/>
        <v>1.1858312294392714E-3</v>
      </c>
      <c r="J23" s="77"/>
      <c r="K23" s="77"/>
      <c r="L23" s="25"/>
      <c r="M23" s="214"/>
      <c r="N23" s="214"/>
      <c r="O23" s="126"/>
    </row>
    <row r="24" spans="1:15" ht="16">
      <c r="A24" s="233">
        <v>42018</v>
      </c>
      <c r="B24">
        <v>84.606018000000006</v>
      </c>
      <c r="C24" s="47">
        <f t="shared" si="2"/>
        <v>3.4159375686280136E-3</v>
      </c>
      <c r="G24" s="81">
        <v>42017</v>
      </c>
      <c r="H24" s="82">
        <v>259.89</v>
      </c>
      <c r="I24" s="211">
        <f t="shared" si="1"/>
        <v>-7.0301455698621451E-3</v>
      </c>
      <c r="J24" s="77"/>
      <c r="K24" s="77"/>
      <c r="O24" s="126"/>
    </row>
    <row r="25" spans="1:15" ht="16">
      <c r="A25" s="233">
        <v>42019</v>
      </c>
      <c r="B25">
        <v>84.677993999999998</v>
      </c>
      <c r="C25" s="47">
        <f t="shared" si="2"/>
        <v>8.5071962611449337E-4</v>
      </c>
      <c r="G25" s="81">
        <v>42018</v>
      </c>
      <c r="H25" s="82">
        <v>262.45999999999998</v>
      </c>
      <c r="I25" s="211">
        <f t="shared" si="1"/>
        <v>9.8887991073146608E-3</v>
      </c>
      <c r="J25" s="77"/>
      <c r="K25" s="77"/>
    </row>
    <row r="26" spans="1:15" ht="16">
      <c r="A26" s="233">
        <v>42020</v>
      </c>
      <c r="B26">
        <v>84.966010999999995</v>
      </c>
      <c r="C26" s="47">
        <f t="shared" si="2"/>
        <v>3.4013205367147137E-3</v>
      </c>
      <c r="G26" s="81">
        <v>42019</v>
      </c>
      <c r="H26" s="82">
        <v>263.41000000000003</v>
      </c>
      <c r="I26" s="211">
        <f t="shared" si="1"/>
        <v>3.6195991770175961E-3</v>
      </c>
      <c r="J26" s="77"/>
      <c r="K26" s="77"/>
    </row>
    <row r="27" spans="1:15" ht="16">
      <c r="A27" s="233">
        <v>42021</v>
      </c>
      <c r="B27">
        <v>85.373985000000005</v>
      </c>
      <c r="C27" s="47">
        <f t="shared" si="2"/>
        <v>4.8016141419184866E-3</v>
      </c>
      <c r="G27" s="81">
        <v>42020</v>
      </c>
      <c r="H27" s="82">
        <v>263.2</v>
      </c>
      <c r="I27" s="211">
        <f t="shared" si="1"/>
        <v>-7.9723624767491508E-4</v>
      </c>
      <c r="J27" s="77"/>
      <c r="K27" s="77"/>
    </row>
    <row r="28" spans="1:15" ht="16">
      <c r="A28" s="233">
        <v>42025</v>
      </c>
      <c r="B28">
        <v>85.397987000000001</v>
      </c>
      <c r="C28" s="47">
        <f t="shared" si="2"/>
        <v>2.8113950637309593E-4</v>
      </c>
      <c r="G28" s="81">
        <v>42021</v>
      </c>
      <c r="H28" s="82">
        <v>265.39</v>
      </c>
      <c r="I28" s="211">
        <f t="shared" si="1"/>
        <v>8.3206686930090701E-3</v>
      </c>
      <c r="J28" s="77"/>
      <c r="K28" s="77"/>
    </row>
    <row r="29" spans="1:15" ht="16">
      <c r="A29" s="233">
        <v>42026</v>
      </c>
      <c r="B29">
        <v>85.821967999999998</v>
      </c>
      <c r="C29" s="47">
        <f t="shared" si="2"/>
        <v>4.964765738564747E-3</v>
      </c>
      <c r="G29" s="81">
        <v>42024</v>
      </c>
      <c r="H29" s="82">
        <v>265.61</v>
      </c>
      <c r="I29" s="211">
        <f t="shared" si="1"/>
        <v>8.2896868759196884E-4</v>
      </c>
      <c r="J29" s="77"/>
      <c r="K29" s="77"/>
    </row>
    <row r="30" spans="1:15" ht="16">
      <c r="A30" s="233">
        <v>42027</v>
      </c>
      <c r="B30">
        <v>86.237983999999997</v>
      </c>
      <c r="C30" s="47">
        <f t="shared" si="2"/>
        <v>4.8474302057486263E-3</v>
      </c>
      <c r="G30" s="81">
        <v>42025</v>
      </c>
      <c r="H30" s="82">
        <v>263.61</v>
      </c>
      <c r="I30" s="211">
        <f t="shared" si="1"/>
        <v>-7.5298369790294251E-3</v>
      </c>
      <c r="J30" s="77"/>
      <c r="K30" s="77"/>
    </row>
    <row r="31" spans="1:15" ht="16">
      <c r="A31" s="233">
        <v>42028</v>
      </c>
      <c r="B31">
        <v>86.157959000000005</v>
      </c>
      <c r="C31" s="47">
        <f t="shared" si="2"/>
        <v>-9.2795536593237582E-4</v>
      </c>
      <c r="G31" s="81">
        <v>42026</v>
      </c>
      <c r="H31" s="82">
        <v>263.86</v>
      </c>
      <c r="I31" s="211">
        <f t="shared" si="1"/>
        <v>9.4837069913888961E-4</v>
      </c>
      <c r="J31" s="77"/>
      <c r="K31" s="77"/>
    </row>
    <row r="32" spans="1:15" ht="16">
      <c r="A32" s="233">
        <v>42031</v>
      </c>
      <c r="B32">
        <v>85.765975999999995</v>
      </c>
      <c r="C32" s="47">
        <f t="shared" si="2"/>
        <v>-4.5495854886721254E-3</v>
      </c>
      <c r="G32" s="81">
        <v>42027</v>
      </c>
      <c r="H32" s="82">
        <v>265.69</v>
      </c>
      <c r="I32" s="211">
        <f t="shared" si="1"/>
        <v>6.9354960964147505E-3</v>
      </c>
      <c r="J32" s="77"/>
      <c r="K32" s="77"/>
    </row>
    <row r="33" spans="1:11" ht="16">
      <c r="A33" s="233">
        <v>42032</v>
      </c>
      <c r="B33">
        <v>85.837958999999998</v>
      </c>
      <c r="C33" s="47">
        <f t="shared" si="2"/>
        <v>8.3929552670158891E-4</v>
      </c>
      <c r="G33" s="81">
        <v>42028</v>
      </c>
      <c r="H33" s="82">
        <v>268.05</v>
      </c>
      <c r="I33" s="211">
        <f t="shared" si="1"/>
        <v>8.8825322744552349E-3</v>
      </c>
      <c r="J33" s="77"/>
      <c r="K33" s="77"/>
    </row>
    <row r="34" spans="1:11" ht="16">
      <c r="A34" s="233">
        <v>42033</v>
      </c>
      <c r="B34">
        <v>86.445976000000002</v>
      </c>
      <c r="C34" s="47">
        <f t="shared" si="2"/>
        <v>7.0833114752879567E-3</v>
      </c>
      <c r="G34" s="81">
        <v>42031</v>
      </c>
      <c r="H34" s="82">
        <v>266.67</v>
      </c>
      <c r="I34" s="211">
        <f t="shared" si="1"/>
        <v>-5.1482932288752226E-3</v>
      </c>
      <c r="J34" s="77"/>
      <c r="K34" s="77"/>
    </row>
    <row r="35" spans="1:11" ht="16">
      <c r="A35" s="233">
        <v>42034</v>
      </c>
      <c r="B35">
        <v>87.101935999999995</v>
      </c>
      <c r="C35" s="47">
        <f t="shared" si="2"/>
        <v>7.5880917811603776E-3</v>
      </c>
      <c r="G35" s="81">
        <v>42032</v>
      </c>
      <c r="H35" s="82">
        <v>266.91000000000003</v>
      </c>
      <c r="I35" s="211">
        <f t="shared" si="1"/>
        <v>8.9998875014063451E-4</v>
      </c>
      <c r="J35" s="77"/>
      <c r="K35" s="77"/>
    </row>
    <row r="36" spans="1:11" ht="16">
      <c r="A36" s="233">
        <v>42035</v>
      </c>
      <c r="B36">
        <v>87.224022000000005</v>
      </c>
      <c r="C36" s="47">
        <f t="shared" si="2"/>
        <v>1.4016450793929991E-3</v>
      </c>
      <c r="G36" s="81">
        <v>42033</v>
      </c>
      <c r="H36" s="82">
        <v>268.29000000000002</v>
      </c>
      <c r="I36" s="211">
        <f t="shared" si="1"/>
        <v>5.1702821175676483E-3</v>
      </c>
      <c r="J36" s="77"/>
      <c r="K36" s="77"/>
    </row>
    <row r="37" spans="1:11" ht="16">
      <c r="A37" s="233">
        <v>42038</v>
      </c>
      <c r="B37">
        <v>86.926865000000006</v>
      </c>
      <c r="C37" s="47">
        <f t="shared" si="2"/>
        <v>-3.40682524362379E-3</v>
      </c>
      <c r="G37" s="81">
        <v>42034</v>
      </c>
      <c r="H37" s="82">
        <v>272.08999999999997</v>
      </c>
      <c r="I37" s="211">
        <f t="shared" si="1"/>
        <v>1.4163778001416105E-2</v>
      </c>
      <c r="J37" s="77"/>
      <c r="K37" s="77"/>
    </row>
    <row r="38" spans="1:11" ht="16">
      <c r="A38" s="233">
        <v>42039</v>
      </c>
      <c r="B38">
        <v>87.505188000000004</v>
      </c>
      <c r="C38" s="47">
        <f t="shared" si="2"/>
        <v>6.6529835166608819E-3</v>
      </c>
      <c r="G38" s="81">
        <v>42035</v>
      </c>
      <c r="H38" s="82">
        <v>272.5</v>
      </c>
      <c r="I38" s="211">
        <f t="shared" si="1"/>
        <v>1.5068543496639109E-3</v>
      </c>
      <c r="J38" s="77"/>
      <c r="K38" s="77"/>
    </row>
    <row r="39" spans="1:11" ht="16">
      <c r="A39" s="233">
        <v>42040</v>
      </c>
      <c r="B39">
        <v>87.055358999999996</v>
      </c>
      <c r="C39" s="47">
        <f t="shared" si="2"/>
        <v>-5.1405980637400095E-3</v>
      </c>
      <c r="G39" s="81">
        <v>42038</v>
      </c>
      <c r="H39" s="82">
        <v>271.94</v>
      </c>
      <c r="I39" s="211">
        <f t="shared" si="1"/>
        <v>-2.0550458715596909E-3</v>
      </c>
      <c r="J39" s="77"/>
      <c r="K39" s="77"/>
    </row>
    <row r="40" spans="1:11" ht="16">
      <c r="A40" s="233">
        <v>42041</v>
      </c>
      <c r="B40">
        <v>86.894722000000002</v>
      </c>
      <c r="C40" s="47">
        <f t="shared" si="2"/>
        <v>-1.8452281610830124E-3</v>
      </c>
      <c r="G40" s="81">
        <v>42039</v>
      </c>
      <c r="H40" s="82">
        <v>272.94</v>
      </c>
      <c r="I40" s="211">
        <f t="shared" si="1"/>
        <v>3.6772817533279323E-3</v>
      </c>
      <c r="J40" s="77"/>
      <c r="K40" s="77"/>
    </row>
    <row r="41" spans="1:11" ht="16">
      <c r="A41" s="233">
        <v>42042</v>
      </c>
      <c r="B41">
        <v>86.509147999999996</v>
      </c>
      <c r="C41" s="47">
        <f t="shared" si="2"/>
        <v>-4.4372545434923083E-3</v>
      </c>
      <c r="G41" s="81">
        <v>42040</v>
      </c>
      <c r="H41" s="82">
        <v>272.06</v>
      </c>
      <c r="I41" s="211">
        <f t="shared" si="1"/>
        <v>-3.2241518282406512E-3</v>
      </c>
      <c r="J41" s="77"/>
      <c r="K41" s="77"/>
    </row>
    <row r="42" spans="1:11" ht="16">
      <c r="A42" s="233">
        <v>42045</v>
      </c>
      <c r="B42">
        <v>86.308357000000001</v>
      </c>
      <c r="C42" s="47">
        <f t="shared" si="2"/>
        <v>-2.3210377704794283E-3</v>
      </c>
      <c r="G42" s="81">
        <v>42041</v>
      </c>
      <c r="H42" s="82">
        <v>270.48</v>
      </c>
      <c r="I42" s="211">
        <f t="shared" si="1"/>
        <v>-5.8075424538703846E-3</v>
      </c>
      <c r="J42" s="77"/>
      <c r="K42" s="77"/>
    </row>
    <row r="43" spans="1:11" ht="16">
      <c r="A43" s="233">
        <v>42046</v>
      </c>
      <c r="B43">
        <v>86.629645999999994</v>
      </c>
      <c r="C43" s="47">
        <f t="shared" si="2"/>
        <v>3.7225711526405192E-3</v>
      </c>
      <c r="G43" s="81">
        <v>42042</v>
      </c>
      <c r="H43" s="82">
        <v>269.61</v>
      </c>
      <c r="I43" s="211">
        <f t="shared" si="1"/>
        <v>-3.2165039929015204E-3</v>
      </c>
      <c r="J43" s="77"/>
      <c r="K43" s="77"/>
    </row>
    <row r="44" spans="1:11" ht="16">
      <c r="A44" s="233">
        <v>42047</v>
      </c>
      <c r="B44">
        <v>86.637657000000004</v>
      </c>
      <c r="C44" s="47">
        <f t="shared" si="2"/>
        <v>9.2474116770713266E-5</v>
      </c>
      <c r="G44" s="81">
        <v>42045</v>
      </c>
      <c r="H44" s="82">
        <v>269.19</v>
      </c>
      <c r="I44" s="211">
        <f t="shared" si="1"/>
        <v>-1.5578057193724737E-3</v>
      </c>
      <c r="J44" s="77"/>
      <c r="K44" s="77"/>
    </row>
    <row r="45" spans="1:11" ht="16">
      <c r="A45" s="233">
        <v>42048</v>
      </c>
      <c r="B45">
        <v>86.862601999999995</v>
      </c>
      <c r="C45" s="47">
        <f t="shared" si="2"/>
        <v>2.5963883118398368E-3</v>
      </c>
      <c r="G45" s="81">
        <v>42046</v>
      </c>
      <c r="H45" s="82">
        <v>270.82</v>
      </c>
      <c r="I45" s="211">
        <f t="shared" si="1"/>
        <v>6.0552026449718355E-3</v>
      </c>
      <c r="J45" s="77"/>
      <c r="K45" s="77"/>
    </row>
    <row r="46" spans="1:11" ht="16">
      <c r="A46" s="233">
        <v>42049</v>
      </c>
      <c r="B46">
        <v>86.934844999999996</v>
      </c>
      <c r="C46" s="47">
        <f t="shared" si="2"/>
        <v>8.3169279225603354E-4</v>
      </c>
      <c r="G46" s="81">
        <v>42047</v>
      </c>
      <c r="H46" s="82">
        <v>270.64</v>
      </c>
      <c r="I46" s="211">
        <f t="shared" si="1"/>
        <v>-6.6464810575295186E-4</v>
      </c>
      <c r="J46" s="77"/>
      <c r="K46" s="77"/>
    </row>
    <row r="47" spans="1:11" ht="16">
      <c r="A47" s="233">
        <v>42053</v>
      </c>
      <c r="B47">
        <v>86.87867</v>
      </c>
      <c r="C47" s="47">
        <f t="shared" si="2"/>
        <v>-6.4617357976537448E-4</v>
      </c>
      <c r="G47" s="81">
        <v>42048</v>
      </c>
      <c r="H47" s="82">
        <v>269.57</v>
      </c>
      <c r="I47" s="211">
        <f t="shared" si="1"/>
        <v>-3.953591486845931E-3</v>
      </c>
      <c r="J47" s="77"/>
      <c r="K47" s="77"/>
    </row>
    <row r="48" spans="1:11" ht="16">
      <c r="A48" s="233">
        <v>42054</v>
      </c>
      <c r="B48">
        <v>86.886657999999997</v>
      </c>
      <c r="C48" s="47">
        <f t="shared" si="2"/>
        <v>9.1944317287540045E-5</v>
      </c>
      <c r="G48" s="81">
        <v>42049</v>
      </c>
      <c r="H48" s="82">
        <v>267.95999999999998</v>
      </c>
      <c r="I48" s="211">
        <f t="shared" si="1"/>
        <v>-5.9724746819008745E-3</v>
      </c>
      <c r="J48" s="77"/>
      <c r="K48" s="77"/>
    </row>
    <row r="49" spans="1:11" ht="16">
      <c r="A49" s="233">
        <v>42055</v>
      </c>
      <c r="B49">
        <v>86.830444</v>
      </c>
      <c r="C49" s="47">
        <f t="shared" si="2"/>
        <v>-6.4698080572966887E-4</v>
      </c>
      <c r="G49" s="81">
        <v>42052</v>
      </c>
      <c r="H49" s="82">
        <v>269.2</v>
      </c>
      <c r="I49" s="211">
        <f t="shared" si="1"/>
        <v>4.6275563516942064E-3</v>
      </c>
      <c r="J49" s="77"/>
      <c r="K49" s="77"/>
    </row>
    <row r="50" spans="1:11" ht="16">
      <c r="A50" s="233">
        <v>42056</v>
      </c>
      <c r="B50">
        <v>87.368613999999994</v>
      </c>
      <c r="C50" s="47">
        <f t="shared" si="2"/>
        <v>6.1979413579871245E-3</v>
      </c>
      <c r="G50" s="81">
        <v>42053</v>
      </c>
      <c r="H50" s="82">
        <v>269.64999999999998</v>
      </c>
      <c r="I50" s="211">
        <f t="shared" si="1"/>
        <v>1.6716196136701278E-3</v>
      </c>
      <c r="J50" s="77"/>
      <c r="K50" s="77"/>
    </row>
    <row r="51" spans="1:11" ht="16">
      <c r="A51" s="233">
        <v>42059</v>
      </c>
      <c r="B51">
        <v>87.224022000000005</v>
      </c>
      <c r="C51" s="47">
        <f t="shared" si="2"/>
        <v>-1.6549650198180998E-3</v>
      </c>
      <c r="G51" s="81">
        <v>42054</v>
      </c>
      <c r="H51" s="82">
        <v>272.33999999999997</v>
      </c>
      <c r="I51" s="211">
        <f t="shared" si="1"/>
        <v>9.9758946782866342E-3</v>
      </c>
      <c r="J51" s="77"/>
      <c r="K51" s="77"/>
    </row>
    <row r="52" spans="1:11" ht="16">
      <c r="A52" s="233">
        <v>42060</v>
      </c>
      <c r="B52">
        <v>87.481078999999994</v>
      </c>
      <c r="C52" s="47">
        <f t="shared" si="2"/>
        <v>2.9470895070624614E-3</v>
      </c>
      <c r="G52" s="81">
        <v>42055</v>
      </c>
      <c r="H52" s="82">
        <v>272.91000000000003</v>
      </c>
      <c r="I52" s="211">
        <f t="shared" si="1"/>
        <v>2.0929720202689239E-3</v>
      </c>
      <c r="J52" s="77"/>
      <c r="K52" s="77"/>
    </row>
    <row r="53" spans="1:11" ht="16">
      <c r="A53" s="233">
        <v>42061</v>
      </c>
      <c r="B53">
        <v>87.505188000000004</v>
      </c>
      <c r="C53" s="47">
        <f t="shared" si="2"/>
        <v>2.7559102237417754E-4</v>
      </c>
      <c r="G53" s="81">
        <v>42056</v>
      </c>
      <c r="H53" s="82">
        <v>275.04000000000002</v>
      </c>
      <c r="I53" s="211">
        <f t="shared" si="1"/>
        <v>7.804770803561567E-3</v>
      </c>
      <c r="J53" s="77"/>
      <c r="K53" s="77"/>
    </row>
    <row r="54" spans="1:11" ht="16">
      <c r="A54" s="233">
        <v>42062</v>
      </c>
      <c r="B54">
        <v>87.448952000000006</v>
      </c>
      <c r="C54" s="47">
        <f t="shared" si="2"/>
        <v>-6.4265903868465646E-4</v>
      </c>
      <c r="G54" s="81">
        <v>42059</v>
      </c>
      <c r="H54" s="82">
        <v>277.45999999999998</v>
      </c>
      <c r="I54" s="211">
        <f t="shared" si="1"/>
        <v>8.7987201861545739E-3</v>
      </c>
      <c r="J54" s="77"/>
      <c r="K54" s="77"/>
    </row>
    <row r="55" spans="1:11" ht="16">
      <c r="A55" s="233">
        <v>42063</v>
      </c>
      <c r="B55">
        <v>87.136825999999999</v>
      </c>
      <c r="C55" s="47">
        <f t="shared" si="2"/>
        <v>-3.569236598741754E-3</v>
      </c>
      <c r="G55" s="81">
        <v>42060</v>
      </c>
      <c r="H55" s="82">
        <v>276.58999999999997</v>
      </c>
      <c r="I55" s="211">
        <f t="shared" si="1"/>
        <v>-3.1355871116557354E-3</v>
      </c>
      <c r="J55" s="77"/>
      <c r="K55" s="77"/>
    </row>
    <row r="56" spans="1:11" ht="16">
      <c r="A56" s="233">
        <v>42066</v>
      </c>
      <c r="B56">
        <v>87.088440000000006</v>
      </c>
      <c r="C56" s="47">
        <f t="shared" si="2"/>
        <v>-5.5528761169232332E-4</v>
      </c>
      <c r="G56" s="81">
        <v>42061</v>
      </c>
      <c r="H56" s="82">
        <v>275.52999999999997</v>
      </c>
      <c r="I56" s="211">
        <f t="shared" si="1"/>
        <v>-3.8323872880436927E-3</v>
      </c>
      <c r="J56" s="77"/>
      <c r="K56" s="77"/>
    </row>
    <row r="57" spans="1:11" ht="16">
      <c r="A57" s="233">
        <v>42067</v>
      </c>
      <c r="B57">
        <v>87.128769000000005</v>
      </c>
      <c r="C57" s="47">
        <f t="shared" si="2"/>
        <v>4.6308097837099993E-4</v>
      </c>
      <c r="G57" s="81">
        <v>42062</v>
      </c>
      <c r="H57" s="82">
        <v>273.74</v>
      </c>
      <c r="I57" s="211">
        <f t="shared" si="1"/>
        <v>-6.4965702464340191E-3</v>
      </c>
      <c r="J57" s="77"/>
      <c r="K57" s="77"/>
    </row>
    <row r="58" spans="1:11" ht="16">
      <c r="A58" s="233">
        <v>42068</v>
      </c>
      <c r="B58">
        <v>87.056145000000001</v>
      </c>
      <c r="C58" s="47">
        <f t="shared" si="2"/>
        <v>-8.3352491758492686E-4</v>
      </c>
      <c r="G58" s="81">
        <v>42063</v>
      </c>
      <c r="H58" s="82">
        <v>274.06</v>
      </c>
      <c r="I58" s="211">
        <f t="shared" si="1"/>
        <v>1.168992474610997E-3</v>
      </c>
      <c r="J58" s="77"/>
      <c r="K58" s="77"/>
    </row>
    <row r="59" spans="1:11" ht="16">
      <c r="A59" s="233">
        <v>42069</v>
      </c>
      <c r="B59">
        <v>86.854538000000005</v>
      </c>
      <c r="C59" s="47">
        <f t="shared" si="2"/>
        <v>-2.3158273318901745E-3</v>
      </c>
      <c r="G59" s="81">
        <v>42066</v>
      </c>
      <c r="H59" s="82">
        <v>274.85000000000002</v>
      </c>
      <c r="I59" s="211">
        <f t="shared" si="1"/>
        <v>2.8825804568344271E-3</v>
      </c>
      <c r="J59" s="77"/>
      <c r="K59" s="77"/>
    </row>
    <row r="60" spans="1:11" ht="16">
      <c r="A60" s="233">
        <v>42070</v>
      </c>
      <c r="B60">
        <v>87.096512000000004</v>
      </c>
      <c r="C60" s="47">
        <f t="shared" si="2"/>
        <v>2.7859684199804668E-3</v>
      </c>
      <c r="G60" s="81">
        <v>42067</v>
      </c>
      <c r="H60" s="82">
        <v>275.89</v>
      </c>
      <c r="I60" s="211">
        <f t="shared" si="1"/>
        <v>3.7838821175184556E-3</v>
      </c>
      <c r="J60" s="77"/>
      <c r="K60" s="77"/>
    </row>
    <row r="61" spans="1:11" ht="16">
      <c r="A61" s="233">
        <v>42073</v>
      </c>
      <c r="B61">
        <v>87.419112999999996</v>
      </c>
      <c r="C61" s="47">
        <f t="shared" si="2"/>
        <v>3.7039485576642051E-3</v>
      </c>
      <c r="G61" s="81">
        <v>42068</v>
      </c>
      <c r="H61" s="82">
        <v>276.20999999999998</v>
      </c>
      <c r="I61" s="211">
        <f t="shared" si="1"/>
        <v>1.1598825618905906E-3</v>
      </c>
      <c r="J61" s="77"/>
      <c r="K61" s="77"/>
    </row>
    <row r="62" spans="1:11" ht="16">
      <c r="A62" s="233">
        <v>42074</v>
      </c>
      <c r="B62">
        <v>87.693320999999997</v>
      </c>
      <c r="C62" s="47">
        <f t="shared" si="2"/>
        <v>3.1367053564133052E-3</v>
      </c>
      <c r="G62" s="81">
        <v>42069</v>
      </c>
      <c r="H62" s="82">
        <v>272.92</v>
      </c>
      <c r="I62" s="211">
        <f t="shared" si="1"/>
        <v>-1.1911226964990251E-2</v>
      </c>
      <c r="J62" s="77"/>
      <c r="K62" s="77"/>
    </row>
    <row r="63" spans="1:11" ht="16">
      <c r="A63" s="233">
        <v>42075</v>
      </c>
      <c r="B63">
        <v>87.717528999999999</v>
      </c>
      <c r="C63" s="47">
        <f t="shared" si="2"/>
        <v>2.760529504863829E-4</v>
      </c>
      <c r="G63" s="81">
        <v>42070</v>
      </c>
      <c r="H63" s="82">
        <v>270.14999999999998</v>
      </c>
      <c r="I63" s="211">
        <f t="shared" si="1"/>
        <v>-1.0149494357320932E-2</v>
      </c>
      <c r="J63" s="77"/>
      <c r="K63" s="77"/>
    </row>
    <row r="64" spans="1:11" ht="16">
      <c r="A64" s="233">
        <v>42076</v>
      </c>
      <c r="B64">
        <v>87.588463000000004</v>
      </c>
      <c r="C64" s="47">
        <f t="shared" si="2"/>
        <v>-1.4713820768935681E-3</v>
      </c>
      <c r="G64" s="81">
        <v>42073</v>
      </c>
      <c r="H64" s="82">
        <v>273.23</v>
      </c>
      <c r="I64" s="211">
        <f t="shared" si="1"/>
        <v>1.1401073477697699E-2</v>
      </c>
      <c r="J64" s="77"/>
      <c r="K64" s="77"/>
    </row>
    <row r="65" spans="1:11" ht="16">
      <c r="A65" s="233">
        <v>42077</v>
      </c>
      <c r="B65">
        <v>87.943329000000006</v>
      </c>
      <c r="C65" s="47">
        <f t="shared" si="2"/>
        <v>4.0515153234279566E-3</v>
      </c>
      <c r="G65" s="81">
        <v>42074</v>
      </c>
      <c r="H65" s="82">
        <v>275.61</v>
      </c>
      <c r="I65" s="211">
        <f t="shared" si="1"/>
        <v>8.7106101086995569E-3</v>
      </c>
      <c r="J65" s="77"/>
      <c r="K65" s="77"/>
    </row>
    <row r="66" spans="1:11" ht="16">
      <c r="A66" s="233">
        <v>42080</v>
      </c>
      <c r="B66">
        <v>88.023994000000002</v>
      </c>
      <c r="C66" s="47">
        <f t="shared" si="2"/>
        <v>9.172384183908644E-4</v>
      </c>
      <c r="G66" s="81">
        <v>42075</v>
      </c>
      <c r="H66" s="82">
        <v>275.86</v>
      </c>
      <c r="I66" s="211">
        <f t="shared" si="1"/>
        <v>9.0707884329299659E-4</v>
      </c>
      <c r="J66" s="77"/>
      <c r="K66" s="77"/>
    </row>
    <row r="67" spans="1:11" ht="16">
      <c r="A67" s="233">
        <v>42081</v>
      </c>
      <c r="B67">
        <v>88.088524000000007</v>
      </c>
      <c r="C67" s="47">
        <f t="shared" si="2"/>
        <v>7.3309556937406484E-4</v>
      </c>
      <c r="G67" s="81">
        <v>42076</v>
      </c>
      <c r="H67" s="82">
        <v>275.32</v>
      </c>
      <c r="I67" s="211">
        <f t="shared" si="1"/>
        <v>-1.957514681360184E-3</v>
      </c>
      <c r="J67" s="77"/>
      <c r="K67" s="77"/>
    </row>
    <row r="68" spans="1:11" ht="16">
      <c r="A68" s="233">
        <v>42082</v>
      </c>
      <c r="B68">
        <v>88.870841999999996</v>
      </c>
      <c r="C68" s="47">
        <f t="shared" si="2"/>
        <v>8.8810433468040628E-3</v>
      </c>
      <c r="G68" s="81">
        <v>42077</v>
      </c>
      <c r="H68" s="82">
        <v>277.61</v>
      </c>
      <c r="I68" s="211">
        <f t="shared" si="1"/>
        <v>8.3175940723523301E-3</v>
      </c>
      <c r="J68" s="77"/>
      <c r="K68" s="77"/>
    </row>
    <row r="69" spans="1:11" ht="16">
      <c r="A69" s="233">
        <v>42083</v>
      </c>
      <c r="B69">
        <v>88.846648999999999</v>
      </c>
      <c r="C69" s="47">
        <f t="shared" si="2"/>
        <v>-2.7222651946967602E-4</v>
      </c>
      <c r="G69" s="81">
        <v>42080</v>
      </c>
      <c r="H69" s="82">
        <v>280.8</v>
      </c>
      <c r="I69" s="211">
        <f t="shared" si="1"/>
        <v>1.1490940528078974E-2</v>
      </c>
      <c r="J69" s="77"/>
      <c r="K69" s="77"/>
    </row>
    <row r="70" spans="1:11" ht="16">
      <c r="A70" s="233">
        <v>42084</v>
      </c>
      <c r="B70">
        <v>88.257880999999998</v>
      </c>
      <c r="C70" s="47">
        <f t="shared" si="2"/>
        <v>-6.6267890418691966E-3</v>
      </c>
      <c r="G70" s="81">
        <v>42081</v>
      </c>
      <c r="H70" s="82">
        <v>281.22000000000003</v>
      </c>
      <c r="I70" s="211">
        <f t="shared" si="1"/>
        <v>1.4957264957264904E-3</v>
      </c>
      <c r="J70" s="77"/>
      <c r="K70" s="77"/>
    </row>
    <row r="71" spans="1:11" ht="16">
      <c r="A71" s="233">
        <v>42087</v>
      </c>
      <c r="B71">
        <v>88.749870000000001</v>
      </c>
      <c r="C71" s="47">
        <f t="shared" si="2"/>
        <v>5.5744483600281836E-3</v>
      </c>
      <c r="G71" s="81">
        <v>42082</v>
      </c>
      <c r="H71" s="82">
        <v>280.43</v>
      </c>
      <c r="I71" s="211">
        <f t="shared" si="1"/>
        <v>-2.8091885356661406E-3</v>
      </c>
      <c r="J71" s="77"/>
      <c r="K71" s="77"/>
    </row>
    <row r="72" spans="1:11" ht="16">
      <c r="A72" s="233">
        <v>42088</v>
      </c>
      <c r="B72">
        <v>88.830512999999996</v>
      </c>
      <c r="C72" s="47">
        <f t="shared" si="2"/>
        <v>9.0865485211399921E-4</v>
      </c>
      <c r="G72" s="81">
        <v>42083</v>
      </c>
      <c r="H72" s="82">
        <v>280.19</v>
      </c>
      <c r="I72" s="211">
        <f t="shared" si="1"/>
        <v>-8.5582854901400385E-4</v>
      </c>
      <c r="J72" s="77"/>
      <c r="K72" s="77"/>
    </row>
    <row r="73" spans="1:11" ht="16">
      <c r="A73" s="233">
        <v>42089</v>
      </c>
      <c r="B73">
        <v>88.499847000000003</v>
      </c>
      <c r="C73" s="47">
        <f t="shared" si="2"/>
        <v>-3.7224371314842353E-3</v>
      </c>
      <c r="G73" s="81">
        <v>42084</v>
      </c>
      <c r="H73" s="82">
        <v>277.12</v>
      </c>
      <c r="I73" s="211">
        <f t="shared" si="1"/>
        <v>-1.0956850708447763E-2</v>
      </c>
      <c r="J73" s="77"/>
      <c r="K73" s="77"/>
    </row>
    <row r="74" spans="1:11" ht="16">
      <c r="A74" s="233">
        <v>42090</v>
      </c>
      <c r="B74">
        <v>88.685326000000003</v>
      </c>
      <c r="C74" s="47">
        <f t="shared" si="2"/>
        <v>2.0958115328719717E-3</v>
      </c>
      <c r="G74" s="81">
        <v>42087</v>
      </c>
      <c r="H74" s="82">
        <v>274.82</v>
      </c>
      <c r="I74" s="211">
        <f t="shared" si="1"/>
        <v>-8.299653579676769E-3</v>
      </c>
      <c r="J74" s="77"/>
      <c r="K74" s="77"/>
    </row>
    <row r="75" spans="1:11" ht="16">
      <c r="A75" s="233">
        <v>42091</v>
      </c>
      <c r="B75">
        <v>88.765998999999994</v>
      </c>
      <c r="C75" s="47">
        <f t="shared" si="2"/>
        <v>9.0965443369950272E-4</v>
      </c>
      <c r="G75" s="81">
        <v>42088</v>
      </c>
      <c r="H75" s="82">
        <v>275.76</v>
      </c>
      <c r="I75" s="211">
        <f t="shared" si="1"/>
        <v>3.4204206389636393E-3</v>
      </c>
      <c r="J75" s="77"/>
      <c r="K75" s="77"/>
    </row>
    <row r="76" spans="1:11" ht="16">
      <c r="A76" s="233">
        <v>42094</v>
      </c>
      <c r="B76">
        <v>88.923111000000006</v>
      </c>
      <c r="C76" s="47">
        <f t="shared" si="2"/>
        <v>1.7699569854445762E-3</v>
      </c>
      <c r="G76" s="81">
        <v>42089</v>
      </c>
      <c r="H76" s="82">
        <v>274.20999999999998</v>
      </c>
      <c r="I76" s="211">
        <f t="shared" si="1"/>
        <v>-5.6208297069916258E-3</v>
      </c>
      <c r="J76" s="77"/>
      <c r="K76" s="77"/>
    </row>
    <row r="77" spans="1:11" ht="16">
      <c r="A77" s="233">
        <v>42095</v>
      </c>
      <c r="B77">
        <v>88.979759000000001</v>
      </c>
      <c r="C77" s="47">
        <f t="shared" si="2"/>
        <v>6.3704473857195687E-4</v>
      </c>
      <c r="G77" s="81">
        <v>42090</v>
      </c>
      <c r="H77" s="82">
        <v>274.86</v>
      </c>
      <c r="I77" s="211">
        <f t="shared" si="1"/>
        <v>2.3704460085336443E-3</v>
      </c>
      <c r="J77" s="77"/>
      <c r="K77" s="77"/>
    </row>
    <row r="78" spans="1:11" ht="16">
      <c r="A78" s="233">
        <v>42096</v>
      </c>
      <c r="B78">
        <v>88.777359000000004</v>
      </c>
      <c r="C78" s="47">
        <f t="shared" si="2"/>
        <v>-2.2746746257201744E-3</v>
      </c>
      <c r="G78" s="81">
        <v>42091</v>
      </c>
      <c r="H78" s="82">
        <v>278</v>
      </c>
      <c r="I78" s="211">
        <f t="shared" si="1"/>
        <v>1.1423997671541786E-2</v>
      </c>
      <c r="J78" s="77"/>
      <c r="K78" s="77"/>
    </row>
    <row r="79" spans="1:11" ht="16">
      <c r="A79" s="233">
        <v>42097</v>
      </c>
      <c r="B79">
        <v>88.753044000000003</v>
      </c>
      <c r="C79" s="47">
        <f t="shared" si="2"/>
        <v>-2.7388739960154673E-4</v>
      </c>
      <c r="G79" s="81">
        <v>42094</v>
      </c>
      <c r="H79" s="82">
        <v>280.93</v>
      </c>
      <c r="I79" s="211">
        <f t="shared" si="1"/>
        <v>1.0539568345323769E-2</v>
      </c>
      <c r="J79" s="77"/>
      <c r="K79" s="77"/>
    </row>
    <row r="80" spans="1:11" ht="16">
      <c r="A80" s="233">
        <v>42098</v>
      </c>
      <c r="B80">
        <v>89.101273000000006</v>
      </c>
      <c r="C80" s="47">
        <f t="shared" si="2"/>
        <v>3.9235724692441298E-3</v>
      </c>
      <c r="G80" s="81">
        <v>42095</v>
      </c>
      <c r="H80" s="82">
        <v>281.16000000000003</v>
      </c>
      <c r="I80" s="211">
        <f t="shared" ref="I80:I143" si="3">H80/H79-1</f>
        <v>8.1870928701111012E-4</v>
      </c>
      <c r="J80" s="77"/>
      <c r="K80" s="77"/>
    </row>
    <row r="81" spans="1:11" ht="16">
      <c r="A81" s="233">
        <v>42101</v>
      </c>
      <c r="B81">
        <v>88.744956999999999</v>
      </c>
      <c r="C81" s="47">
        <f t="shared" ref="C81:C144" si="4">B81/B80-1</f>
        <v>-3.9990001040726142E-3</v>
      </c>
      <c r="G81" s="81">
        <v>42096</v>
      </c>
      <c r="H81" s="82">
        <v>282.95999999999998</v>
      </c>
      <c r="I81" s="211">
        <f t="shared" si="3"/>
        <v>6.4020486555695921E-3</v>
      </c>
      <c r="J81" s="77"/>
      <c r="K81" s="77"/>
    </row>
    <row r="82" spans="1:11" ht="16">
      <c r="A82" s="233">
        <v>42102</v>
      </c>
      <c r="B82">
        <v>88.801659000000001</v>
      </c>
      <c r="C82" s="47">
        <f t="shared" si="4"/>
        <v>6.3893208038856564E-4</v>
      </c>
      <c r="G82" s="81">
        <v>42097</v>
      </c>
      <c r="H82" s="82">
        <v>283.08</v>
      </c>
      <c r="I82" s="211">
        <f t="shared" si="3"/>
        <v>4.2408821034767286E-4</v>
      </c>
      <c r="J82" s="77"/>
      <c r="K82" s="77"/>
    </row>
    <row r="83" spans="1:11" ht="16">
      <c r="A83" s="233">
        <v>42103</v>
      </c>
      <c r="B83">
        <v>88.979759000000001</v>
      </c>
      <c r="C83" s="47">
        <f t="shared" si="4"/>
        <v>2.0055931612719125E-3</v>
      </c>
      <c r="G83" s="81">
        <v>42098</v>
      </c>
      <c r="H83" s="82">
        <v>284.27999999999997</v>
      </c>
      <c r="I83" s="211">
        <f t="shared" si="3"/>
        <v>4.2390843577786441E-3</v>
      </c>
      <c r="J83" s="77"/>
      <c r="K83" s="77"/>
    </row>
    <row r="84" spans="1:11" ht="16">
      <c r="A84" s="233">
        <v>42104</v>
      </c>
      <c r="B84">
        <v>88.655852999999993</v>
      </c>
      <c r="C84" s="47">
        <f t="shared" si="4"/>
        <v>-3.6402211428782083E-3</v>
      </c>
      <c r="G84" s="81">
        <v>42101</v>
      </c>
      <c r="H84" s="82">
        <v>285.17</v>
      </c>
      <c r="I84" s="211">
        <f t="shared" si="3"/>
        <v>3.1307161953004758E-3</v>
      </c>
      <c r="J84" s="77"/>
      <c r="K84" s="77"/>
    </row>
    <row r="85" spans="1:11" ht="16">
      <c r="A85" s="233">
        <v>42105</v>
      </c>
      <c r="B85">
        <v>88.647735999999995</v>
      </c>
      <c r="C85" s="47">
        <f t="shared" si="4"/>
        <v>-9.1556278861815166E-5</v>
      </c>
      <c r="G85" s="81">
        <v>42102</v>
      </c>
      <c r="H85" s="82">
        <v>286.48</v>
      </c>
      <c r="I85" s="211">
        <f t="shared" si="3"/>
        <v>4.5937510958375949E-3</v>
      </c>
      <c r="J85" s="77"/>
      <c r="K85" s="77"/>
    </row>
    <row r="86" spans="1:11" ht="16">
      <c r="A86" s="233">
        <v>42108</v>
      </c>
      <c r="B86">
        <v>88.704445000000007</v>
      </c>
      <c r="C86" s="47">
        <f t="shared" si="4"/>
        <v>6.3971176883770298E-4</v>
      </c>
      <c r="G86" s="81">
        <v>42103</v>
      </c>
      <c r="H86" s="82">
        <v>286.99</v>
      </c>
      <c r="I86" s="211">
        <f t="shared" si="3"/>
        <v>1.7802289863166898E-3</v>
      </c>
      <c r="J86" s="77"/>
      <c r="K86" s="77"/>
    </row>
    <row r="87" spans="1:11" ht="16">
      <c r="A87" s="233">
        <v>42109</v>
      </c>
      <c r="B87">
        <v>88.534392999999994</v>
      </c>
      <c r="C87" s="47">
        <f t="shared" si="4"/>
        <v>-1.9170628935225587E-3</v>
      </c>
      <c r="G87" s="81">
        <v>42104</v>
      </c>
      <c r="H87" s="82">
        <v>284.81</v>
      </c>
      <c r="I87" s="211">
        <f t="shared" si="3"/>
        <v>-7.5960834872295102E-3</v>
      </c>
      <c r="J87" s="77"/>
      <c r="K87" s="77"/>
    </row>
    <row r="88" spans="1:11" ht="16">
      <c r="A88" s="233">
        <v>42110</v>
      </c>
      <c r="B88">
        <v>88.615341000000001</v>
      </c>
      <c r="C88" s="47">
        <f t="shared" si="4"/>
        <v>9.1431134564845529E-4</v>
      </c>
      <c r="G88" s="81">
        <v>42105</v>
      </c>
      <c r="H88" s="82">
        <v>285.02</v>
      </c>
      <c r="I88" s="211">
        <f t="shared" si="3"/>
        <v>7.3733366103700959E-4</v>
      </c>
      <c r="J88" s="77"/>
      <c r="K88" s="77"/>
    </row>
    <row r="89" spans="1:11" ht="16">
      <c r="A89" s="233">
        <v>42111</v>
      </c>
      <c r="B89">
        <v>88.688263000000006</v>
      </c>
      <c r="C89" s="47">
        <f t="shared" si="4"/>
        <v>8.2290491891257034E-4</v>
      </c>
      <c r="G89" s="81">
        <v>42108</v>
      </c>
      <c r="H89" s="82">
        <v>284.02</v>
      </c>
      <c r="I89" s="211">
        <f t="shared" si="3"/>
        <v>-3.5085257174934936E-3</v>
      </c>
      <c r="J89" s="77"/>
      <c r="K89" s="77"/>
    </row>
    <row r="90" spans="1:11" ht="16">
      <c r="A90" s="233">
        <v>42115</v>
      </c>
      <c r="B90">
        <v>88.623458999999997</v>
      </c>
      <c r="C90" s="47">
        <f t="shared" si="4"/>
        <v>-7.3069420696636467E-4</v>
      </c>
      <c r="G90" s="81">
        <v>42109</v>
      </c>
      <c r="H90" s="82">
        <v>285.97000000000003</v>
      </c>
      <c r="I90" s="211">
        <f t="shared" si="3"/>
        <v>6.8657136821352882E-3</v>
      </c>
      <c r="J90" s="77"/>
      <c r="K90" s="77"/>
    </row>
    <row r="91" spans="1:11" ht="16">
      <c r="A91" s="233">
        <v>42116</v>
      </c>
      <c r="B91">
        <v>88.890693999999996</v>
      </c>
      <c r="C91" s="47">
        <f t="shared" si="4"/>
        <v>3.0153979884717241E-3</v>
      </c>
      <c r="G91" s="81">
        <v>42110</v>
      </c>
      <c r="H91" s="82">
        <v>286.76</v>
      </c>
      <c r="I91" s="211">
        <f t="shared" si="3"/>
        <v>2.7625275378535541E-3</v>
      </c>
      <c r="J91" s="77"/>
      <c r="K91" s="77"/>
    </row>
    <row r="92" spans="1:11" ht="16">
      <c r="A92" s="233">
        <v>42117</v>
      </c>
      <c r="B92">
        <v>88.639656000000002</v>
      </c>
      <c r="C92" s="47">
        <f t="shared" si="4"/>
        <v>-2.8241201491799872E-3</v>
      </c>
      <c r="G92" s="81">
        <v>42111</v>
      </c>
      <c r="H92" s="82">
        <v>286.14</v>
      </c>
      <c r="I92" s="211">
        <f t="shared" si="3"/>
        <v>-2.1620867624494444E-3</v>
      </c>
      <c r="J92" s="77"/>
      <c r="K92" s="77"/>
    </row>
    <row r="93" spans="1:11" ht="16">
      <c r="A93" s="233">
        <v>42118</v>
      </c>
      <c r="B93">
        <v>88.761123999999995</v>
      </c>
      <c r="C93" s="47">
        <f t="shared" si="4"/>
        <v>1.3703573037331385E-3</v>
      </c>
      <c r="G93" s="81">
        <v>42112</v>
      </c>
      <c r="H93" s="82">
        <v>286.22000000000003</v>
      </c>
      <c r="I93" s="211">
        <f t="shared" si="3"/>
        <v>2.7958342070322217E-4</v>
      </c>
      <c r="J93" s="77"/>
      <c r="K93" s="77"/>
    </row>
    <row r="94" spans="1:11" ht="16">
      <c r="A94" s="233">
        <v>42119</v>
      </c>
      <c r="B94">
        <v>88.704445000000007</v>
      </c>
      <c r="C94" s="47">
        <f t="shared" si="4"/>
        <v>-6.3855658249645231E-4</v>
      </c>
      <c r="G94" s="81">
        <v>42115</v>
      </c>
      <c r="H94" s="82">
        <v>285.32</v>
      </c>
      <c r="I94" s="211">
        <f t="shared" si="3"/>
        <v>-3.1444343511984885E-3</v>
      </c>
      <c r="J94" s="77"/>
      <c r="K94" s="77"/>
    </row>
    <row r="95" spans="1:11" ht="16">
      <c r="A95" s="233">
        <v>42122</v>
      </c>
      <c r="B95">
        <v>88.793548999999999</v>
      </c>
      <c r="C95" s="47">
        <f t="shared" si="4"/>
        <v>1.0045043402278075E-3</v>
      </c>
      <c r="G95" s="81">
        <v>42116</v>
      </c>
      <c r="H95" s="82">
        <v>285.35000000000002</v>
      </c>
      <c r="I95" s="211">
        <f t="shared" si="3"/>
        <v>1.0514510023851287E-4</v>
      </c>
      <c r="J95" s="77"/>
      <c r="K95" s="77"/>
    </row>
    <row r="96" spans="1:11" ht="16">
      <c r="A96" s="233">
        <v>42123</v>
      </c>
      <c r="B96">
        <v>88.923111000000006</v>
      </c>
      <c r="C96" s="47">
        <f t="shared" si="4"/>
        <v>1.4591375326151734E-3</v>
      </c>
      <c r="G96" s="81">
        <v>42117</v>
      </c>
      <c r="H96" s="82">
        <v>284.64999999999998</v>
      </c>
      <c r="I96" s="211">
        <f t="shared" si="3"/>
        <v>-2.4531277378659899E-3</v>
      </c>
      <c r="J96" s="77"/>
      <c r="K96" s="77"/>
    </row>
    <row r="97" spans="1:11" ht="16">
      <c r="A97" s="233">
        <v>42124</v>
      </c>
      <c r="B97">
        <v>88.897887999999995</v>
      </c>
      <c r="C97" s="47">
        <f t="shared" si="4"/>
        <v>-2.836495452797072E-4</v>
      </c>
      <c r="G97" s="81">
        <v>42118</v>
      </c>
      <c r="H97" s="82">
        <v>282.86</v>
      </c>
      <c r="I97" s="211">
        <f t="shared" si="3"/>
        <v>-6.288424380818447E-3</v>
      </c>
      <c r="J97" s="77"/>
      <c r="K97" s="77"/>
    </row>
    <row r="98" spans="1:11" ht="16">
      <c r="A98" s="233">
        <v>42125</v>
      </c>
      <c r="B98">
        <v>88.759665999999996</v>
      </c>
      <c r="C98" s="47">
        <f t="shared" si="4"/>
        <v>-1.5548400879894508E-3</v>
      </c>
      <c r="G98" s="81">
        <v>42119</v>
      </c>
      <c r="H98" s="82">
        <v>283.43</v>
      </c>
      <c r="I98" s="211">
        <f t="shared" si="3"/>
        <v>2.0151311602913946E-3</v>
      </c>
      <c r="J98" s="77"/>
      <c r="K98" s="77"/>
    </row>
    <row r="99" spans="1:11" ht="16">
      <c r="A99" s="233">
        <v>42126</v>
      </c>
      <c r="B99">
        <v>89.263840000000002</v>
      </c>
      <c r="C99" s="47">
        <f t="shared" si="4"/>
        <v>5.6802151553838609E-3</v>
      </c>
      <c r="G99" s="81">
        <v>42122</v>
      </c>
      <c r="H99" s="82">
        <v>283.82</v>
      </c>
      <c r="I99" s="211">
        <f t="shared" si="3"/>
        <v>1.3760011290264718E-3</v>
      </c>
      <c r="J99" s="77"/>
      <c r="K99" s="77"/>
    </row>
    <row r="100" spans="1:11" ht="16">
      <c r="A100" s="233">
        <v>42129</v>
      </c>
      <c r="B100">
        <v>89.247558999999995</v>
      </c>
      <c r="C100" s="47">
        <f t="shared" si="4"/>
        <v>-1.823918845526018E-4</v>
      </c>
      <c r="G100" s="81">
        <v>42123</v>
      </c>
      <c r="H100" s="82">
        <v>283.5</v>
      </c>
      <c r="I100" s="211">
        <f t="shared" si="3"/>
        <v>-1.127475160312863E-3</v>
      </c>
      <c r="J100" s="77"/>
      <c r="K100" s="77"/>
    </row>
    <row r="101" spans="1:11" ht="16">
      <c r="A101" s="233">
        <v>42130</v>
      </c>
      <c r="B101">
        <v>88.775917000000007</v>
      </c>
      <c r="C101" s="47">
        <f t="shared" si="4"/>
        <v>-5.2846487375636242E-3</v>
      </c>
      <c r="G101" s="81">
        <v>42124</v>
      </c>
      <c r="H101" s="82">
        <v>283.86</v>
      </c>
      <c r="I101" s="211">
        <f t="shared" si="3"/>
        <v>1.2698412698413097E-3</v>
      </c>
      <c r="J101" s="77"/>
      <c r="K101" s="77"/>
    </row>
    <row r="102" spans="1:11" ht="16">
      <c r="A102" s="233">
        <v>42131</v>
      </c>
      <c r="B102">
        <v>88.873527999999993</v>
      </c>
      <c r="C102" s="47">
        <f t="shared" si="4"/>
        <v>1.0995211685618234E-3</v>
      </c>
      <c r="G102" s="81">
        <v>42125</v>
      </c>
      <c r="H102" s="82">
        <v>283.27</v>
      </c>
      <c r="I102" s="211">
        <f t="shared" si="3"/>
        <v>-2.0784893961813822E-3</v>
      </c>
      <c r="J102" s="77"/>
      <c r="K102" s="77"/>
    </row>
    <row r="103" spans="1:11" ht="16">
      <c r="A103" s="233">
        <v>42132</v>
      </c>
      <c r="B103">
        <v>88.605148</v>
      </c>
      <c r="C103" s="47">
        <f t="shared" si="4"/>
        <v>-3.0197968510937701E-3</v>
      </c>
      <c r="G103" s="81">
        <v>42126</v>
      </c>
      <c r="H103" s="82">
        <v>284.83999999999997</v>
      </c>
      <c r="I103" s="211">
        <f t="shared" si="3"/>
        <v>5.5424153634342499E-3</v>
      </c>
      <c r="J103" s="77"/>
      <c r="K103" s="77"/>
    </row>
    <row r="104" spans="1:11" ht="16">
      <c r="A104" s="233">
        <v>42133</v>
      </c>
      <c r="B104">
        <v>88.906029000000004</v>
      </c>
      <c r="C104" s="47">
        <f t="shared" si="4"/>
        <v>3.3957507751130045E-3</v>
      </c>
      <c r="G104" s="81">
        <v>42129</v>
      </c>
      <c r="H104" s="82">
        <v>278.99</v>
      </c>
      <c r="I104" s="211">
        <f t="shared" si="3"/>
        <v>-2.0537845808172861E-2</v>
      </c>
      <c r="J104" s="77"/>
      <c r="K104" s="77"/>
    </row>
    <row r="105" spans="1:11" ht="16">
      <c r="A105" s="233">
        <v>42136</v>
      </c>
      <c r="B105">
        <v>88.190414000000004</v>
      </c>
      <c r="C105" s="47">
        <f t="shared" si="4"/>
        <v>-8.0491166690168647E-3</v>
      </c>
      <c r="G105" s="81">
        <v>42130</v>
      </c>
      <c r="H105" s="82">
        <v>277.66000000000003</v>
      </c>
      <c r="I105" s="211">
        <f t="shared" si="3"/>
        <v>-4.7671959568442723E-3</v>
      </c>
      <c r="J105" s="77"/>
      <c r="K105" s="77"/>
    </row>
    <row r="106" spans="1:11" ht="16">
      <c r="A106" s="233">
        <v>42137</v>
      </c>
      <c r="B106">
        <v>88.466910999999996</v>
      </c>
      <c r="C106" s="47">
        <f t="shared" si="4"/>
        <v>3.1352273728977309E-3</v>
      </c>
      <c r="G106" s="81">
        <v>42131</v>
      </c>
      <c r="H106" s="82">
        <v>276.14999999999998</v>
      </c>
      <c r="I106" s="211">
        <f t="shared" si="3"/>
        <v>-5.438305841677038E-3</v>
      </c>
      <c r="J106" s="77"/>
      <c r="K106" s="77"/>
    </row>
    <row r="107" spans="1:11" ht="16">
      <c r="A107" s="233">
        <v>42138</v>
      </c>
      <c r="B107">
        <v>88.792159999999996</v>
      </c>
      <c r="C107" s="47">
        <f t="shared" si="4"/>
        <v>3.6765045407767261E-3</v>
      </c>
      <c r="G107" s="81">
        <v>42132</v>
      </c>
      <c r="H107" s="82">
        <v>271.39999999999998</v>
      </c>
      <c r="I107" s="211">
        <f t="shared" si="3"/>
        <v>-1.7200796668477292E-2</v>
      </c>
      <c r="J107" s="77"/>
      <c r="K107" s="77"/>
    </row>
    <row r="108" spans="1:11" ht="16">
      <c r="A108" s="233">
        <v>42139</v>
      </c>
      <c r="B108">
        <v>88.808464000000001</v>
      </c>
      <c r="C108" s="47">
        <f t="shared" si="4"/>
        <v>1.836198150828583E-4</v>
      </c>
      <c r="G108" s="81">
        <v>42133</v>
      </c>
      <c r="H108" s="82">
        <v>272.58999999999997</v>
      </c>
      <c r="I108" s="211">
        <f t="shared" si="3"/>
        <v>4.3846720707443332E-3</v>
      </c>
      <c r="J108" s="77"/>
      <c r="K108" s="77"/>
    </row>
    <row r="109" spans="1:11" ht="16">
      <c r="A109" s="233">
        <v>42140</v>
      </c>
      <c r="B109">
        <v>88.605148</v>
      </c>
      <c r="C109" s="47">
        <f t="shared" si="4"/>
        <v>-2.2893763819629154E-3</v>
      </c>
      <c r="G109" s="81">
        <v>42136</v>
      </c>
      <c r="H109" s="82">
        <v>268.06</v>
      </c>
      <c r="I109" s="211">
        <f t="shared" si="3"/>
        <v>-1.6618364576836964E-2</v>
      </c>
      <c r="J109" s="77"/>
      <c r="K109" s="77"/>
    </row>
    <row r="110" spans="1:11" ht="16">
      <c r="A110" s="233">
        <v>42143</v>
      </c>
      <c r="B110">
        <v>89.003608999999997</v>
      </c>
      <c r="C110" s="47">
        <f t="shared" si="4"/>
        <v>4.4970411877196526E-3</v>
      </c>
      <c r="G110" s="81">
        <v>42137</v>
      </c>
      <c r="H110" s="82">
        <v>267.70999999999998</v>
      </c>
      <c r="I110" s="211">
        <f t="shared" si="3"/>
        <v>-1.3056778333210284E-3</v>
      </c>
      <c r="J110" s="77"/>
      <c r="K110" s="77"/>
    </row>
    <row r="111" spans="1:11" ht="16">
      <c r="A111" s="233">
        <v>42144</v>
      </c>
      <c r="B111">
        <v>89.109359999999995</v>
      </c>
      <c r="C111" s="47">
        <f t="shared" si="4"/>
        <v>1.1881653023755323E-3</v>
      </c>
      <c r="G111" s="81">
        <v>42138</v>
      </c>
      <c r="H111" s="82">
        <v>268.06</v>
      </c>
      <c r="I111" s="211">
        <f t="shared" si="3"/>
        <v>1.3073848567479729E-3</v>
      </c>
      <c r="J111" s="77"/>
      <c r="K111" s="77"/>
    </row>
    <row r="112" spans="1:11" ht="16">
      <c r="A112" s="233">
        <v>42145</v>
      </c>
      <c r="B112">
        <v>89.060547</v>
      </c>
      <c r="C112" s="47">
        <f t="shared" si="4"/>
        <v>-5.4778757248397092E-4</v>
      </c>
      <c r="G112" s="81">
        <v>42139</v>
      </c>
      <c r="H112" s="82">
        <v>267.48</v>
      </c>
      <c r="I112" s="211">
        <f t="shared" si="3"/>
        <v>-2.1636946952173775E-3</v>
      </c>
      <c r="J112" s="77"/>
      <c r="K112" s="77"/>
    </row>
    <row r="113" spans="1:11" ht="16">
      <c r="A113" s="233">
        <v>42146</v>
      </c>
      <c r="B113">
        <v>88.938537999999994</v>
      </c>
      <c r="C113" s="47">
        <f t="shared" si="4"/>
        <v>-1.3699556549995329E-3</v>
      </c>
      <c r="G113" s="81">
        <v>42140</v>
      </c>
      <c r="H113" s="82">
        <v>263.87</v>
      </c>
      <c r="I113" s="211">
        <f t="shared" si="3"/>
        <v>-1.3496336174667278E-2</v>
      </c>
      <c r="J113" s="77"/>
      <c r="K113" s="77"/>
    </row>
    <row r="114" spans="1:11" ht="16">
      <c r="A114" s="233">
        <v>42147</v>
      </c>
      <c r="B114">
        <v>89.028023000000005</v>
      </c>
      <c r="C114" s="47">
        <f t="shared" si="4"/>
        <v>1.0061442656053021E-3</v>
      </c>
      <c r="G114" s="81">
        <v>42143</v>
      </c>
      <c r="H114" s="82">
        <v>263.5</v>
      </c>
      <c r="I114" s="211">
        <f t="shared" si="3"/>
        <v>-1.4022056315610154E-3</v>
      </c>
      <c r="J114" s="77"/>
      <c r="K114" s="77"/>
    </row>
    <row r="115" spans="1:11" ht="16">
      <c r="A115" s="233">
        <v>42151</v>
      </c>
      <c r="B115">
        <v>89.141846000000001</v>
      </c>
      <c r="C115" s="47">
        <f t="shared" si="4"/>
        <v>1.2785075548626956E-3</v>
      </c>
      <c r="G115" s="81">
        <v>42144</v>
      </c>
      <c r="H115" s="82">
        <v>264.77999999999997</v>
      </c>
      <c r="I115" s="211">
        <f t="shared" si="3"/>
        <v>4.8576850094874668E-3</v>
      </c>
      <c r="J115" s="77"/>
      <c r="K115" s="77"/>
    </row>
    <row r="116" spans="1:11" ht="16">
      <c r="A116" s="233">
        <v>42152</v>
      </c>
      <c r="B116">
        <v>89.093056000000004</v>
      </c>
      <c r="C116" s="47">
        <f t="shared" si="4"/>
        <v>-5.4732992628392374E-4</v>
      </c>
      <c r="G116" s="81">
        <v>42145</v>
      </c>
      <c r="H116" s="82">
        <v>264.58</v>
      </c>
      <c r="I116" s="211">
        <f t="shared" si="3"/>
        <v>-7.553440592189542E-4</v>
      </c>
      <c r="J116" s="77"/>
      <c r="K116" s="77"/>
    </row>
    <row r="117" spans="1:11" ht="16">
      <c r="A117" s="233">
        <v>42153</v>
      </c>
      <c r="B117">
        <v>89.361427000000006</v>
      </c>
      <c r="C117" s="47">
        <f t="shared" si="4"/>
        <v>3.0122549618232242E-3</v>
      </c>
      <c r="G117" s="81">
        <v>42146</v>
      </c>
      <c r="H117" s="82">
        <v>260.69</v>
      </c>
      <c r="I117" s="211">
        <f t="shared" si="3"/>
        <v>-1.4702547433668389E-2</v>
      </c>
      <c r="J117" s="77"/>
      <c r="K117" s="77"/>
    </row>
    <row r="118" spans="1:11" ht="16">
      <c r="A118" s="233">
        <v>42154</v>
      </c>
      <c r="B118">
        <v>89.361427000000006</v>
      </c>
      <c r="C118" s="47">
        <f t="shared" si="4"/>
        <v>0</v>
      </c>
      <c r="G118" s="81">
        <v>42147</v>
      </c>
      <c r="H118" s="82">
        <v>261.87</v>
      </c>
      <c r="I118" s="211">
        <f t="shared" si="3"/>
        <v>4.5264490390886092E-3</v>
      </c>
      <c r="J118" s="77"/>
      <c r="K118" s="77"/>
    </row>
    <row r="119" spans="1:11" ht="16">
      <c r="A119" s="233">
        <v>42157</v>
      </c>
      <c r="B119">
        <v>89.327933999999999</v>
      </c>
      <c r="C119" s="47">
        <f t="shared" si="4"/>
        <v>-3.748037729971454E-4</v>
      </c>
      <c r="G119" s="81">
        <v>42150</v>
      </c>
      <c r="H119" s="82">
        <v>262.64</v>
      </c>
      <c r="I119" s="211">
        <f t="shared" si="3"/>
        <v>2.9403902699811635E-3</v>
      </c>
      <c r="J119" s="77"/>
      <c r="K119" s="77"/>
    </row>
    <row r="120" spans="1:11" ht="16">
      <c r="A120" s="233">
        <v>42158</v>
      </c>
      <c r="B120">
        <v>89.866919999999993</v>
      </c>
      <c r="C120" s="47">
        <f t="shared" si="4"/>
        <v>6.0337900572065006E-3</v>
      </c>
      <c r="G120" s="81">
        <v>42151</v>
      </c>
      <c r="H120" s="82">
        <v>262.7</v>
      </c>
      <c r="I120" s="211">
        <f t="shared" si="3"/>
        <v>2.2844958879075783E-4</v>
      </c>
      <c r="J120" s="77"/>
      <c r="K120" s="77"/>
    </row>
    <row r="121" spans="1:11" ht="16">
      <c r="A121" s="233">
        <v>42159</v>
      </c>
      <c r="B121">
        <v>90.152717999999993</v>
      </c>
      <c r="C121" s="47">
        <f t="shared" si="4"/>
        <v>3.1802358420651711E-3</v>
      </c>
      <c r="G121" s="81">
        <v>42152</v>
      </c>
      <c r="H121" s="82">
        <v>262.56</v>
      </c>
      <c r="I121" s="211">
        <f t="shared" si="3"/>
        <v>-5.3292729349063706E-4</v>
      </c>
      <c r="J121" s="77"/>
      <c r="K121" s="77"/>
    </row>
    <row r="122" spans="1:11" ht="16">
      <c r="A122" s="233">
        <v>42160</v>
      </c>
      <c r="B122">
        <v>90.495682000000002</v>
      </c>
      <c r="C122" s="47">
        <f t="shared" si="4"/>
        <v>3.8042557962589818E-3</v>
      </c>
      <c r="G122" s="81">
        <v>42153</v>
      </c>
      <c r="H122" s="82">
        <v>264.83999999999997</v>
      </c>
      <c r="I122" s="211">
        <f t="shared" si="3"/>
        <v>8.6837294332722248E-3</v>
      </c>
      <c r="J122" s="77"/>
      <c r="K122" s="77"/>
    </row>
    <row r="123" spans="1:11" ht="16">
      <c r="A123" s="233">
        <v>42161</v>
      </c>
      <c r="B123">
        <v>91.042793000000003</v>
      </c>
      <c r="C123" s="47">
        <f t="shared" si="4"/>
        <v>6.0457138717402437E-3</v>
      </c>
      <c r="G123" s="81">
        <v>42154</v>
      </c>
      <c r="H123" s="82">
        <v>265.76</v>
      </c>
      <c r="I123" s="211">
        <f t="shared" si="3"/>
        <v>3.4737954991692632E-3</v>
      </c>
      <c r="J123" s="77"/>
      <c r="K123" s="77"/>
    </row>
    <row r="124" spans="1:11" ht="16">
      <c r="A124" s="233">
        <v>42164</v>
      </c>
      <c r="B124">
        <v>90.928489999999996</v>
      </c>
      <c r="C124" s="47">
        <f t="shared" si="4"/>
        <v>-1.2554865270885118E-3</v>
      </c>
      <c r="G124" s="81">
        <v>42157</v>
      </c>
      <c r="H124" s="82">
        <v>267.73</v>
      </c>
      <c r="I124" s="211">
        <f t="shared" si="3"/>
        <v>7.4127031908490792E-3</v>
      </c>
      <c r="J124" s="77"/>
      <c r="K124" s="77"/>
    </row>
    <row r="125" spans="1:11" ht="16">
      <c r="A125" s="233">
        <v>42165</v>
      </c>
      <c r="B125">
        <v>90.805999999999997</v>
      </c>
      <c r="C125" s="47">
        <f t="shared" si="4"/>
        <v>-1.3471025417886029E-3</v>
      </c>
      <c r="G125" s="81">
        <v>42158</v>
      </c>
      <c r="H125" s="82">
        <v>267.11</v>
      </c>
      <c r="I125" s="211">
        <f t="shared" si="3"/>
        <v>-2.3157658835394335E-3</v>
      </c>
      <c r="J125" s="77"/>
      <c r="K125" s="77"/>
    </row>
    <row r="126" spans="1:11" ht="16">
      <c r="A126" s="233">
        <v>42166</v>
      </c>
      <c r="B126">
        <v>90.732512999999997</v>
      </c>
      <c r="C126" s="47">
        <f t="shared" si="4"/>
        <v>-8.0927471752967328E-4</v>
      </c>
      <c r="G126" s="81">
        <v>42159</v>
      </c>
      <c r="H126" s="82">
        <v>266.89999999999998</v>
      </c>
      <c r="I126" s="211">
        <f t="shared" si="3"/>
        <v>-7.8619295421378244E-4</v>
      </c>
      <c r="J126" s="77"/>
      <c r="K126" s="77"/>
    </row>
    <row r="127" spans="1:11" ht="16">
      <c r="A127" s="233">
        <v>42167</v>
      </c>
      <c r="B127">
        <v>90.936629999999994</v>
      </c>
      <c r="C127" s="47">
        <f t="shared" si="4"/>
        <v>2.249656636315045E-3</v>
      </c>
      <c r="G127" s="81">
        <v>42160</v>
      </c>
      <c r="H127" s="82">
        <v>266.24</v>
      </c>
      <c r="I127" s="211">
        <f t="shared" si="3"/>
        <v>-2.4728362682651106E-3</v>
      </c>
      <c r="J127" s="77"/>
      <c r="K127" s="77"/>
    </row>
    <row r="128" spans="1:11" ht="16">
      <c r="A128" s="233">
        <v>42168</v>
      </c>
      <c r="B128">
        <v>90.863151999999999</v>
      </c>
      <c r="C128" s="47">
        <f t="shared" si="4"/>
        <v>-8.0801322855261759E-4</v>
      </c>
      <c r="G128" s="81">
        <v>42161</v>
      </c>
      <c r="H128" s="82">
        <v>267.62</v>
      </c>
      <c r="I128" s="211">
        <f t="shared" si="3"/>
        <v>5.1832932692308376E-3</v>
      </c>
      <c r="J128" s="77"/>
      <c r="K128" s="77"/>
    </row>
    <row r="129" spans="1:11" ht="16">
      <c r="A129" s="233">
        <v>42171</v>
      </c>
      <c r="B129">
        <v>90.903992000000002</v>
      </c>
      <c r="C129" s="47">
        <f t="shared" si="4"/>
        <v>4.4946712832505398E-4</v>
      </c>
      <c r="G129" s="81">
        <v>42164</v>
      </c>
      <c r="H129" s="82">
        <v>271.12</v>
      </c>
      <c r="I129" s="211">
        <f t="shared" si="3"/>
        <v>1.3078245273148603E-2</v>
      </c>
      <c r="J129" s="77"/>
      <c r="K129" s="77"/>
    </row>
    <row r="130" spans="1:11" ht="16">
      <c r="A130" s="233">
        <v>42172</v>
      </c>
      <c r="B130">
        <v>91.826713999999996</v>
      </c>
      <c r="C130" s="47">
        <f t="shared" si="4"/>
        <v>1.0150511321878941E-2</v>
      </c>
      <c r="G130" s="81">
        <v>42165</v>
      </c>
      <c r="H130" s="82">
        <v>273.54000000000002</v>
      </c>
      <c r="I130" s="211">
        <f t="shared" si="3"/>
        <v>8.9259368545293594E-3</v>
      </c>
      <c r="J130" s="77"/>
      <c r="K130" s="77"/>
    </row>
    <row r="131" spans="1:11" ht="16">
      <c r="A131" s="233">
        <v>42173</v>
      </c>
      <c r="B131">
        <v>92.626960999999994</v>
      </c>
      <c r="C131" s="47">
        <f t="shared" si="4"/>
        <v>8.7147515700061184E-3</v>
      </c>
      <c r="G131" s="81">
        <v>42166</v>
      </c>
      <c r="H131" s="82">
        <v>272.01</v>
      </c>
      <c r="I131" s="211">
        <f t="shared" si="3"/>
        <v>-5.5933318710245095E-3</v>
      </c>
      <c r="J131" s="77"/>
      <c r="K131" s="77"/>
    </row>
    <row r="132" spans="1:11" ht="16">
      <c r="A132" s="233">
        <v>42174</v>
      </c>
      <c r="B132">
        <v>93.043471999999994</v>
      </c>
      <c r="C132" s="47">
        <f t="shared" si="4"/>
        <v>4.4966497389458127E-3</v>
      </c>
      <c r="G132" s="81">
        <v>42167</v>
      </c>
      <c r="H132" s="82">
        <v>271.24</v>
      </c>
      <c r="I132" s="211">
        <f t="shared" si="3"/>
        <v>-2.8307782802101666E-3</v>
      </c>
      <c r="J132" s="77"/>
      <c r="K132" s="77"/>
    </row>
    <row r="133" spans="1:11" ht="16">
      <c r="A133" s="233">
        <v>42175</v>
      </c>
      <c r="B133">
        <v>92.137039000000001</v>
      </c>
      <c r="C133" s="47">
        <f t="shared" si="4"/>
        <v>-9.742037571426776E-3</v>
      </c>
      <c r="G133" s="81">
        <v>42168</v>
      </c>
      <c r="H133" s="82">
        <v>269.27999999999997</v>
      </c>
      <c r="I133" s="211">
        <f t="shared" si="3"/>
        <v>-7.2260728506121641E-3</v>
      </c>
      <c r="J133" s="77"/>
      <c r="K133" s="77"/>
    </row>
    <row r="134" spans="1:11" ht="16">
      <c r="A134" s="233">
        <v>42178</v>
      </c>
      <c r="B134">
        <v>92.316681000000003</v>
      </c>
      <c r="C134" s="47">
        <f t="shared" si="4"/>
        <v>1.9497262116270342E-3</v>
      </c>
      <c r="G134" s="81">
        <v>42171</v>
      </c>
      <c r="H134" s="82">
        <v>268.17</v>
      </c>
      <c r="I134" s="211">
        <f t="shared" si="3"/>
        <v>-4.1221033868090728E-3</v>
      </c>
      <c r="J134" s="77"/>
      <c r="K134" s="77"/>
    </row>
    <row r="135" spans="1:11" ht="16">
      <c r="A135" s="233">
        <v>42179</v>
      </c>
      <c r="B135">
        <v>91.843070999999995</v>
      </c>
      <c r="C135" s="47">
        <f t="shared" si="4"/>
        <v>-5.1302754266047135E-3</v>
      </c>
      <c r="G135" s="81">
        <v>42172</v>
      </c>
      <c r="H135" s="82">
        <v>271.48</v>
      </c>
      <c r="I135" s="211">
        <f t="shared" si="3"/>
        <v>1.2342916806503235E-2</v>
      </c>
      <c r="J135" s="77"/>
      <c r="K135" s="77"/>
    </row>
    <row r="136" spans="1:11" ht="16">
      <c r="A136" s="233">
        <v>42180</v>
      </c>
      <c r="B136">
        <v>91.998238000000001</v>
      </c>
      <c r="C136" s="47">
        <f t="shared" si="4"/>
        <v>1.6894796560102954E-3</v>
      </c>
      <c r="G136" s="81">
        <v>42173</v>
      </c>
      <c r="H136" s="82">
        <v>274.57</v>
      </c>
      <c r="I136" s="211">
        <f t="shared" si="3"/>
        <v>1.138205392662428E-2</v>
      </c>
      <c r="J136" s="77"/>
      <c r="K136" s="77"/>
    </row>
    <row r="137" spans="1:11" ht="16">
      <c r="A137" s="233">
        <v>42181</v>
      </c>
      <c r="B137">
        <v>92.373847999999995</v>
      </c>
      <c r="C137" s="47">
        <f t="shared" si="4"/>
        <v>4.0827955857154485E-3</v>
      </c>
      <c r="G137" s="81">
        <v>42174</v>
      </c>
      <c r="H137" s="82">
        <v>278.45999999999998</v>
      </c>
      <c r="I137" s="211">
        <f t="shared" si="3"/>
        <v>1.4167607531776927E-2</v>
      </c>
      <c r="J137" s="77"/>
      <c r="K137" s="77"/>
    </row>
    <row r="138" spans="1:11" ht="16">
      <c r="A138" s="233">
        <v>42182</v>
      </c>
      <c r="B138">
        <v>92.512687999999997</v>
      </c>
      <c r="C138" s="47">
        <f t="shared" si="4"/>
        <v>1.5030228035970428E-3</v>
      </c>
      <c r="G138" s="81">
        <v>42175</v>
      </c>
      <c r="H138" s="82">
        <v>278.42</v>
      </c>
      <c r="I138" s="211">
        <f t="shared" si="3"/>
        <v>-1.4364720247062035E-4</v>
      </c>
      <c r="J138" s="77"/>
      <c r="K138" s="77"/>
    </row>
    <row r="139" spans="1:11" ht="16">
      <c r="A139" s="233">
        <v>42185</v>
      </c>
      <c r="B139">
        <v>92.986496000000002</v>
      </c>
      <c r="C139" s="47">
        <f t="shared" si="4"/>
        <v>5.1215461386227012E-3</v>
      </c>
      <c r="G139" s="81">
        <v>42178</v>
      </c>
      <c r="H139" s="82">
        <v>278.24</v>
      </c>
      <c r="I139" s="211">
        <f t="shared" si="3"/>
        <v>-6.4650527979315253E-4</v>
      </c>
      <c r="J139" s="77"/>
      <c r="K139" s="77"/>
    </row>
    <row r="140" spans="1:11" ht="16">
      <c r="A140" s="233">
        <v>42186</v>
      </c>
      <c r="B140">
        <v>93.150458999999998</v>
      </c>
      <c r="C140" s="47">
        <f t="shared" si="4"/>
        <v>1.7632990493587908E-3</v>
      </c>
      <c r="G140" s="81">
        <v>42179</v>
      </c>
      <c r="H140" s="82">
        <v>276.14999999999998</v>
      </c>
      <c r="I140" s="211">
        <f t="shared" si="3"/>
        <v>-7.5115008625648017E-3</v>
      </c>
      <c r="J140" s="77"/>
      <c r="K140" s="77"/>
    </row>
    <row r="141" spans="1:11" ht="16">
      <c r="A141" s="233">
        <v>42187</v>
      </c>
      <c r="B141">
        <v>93.404594000000003</v>
      </c>
      <c r="C141" s="47">
        <f t="shared" si="4"/>
        <v>2.7282205877268151E-3</v>
      </c>
      <c r="G141" s="81">
        <v>42180</v>
      </c>
      <c r="H141" s="82">
        <v>277.05</v>
      </c>
      <c r="I141" s="211">
        <f t="shared" si="3"/>
        <v>3.2590983161326914E-3</v>
      </c>
      <c r="J141" s="77"/>
      <c r="K141" s="77"/>
    </row>
    <row r="142" spans="1:11" ht="16">
      <c r="A142" s="233">
        <v>42189</v>
      </c>
      <c r="B142">
        <v>92.920897999999994</v>
      </c>
      <c r="C142" s="47">
        <f t="shared" si="4"/>
        <v>-5.17850331858416E-3</v>
      </c>
      <c r="G142" s="81">
        <v>42181</v>
      </c>
      <c r="H142" s="82">
        <v>278.94</v>
      </c>
      <c r="I142" s="211">
        <f t="shared" si="3"/>
        <v>6.8218733080671612E-3</v>
      </c>
      <c r="J142" s="77"/>
      <c r="K142" s="77"/>
    </row>
    <row r="143" spans="1:11" ht="16">
      <c r="A143" s="233">
        <v>42192</v>
      </c>
      <c r="B143">
        <v>92.789749</v>
      </c>
      <c r="C143" s="47">
        <f t="shared" si="4"/>
        <v>-1.4114047843144517E-3</v>
      </c>
      <c r="G143" s="81">
        <v>42182</v>
      </c>
      <c r="H143" s="82">
        <v>278.97000000000003</v>
      </c>
      <c r="I143" s="211">
        <f t="shared" si="3"/>
        <v>1.075500107550198E-4</v>
      </c>
      <c r="J143" s="77"/>
      <c r="K143" s="77"/>
    </row>
    <row r="144" spans="1:11" ht="16">
      <c r="A144" s="233">
        <v>42193</v>
      </c>
      <c r="B144">
        <v>92.568420000000003</v>
      </c>
      <c r="C144" s="47">
        <f t="shared" si="4"/>
        <v>-2.3852742612764377E-3</v>
      </c>
      <c r="G144" s="81">
        <v>42185</v>
      </c>
      <c r="H144" s="82">
        <v>281.63</v>
      </c>
      <c r="I144" s="211">
        <f t="shared" ref="I144:I207" si="5">H144/H143-1</f>
        <v>9.5350754561420725E-3</v>
      </c>
      <c r="J144" s="77"/>
      <c r="K144" s="77"/>
    </row>
    <row r="145" spans="1:11" ht="16">
      <c r="A145" s="233">
        <v>42194</v>
      </c>
      <c r="B145">
        <v>92.716010999999995</v>
      </c>
      <c r="C145" s="47">
        <f t="shared" ref="C145:C208" si="6">B145/B144-1</f>
        <v>1.5943990401909858E-3</v>
      </c>
      <c r="G145" s="81">
        <v>42186</v>
      </c>
      <c r="H145" s="82">
        <v>281.95</v>
      </c>
      <c r="I145" s="211">
        <f t="shared" si="5"/>
        <v>1.1362425877925464E-3</v>
      </c>
      <c r="J145" s="77"/>
      <c r="K145" s="77"/>
    </row>
    <row r="146" spans="1:11" ht="16">
      <c r="A146" s="233">
        <v>42195</v>
      </c>
      <c r="B146">
        <v>92.445435000000003</v>
      </c>
      <c r="C146" s="47">
        <f t="shared" si="6"/>
        <v>-2.9183309018762094E-3</v>
      </c>
      <c r="G146" s="81">
        <v>42187</v>
      </c>
      <c r="H146" s="82">
        <v>281.64</v>
      </c>
      <c r="I146" s="211">
        <f t="shared" si="5"/>
        <v>-1.0994857244192024E-3</v>
      </c>
      <c r="J146" s="77"/>
      <c r="K146" s="77"/>
    </row>
    <row r="147" spans="1:11" ht="16">
      <c r="A147" s="233">
        <v>42196</v>
      </c>
      <c r="B147">
        <v>92.634026000000006</v>
      </c>
      <c r="C147" s="47">
        <f t="shared" si="6"/>
        <v>2.0400250158376654E-3</v>
      </c>
      <c r="G147" s="81">
        <v>42188</v>
      </c>
      <c r="H147" s="82">
        <v>282.85000000000002</v>
      </c>
      <c r="I147" s="211">
        <f t="shared" si="5"/>
        <v>4.2962647351230121E-3</v>
      </c>
      <c r="J147" s="77"/>
      <c r="K147" s="77"/>
    </row>
    <row r="148" spans="1:11" ht="16">
      <c r="A148" s="233">
        <v>42199</v>
      </c>
      <c r="B148">
        <v>92.822547999999998</v>
      </c>
      <c r="C148" s="47">
        <f t="shared" si="6"/>
        <v>2.0351269197778077E-3</v>
      </c>
      <c r="G148" s="81">
        <v>42189</v>
      </c>
      <c r="H148" s="82">
        <v>281.57</v>
      </c>
      <c r="I148" s="211">
        <f t="shared" si="5"/>
        <v>-4.5253668021920657E-3</v>
      </c>
      <c r="J148" s="77"/>
      <c r="K148" s="77"/>
    </row>
    <row r="149" spans="1:11" ht="16">
      <c r="A149" s="233">
        <v>42200</v>
      </c>
      <c r="B149">
        <v>92.773383999999993</v>
      </c>
      <c r="C149" s="47">
        <f t="shared" si="6"/>
        <v>-5.2965579009967012E-4</v>
      </c>
      <c r="G149" s="81">
        <v>42192</v>
      </c>
      <c r="H149" s="82">
        <v>278.7</v>
      </c>
      <c r="I149" s="211">
        <f t="shared" si="5"/>
        <v>-1.0192847249351877E-2</v>
      </c>
      <c r="J149" s="77"/>
      <c r="K149" s="77"/>
    </row>
    <row r="150" spans="1:11" ht="16">
      <c r="A150" s="233">
        <v>42201</v>
      </c>
      <c r="B150">
        <v>92.879958999999999</v>
      </c>
      <c r="C150" s="47">
        <f t="shared" si="6"/>
        <v>1.1487669782532794E-3</v>
      </c>
      <c r="G150" s="81">
        <v>42193</v>
      </c>
      <c r="H150" s="82">
        <v>277.64</v>
      </c>
      <c r="I150" s="211">
        <f t="shared" si="5"/>
        <v>-3.8033728022963675E-3</v>
      </c>
      <c r="J150" s="77"/>
      <c r="K150" s="77"/>
    </row>
    <row r="151" spans="1:11" ht="16">
      <c r="A151" s="233">
        <v>42202</v>
      </c>
      <c r="B151">
        <v>93.052086000000003</v>
      </c>
      <c r="C151" s="47">
        <f t="shared" si="6"/>
        <v>1.8532200256462517E-3</v>
      </c>
      <c r="G151" s="81">
        <v>42194</v>
      </c>
      <c r="H151" s="82">
        <v>279.33</v>
      </c>
      <c r="I151" s="211">
        <f t="shared" si="5"/>
        <v>6.0870191615041147E-3</v>
      </c>
      <c r="J151" s="77"/>
      <c r="K151" s="77"/>
    </row>
    <row r="152" spans="1:11" ht="16">
      <c r="A152" s="233">
        <v>42203</v>
      </c>
      <c r="B152">
        <v>92.912727000000004</v>
      </c>
      <c r="C152" s="47">
        <f t="shared" si="6"/>
        <v>-1.4976450930933582E-3</v>
      </c>
      <c r="G152" s="81">
        <v>42195</v>
      </c>
      <c r="H152" s="82">
        <v>280.61</v>
      </c>
      <c r="I152" s="211">
        <f t="shared" si="5"/>
        <v>4.5823935846491803E-3</v>
      </c>
      <c r="J152" s="77"/>
      <c r="K152" s="77"/>
    </row>
    <row r="153" spans="1:11" ht="16">
      <c r="A153" s="233">
        <v>42206</v>
      </c>
      <c r="B153">
        <v>93.240622999999999</v>
      </c>
      <c r="C153" s="47">
        <f t="shared" si="6"/>
        <v>3.5290751933263476E-3</v>
      </c>
      <c r="G153" s="81">
        <v>42196</v>
      </c>
      <c r="H153" s="82">
        <v>279.48</v>
      </c>
      <c r="I153" s="211">
        <f t="shared" si="5"/>
        <v>-4.0269413064395465E-3</v>
      </c>
      <c r="J153" s="77"/>
      <c r="K153" s="77"/>
    </row>
    <row r="154" spans="1:11" ht="16">
      <c r="A154" s="233">
        <v>42207</v>
      </c>
      <c r="B154">
        <v>93.527557000000002</v>
      </c>
      <c r="C154" s="47">
        <f t="shared" si="6"/>
        <v>3.0773496654994403E-3</v>
      </c>
      <c r="G154" s="81">
        <v>42199</v>
      </c>
      <c r="H154" s="82">
        <v>281.27</v>
      </c>
      <c r="I154" s="211">
        <f t="shared" si="5"/>
        <v>6.4047516816945205E-3</v>
      </c>
      <c r="J154" s="77"/>
      <c r="K154" s="77"/>
    </row>
    <row r="155" spans="1:11" ht="16">
      <c r="A155" s="233">
        <v>42208</v>
      </c>
      <c r="B155">
        <v>93.740700000000004</v>
      </c>
      <c r="C155" s="47">
        <f t="shared" si="6"/>
        <v>2.2789326144807553E-3</v>
      </c>
      <c r="G155" s="81">
        <v>42200</v>
      </c>
      <c r="H155" s="82">
        <v>281.73</v>
      </c>
      <c r="I155" s="211">
        <f t="shared" si="5"/>
        <v>1.6354392576529708E-3</v>
      </c>
      <c r="J155" s="77"/>
      <c r="K155" s="77"/>
    </row>
    <row r="156" spans="1:11" ht="16">
      <c r="A156" s="233">
        <v>42209</v>
      </c>
      <c r="B156">
        <v>93.601348999999999</v>
      </c>
      <c r="C156" s="47">
        <f t="shared" si="6"/>
        <v>-1.4865581332335065E-3</v>
      </c>
      <c r="G156" s="81">
        <v>42201</v>
      </c>
      <c r="H156" s="82">
        <v>280.62</v>
      </c>
      <c r="I156" s="211">
        <f t="shared" si="5"/>
        <v>-3.9399424981365616E-3</v>
      </c>
      <c r="J156" s="77"/>
      <c r="K156" s="77"/>
    </row>
    <row r="157" spans="1:11" ht="16">
      <c r="A157" s="233">
        <v>42210</v>
      </c>
      <c r="B157">
        <v>93.552138999999997</v>
      </c>
      <c r="C157" s="47">
        <f t="shared" si="6"/>
        <v>-5.2574028607221823E-4</v>
      </c>
      <c r="G157" s="81">
        <v>42202</v>
      </c>
      <c r="H157" s="82">
        <v>279.81</v>
      </c>
      <c r="I157" s="211">
        <f t="shared" si="5"/>
        <v>-2.8864656831302238E-3</v>
      </c>
      <c r="J157" s="77"/>
      <c r="K157" s="77"/>
    </row>
    <row r="158" spans="1:11" ht="16">
      <c r="A158" s="233">
        <v>42213</v>
      </c>
      <c r="B158">
        <v>93.543953000000002</v>
      </c>
      <c r="C158" s="47">
        <f t="shared" si="6"/>
        <v>-8.7502007837469975E-5</v>
      </c>
      <c r="G158" s="81">
        <v>42203</v>
      </c>
      <c r="H158" s="82">
        <v>280.60000000000002</v>
      </c>
      <c r="I158" s="211">
        <f t="shared" si="5"/>
        <v>2.8233444122798268E-3</v>
      </c>
      <c r="J158" s="77"/>
      <c r="K158" s="77"/>
    </row>
    <row r="159" spans="1:11" ht="16">
      <c r="A159" s="233">
        <v>42214</v>
      </c>
      <c r="B159">
        <v>93.388205999999997</v>
      </c>
      <c r="C159" s="47">
        <f t="shared" si="6"/>
        <v>-1.6649606415499729E-3</v>
      </c>
      <c r="G159" s="81">
        <v>42206</v>
      </c>
      <c r="H159" s="82">
        <v>279.47000000000003</v>
      </c>
      <c r="I159" s="211">
        <f t="shared" si="5"/>
        <v>-4.0270848182466512E-3</v>
      </c>
      <c r="J159" s="77"/>
      <c r="K159" s="77"/>
    </row>
    <row r="160" spans="1:11" ht="16">
      <c r="A160" s="233">
        <v>42215</v>
      </c>
      <c r="B160">
        <v>93.191460000000006</v>
      </c>
      <c r="C160" s="47">
        <f t="shared" si="6"/>
        <v>-2.1067542511737924E-3</v>
      </c>
      <c r="G160" s="81">
        <v>42207</v>
      </c>
      <c r="H160" s="82">
        <v>279.62</v>
      </c>
      <c r="I160" s="211">
        <f t="shared" si="5"/>
        <v>5.3673023938149989E-4</v>
      </c>
      <c r="J160" s="77"/>
      <c r="K160" s="77"/>
    </row>
    <row r="161" spans="1:11" ht="16">
      <c r="A161" s="233">
        <v>42216</v>
      </c>
      <c r="B161">
        <v>93.592986999999994</v>
      </c>
      <c r="C161" s="47">
        <f t="shared" si="6"/>
        <v>4.3086244168724086E-3</v>
      </c>
      <c r="G161" s="81">
        <v>42208</v>
      </c>
      <c r="H161" s="82">
        <v>279.79000000000002</v>
      </c>
      <c r="I161" s="211">
        <f t="shared" si="5"/>
        <v>6.0796795651252289E-4</v>
      </c>
      <c r="J161" s="77"/>
      <c r="K161" s="77"/>
    </row>
    <row r="162" spans="1:11" ht="16">
      <c r="A162" s="233">
        <v>42217</v>
      </c>
      <c r="B162">
        <v>93.535392999999999</v>
      </c>
      <c r="C162" s="47">
        <f t="shared" si="6"/>
        <v>-6.1536661929584291E-4</v>
      </c>
      <c r="G162" s="81">
        <v>42209</v>
      </c>
      <c r="H162" s="82">
        <v>279.55</v>
      </c>
      <c r="I162" s="211">
        <f t="shared" si="5"/>
        <v>-8.5778619679044432E-4</v>
      </c>
      <c r="J162" s="77"/>
      <c r="K162" s="77"/>
    </row>
    <row r="163" spans="1:11" ht="16">
      <c r="A163" s="233">
        <v>42220</v>
      </c>
      <c r="B163">
        <v>92.613838000000001</v>
      </c>
      <c r="C163" s="47">
        <f t="shared" si="6"/>
        <v>-9.852473704793252E-3</v>
      </c>
      <c r="G163" s="81">
        <v>42210</v>
      </c>
      <c r="H163" s="82">
        <v>278.27999999999997</v>
      </c>
      <c r="I163" s="211">
        <f t="shared" si="5"/>
        <v>-4.5430155607226741E-3</v>
      </c>
      <c r="J163" s="77"/>
      <c r="K163" s="77"/>
    </row>
    <row r="164" spans="1:11" ht="16">
      <c r="A164" s="233">
        <v>42221</v>
      </c>
      <c r="B164">
        <v>93.263824</v>
      </c>
      <c r="C164" s="47">
        <f t="shared" si="6"/>
        <v>7.0182384623775906E-3</v>
      </c>
      <c r="G164" s="81">
        <v>42213</v>
      </c>
      <c r="H164" s="82">
        <v>277.91000000000003</v>
      </c>
      <c r="I164" s="211">
        <f t="shared" si="5"/>
        <v>-1.3295960902686144E-3</v>
      </c>
      <c r="J164" s="77"/>
      <c r="K164" s="77"/>
    </row>
    <row r="165" spans="1:11" ht="16">
      <c r="A165" s="233">
        <v>42222</v>
      </c>
      <c r="B165">
        <v>93.732864000000006</v>
      </c>
      <c r="C165" s="47">
        <f t="shared" si="6"/>
        <v>5.0291740128520779E-3</v>
      </c>
      <c r="G165" s="81">
        <v>42214</v>
      </c>
      <c r="H165" s="82">
        <v>276.75</v>
      </c>
      <c r="I165" s="211">
        <f t="shared" si="5"/>
        <v>-4.1740131697313165E-3</v>
      </c>
      <c r="J165" s="77"/>
      <c r="K165" s="77"/>
    </row>
    <row r="166" spans="1:11" ht="16">
      <c r="A166" s="233">
        <v>42223</v>
      </c>
      <c r="B166">
        <v>94.201828000000006</v>
      </c>
      <c r="C166" s="47">
        <f t="shared" si="6"/>
        <v>5.00319717105846E-3</v>
      </c>
      <c r="G166" s="81">
        <v>42215</v>
      </c>
      <c r="H166" s="82">
        <v>275.61</v>
      </c>
      <c r="I166" s="211">
        <f t="shared" si="5"/>
        <v>-4.1192411924119154E-3</v>
      </c>
      <c r="J166" s="77"/>
      <c r="K166" s="77"/>
    </row>
    <row r="167" spans="1:11" ht="16">
      <c r="A167" s="233">
        <v>42224</v>
      </c>
      <c r="B167">
        <v>94.152489000000003</v>
      </c>
      <c r="C167" s="47">
        <f t="shared" si="6"/>
        <v>-5.2375841369023401E-4</v>
      </c>
      <c r="G167" s="81">
        <v>42216</v>
      </c>
      <c r="H167" s="82">
        <v>272.25</v>
      </c>
      <c r="I167" s="211">
        <f t="shared" si="5"/>
        <v>-1.2191139653858762E-2</v>
      </c>
      <c r="J167" s="77"/>
      <c r="K167" s="77"/>
    </row>
    <row r="168" spans="1:11" ht="16">
      <c r="A168" s="233">
        <v>42227</v>
      </c>
      <c r="B168">
        <v>93.165115</v>
      </c>
      <c r="C168" s="47">
        <f t="shared" si="6"/>
        <v>-1.0486966520874441E-2</v>
      </c>
      <c r="G168" s="81">
        <v>42217</v>
      </c>
      <c r="H168" s="82">
        <v>266.95999999999998</v>
      </c>
      <c r="I168" s="211">
        <f t="shared" si="5"/>
        <v>-1.9430670339761313E-2</v>
      </c>
      <c r="J168" s="77"/>
      <c r="K168" s="77"/>
    </row>
    <row r="169" spans="1:11" ht="16">
      <c r="A169" s="233">
        <v>42228</v>
      </c>
      <c r="B169">
        <v>93.033469999999994</v>
      </c>
      <c r="C169" s="47">
        <f t="shared" si="6"/>
        <v>-1.4130289003562169E-3</v>
      </c>
      <c r="G169" s="81">
        <v>42220</v>
      </c>
      <c r="H169" s="82">
        <v>259.26</v>
      </c>
      <c r="I169" s="211">
        <f t="shared" si="5"/>
        <v>-2.8843272400359554E-2</v>
      </c>
      <c r="J169" s="77"/>
      <c r="K169" s="77"/>
    </row>
    <row r="170" spans="1:11" ht="16">
      <c r="A170" s="233">
        <v>42229</v>
      </c>
      <c r="B170">
        <v>92.910049000000001</v>
      </c>
      <c r="C170" s="47">
        <f t="shared" si="6"/>
        <v>-1.3266300827002864E-3</v>
      </c>
      <c r="G170" s="81">
        <v>42221</v>
      </c>
      <c r="H170" s="82">
        <v>259.7</v>
      </c>
      <c r="I170" s="211">
        <f t="shared" si="5"/>
        <v>1.6971380081771681E-3</v>
      </c>
      <c r="J170" s="77"/>
      <c r="K170" s="77"/>
    </row>
    <row r="171" spans="1:11" ht="16">
      <c r="A171" s="233">
        <v>42230</v>
      </c>
      <c r="B171">
        <v>93.280311999999995</v>
      </c>
      <c r="C171" s="47">
        <f t="shared" si="6"/>
        <v>3.9851771039318695E-3</v>
      </c>
      <c r="G171" s="81">
        <v>42222</v>
      </c>
      <c r="H171" s="82">
        <v>259.92</v>
      </c>
      <c r="I171" s="211">
        <f t="shared" si="5"/>
        <v>8.4713130535241099E-4</v>
      </c>
      <c r="J171" s="77"/>
      <c r="K171" s="77"/>
    </row>
    <row r="172" spans="1:11" ht="16">
      <c r="A172" s="233">
        <v>42231</v>
      </c>
      <c r="B172">
        <v>93.815109000000007</v>
      </c>
      <c r="C172" s="47">
        <f t="shared" si="6"/>
        <v>5.7332248202601743E-3</v>
      </c>
      <c r="G172" s="81">
        <v>42223</v>
      </c>
      <c r="H172" s="82">
        <v>263.26</v>
      </c>
      <c r="I172" s="211">
        <f t="shared" si="5"/>
        <v>1.2850107725453919E-2</v>
      </c>
      <c r="J172" s="77"/>
      <c r="K172" s="77"/>
    </row>
    <row r="173" spans="1:11" ht="16">
      <c r="A173" s="233">
        <v>42234</v>
      </c>
      <c r="B173">
        <v>93.436676000000006</v>
      </c>
      <c r="C173" s="47">
        <f t="shared" si="6"/>
        <v>-4.033817196758771E-3</v>
      </c>
      <c r="G173" s="81">
        <v>42224</v>
      </c>
      <c r="H173" s="82">
        <v>262.2</v>
      </c>
      <c r="I173" s="211">
        <f t="shared" si="5"/>
        <v>-4.0264377421560527E-3</v>
      </c>
      <c r="J173" s="77"/>
      <c r="K173" s="77"/>
    </row>
    <row r="174" spans="1:11" ht="16">
      <c r="A174" s="233">
        <v>42235</v>
      </c>
      <c r="B174">
        <v>93.461296000000004</v>
      </c>
      <c r="C174" s="47">
        <f t="shared" si="6"/>
        <v>2.6349396247793422E-4</v>
      </c>
      <c r="G174" s="81">
        <v>42227</v>
      </c>
      <c r="H174" s="82">
        <v>260.67</v>
      </c>
      <c r="I174" s="211">
        <f t="shared" si="5"/>
        <v>-5.8352402745994736E-3</v>
      </c>
      <c r="J174" s="77"/>
      <c r="K174" s="77"/>
    </row>
    <row r="175" spans="1:11" ht="16">
      <c r="A175" s="233">
        <v>42236</v>
      </c>
      <c r="B175">
        <v>93.732864000000006</v>
      </c>
      <c r="C175" s="47">
        <f t="shared" si="6"/>
        <v>2.9056733816317237E-3</v>
      </c>
      <c r="G175" s="81">
        <v>42228</v>
      </c>
      <c r="H175" s="82">
        <v>259.14</v>
      </c>
      <c r="I175" s="211">
        <f t="shared" si="5"/>
        <v>-5.8694901599725124E-3</v>
      </c>
      <c r="J175" s="77"/>
      <c r="K175" s="77"/>
    </row>
    <row r="176" spans="1:11" ht="16">
      <c r="A176" s="233">
        <v>42237</v>
      </c>
      <c r="B176">
        <v>93.782203999999993</v>
      </c>
      <c r="C176" s="47">
        <f t="shared" si="6"/>
        <v>5.2638954892048062E-4</v>
      </c>
      <c r="G176" s="81">
        <v>42229</v>
      </c>
      <c r="H176" s="82">
        <v>257.42</v>
      </c>
      <c r="I176" s="211">
        <f t="shared" si="5"/>
        <v>-6.6373388901750374E-3</v>
      </c>
      <c r="J176" s="77"/>
      <c r="K176" s="77"/>
    </row>
    <row r="177" spans="1:11" ht="16">
      <c r="A177" s="233">
        <v>42238</v>
      </c>
      <c r="B177">
        <v>93.823357000000001</v>
      </c>
      <c r="C177" s="47">
        <f t="shared" si="6"/>
        <v>4.3881459642403087E-4</v>
      </c>
      <c r="G177" s="81">
        <v>42230</v>
      </c>
      <c r="H177" s="82">
        <v>256.93</v>
      </c>
      <c r="I177" s="211">
        <f t="shared" si="5"/>
        <v>-1.9035040012431725E-3</v>
      </c>
      <c r="J177" s="77"/>
      <c r="K177" s="77"/>
    </row>
    <row r="178" spans="1:11" ht="16">
      <c r="A178" s="233">
        <v>42241</v>
      </c>
      <c r="B178">
        <v>93.741095999999999</v>
      </c>
      <c r="C178" s="47">
        <f t="shared" si="6"/>
        <v>-8.7676462056252014E-4</v>
      </c>
      <c r="G178" s="81">
        <v>42231</v>
      </c>
      <c r="H178" s="82">
        <v>258.93</v>
      </c>
      <c r="I178" s="211">
        <f t="shared" si="5"/>
        <v>7.7842213832561846E-3</v>
      </c>
      <c r="J178" s="77"/>
      <c r="K178" s="77"/>
    </row>
    <row r="179" spans="1:11" ht="16">
      <c r="A179" s="233">
        <v>42242</v>
      </c>
      <c r="B179">
        <v>94.004386999999994</v>
      </c>
      <c r="C179" s="47">
        <f t="shared" si="6"/>
        <v>2.8087040928133078E-3</v>
      </c>
      <c r="G179" s="81">
        <v>42234</v>
      </c>
      <c r="H179" s="82">
        <v>260.91000000000003</v>
      </c>
      <c r="I179" s="211">
        <f t="shared" si="5"/>
        <v>7.64685436218282E-3</v>
      </c>
      <c r="J179" s="77"/>
      <c r="K179" s="77"/>
    </row>
    <row r="180" spans="1:11" ht="16">
      <c r="A180" s="233">
        <v>42243</v>
      </c>
      <c r="B180">
        <v>94.111320000000006</v>
      </c>
      <c r="C180" s="47">
        <f t="shared" si="6"/>
        <v>1.1375320175217585E-3</v>
      </c>
      <c r="G180" s="81">
        <v>42235</v>
      </c>
      <c r="H180" s="82">
        <v>260.98</v>
      </c>
      <c r="I180" s="211">
        <f t="shared" si="5"/>
        <v>2.6829174811227041E-4</v>
      </c>
      <c r="J180" s="77"/>
      <c r="K180" s="77"/>
    </row>
    <row r="181" spans="1:11" ht="16">
      <c r="A181" s="233">
        <v>42244</v>
      </c>
      <c r="B181">
        <v>94.325271999999998</v>
      </c>
      <c r="C181" s="47">
        <f t="shared" si="6"/>
        <v>2.2733928288327654E-3</v>
      </c>
      <c r="G181" s="81">
        <v>42236</v>
      </c>
      <c r="H181" s="82">
        <v>261.77</v>
      </c>
      <c r="I181" s="211">
        <f t="shared" si="5"/>
        <v>3.0270518813699798E-3</v>
      </c>
      <c r="J181" s="77"/>
      <c r="K181" s="77"/>
    </row>
    <row r="182" spans="1:11" ht="16">
      <c r="A182" s="233">
        <v>42245</v>
      </c>
      <c r="B182">
        <v>94.637932000000006</v>
      </c>
      <c r="C182" s="47">
        <f t="shared" si="6"/>
        <v>3.3147002215907495E-3</v>
      </c>
      <c r="G182" s="81">
        <v>42237</v>
      </c>
      <c r="H182" s="82">
        <v>259.97000000000003</v>
      </c>
      <c r="I182" s="211">
        <f t="shared" si="5"/>
        <v>-6.8762654238452292E-3</v>
      </c>
      <c r="J182" s="77"/>
      <c r="K182" s="77"/>
    </row>
    <row r="183" spans="1:11" ht="16">
      <c r="A183" s="233">
        <v>42249</v>
      </c>
      <c r="B183">
        <v>94.855118000000004</v>
      </c>
      <c r="C183" s="47">
        <f t="shared" si="6"/>
        <v>2.2949148973372413E-3</v>
      </c>
      <c r="G183" s="81">
        <v>42238</v>
      </c>
      <c r="H183" s="82">
        <v>259.38</v>
      </c>
      <c r="I183" s="211">
        <f t="shared" si="5"/>
        <v>-2.2694926337655241E-3</v>
      </c>
      <c r="J183" s="77"/>
      <c r="K183" s="77"/>
    </row>
    <row r="184" spans="1:11" ht="16">
      <c r="A184" s="233">
        <v>42250</v>
      </c>
      <c r="B184">
        <v>95.449646000000001</v>
      </c>
      <c r="C184" s="47">
        <f t="shared" si="6"/>
        <v>6.2677482516020344E-3</v>
      </c>
      <c r="G184" s="81">
        <v>42241</v>
      </c>
      <c r="H184" s="82">
        <v>256.7</v>
      </c>
      <c r="I184" s="211">
        <f t="shared" si="5"/>
        <v>-1.0332330943017998E-2</v>
      </c>
      <c r="J184" s="77"/>
      <c r="K184" s="77"/>
    </row>
    <row r="185" spans="1:11" ht="16">
      <c r="A185" s="233">
        <v>42251</v>
      </c>
      <c r="B185">
        <v>94.937659999999994</v>
      </c>
      <c r="C185" s="47">
        <f t="shared" si="6"/>
        <v>-5.3639381753182169E-3</v>
      </c>
      <c r="G185" s="81">
        <v>42242</v>
      </c>
      <c r="H185" s="82">
        <v>257.5</v>
      </c>
      <c r="I185" s="211">
        <f t="shared" si="5"/>
        <v>3.1164783794312978E-3</v>
      </c>
      <c r="J185" s="77"/>
      <c r="K185" s="77"/>
    </row>
    <row r="186" spans="1:11" ht="16">
      <c r="A186" s="233">
        <v>42252</v>
      </c>
      <c r="B186">
        <v>95.276245000000003</v>
      </c>
      <c r="C186" s="47">
        <f t="shared" si="6"/>
        <v>3.5663929361646751E-3</v>
      </c>
      <c r="G186" s="81">
        <v>42243</v>
      </c>
      <c r="H186" s="82">
        <v>257.56</v>
      </c>
      <c r="I186" s="211">
        <f t="shared" si="5"/>
        <v>2.3300970873796345E-4</v>
      </c>
      <c r="J186" s="77"/>
      <c r="K186" s="77"/>
    </row>
    <row r="187" spans="1:11" ht="16">
      <c r="A187" s="233">
        <v>42255</v>
      </c>
      <c r="B187">
        <v>94.491753000000003</v>
      </c>
      <c r="C187" s="47">
        <f t="shared" si="6"/>
        <v>-8.2338677390151327E-3</v>
      </c>
      <c r="G187" s="81">
        <v>42244</v>
      </c>
      <c r="H187" s="82">
        <v>259.07</v>
      </c>
      <c r="I187" s="211">
        <f t="shared" si="5"/>
        <v>5.8627116011802372E-3</v>
      </c>
      <c r="J187" s="77"/>
      <c r="K187" s="77"/>
    </row>
    <row r="188" spans="1:11" ht="16">
      <c r="A188" s="233">
        <v>42256</v>
      </c>
      <c r="B188">
        <v>93.789885999999996</v>
      </c>
      <c r="C188" s="47">
        <f t="shared" si="6"/>
        <v>-7.4278122451597595E-3</v>
      </c>
      <c r="G188" s="81">
        <v>42245</v>
      </c>
      <c r="H188" s="82">
        <v>262.45999999999998</v>
      </c>
      <c r="I188" s="211">
        <f t="shared" si="5"/>
        <v>1.3085266530281414E-2</v>
      </c>
      <c r="J188" s="77"/>
      <c r="K188" s="77"/>
    </row>
    <row r="189" spans="1:11" ht="16">
      <c r="A189" s="233">
        <v>42257</v>
      </c>
      <c r="B189">
        <v>93.888969000000003</v>
      </c>
      <c r="C189" s="47">
        <f t="shared" si="6"/>
        <v>1.0564358719873379E-3</v>
      </c>
      <c r="G189" s="81">
        <v>42248</v>
      </c>
      <c r="H189" s="82">
        <v>262.45999999999998</v>
      </c>
      <c r="I189" s="211">
        <f t="shared" si="5"/>
        <v>0</v>
      </c>
      <c r="J189" s="77"/>
      <c r="K189" s="77"/>
    </row>
    <row r="190" spans="1:11" ht="16">
      <c r="A190" s="233">
        <v>42258</v>
      </c>
      <c r="B190">
        <v>94.070633000000001</v>
      </c>
      <c r="C190" s="47">
        <f t="shared" si="6"/>
        <v>1.9348811892907491E-3</v>
      </c>
      <c r="G190" s="81">
        <v>42249</v>
      </c>
      <c r="H190" s="82">
        <v>259.61</v>
      </c>
      <c r="I190" s="211">
        <f t="shared" si="5"/>
        <v>-1.0858797531052233E-2</v>
      </c>
      <c r="J190" s="77"/>
      <c r="K190" s="77"/>
    </row>
    <row r="191" spans="1:11" ht="16">
      <c r="A191" s="233">
        <v>42259</v>
      </c>
      <c r="B191">
        <v>92.988883999999999</v>
      </c>
      <c r="C191" s="47">
        <f t="shared" si="6"/>
        <v>-1.1499327319292152E-2</v>
      </c>
      <c r="G191" s="81">
        <v>42250</v>
      </c>
      <c r="H191" s="82">
        <v>263.95999999999998</v>
      </c>
      <c r="I191" s="211">
        <f t="shared" si="5"/>
        <v>1.6755903085397206E-2</v>
      </c>
      <c r="J191" s="77"/>
      <c r="K191" s="77"/>
    </row>
    <row r="192" spans="1:11" ht="16">
      <c r="A192" s="233">
        <v>42262</v>
      </c>
      <c r="B192">
        <v>93.385254000000003</v>
      </c>
      <c r="C192" s="47">
        <f t="shared" si="6"/>
        <v>4.2625525003612275E-3</v>
      </c>
      <c r="G192" s="81">
        <v>42251</v>
      </c>
      <c r="H192" s="82">
        <v>266.69</v>
      </c>
      <c r="I192" s="211">
        <f t="shared" si="5"/>
        <v>1.0342476132747525E-2</v>
      </c>
      <c r="J192" s="77"/>
      <c r="K192" s="77"/>
    </row>
    <row r="193" spans="1:11" ht="16">
      <c r="A193" s="233">
        <v>42263</v>
      </c>
      <c r="B193">
        <v>93.682509999999994</v>
      </c>
      <c r="C193" s="47">
        <f t="shared" si="6"/>
        <v>3.1831149701642136E-3</v>
      </c>
      <c r="G193" s="81">
        <v>42252</v>
      </c>
      <c r="H193" s="82">
        <v>267.89999999999998</v>
      </c>
      <c r="I193" s="211">
        <f t="shared" si="5"/>
        <v>4.5371030034870863E-3</v>
      </c>
      <c r="J193" s="77"/>
      <c r="K193" s="77"/>
    </row>
    <row r="194" spans="1:11" ht="16">
      <c r="A194" s="233">
        <v>42264</v>
      </c>
      <c r="B194">
        <v>93.690781000000001</v>
      </c>
      <c r="C194" s="47">
        <f t="shared" si="6"/>
        <v>8.8287557624244783E-5</v>
      </c>
      <c r="G194" s="81">
        <v>42255</v>
      </c>
      <c r="H194" s="82">
        <v>268.11</v>
      </c>
      <c r="I194" s="211">
        <f t="shared" si="5"/>
        <v>7.8387458006723421E-4</v>
      </c>
      <c r="J194" s="77"/>
      <c r="K194" s="77"/>
    </row>
    <row r="195" spans="1:11" ht="16">
      <c r="A195" s="233">
        <v>42265</v>
      </c>
      <c r="B195">
        <v>94.103667999999999</v>
      </c>
      <c r="C195" s="47">
        <f t="shared" si="6"/>
        <v>4.4069117109826195E-3</v>
      </c>
      <c r="G195" s="81">
        <v>42256</v>
      </c>
      <c r="H195" s="82">
        <v>267.36</v>
      </c>
      <c r="I195" s="211">
        <f t="shared" si="5"/>
        <v>-2.7973592928275393E-3</v>
      </c>
      <c r="J195" s="77"/>
      <c r="K195" s="77"/>
    </row>
    <row r="196" spans="1:11" ht="16">
      <c r="A196" s="233">
        <v>42266</v>
      </c>
      <c r="B196">
        <v>94.524811</v>
      </c>
      <c r="C196" s="47">
        <f t="shared" si="6"/>
        <v>4.4753090814695362E-3</v>
      </c>
      <c r="G196" s="81">
        <v>42257</v>
      </c>
      <c r="H196" s="82">
        <v>269.79000000000002</v>
      </c>
      <c r="I196" s="211">
        <f t="shared" si="5"/>
        <v>9.0888689407540024E-3</v>
      </c>
      <c r="J196" s="77"/>
      <c r="K196" s="77"/>
    </row>
    <row r="197" spans="1:11" ht="16">
      <c r="A197" s="233">
        <v>42269</v>
      </c>
      <c r="B197">
        <v>94.310096999999999</v>
      </c>
      <c r="C197" s="47">
        <f t="shared" si="6"/>
        <v>-2.2715094347027787E-3</v>
      </c>
      <c r="G197" s="81">
        <v>42258</v>
      </c>
      <c r="H197" s="82">
        <v>271.57</v>
      </c>
      <c r="I197" s="211">
        <f t="shared" si="5"/>
        <v>6.5977241558248245E-3</v>
      </c>
      <c r="J197" s="77"/>
      <c r="K197" s="77"/>
    </row>
    <row r="198" spans="1:11" ht="16">
      <c r="A198" s="233">
        <v>42270</v>
      </c>
      <c r="B198">
        <v>93.707297999999994</v>
      </c>
      <c r="C198" s="47">
        <f t="shared" si="6"/>
        <v>-6.3916698124062421E-3</v>
      </c>
      <c r="G198" s="81">
        <v>42259</v>
      </c>
      <c r="H198" s="82">
        <v>272.89</v>
      </c>
      <c r="I198" s="211">
        <f t="shared" si="5"/>
        <v>4.8606252531575578E-3</v>
      </c>
      <c r="J198" s="77"/>
      <c r="K198" s="77"/>
    </row>
    <row r="199" spans="1:11" ht="16">
      <c r="A199" s="233">
        <v>42271</v>
      </c>
      <c r="B199">
        <v>93.434830000000005</v>
      </c>
      <c r="C199" s="47">
        <f t="shared" si="6"/>
        <v>-2.9076497328947015E-3</v>
      </c>
      <c r="G199" s="81">
        <v>42262</v>
      </c>
      <c r="H199" s="82">
        <v>272.42</v>
      </c>
      <c r="I199" s="211">
        <f t="shared" si="5"/>
        <v>-1.7223056909376755E-3</v>
      </c>
      <c r="J199" s="77"/>
      <c r="K199" s="77"/>
    </row>
    <row r="200" spans="1:11" ht="16">
      <c r="A200" s="233">
        <v>42272</v>
      </c>
      <c r="B200">
        <v>93.624724999999998</v>
      </c>
      <c r="C200" s="47">
        <f t="shared" si="6"/>
        <v>2.0323791459779805E-3</v>
      </c>
      <c r="G200" s="81">
        <v>42263</v>
      </c>
      <c r="H200" s="82">
        <v>270.17</v>
      </c>
      <c r="I200" s="211">
        <f t="shared" si="5"/>
        <v>-8.2593054841788582E-3</v>
      </c>
      <c r="J200" s="77"/>
      <c r="K200" s="77"/>
    </row>
    <row r="201" spans="1:11" ht="16">
      <c r="A201" s="233">
        <v>42273</v>
      </c>
      <c r="B201">
        <v>93.500861999999998</v>
      </c>
      <c r="C201" s="47">
        <f t="shared" si="6"/>
        <v>-1.3229731782923304E-3</v>
      </c>
      <c r="G201" s="81">
        <v>42264</v>
      </c>
      <c r="H201" s="82">
        <v>270.77999999999997</v>
      </c>
      <c r="I201" s="211">
        <f t="shared" si="5"/>
        <v>2.2578376577708781E-3</v>
      </c>
      <c r="J201" s="77"/>
      <c r="K201" s="77"/>
    </row>
    <row r="202" spans="1:11" ht="16">
      <c r="A202" s="233">
        <v>42276</v>
      </c>
      <c r="B202">
        <v>93.599952999999999</v>
      </c>
      <c r="C202" s="47">
        <f t="shared" si="6"/>
        <v>1.0597870210009575E-3</v>
      </c>
      <c r="G202" s="81">
        <v>42265</v>
      </c>
      <c r="H202" s="82">
        <v>269.13</v>
      </c>
      <c r="I202" s="211">
        <f t="shared" si="5"/>
        <v>-6.0935076445822745E-3</v>
      </c>
      <c r="J202" s="77"/>
      <c r="K202" s="77"/>
    </row>
    <row r="203" spans="1:11" ht="16">
      <c r="A203" s="233">
        <v>42277</v>
      </c>
      <c r="B203">
        <v>93.152473000000001</v>
      </c>
      <c r="C203" s="47">
        <f t="shared" si="6"/>
        <v>-4.7807716313703619E-3</v>
      </c>
      <c r="G203" s="81">
        <v>42266</v>
      </c>
      <c r="H203" s="82">
        <v>270.74</v>
      </c>
      <c r="I203" s="211">
        <f t="shared" si="5"/>
        <v>5.9822390666222081E-3</v>
      </c>
      <c r="J203" s="77"/>
      <c r="K203" s="77"/>
    </row>
    <row r="204" spans="1:11" ht="16">
      <c r="A204" s="233">
        <v>42278</v>
      </c>
      <c r="B204">
        <v>93.135902000000002</v>
      </c>
      <c r="C204" s="47">
        <f t="shared" si="6"/>
        <v>-1.7789114412447571E-4</v>
      </c>
      <c r="G204" s="81">
        <v>42269</v>
      </c>
      <c r="H204" s="82">
        <v>269.63</v>
      </c>
      <c r="I204" s="211">
        <f t="shared" si="5"/>
        <v>-4.0998744182610958E-3</v>
      </c>
      <c r="J204" s="77"/>
      <c r="K204" s="77"/>
    </row>
    <row r="205" spans="1:11" ht="16">
      <c r="A205" s="233">
        <v>42279</v>
      </c>
      <c r="B205">
        <v>93.583388999999997</v>
      </c>
      <c r="C205" s="47">
        <f t="shared" si="6"/>
        <v>4.8046670552457371E-3</v>
      </c>
      <c r="G205" s="81">
        <v>42270</v>
      </c>
      <c r="H205" s="82">
        <v>268.47000000000003</v>
      </c>
      <c r="I205" s="211">
        <f t="shared" si="5"/>
        <v>-4.3021918925933988E-3</v>
      </c>
      <c r="J205" s="77"/>
      <c r="K205" s="77"/>
    </row>
    <row r="206" spans="1:11" ht="16">
      <c r="A206" s="233">
        <v>42280</v>
      </c>
      <c r="B206">
        <v>94.403778000000003</v>
      </c>
      <c r="C206" s="47">
        <f t="shared" si="6"/>
        <v>8.7663954978165481E-3</v>
      </c>
      <c r="G206" s="81">
        <v>42271</v>
      </c>
      <c r="H206" s="82">
        <v>267.12</v>
      </c>
      <c r="I206" s="211">
        <f t="shared" si="5"/>
        <v>-5.0284948038887833E-3</v>
      </c>
      <c r="J206" s="77"/>
      <c r="K206" s="77"/>
    </row>
    <row r="207" spans="1:11" ht="16">
      <c r="A207" s="233">
        <v>42283</v>
      </c>
      <c r="B207">
        <v>93.873420999999993</v>
      </c>
      <c r="C207" s="47">
        <f t="shared" si="6"/>
        <v>-5.6179637217486089E-3</v>
      </c>
      <c r="G207" s="81">
        <v>42272</v>
      </c>
      <c r="H207" s="82">
        <v>267.94</v>
      </c>
      <c r="I207" s="211">
        <f t="shared" si="5"/>
        <v>3.0697813716682454E-3</v>
      </c>
      <c r="J207" s="77"/>
      <c r="K207" s="77"/>
    </row>
    <row r="208" spans="1:11" ht="16">
      <c r="A208" s="233">
        <v>42284</v>
      </c>
      <c r="B208">
        <v>93.782272000000006</v>
      </c>
      <c r="C208" s="47">
        <f t="shared" si="6"/>
        <v>-9.7097771689802492E-4</v>
      </c>
      <c r="G208" s="81">
        <v>42273</v>
      </c>
      <c r="H208" s="82">
        <v>266.29000000000002</v>
      </c>
      <c r="I208" s="211">
        <f t="shared" ref="I208:I271" si="7">H208/H207-1</f>
        <v>-6.1580950959169156E-3</v>
      </c>
      <c r="J208" s="77"/>
      <c r="K208" s="77"/>
    </row>
    <row r="209" spans="1:11" ht="16">
      <c r="A209" s="233">
        <v>42285</v>
      </c>
      <c r="B209">
        <v>93.790549999999996</v>
      </c>
      <c r="C209" s="47">
        <f t="shared" ref="C209:C272" si="8">B209/B208-1</f>
        <v>8.8268281664083403E-5</v>
      </c>
      <c r="G209" s="81">
        <v>42276</v>
      </c>
      <c r="H209" s="82">
        <v>265.49</v>
      </c>
      <c r="I209" s="211">
        <f t="shared" si="7"/>
        <v>-3.0042434939352436E-3</v>
      </c>
      <c r="J209" s="77"/>
      <c r="K209" s="77"/>
    </row>
    <row r="210" spans="1:11" ht="16">
      <c r="A210" s="233">
        <v>42286</v>
      </c>
      <c r="B210">
        <v>93.633094999999997</v>
      </c>
      <c r="C210" s="47">
        <f t="shared" si="8"/>
        <v>-1.6787938656932511E-3</v>
      </c>
      <c r="G210" s="81">
        <v>42277</v>
      </c>
      <c r="H210" s="82">
        <v>264.60000000000002</v>
      </c>
      <c r="I210" s="211">
        <f t="shared" si="7"/>
        <v>-3.3522919883987035E-3</v>
      </c>
      <c r="J210" s="77"/>
      <c r="K210" s="77"/>
    </row>
    <row r="211" spans="1:11" ht="16">
      <c r="A211" s="233">
        <v>42287</v>
      </c>
      <c r="B211">
        <v>93.566788000000003</v>
      </c>
      <c r="C211" s="47">
        <f t="shared" si="8"/>
        <v>-7.0815772991372761E-4</v>
      </c>
      <c r="G211" s="81">
        <v>42278</v>
      </c>
      <c r="H211" s="82">
        <v>263.05</v>
      </c>
      <c r="I211" s="211">
        <f t="shared" si="7"/>
        <v>-5.8578987150416095E-3</v>
      </c>
      <c r="J211" s="77"/>
      <c r="K211" s="77"/>
    </row>
    <row r="212" spans="1:11" ht="16">
      <c r="A212" s="233">
        <v>42290</v>
      </c>
      <c r="B212">
        <v>93.608269000000007</v>
      </c>
      <c r="C212" s="47">
        <f t="shared" si="8"/>
        <v>4.4333038342636577E-4</v>
      </c>
      <c r="G212" s="81">
        <v>42279</v>
      </c>
      <c r="H212" s="82">
        <v>263.95</v>
      </c>
      <c r="I212" s="211">
        <f t="shared" si="7"/>
        <v>3.4214027751378051E-3</v>
      </c>
      <c r="J212" s="77"/>
      <c r="K212" s="77"/>
    </row>
    <row r="213" spans="1:11" ht="16">
      <c r="A213" s="233">
        <v>42291</v>
      </c>
      <c r="B213">
        <v>93.807113999999999</v>
      </c>
      <c r="C213" s="47">
        <f t="shared" si="8"/>
        <v>2.1242247306163531E-3</v>
      </c>
      <c r="G213" s="81">
        <v>42280</v>
      </c>
      <c r="H213" s="82">
        <v>264.87</v>
      </c>
      <c r="I213" s="211">
        <f t="shared" si="7"/>
        <v>3.4855086190566098E-3</v>
      </c>
      <c r="J213" s="77"/>
      <c r="K213" s="77"/>
    </row>
    <row r="214" spans="1:11" ht="16">
      <c r="A214" s="233">
        <v>42292</v>
      </c>
      <c r="B214">
        <v>93.657944000000001</v>
      </c>
      <c r="C214" s="47">
        <f t="shared" si="8"/>
        <v>-1.59017790484417E-3</v>
      </c>
      <c r="G214" s="81">
        <v>42283</v>
      </c>
      <c r="H214" s="82">
        <v>264.13</v>
      </c>
      <c r="I214" s="211">
        <f t="shared" si="7"/>
        <v>-2.7938233850568484E-3</v>
      </c>
      <c r="J214" s="77"/>
      <c r="K214" s="77"/>
    </row>
    <row r="215" spans="1:11" ht="16">
      <c r="A215" s="233">
        <v>42293</v>
      </c>
      <c r="B215">
        <v>93.790549999999996</v>
      </c>
      <c r="C215" s="47">
        <f t="shared" si="8"/>
        <v>1.4158542707278787E-3</v>
      </c>
      <c r="G215" s="81">
        <v>42284</v>
      </c>
      <c r="H215" s="82">
        <v>263.49</v>
      </c>
      <c r="I215" s="211">
        <f t="shared" si="7"/>
        <v>-2.4230492560480821E-3</v>
      </c>
      <c r="J215" s="77"/>
      <c r="K215" s="77"/>
    </row>
    <row r="216" spans="1:11" ht="16">
      <c r="A216" s="233">
        <v>42294</v>
      </c>
      <c r="B216">
        <v>93.873420999999993</v>
      </c>
      <c r="C216" s="47">
        <f t="shared" si="8"/>
        <v>8.8357515762504946E-4</v>
      </c>
      <c r="G216" s="81">
        <v>42285</v>
      </c>
      <c r="H216" s="82">
        <v>263.48</v>
      </c>
      <c r="I216" s="211">
        <f t="shared" si="7"/>
        <v>-3.7952104444127777E-5</v>
      </c>
      <c r="J216" s="77"/>
      <c r="K216" s="77"/>
    </row>
    <row r="217" spans="1:11" ht="16">
      <c r="A217" s="233">
        <v>42297</v>
      </c>
      <c r="B217">
        <v>93.533669000000003</v>
      </c>
      <c r="C217" s="47">
        <f t="shared" si="8"/>
        <v>-3.6192566157783324E-3</v>
      </c>
      <c r="G217" s="81">
        <v>42286</v>
      </c>
      <c r="H217" s="82">
        <v>264.77999999999997</v>
      </c>
      <c r="I217" s="211">
        <f t="shared" si="7"/>
        <v>4.9339608319414197E-3</v>
      </c>
      <c r="J217" s="77"/>
      <c r="K217" s="77"/>
    </row>
    <row r="218" spans="1:11" ht="16">
      <c r="A218" s="233">
        <v>42298</v>
      </c>
      <c r="B218">
        <v>93.873420999999993</v>
      </c>
      <c r="C218" s="47">
        <f t="shared" si="8"/>
        <v>3.6324032151457963E-3</v>
      </c>
      <c r="G218" s="81">
        <v>42287</v>
      </c>
      <c r="H218" s="82">
        <v>268.27</v>
      </c>
      <c r="I218" s="211">
        <f t="shared" si="7"/>
        <v>1.3180753833371028E-2</v>
      </c>
      <c r="J218" s="77"/>
      <c r="K218" s="77"/>
    </row>
    <row r="219" spans="1:11" ht="16">
      <c r="A219" s="233">
        <v>42299</v>
      </c>
      <c r="B219">
        <v>94.039162000000005</v>
      </c>
      <c r="C219" s="47">
        <f t="shared" si="8"/>
        <v>1.7655796308948535E-3</v>
      </c>
      <c r="G219" s="81">
        <v>42290</v>
      </c>
      <c r="H219" s="82">
        <v>269.52</v>
      </c>
      <c r="I219" s="211">
        <f t="shared" si="7"/>
        <v>4.6594848473553441E-3</v>
      </c>
      <c r="J219" s="77"/>
      <c r="K219" s="77"/>
    </row>
    <row r="220" spans="1:11" ht="16">
      <c r="A220" s="233">
        <v>42300</v>
      </c>
      <c r="B220">
        <v>94.039162000000005</v>
      </c>
      <c r="C220" s="47">
        <f t="shared" si="8"/>
        <v>0</v>
      </c>
      <c r="G220" s="81">
        <v>42291</v>
      </c>
      <c r="H220" s="82">
        <v>269.86</v>
      </c>
      <c r="I220" s="211">
        <f t="shared" si="7"/>
        <v>1.2615019293560348E-3</v>
      </c>
      <c r="J220" s="77"/>
      <c r="K220" s="77"/>
    </row>
    <row r="221" spans="1:11" ht="16">
      <c r="A221" s="233">
        <v>42301</v>
      </c>
      <c r="B221">
        <v>94.014274999999998</v>
      </c>
      <c r="C221" s="47">
        <f t="shared" si="8"/>
        <v>-2.6464506351098205E-4</v>
      </c>
      <c r="G221" s="81">
        <v>42292</v>
      </c>
      <c r="H221" s="82">
        <v>270.82</v>
      </c>
      <c r="I221" s="211">
        <f t="shared" si="7"/>
        <v>3.5574001334024441E-3</v>
      </c>
      <c r="J221" s="77"/>
      <c r="K221" s="77"/>
    </row>
    <row r="222" spans="1:11" ht="16">
      <c r="A222" s="233">
        <v>42304</v>
      </c>
      <c r="B222">
        <v>93.865134999999995</v>
      </c>
      <c r="C222" s="47">
        <f t="shared" si="8"/>
        <v>-1.5863548381349624E-3</v>
      </c>
      <c r="G222" s="81">
        <v>42293</v>
      </c>
      <c r="H222" s="82">
        <v>272.41000000000003</v>
      </c>
      <c r="I222" s="211">
        <f t="shared" si="7"/>
        <v>5.8710582674841305E-3</v>
      </c>
      <c r="J222" s="77"/>
      <c r="K222" s="77"/>
    </row>
    <row r="223" spans="1:11" ht="16">
      <c r="A223" s="233">
        <v>42305</v>
      </c>
      <c r="B223">
        <v>93.616516000000004</v>
      </c>
      <c r="C223" s="47">
        <f t="shared" si="8"/>
        <v>-2.6486831345844397E-3</v>
      </c>
      <c r="G223" s="81">
        <v>42294</v>
      </c>
      <c r="H223" s="82">
        <v>271.68</v>
      </c>
      <c r="I223" s="211">
        <f t="shared" si="7"/>
        <v>-2.6797841488932495E-3</v>
      </c>
      <c r="J223" s="77"/>
      <c r="K223" s="77"/>
    </row>
    <row r="224" spans="1:11" ht="16">
      <c r="A224" s="233">
        <v>42306</v>
      </c>
      <c r="B224">
        <v>93.715973000000005</v>
      </c>
      <c r="C224" s="47">
        <f t="shared" si="8"/>
        <v>1.0623873249031579E-3</v>
      </c>
      <c r="G224" s="81">
        <v>42297</v>
      </c>
      <c r="H224" s="82">
        <v>272.54000000000002</v>
      </c>
      <c r="I224" s="211">
        <f t="shared" si="7"/>
        <v>3.1654888103651579E-3</v>
      </c>
      <c r="J224" s="77"/>
      <c r="K224" s="77"/>
    </row>
    <row r="225" spans="1:11" ht="16">
      <c r="A225" s="233">
        <v>42307</v>
      </c>
      <c r="B225">
        <v>94.138603000000003</v>
      </c>
      <c r="C225" s="47">
        <f t="shared" si="8"/>
        <v>4.5096901464172223E-3</v>
      </c>
      <c r="G225" s="81">
        <v>42298</v>
      </c>
      <c r="H225" s="82">
        <v>273.52999999999997</v>
      </c>
      <c r="I225" s="211">
        <f t="shared" si="7"/>
        <v>3.6324943127612475E-3</v>
      </c>
      <c r="J225" s="77"/>
      <c r="K225" s="77"/>
    </row>
    <row r="226" spans="1:11" ht="16">
      <c r="A226" s="233">
        <v>42308</v>
      </c>
      <c r="B226">
        <v>94.475409999999997</v>
      </c>
      <c r="C226" s="47">
        <f t="shared" si="8"/>
        <v>3.577777758184908E-3</v>
      </c>
      <c r="G226" s="81">
        <v>42299</v>
      </c>
      <c r="H226" s="82">
        <v>272.89</v>
      </c>
      <c r="I226" s="211">
        <f t="shared" si="7"/>
        <v>-2.3397799144517784E-3</v>
      </c>
      <c r="J226" s="77"/>
      <c r="K226" s="77"/>
    </row>
    <row r="227" spans="1:11" ht="16">
      <c r="A227" s="233">
        <v>42311</v>
      </c>
      <c r="B227">
        <v>94.275810000000007</v>
      </c>
      <c r="C227" s="47">
        <f t="shared" si="8"/>
        <v>-2.1127190662627582E-3</v>
      </c>
      <c r="G227" s="81">
        <v>42300</v>
      </c>
      <c r="H227" s="82">
        <v>274.54000000000002</v>
      </c>
      <c r="I227" s="211">
        <f t="shared" si="7"/>
        <v>6.0463923192497493E-3</v>
      </c>
      <c r="J227" s="77"/>
      <c r="K227" s="77"/>
    </row>
    <row r="228" spans="1:11" ht="16">
      <c r="A228" s="233">
        <v>42312</v>
      </c>
      <c r="B228">
        <v>93.593841999999995</v>
      </c>
      <c r="C228" s="47">
        <f t="shared" si="8"/>
        <v>-7.2337538123513623E-3</v>
      </c>
      <c r="G228" s="81">
        <v>42301</v>
      </c>
      <c r="H228" s="82">
        <v>274.25</v>
      </c>
      <c r="I228" s="211">
        <f t="shared" si="7"/>
        <v>-1.056312377067159E-3</v>
      </c>
      <c r="J228" s="77"/>
      <c r="K228" s="77"/>
    </row>
    <row r="229" spans="1:11" ht="16">
      <c r="A229" s="233">
        <v>42313</v>
      </c>
      <c r="B229">
        <v>93.635413999999997</v>
      </c>
      <c r="C229" s="47">
        <f t="shared" si="8"/>
        <v>4.4417452165279592E-4</v>
      </c>
      <c r="G229" s="81">
        <v>42304</v>
      </c>
      <c r="H229" s="82">
        <v>276.13</v>
      </c>
      <c r="I229" s="211">
        <f t="shared" si="7"/>
        <v>6.8550592525067344E-3</v>
      </c>
      <c r="J229" s="77"/>
      <c r="K229" s="77"/>
    </row>
    <row r="230" spans="1:11" ht="16">
      <c r="A230" s="233">
        <v>42314</v>
      </c>
      <c r="B230">
        <v>93.311110999999997</v>
      </c>
      <c r="C230" s="47">
        <f t="shared" si="8"/>
        <v>-3.4634652226773754E-3</v>
      </c>
      <c r="G230" s="81">
        <v>42305</v>
      </c>
      <c r="H230" s="82">
        <v>276.02999999999997</v>
      </c>
      <c r="I230" s="211">
        <f t="shared" si="7"/>
        <v>-3.6214826349911799E-4</v>
      </c>
      <c r="J230" s="77"/>
      <c r="K230" s="77"/>
    </row>
    <row r="231" spans="1:11" ht="16">
      <c r="A231" s="233">
        <v>42315</v>
      </c>
      <c r="B231">
        <v>93.444168000000005</v>
      </c>
      <c r="C231" s="47">
        <f t="shared" si="8"/>
        <v>1.4259502279423408E-3</v>
      </c>
      <c r="G231" s="81">
        <v>42306</v>
      </c>
      <c r="H231" s="82">
        <v>275.8</v>
      </c>
      <c r="I231" s="211">
        <f t="shared" si="7"/>
        <v>-8.3324276346763426E-4</v>
      </c>
      <c r="J231" s="77"/>
      <c r="K231" s="77"/>
    </row>
    <row r="232" spans="1:11" ht="16">
      <c r="A232" s="233">
        <v>42318</v>
      </c>
      <c r="B232">
        <v>93.369315999999998</v>
      </c>
      <c r="C232" s="47">
        <f t="shared" si="8"/>
        <v>-8.0103447440404985E-4</v>
      </c>
      <c r="G232" s="81">
        <v>42307</v>
      </c>
      <c r="H232" s="82">
        <v>275.7</v>
      </c>
      <c r="I232" s="211">
        <f t="shared" si="7"/>
        <v>-3.6258158085578085E-4</v>
      </c>
      <c r="J232" s="77"/>
      <c r="K232" s="77"/>
    </row>
    <row r="233" spans="1:11" ht="16">
      <c r="A233" s="233">
        <v>42319</v>
      </c>
      <c r="B233">
        <v>93.178023999999994</v>
      </c>
      <c r="C233" s="47">
        <f t="shared" si="8"/>
        <v>-2.0487672845327376E-3</v>
      </c>
      <c r="G233" s="81">
        <v>42308</v>
      </c>
      <c r="H233" s="82">
        <v>277.63</v>
      </c>
      <c r="I233" s="211">
        <f t="shared" si="7"/>
        <v>7.0003627130938995E-3</v>
      </c>
      <c r="J233" s="77"/>
      <c r="K233" s="77"/>
    </row>
    <row r="234" spans="1:11" ht="16">
      <c r="A234" s="233">
        <v>42320</v>
      </c>
      <c r="B234">
        <v>93.036666999999994</v>
      </c>
      <c r="C234" s="47">
        <f t="shared" si="8"/>
        <v>-1.5170637230942363E-3</v>
      </c>
      <c r="G234" s="81">
        <v>42311</v>
      </c>
      <c r="H234" s="82">
        <v>280.93</v>
      </c>
      <c r="I234" s="211">
        <f t="shared" si="7"/>
        <v>1.1886323524114895E-2</v>
      </c>
      <c r="J234" s="77"/>
      <c r="K234" s="77"/>
    </row>
    <row r="235" spans="1:11" ht="16">
      <c r="A235" s="233">
        <v>42321</v>
      </c>
      <c r="B235">
        <v>93.527321000000001</v>
      </c>
      <c r="C235" s="47">
        <f t="shared" si="8"/>
        <v>5.2737701792349156E-3</v>
      </c>
      <c r="G235" s="81">
        <v>42312</v>
      </c>
      <c r="H235" s="82">
        <v>282.23</v>
      </c>
      <c r="I235" s="211">
        <f t="shared" si="7"/>
        <v>4.6274872744100914E-3</v>
      </c>
      <c r="J235" s="77"/>
      <c r="K235" s="77"/>
    </row>
    <row r="236" spans="1:11" ht="16">
      <c r="A236" s="233">
        <v>42322</v>
      </c>
      <c r="B236">
        <v>93.602172999999993</v>
      </c>
      <c r="C236" s="47">
        <f t="shared" si="8"/>
        <v>8.0032229299065172E-4</v>
      </c>
      <c r="G236" s="81">
        <v>42313</v>
      </c>
      <c r="H236" s="82">
        <v>281.51</v>
      </c>
      <c r="I236" s="211">
        <f t="shared" si="7"/>
        <v>-2.5511107961592172E-3</v>
      </c>
      <c r="J236" s="77"/>
      <c r="K236" s="77"/>
    </row>
    <row r="237" spans="1:11" ht="16">
      <c r="A237" s="233">
        <v>42325</v>
      </c>
      <c r="B237">
        <v>93.161406999999997</v>
      </c>
      <c r="C237" s="47">
        <f t="shared" si="8"/>
        <v>-4.7089291399249333E-3</v>
      </c>
      <c r="G237" s="81">
        <v>42314</v>
      </c>
      <c r="H237" s="82">
        <v>282.97000000000003</v>
      </c>
      <c r="I237" s="211">
        <f t="shared" si="7"/>
        <v>5.1863166494974244E-3</v>
      </c>
      <c r="J237" s="77"/>
      <c r="K237" s="77"/>
    </row>
    <row r="238" spans="1:11" ht="16">
      <c r="A238" s="233">
        <v>42326</v>
      </c>
      <c r="B238">
        <v>92.953484000000003</v>
      </c>
      <c r="C238" s="47">
        <f t="shared" si="8"/>
        <v>-2.2318576618319819E-3</v>
      </c>
      <c r="G238" s="81">
        <v>42315</v>
      </c>
      <c r="H238" s="82">
        <v>280.77999999999997</v>
      </c>
      <c r="I238" s="211">
        <f t="shared" si="7"/>
        <v>-7.7393363254056879E-3</v>
      </c>
      <c r="J238" s="77"/>
      <c r="K238" s="77"/>
    </row>
    <row r="239" spans="1:11" ht="16">
      <c r="A239" s="233">
        <v>42327</v>
      </c>
      <c r="B239">
        <v>93.111487999999994</v>
      </c>
      <c r="C239" s="47">
        <f t="shared" si="8"/>
        <v>1.6998179433489469E-3</v>
      </c>
      <c r="G239" s="81">
        <v>42318</v>
      </c>
      <c r="H239" s="82">
        <v>277.89</v>
      </c>
      <c r="I239" s="211">
        <f t="shared" si="7"/>
        <v>-1.0292755894294459E-2</v>
      </c>
      <c r="J239" s="77"/>
      <c r="K239" s="77"/>
    </row>
    <row r="240" spans="1:11" ht="16">
      <c r="A240" s="233">
        <v>42328</v>
      </c>
      <c r="B240">
        <v>93.119843000000003</v>
      </c>
      <c r="C240" s="47">
        <f t="shared" si="8"/>
        <v>8.9731140372473206E-5</v>
      </c>
      <c r="G240" s="81">
        <v>42319</v>
      </c>
      <c r="H240" s="82">
        <v>278.20999999999998</v>
      </c>
      <c r="I240" s="211">
        <f t="shared" si="7"/>
        <v>1.1515347799488929E-3</v>
      </c>
      <c r="J240" s="77"/>
      <c r="K240" s="77"/>
    </row>
    <row r="241" spans="1:11" ht="16">
      <c r="A241" s="233">
        <v>42329</v>
      </c>
      <c r="B241">
        <v>93.369315999999998</v>
      </c>
      <c r="C241" s="47">
        <f t="shared" si="8"/>
        <v>2.6790530563931547E-3</v>
      </c>
      <c r="G241" s="81">
        <v>42320</v>
      </c>
      <c r="H241" s="82">
        <v>275.39999999999998</v>
      </c>
      <c r="I241" s="211">
        <f t="shared" si="7"/>
        <v>-1.0100283958161094E-2</v>
      </c>
      <c r="J241" s="77"/>
      <c r="K241" s="77"/>
    </row>
    <row r="242" spans="1:11" ht="16">
      <c r="A242" s="233">
        <v>42332</v>
      </c>
      <c r="B242">
        <v>93.361007999999998</v>
      </c>
      <c r="C242" s="47">
        <f t="shared" si="8"/>
        <v>-8.8979981389125662E-5</v>
      </c>
      <c r="G242" s="81">
        <v>42321</v>
      </c>
      <c r="H242" s="82">
        <v>274.89</v>
      </c>
      <c r="I242" s="211">
        <f t="shared" si="7"/>
        <v>-1.8518518518517713E-3</v>
      </c>
      <c r="J242" s="77"/>
      <c r="K242" s="77"/>
    </row>
    <row r="243" spans="1:11" ht="16">
      <c r="A243" s="233">
        <v>42333</v>
      </c>
      <c r="B243">
        <v>93.610480999999993</v>
      </c>
      <c r="C243" s="47">
        <f t="shared" si="8"/>
        <v>2.6721326744887364E-3</v>
      </c>
      <c r="G243" s="81">
        <v>42322</v>
      </c>
      <c r="H243" s="82">
        <v>276.23</v>
      </c>
      <c r="I243" s="211">
        <f t="shared" si="7"/>
        <v>4.8746771435848046E-3</v>
      </c>
      <c r="J243" s="77"/>
      <c r="K243" s="77"/>
    </row>
    <row r="244" spans="1:11" ht="16">
      <c r="A244" s="233">
        <v>42334</v>
      </c>
      <c r="B244">
        <v>93.477424999999997</v>
      </c>
      <c r="C244" s="47">
        <f t="shared" si="8"/>
        <v>-1.4213793004652642E-3</v>
      </c>
      <c r="G244" s="81">
        <v>42325</v>
      </c>
      <c r="H244" s="82">
        <v>277.08999999999997</v>
      </c>
      <c r="I244" s="211">
        <f t="shared" si="7"/>
        <v>3.113347572674785E-3</v>
      </c>
      <c r="J244" s="77"/>
      <c r="K244" s="77"/>
    </row>
    <row r="245" spans="1:11" ht="16">
      <c r="A245" s="233">
        <v>42336</v>
      </c>
      <c r="B245">
        <v>93.244575999999995</v>
      </c>
      <c r="C245" s="47">
        <f t="shared" si="8"/>
        <v>-2.4909650645597026E-3</v>
      </c>
      <c r="G245" s="81">
        <v>42326</v>
      </c>
      <c r="H245" s="82">
        <v>278.66000000000003</v>
      </c>
      <c r="I245" s="211">
        <f t="shared" si="7"/>
        <v>5.666029088022162E-3</v>
      </c>
      <c r="J245" s="77"/>
      <c r="K245" s="77"/>
    </row>
    <row r="246" spans="1:11" ht="16">
      <c r="A246" s="233">
        <v>42339</v>
      </c>
      <c r="B246">
        <v>92.867310000000003</v>
      </c>
      <c r="C246" s="47">
        <f t="shared" si="8"/>
        <v>-4.0459833288317704E-3</v>
      </c>
      <c r="G246" s="81">
        <v>42327</v>
      </c>
      <c r="H246" s="82">
        <v>277.68</v>
      </c>
      <c r="I246" s="211">
        <f t="shared" si="7"/>
        <v>-3.5168305461853455E-3</v>
      </c>
      <c r="J246" s="77"/>
      <c r="K246" s="77"/>
    </row>
    <row r="247" spans="1:11" ht="16">
      <c r="A247" s="233">
        <v>42340</v>
      </c>
      <c r="B247">
        <v>93.050933999999998</v>
      </c>
      <c r="C247" s="47">
        <f t="shared" si="8"/>
        <v>1.9772727346145658E-3</v>
      </c>
      <c r="G247" s="81">
        <v>42328</v>
      </c>
      <c r="H247" s="82">
        <v>276.3</v>
      </c>
      <c r="I247" s="211">
        <f t="shared" si="7"/>
        <v>-4.9697493517718572E-3</v>
      </c>
      <c r="J247" s="77"/>
      <c r="K247" s="77"/>
    </row>
    <row r="248" spans="1:11" ht="16">
      <c r="A248" s="233">
        <v>42341</v>
      </c>
      <c r="B248">
        <v>93.267951999999994</v>
      </c>
      <c r="C248" s="47">
        <f t="shared" si="8"/>
        <v>2.3322495612994043E-3</v>
      </c>
      <c r="G248" s="81">
        <v>42329</v>
      </c>
      <c r="H248" s="82">
        <v>277.19</v>
      </c>
      <c r="I248" s="211">
        <f t="shared" si="7"/>
        <v>3.2211364458920588E-3</v>
      </c>
      <c r="J248" s="77"/>
      <c r="K248" s="77"/>
    </row>
    <row r="249" spans="1:11" ht="16">
      <c r="A249" s="233">
        <v>42342</v>
      </c>
      <c r="B249">
        <v>93.543373000000003</v>
      </c>
      <c r="C249" s="47">
        <f t="shared" si="8"/>
        <v>2.9530079099411299E-3</v>
      </c>
      <c r="G249" s="81">
        <v>42332</v>
      </c>
      <c r="H249" s="82">
        <v>278.32</v>
      </c>
      <c r="I249" s="211">
        <f t="shared" si="7"/>
        <v>4.0766261409141968E-3</v>
      </c>
      <c r="J249" s="77"/>
      <c r="K249" s="77"/>
    </row>
    <row r="250" spans="1:11" ht="16">
      <c r="A250" s="233">
        <v>42343</v>
      </c>
      <c r="B250">
        <v>93.735366999999997</v>
      </c>
      <c r="C250" s="47">
        <f t="shared" si="8"/>
        <v>2.0524596648872073E-3</v>
      </c>
      <c r="G250" s="81">
        <v>42333</v>
      </c>
      <c r="H250" s="82">
        <v>277.04000000000002</v>
      </c>
      <c r="I250" s="211">
        <f t="shared" si="7"/>
        <v>-4.5990227076745382E-3</v>
      </c>
      <c r="J250" s="77"/>
      <c r="K250" s="77"/>
    </row>
    <row r="251" spans="1:11" ht="16">
      <c r="A251" s="233">
        <v>42346</v>
      </c>
      <c r="B251">
        <v>93.985771</v>
      </c>
      <c r="C251" s="47">
        <f t="shared" si="8"/>
        <v>2.671392965261532E-3</v>
      </c>
      <c r="G251" s="81">
        <v>42334</v>
      </c>
      <c r="H251" s="82">
        <v>278.33</v>
      </c>
      <c r="I251" s="211">
        <f t="shared" si="7"/>
        <v>4.656367311579368E-3</v>
      </c>
      <c r="J251" s="77"/>
      <c r="K251" s="77"/>
    </row>
    <row r="252" spans="1:11" ht="16">
      <c r="A252" s="233">
        <v>42347</v>
      </c>
      <c r="B252">
        <v>93.985771</v>
      </c>
      <c r="C252" s="47">
        <f t="shared" si="8"/>
        <v>0</v>
      </c>
      <c r="G252" s="81">
        <v>42335</v>
      </c>
      <c r="H252" s="82">
        <v>277.95</v>
      </c>
      <c r="I252" s="211">
        <f t="shared" si="7"/>
        <v>-1.3652858118060607E-3</v>
      </c>
      <c r="J252" s="77"/>
      <c r="K252" s="77"/>
    </row>
    <row r="253" spans="1:11" ht="16">
      <c r="A253" s="233">
        <v>42348</v>
      </c>
      <c r="B253">
        <v>94.611778000000001</v>
      </c>
      <c r="C253" s="47">
        <f t="shared" si="8"/>
        <v>6.6606571754357358E-3</v>
      </c>
      <c r="G253" s="81">
        <v>42336</v>
      </c>
      <c r="H253" s="82">
        <v>275.92</v>
      </c>
      <c r="I253" s="211">
        <f t="shared" si="7"/>
        <v>-7.3034718474545013E-3</v>
      </c>
      <c r="J253" s="77"/>
      <c r="K253" s="77"/>
    </row>
    <row r="254" spans="1:11" ht="16">
      <c r="A254" s="233">
        <v>42349</v>
      </c>
      <c r="B254">
        <v>94.620140000000006</v>
      </c>
      <c r="C254" s="47">
        <f t="shared" si="8"/>
        <v>8.8382230804429085E-5</v>
      </c>
      <c r="G254" s="81">
        <v>42339</v>
      </c>
      <c r="H254" s="82">
        <v>275.92</v>
      </c>
      <c r="I254" s="211">
        <f t="shared" si="7"/>
        <v>0</v>
      </c>
      <c r="J254" s="77"/>
      <c r="K254" s="77"/>
    </row>
    <row r="255" spans="1:11" ht="16">
      <c r="A255" s="233">
        <v>42350</v>
      </c>
      <c r="B255">
        <v>94.970703</v>
      </c>
      <c r="C255" s="47">
        <f t="shared" si="8"/>
        <v>3.7049511869249319E-3</v>
      </c>
      <c r="G255" s="81">
        <v>42340</v>
      </c>
      <c r="H255" s="82">
        <v>275.33</v>
      </c>
      <c r="I255" s="211">
        <f t="shared" si="7"/>
        <v>-2.1383009567992328E-3</v>
      </c>
      <c r="J255" s="77"/>
      <c r="K255" s="77"/>
    </row>
    <row r="256" spans="1:11" ht="16">
      <c r="A256" s="233">
        <v>42353</v>
      </c>
      <c r="B256">
        <v>95.029128999999998</v>
      </c>
      <c r="C256" s="47">
        <f t="shared" si="8"/>
        <v>6.1520024759631475E-4</v>
      </c>
      <c r="G256" s="81">
        <v>42341</v>
      </c>
      <c r="H256" s="82">
        <v>275.61</v>
      </c>
      <c r="I256" s="211">
        <f t="shared" si="7"/>
        <v>1.0169614644246483E-3</v>
      </c>
      <c r="J256" s="77"/>
      <c r="K256" s="77"/>
    </row>
    <row r="257" spans="1:11" ht="16">
      <c r="A257" s="233">
        <v>42354</v>
      </c>
      <c r="B257">
        <v>95.379669000000007</v>
      </c>
      <c r="C257" s="47">
        <f t="shared" si="8"/>
        <v>3.6887636842384275E-3</v>
      </c>
      <c r="G257" s="81">
        <v>42342</v>
      </c>
      <c r="H257" s="82">
        <v>277.2</v>
      </c>
      <c r="I257" s="211">
        <f t="shared" si="7"/>
        <v>5.7690214433436804E-3</v>
      </c>
      <c r="J257" s="77"/>
      <c r="K257" s="77"/>
    </row>
    <row r="258" spans="1:11" ht="16">
      <c r="A258" s="233">
        <v>42355</v>
      </c>
      <c r="B258">
        <v>95.563346999999993</v>
      </c>
      <c r="C258" s="47">
        <f t="shared" si="8"/>
        <v>1.9257563160550717E-3</v>
      </c>
      <c r="G258" s="81">
        <v>42343</v>
      </c>
      <c r="H258" s="82">
        <v>278.57</v>
      </c>
      <c r="I258" s="211">
        <f t="shared" si="7"/>
        <v>4.9422799422800257E-3</v>
      </c>
      <c r="J258" s="77"/>
      <c r="K258" s="77"/>
    </row>
    <row r="259" spans="1:11" ht="16">
      <c r="A259" s="233">
        <v>42356</v>
      </c>
      <c r="B259">
        <v>95.237396000000004</v>
      </c>
      <c r="C259" s="47">
        <f t="shared" si="8"/>
        <v>-3.4108370021823653E-3</v>
      </c>
      <c r="G259" s="81">
        <v>42346</v>
      </c>
      <c r="H259" s="82">
        <v>278.99</v>
      </c>
      <c r="I259" s="211">
        <f t="shared" si="7"/>
        <v>1.507700039487414E-3</v>
      </c>
      <c r="J259" s="77"/>
      <c r="K259" s="77"/>
    </row>
    <row r="260" spans="1:11" ht="16">
      <c r="A260" s="233">
        <v>42357</v>
      </c>
      <c r="B260">
        <v>95.471992</v>
      </c>
      <c r="C260" s="47">
        <f t="shared" si="8"/>
        <v>2.4632760853728897E-3</v>
      </c>
      <c r="G260" s="81">
        <v>42347</v>
      </c>
      <c r="H260" s="82">
        <v>278.39999999999998</v>
      </c>
      <c r="I260" s="211">
        <f t="shared" si="7"/>
        <v>-2.1147711387505819E-3</v>
      </c>
      <c r="J260" s="77"/>
      <c r="K260" s="77"/>
    </row>
    <row r="261" spans="1:11" ht="16">
      <c r="A261" s="233">
        <v>42360</v>
      </c>
      <c r="B261">
        <v>95.580933000000002</v>
      </c>
      <c r="C261" s="47">
        <f t="shared" si="8"/>
        <v>1.1410781080172239E-3</v>
      </c>
      <c r="G261" s="81">
        <v>42348</v>
      </c>
      <c r="H261" s="82">
        <v>280.7</v>
      </c>
      <c r="I261" s="211">
        <f t="shared" si="7"/>
        <v>8.2614942528735913E-3</v>
      </c>
      <c r="J261" s="77"/>
      <c r="K261" s="77"/>
    </row>
    <row r="262" spans="1:11" ht="16">
      <c r="A262" s="233">
        <v>42361</v>
      </c>
      <c r="B262">
        <v>95.748489000000006</v>
      </c>
      <c r="C262" s="47">
        <f t="shared" si="8"/>
        <v>1.7530274578927418E-3</v>
      </c>
      <c r="G262" s="81">
        <v>42349</v>
      </c>
      <c r="H262" s="82">
        <v>283.26</v>
      </c>
      <c r="I262" s="211">
        <f t="shared" si="7"/>
        <v>9.1200570003562298E-3</v>
      </c>
      <c r="J262" s="77"/>
      <c r="K262" s="77"/>
    </row>
    <row r="263" spans="1:11" ht="16">
      <c r="A263" s="233">
        <v>42363</v>
      </c>
      <c r="B263">
        <v>95.882576</v>
      </c>
      <c r="C263" s="47">
        <f t="shared" si="8"/>
        <v>1.400408522373553E-3</v>
      </c>
      <c r="G263" s="81">
        <v>42350</v>
      </c>
      <c r="H263" s="82">
        <v>286.54000000000002</v>
      </c>
      <c r="I263" s="211">
        <f t="shared" si="7"/>
        <v>1.1579467626915196E-2</v>
      </c>
      <c r="J263" s="77"/>
      <c r="K263" s="77"/>
    </row>
    <row r="264" spans="1:11" ht="16">
      <c r="A264" s="233">
        <v>42364</v>
      </c>
      <c r="B264">
        <v>96.142325999999997</v>
      </c>
      <c r="C264" s="47">
        <f t="shared" si="8"/>
        <v>2.7090427774907333E-3</v>
      </c>
      <c r="G264" s="81">
        <v>42353</v>
      </c>
      <c r="H264" s="82">
        <v>287.16000000000003</v>
      </c>
      <c r="I264" s="211">
        <f t="shared" si="7"/>
        <v>2.1637467718294001E-3</v>
      </c>
      <c r="J264" s="77"/>
      <c r="K264" s="77"/>
    </row>
    <row r="265" spans="1:11" ht="16">
      <c r="A265" s="233">
        <v>42367</v>
      </c>
      <c r="B265">
        <v>95.983131</v>
      </c>
      <c r="C265" s="47">
        <f t="shared" si="8"/>
        <v>-1.6558263838967191E-3</v>
      </c>
      <c r="G265" s="81">
        <v>42354</v>
      </c>
      <c r="H265" s="82">
        <v>290.24</v>
      </c>
      <c r="I265" s="211">
        <f t="shared" si="7"/>
        <v>1.072572781724479E-2</v>
      </c>
      <c r="J265" s="77"/>
      <c r="K265" s="77"/>
    </row>
    <row r="266" spans="1:11" ht="16">
      <c r="A266" s="233">
        <v>42368</v>
      </c>
      <c r="B266">
        <v>95.991501</v>
      </c>
      <c r="C266" s="47">
        <f t="shared" si="8"/>
        <v>8.7202823171095289E-5</v>
      </c>
      <c r="G266" s="81">
        <v>42355</v>
      </c>
      <c r="H266" s="82">
        <v>292.02</v>
      </c>
      <c r="I266" s="211">
        <f t="shared" si="7"/>
        <v>6.1328555678059615E-3</v>
      </c>
      <c r="J266" s="77"/>
      <c r="K266" s="77"/>
    </row>
    <row r="267" spans="1:11" ht="16">
      <c r="A267" s="233">
        <v>42370</v>
      </c>
      <c r="B267">
        <v>96.108833000000004</v>
      </c>
      <c r="C267" s="47">
        <f t="shared" si="8"/>
        <v>1.2223165465450325E-3</v>
      </c>
      <c r="G267" s="81">
        <v>42356</v>
      </c>
      <c r="H267" s="82">
        <v>291.45999999999998</v>
      </c>
      <c r="I267" s="211">
        <f t="shared" si="7"/>
        <v>-1.9176768714471715E-3</v>
      </c>
      <c r="J267" s="77"/>
      <c r="K267" s="77"/>
    </row>
    <row r="268" spans="1:11" ht="16">
      <c r="A268" s="233">
        <v>42371</v>
      </c>
      <c r="B268">
        <v>95.865829000000005</v>
      </c>
      <c r="C268" s="47">
        <f t="shared" si="8"/>
        <v>-2.528425248905064E-3</v>
      </c>
      <c r="G268" s="81">
        <v>42357</v>
      </c>
      <c r="H268" s="82">
        <v>291.39999999999998</v>
      </c>
      <c r="I268" s="211">
        <f t="shared" si="7"/>
        <v>-2.0586015233647892E-4</v>
      </c>
      <c r="J268" s="77"/>
      <c r="K268" s="77"/>
    </row>
    <row r="269" spans="1:11" ht="16">
      <c r="A269" s="233">
        <v>42374</v>
      </c>
      <c r="B269">
        <v>95.673102999999998</v>
      </c>
      <c r="C269" s="47">
        <f t="shared" si="8"/>
        <v>-2.0103722255404577E-3</v>
      </c>
      <c r="G269" s="81">
        <v>42360</v>
      </c>
      <c r="H269" s="82">
        <v>292.49</v>
      </c>
      <c r="I269" s="211">
        <f t="shared" si="7"/>
        <v>3.7405628002746827E-3</v>
      </c>
      <c r="J269" s="77"/>
      <c r="K269" s="77"/>
    </row>
    <row r="270" spans="1:11" ht="16">
      <c r="A270" s="233">
        <v>42375</v>
      </c>
      <c r="B270">
        <v>95.823943999999997</v>
      </c>
      <c r="C270" s="47">
        <f t="shared" si="8"/>
        <v>1.5766291180081549E-3</v>
      </c>
      <c r="G270" s="81">
        <v>42361</v>
      </c>
      <c r="H270" s="82">
        <v>292.07</v>
      </c>
      <c r="I270" s="211">
        <f t="shared" si="7"/>
        <v>-1.4359465280864292E-3</v>
      </c>
      <c r="J270" s="77"/>
      <c r="K270" s="77"/>
    </row>
    <row r="271" spans="1:11" ht="16">
      <c r="A271" s="233">
        <v>42376</v>
      </c>
      <c r="B271">
        <v>96.075294</v>
      </c>
      <c r="C271" s="47">
        <f t="shared" si="8"/>
        <v>2.6230396027113745E-3</v>
      </c>
      <c r="G271" s="81">
        <v>42362</v>
      </c>
      <c r="H271" s="82">
        <v>292.12</v>
      </c>
      <c r="I271" s="211">
        <f t="shared" si="7"/>
        <v>1.7119183757330347E-4</v>
      </c>
      <c r="J271" s="77"/>
      <c r="K271" s="77"/>
    </row>
    <row r="272" spans="1:11" ht="16">
      <c r="A272" s="233">
        <v>42377</v>
      </c>
      <c r="B272">
        <v>96.008278000000004</v>
      </c>
      <c r="C272" s="47">
        <f t="shared" si="8"/>
        <v>-6.9753624693558169E-4</v>
      </c>
      <c r="G272" s="81">
        <v>42363</v>
      </c>
      <c r="H272" s="82">
        <v>292.58999999999997</v>
      </c>
      <c r="I272" s="211">
        <f t="shared" ref="I272:I335" si="9">H272/H271-1</f>
        <v>1.6089278378748073E-3</v>
      </c>
      <c r="J272" s="77"/>
      <c r="K272" s="77"/>
    </row>
    <row r="273" spans="1:11" ht="16">
      <c r="A273" s="233">
        <v>42378</v>
      </c>
      <c r="B273">
        <v>96.025002000000001</v>
      </c>
      <c r="C273" s="47">
        <f t="shared" ref="C273:C336" si="10">B273/B272-1</f>
        <v>1.7419331278900607E-4</v>
      </c>
      <c r="G273" s="81">
        <v>42364</v>
      </c>
      <c r="H273" s="82">
        <v>294.52</v>
      </c>
      <c r="I273" s="211">
        <f t="shared" si="9"/>
        <v>6.5962609795275906E-3</v>
      </c>
      <c r="J273" s="77"/>
      <c r="K273" s="77"/>
    </row>
    <row r="274" spans="1:11" ht="16">
      <c r="A274" s="233">
        <v>42381</v>
      </c>
      <c r="B274">
        <v>96.11721</v>
      </c>
      <c r="C274" s="47">
        <f t="shared" si="10"/>
        <v>9.6024991491283629E-4</v>
      </c>
      <c r="G274" s="81">
        <v>42367</v>
      </c>
      <c r="H274" s="82">
        <v>294.86</v>
      </c>
      <c r="I274" s="211">
        <f t="shared" si="9"/>
        <v>1.1544207524107897E-3</v>
      </c>
      <c r="J274" s="77"/>
      <c r="K274" s="77"/>
    </row>
    <row r="275" spans="1:11" ht="16">
      <c r="A275" s="233">
        <v>42382</v>
      </c>
      <c r="B275">
        <v>96.092063999999993</v>
      </c>
      <c r="C275" s="47">
        <f t="shared" si="10"/>
        <v>-2.6161808067470815E-4</v>
      </c>
      <c r="G275" s="81">
        <v>42368</v>
      </c>
      <c r="H275" s="82">
        <v>294.06</v>
      </c>
      <c r="I275" s="211">
        <f t="shared" si="9"/>
        <v>-2.7131520043410795E-3</v>
      </c>
      <c r="J275" s="77"/>
      <c r="K275" s="77"/>
    </row>
    <row r="276" spans="1:11" ht="16">
      <c r="A276" s="233">
        <v>42383</v>
      </c>
      <c r="B276">
        <v>96.452361999999994</v>
      </c>
      <c r="C276" s="47">
        <f t="shared" si="10"/>
        <v>3.7495083881224911E-3</v>
      </c>
      <c r="G276" s="81">
        <v>42369</v>
      </c>
      <c r="H276" s="82">
        <v>294.10000000000002</v>
      </c>
      <c r="I276" s="211">
        <f t="shared" si="9"/>
        <v>1.360266612255856E-4</v>
      </c>
      <c r="J276" s="77"/>
      <c r="K276" s="77"/>
    </row>
    <row r="277" spans="1:11" ht="16">
      <c r="A277" s="233">
        <v>42384</v>
      </c>
      <c r="B277">
        <v>96.653458000000001</v>
      </c>
      <c r="C277" s="47">
        <f t="shared" si="10"/>
        <v>2.0849256133304017E-3</v>
      </c>
      <c r="G277" s="81">
        <v>42370</v>
      </c>
      <c r="H277" s="82">
        <v>298.23</v>
      </c>
      <c r="I277" s="211">
        <f t="shared" si="9"/>
        <v>1.4042842570554326E-2</v>
      </c>
      <c r="J277" s="77"/>
      <c r="K277" s="77"/>
    </row>
    <row r="278" spans="1:11" ht="16">
      <c r="A278" s="233">
        <v>42385</v>
      </c>
      <c r="B278">
        <v>96.536140000000003</v>
      </c>
      <c r="C278" s="47">
        <f t="shared" si="10"/>
        <v>-1.2138003381110263E-3</v>
      </c>
      <c r="G278" s="81">
        <v>42371</v>
      </c>
      <c r="H278" s="82">
        <v>297.17</v>
      </c>
      <c r="I278" s="211">
        <f t="shared" si="9"/>
        <v>-3.5543037253127352E-3</v>
      </c>
      <c r="J278" s="77"/>
      <c r="K278" s="77"/>
    </row>
    <row r="279" spans="1:11" ht="16">
      <c r="A279" s="233">
        <v>42389</v>
      </c>
      <c r="B279">
        <v>96.452361999999994</v>
      </c>
      <c r="C279" s="47">
        <f t="shared" si="10"/>
        <v>-8.6784078998813907E-4</v>
      </c>
      <c r="G279" s="81">
        <v>42374</v>
      </c>
      <c r="H279" s="82">
        <v>294.22000000000003</v>
      </c>
      <c r="I279" s="211">
        <f t="shared" si="9"/>
        <v>-9.9269778241409812E-3</v>
      </c>
      <c r="J279" s="77"/>
      <c r="K279" s="77"/>
    </row>
    <row r="280" spans="1:11" ht="16">
      <c r="A280" s="233">
        <v>42390</v>
      </c>
      <c r="B280">
        <v>96.527778999999995</v>
      </c>
      <c r="C280" s="47">
        <f t="shared" si="10"/>
        <v>7.8190931187349655E-4</v>
      </c>
      <c r="G280" s="81">
        <v>42375</v>
      </c>
      <c r="H280" s="82">
        <v>294.75</v>
      </c>
      <c r="I280" s="211">
        <f t="shared" si="9"/>
        <v>1.801373122153338E-3</v>
      </c>
      <c r="J280" s="77"/>
      <c r="K280" s="77"/>
    </row>
    <row r="281" spans="1:11" ht="16">
      <c r="A281" s="233">
        <v>42391</v>
      </c>
      <c r="B281">
        <v>96.301513999999997</v>
      </c>
      <c r="C281" s="47">
        <f t="shared" si="10"/>
        <v>-2.3440402580898745E-3</v>
      </c>
      <c r="G281" s="81">
        <v>42376</v>
      </c>
      <c r="H281" s="82">
        <v>293.61</v>
      </c>
      <c r="I281" s="211">
        <f t="shared" si="9"/>
        <v>-3.8676844783714914E-3</v>
      </c>
      <c r="J281" s="77"/>
      <c r="K281" s="77"/>
    </row>
    <row r="282" spans="1:11" ht="16">
      <c r="A282" s="233">
        <v>42392</v>
      </c>
      <c r="B282">
        <v>96.175858000000005</v>
      </c>
      <c r="C282" s="47">
        <f t="shared" si="10"/>
        <v>-1.3048185306826499E-3</v>
      </c>
      <c r="G282" s="81">
        <v>42377</v>
      </c>
      <c r="H282" s="82">
        <v>297.82</v>
      </c>
      <c r="I282" s="211">
        <f t="shared" si="9"/>
        <v>1.4338748680222002E-2</v>
      </c>
      <c r="J282" s="77"/>
      <c r="K282" s="77"/>
    </row>
    <row r="283" spans="1:11" ht="16">
      <c r="A283" s="233">
        <v>42395</v>
      </c>
      <c r="B283">
        <v>96.058525000000003</v>
      </c>
      <c r="C283" s="47">
        <f t="shared" si="10"/>
        <v>-1.2199839173776539E-3</v>
      </c>
      <c r="G283" s="81">
        <v>42378</v>
      </c>
      <c r="H283" s="82">
        <v>298.82</v>
      </c>
      <c r="I283" s="211">
        <f t="shared" si="9"/>
        <v>3.357732858773721E-3</v>
      </c>
      <c r="J283" s="77"/>
      <c r="K283" s="77"/>
    </row>
    <row r="284" spans="1:11" ht="16">
      <c r="A284" s="233">
        <v>42396</v>
      </c>
      <c r="B284">
        <v>96.511016999999995</v>
      </c>
      <c r="C284" s="47">
        <f t="shared" si="10"/>
        <v>4.710586592912902E-3</v>
      </c>
      <c r="G284" s="81">
        <v>42381</v>
      </c>
      <c r="H284" s="82">
        <v>301.32</v>
      </c>
      <c r="I284" s="211">
        <f t="shared" si="9"/>
        <v>8.366240546148207E-3</v>
      </c>
      <c r="J284" s="77"/>
      <c r="K284" s="77"/>
    </row>
    <row r="285" spans="1:11" ht="16">
      <c r="A285" s="233">
        <v>42397</v>
      </c>
      <c r="B285">
        <v>96.955093000000005</v>
      </c>
      <c r="C285" s="47">
        <f t="shared" si="10"/>
        <v>4.601298523255748E-3</v>
      </c>
      <c r="G285" s="81">
        <v>42382</v>
      </c>
      <c r="H285" s="82">
        <v>301.23</v>
      </c>
      <c r="I285" s="211">
        <f t="shared" si="9"/>
        <v>-2.9868578255665135E-4</v>
      </c>
      <c r="J285" s="77"/>
      <c r="K285" s="77"/>
    </row>
    <row r="286" spans="1:11" ht="16">
      <c r="A286" s="233">
        <v>42398</v>
      </c>
      <c r="B286">
        <v>96.888107000000005</v>
      </c>
      <c r="C286" s="47">
        <f t="shared" si="10"/>
        <v>-6.9089717648973537E-4</v>
      </c>
      <c r="G286" s="81">
        <v>42383</v>
      </c>
      <c r="H286" s="82">
        <v>300.07</v>
      </c>
      <c r="I286" s="211">
        <f t="shared" si="9"/>
        <v>-3.850878066593677E-3</v>
      </c>
      <c r="J286" s="77"/>
      <c r="K286" s="77"/>
    </row>
    <row r="287" spans="1:11" ht="16">
      <c r="A287" s="233">
        <v>42399</v>
      </c>
      <c r="B287">
        <v>97.181335000000004</v>
      </c>
      <c r="C287" s="47">
        <f t="shared" si="10"/>
        <v>3.0264602032115118E-3</v>
      </c>
      <c r="G287" s="81">
        <v>42384</v>
      </c>
      <c r="H287" s="82">
        <v>300.60000000000002</v>
      </c>
      <c r="I287" s="211">
        <f t="shared" si="9"/>
        <v>1.7662545406071928E-3</v>
      </c>
      <c r="J287" s="77"/>
      <c r="K287" s="77"/>
    </row>
    <row r="288" spans="1:11" ht="16">
      <c r="A288" s="233">
        <v>42402</v>
      </c>
      <c r="B288">
        <v>97.156959999999998</v>
      </c>
      <c r="C288" s="47">
        <f t="shared" si="10"/>
        <v>-2.5081976904317571E-4</v>
      </c>
      <c r="G288" s="81">
        <v>42385</v>
      </c>
      <c r="H288" s="82">
        <v>302.11</v>
      </c>
      <c r="I288" s="211">
        <f t="shared" si="9"/>
        <v>5.0232867598136721E-3</v>
      </c>
      <c r="J288" s="77"/>
      <c r="K288" s="77"/>
    </row>
    <row r="289" spans="1:11" ht="16">
      <c r="A289" s="233">
        <v>42403</v>
      </c>
      <c r="B289">
        <v>97.039253000000002</v>
      </c>
      <c r="C289" s="47">
        <f t="shared" si="10"/>
        <v>-1.2115138225814448E-3</v>
      </c>
      <c r="G289" s="81">
        <v>42388</v>
      </c>
      <c r="H289" s="82">
        <v>301.43</v>
      </c>
      <c r="I289" s="211">
        <f t="shared" si="9"/>
        <v>-2.2508357882891072E-3</v>
      </c>
      <c r="J289" s="77"/>
      <c r="K289" s="77"/>
    </row>
    <row r="290" spans="1:11" ht="16">
      <c r="A290" s="233">
        <v>42404</v>
      </c>
      <c r="B290">
        <v>97.072868</v>
      </c>
      <c r="C290" s="47">
        <f t="shared" si="10"/>
        <v>3.4640621151527107E-4</v>
      </c>
      <c r="G290" s="81">
        <v>42389</v>
      </c>
      <c r="H290" s="82">
        <v>296.95</v>
      </c>
      <c r="I290" s="211">
        <f t="shared" si="9"/>
        <v>-1.486248880337071E-2</v>
      </c>
      <c r="J290" s="77"/>
      <c r="K290" s="77"/>
    </row>
    <row r="291" spans="1:11" ht="16">
      <c r="A291" s="233">
        <v>42405</v>
      </c>
      <c r="B291">
        <v>97.308350000000004</v>
      </c>
      <c r="C291" s="47">
        <f t="shared" si="10"/>
        <v>2.4258271631574235E-3</v>
      </c>
      <c r="G291" s="81">
        <v>42390</v>
      </c>
      <c r="H291" s="82">
        <v>298.18</v>
      </c>
      <c r="I291" s="211">
        <f t="shared" si="9"/>
        <v>4.1421114665769476E-3</v>
      </c>
      <c r="J291" s="77"/>
      <c r="K291" s="77"/>
    </row>
    <row r="292" spans="1:11" ht="16">
      <c r="A292" s="233">
        <v>42406</v>
      </c>
      <c r="B292">
        <v>97.308350000000004</v>
      </c>
      <c r="C292" s="47">
        <f t="shared" si="10"/>
        <v>0</v>
      </c>
      <c r="G292" s="81">
        <v>42391</v>
      </c>
      <c r="H292" s="82">
        <v>295.55</v>
      </c>
      <c r="I292" s="211">
        <f t="shared" si="9"/>
        <v>-8.8201757327788233E-3</v>
      </c>
      <c r="J292" s="77"/>
      <c r="K292" s="77"/>
    </row>
    <row r="293" spans="1:11" ht="16">
      <c r="A293" s="233">
        <v>42409</v>
      </c>
      <c r="B293">
        <v>97.325134000000006</v>
      </c>
      <c r="C293" s="47">
        <f t="shared" si="10"/>
        <v>1.724826286746417E-4</v>
      </c>
      <c r="G293" s="81">
        <v>42392</v>
      </c>
      <c r="H293" s="82">
        <v>294.83999999999997</v>
      </c>
      <c r="I293" s="211">
        <f t="shared" si="9"/>
        <v>-2.4023007951278208E-3</v>
      </c>
      <c r="J293" s="77"/>
      <c r="K293" s="77"/>
    </row>
    <row r="294" spans="1:11" ht="16">
      <c r="A294" s="233">
        <v>42410</v>
      </c>
      <c r="B294">
        <v>97.283103999999994</v>
      </c>
      <c r="C294" s="47">
        <f t="shared" si="10"/>
        <v>-4.3185144754087634E-4</v>
      </c>
      <c r="G294" s="81">
        <v>42395</v>
      </c>
      <c r="H294" s="82">
        <v>290.14</v>
      </c>
      <c r="I294" s="211">
        <f t="shared" si="9"/>
        <v>-1.59408492741826E-2</v>
      </c>
      <c r="J294" s="77"/>
      <c r="K294" s="77"/>
    </row>
    <row r="295" spans="1:11" ht="16">
      <c r="A295" s="233">
        <v>42411</v>
      </c>
      <c r="B295">
        <v>97.426056000000003</v>
      </c>
      <c r="C295" s="47">
        <f t="shared" si="10"/>
        <v>1.469443244738633E-3</v>
      </c>
      <c r="G295" s="81">
        <v>42396</v>
      </c>
      <c r="H295" s="82">
        <v>291.14999999999998</v>
      </c>
      <c r="I295" s="211">
        <f t="shared" si="9"/>
        <v>3.4810781002274638E-3</v>
      </c>
      <c r="J295" s="77"/>
      <c r="K295" s="77"/>
    </row>
    <row r="296" spans="1:11" ht="16">
      <c r="A296" s="233">
        <v>42412</v>
      </c>
      <c r="B296">
        <v>97.451285999999996</v>
      </c>
      <c r="C296" s="47">
        <f t="shared" si="10"/>
        <v>2.589656303031429E-4</v>
      </c>
      <c r="G296" s="81">
        <v>42397</v>
      </c>
      <c r="H296" s="82">
        <v>289.81</v>
      </c>
      <c r="I296" s="211">
        <f t="shared" si="9"/>
        <v>-4.6024386055296684E-3</v>
      </c>
      <c r="J296" s="77"/>
      <c r="K296" s="77"/>
    </row>
    <row r="297" spans="1:11" ht="16">
      <c r="A297" s="233">
        <v>42413</v>
      </c>
      <c r="B297">
        <v>97.838081000000003</v>
      </c>
      <c r="C297" s="47">
        <f t="shared" si="10"/>
        <v>3.9691112952577878E-3</v>
      </c>
      <c r="G297" s="81">
        <v>42398</v>
      </c>
      <c r="H297" s="82">
        <v>283.39999999999998</v>
      </c>
      <c r="I297" s="211">
        <f t="shared" si="9"/>
        <v>-2.2117939339567405E-2</v>
      </c>
      <c r="J297" s="77"/>
      <c r="K297" s="77"/>
    </row>
    <row r="298" spans="1:11" ht="16">
      <c r="A298" s="233">
        <v>42417</v>
      </c>
      <c r="B298">
        <v>97.922156999999999</v>
      </c>
      <c r="C298" s="47">
        <f t="shared" si="10"/>
        <v>8.5933819572758807E-4</v>
      </c>
      <c r="G298" s="81">
        <v>42399</v>
      </c>
      <c r="H298" s="82">
        <v>281.29000000000002</v>
      </c>
      <c r="I298" s="211">
        <f t="shared" si="9"/>
        <v>-7.4453069865912935E-3</v>
      </c>
      <c r="J298" s="77"/>
      <c r="K298" s="77"/>
    </row>
    <row r="299" spans="1:11" ht="16">
      <c r="A299" s="233">
        <v>42418</v>
      </c>
      <c r="B299">
        <v>98.115600999999998</v>
      </c>
      <c r="C299" s="47">
        <f t="shared" si="10"/>
        <v>1.9754875293442886E-3</v>
      </c>
      <c r="G299" s="81">
        <v>42402</v>
      </c>
      <c r="H299" s="82">
        <v>279.89999999999998</v>
      </c>
      <c r="I299" s="211">
        <f t="shared" si="9"/>
        <v>-4.9415194283480846E-3</v>
      </c>
      <c r="J299" s="77"/>
      <c r="K299" s="77"/>
    </row>
    <row r="300" spans="1:11" ht="16">
      <c r="A300" s="233">
        <v>42419</v>
      </c>
      <c r="B300">
        <v>98.174460999999994</v>
      </c>
      <c r="C300" s="47">
        <f t="shared" si="10"/>
        <v>5.9990459621195313E-4</v>
      </c>
      <c r="G300" s="81">
        <v>42403</v>
      </c>
      <c r="H300" s="82">
        <v>285.89</v>
      </c>
      <c r="I300" s="211">
        <f t="shared" si="9"/>
        <v>2.1400500178635262E-2</v>
      </c>
      <c r="J300" s="77"/>
      <c r="K300" s="77"/>
    </row>
    <row r="301" spans="1:11" ht="16">
      <c r="A301" s="233">
        <v>42420</v>
      </c>
      <c r="B301">
        <v>98.393066000000005</v>
      </c>
      <c r="C301" s="47">
        <f t="shared" si="10"/>
        <v>2.2266992634674132E-3</v>
      </c>
      <c r="G301" s="81">
        <v>42404</v>
      </c>
      <c r="H301" s="82">
        <v>287.12</v>
      </c>
      <c r="I301" s="211">
        <f t="shared" si="9"/>
        <v>4.302354052257984E-3</v>
      </c>
      <c r="J301" s="77"/>
      <c r="K301" s="77"/>
    </row>
    <row r="302" spans="1:11" ht="16">
      <c r="A302" s="233">
        <v>42423</v>
      </c>
      <c r="B302">
        <v>97.964211000000006</v>
      </c>
      <c r="C302" s="47">
        <f t="shared" si="10"/>
        <v>-4.3585896591533668E-3</v>
      </c>
      <c r="G302" s="81">
        <v>42405</v>
      </c>
      <c r="H302" s="82">
        <v>289.37</v>
      </c>
      <c r="I302" s="211">
        <f t="shared" si="9"/>
        <v>7.8364446921148634E-3</v>
      </c>
      <c r="J302" s="77"/>
      <c r="K302" s="77"/>
    </row>
    <row r="303" spans="1:11" ht="16">
      <c r="A303" s="233">
        <v>42424</v>
      </c>
      <c r="B303">
        <v>97.358779999999996</v>
      </c>
      <c r="C303" s="47">
        <f t="shared" si="10"/>
        <v>-6.1801242904923059E-3</v>
      </c>
      <c r="G303" s="81">
        <v>42406</v>
      </c>
      <c r="H303" s="82">
        <v>286.83999999999997</v>
      </c>
      <c r="I303" s="211">
        <f t="shared" si="9"/>
        <v>-8.7431316307842177E-3</v>
      </c>
      <c r="J303" s="77"/>
      <c r="K303" s="77"/>
    </row>
    <row r="304" spans="1:11" ht="16">
      <c r="A304" s="233">
        <v>42425</v>
      </c>
      <c r="B304">
        <v>97.308350000000004</v>
      </c>
      <c r="C304" s="47">
        <f t="shared" si="10"/>
        <v>-5.1798101825017984E-4</v>
      </c>
      <c r="G304" s="81">
        <v>42409</v>
      </c>
      <c r="H304" s="82">
        <v>285.51</v>
      </c>
      <c r="I304" s="211">
        <f t="shared" si="9"/>
        <v>-4.6367312787616299E-3</v>
      </c>
      <c r="J304" s="77"/>
      <c r="K304" s="77"/>
    </row>
    <row r="305" spans="1:11" ht="16">
      <c r="A305" s="233">
        <v>42426</v>
      </c>
      <c r="B305">
        <v>96.097442999999998</v>
      </c>
      <c r="C305" s="47">
        <f t="shared" si="10"/>
        <v>-1.24440194495129E-2</v>
      </c>
      <c r="G305" s="81">
        <v>42410</v>
      </c>
      <c r="H305" s="82">
        <v>288.64</v>
      </c>
      <c r="I305" s="211">
        <f t="shared" si="9"/>
        <v>1.0962838429477095E-2</v>
      </c>
      <c r="J305" s="77"/>
      <c r="K305" s="77"/>
    </row>
    <row r="306" spans="1:11" ht="16">
      <c r="A306" s="233">
        <v>42427</v>
      </c>
      <c r="B306">
        <v>95.962897999999996</v>
      </c>
      <c r="C306" s="47">
        <f t="shared" si="10"/>
        <v>-1.4000892822924049E-3</v>
      </c>
      <c r="G306" s="81">
        <v>42411</v>
      </c>
      <c r="H306" s="82">
        <v>291.18</v>
      </c>
      <c r="I306" s="211">
        <f t="shared" si="9"/>
        <v>8.7998891352549791E-3</v>
      </c>
      <c r="J306" s="77"/>
      <c r="K306" s="77"/>
    </row>
    <row r="307" spans="1:11" ht="16">
      <c r="A307" s="233">
        <v>42430</v>
      </c>
      <c r="B307">
        <v>96.736794000000003</v>
      </c>
      <c r="C307" s="47">
        <f t="shared" si="10"/>
        <v>8.0645334408304681E-3</v>
      </c>
      <c r="G307" s="81">
        <v>42412</v>
      </c>
      <c r="H307" s="82">
        <v>290.33</v>
      </c>
      <c r="I307" s="211">
        <f t="shared" si="9"/>
        <v>-2.9191565354763638E-3</v>
      </c>
      <c r="J307" s="77"/>
      <c r="K307" s="77"/>
    </row>
    <row r="308" spans="1:11" ht="16">
      <c r="A308" s="233">
        <v>42431</v>
      </c>
      <c r="B308">
        <v>97.859313999999998</v>
      </c>
      <c r="C308" s="47">
        <f t="shared" si="10"/>
        <v>1.160385778341988E-2</v>
      </c>
      <c r="G308" s="81">
        <v>42413</v>
      </c>
      <c r="H308" s="82">
        <v>290.05</v>
      </c>
      <c r="I308" s="211">
        <f t="shared" si="9"/>
        <v>-9.6441979816064283E-4</v>
      </c>
      <c r="J308" s="77"/>
      <c r="K308" s="77"/>
    </row>
    <row r="309" spans="1:11" ht="16">
      <c r="A309" s="233">
        <v>42432</v>
      </c>
      <c r="B309">
        <v>98.585136000000006</v>
      </c>
      <c r="C309" s="47">
        <f t="shared" si="10"/>
        <v>7.4169945642579282E-3</v>
      </c>
      <c r="G309" s="81">
        <v>42416</v>
      </c>
      <c r="H309" s="82">
        <v>290.75</v>
      </c>
      <c r="I309" s="211">
        <f t="shared" si="9"/>
        <v>2.4133770039647118E-3</v>
      </c>
      <c r="J309" s="77"/>
      <c r="K309" s="77"/>
    </row>
    <row r="310" spans="1:11" ht="16">
      <c r="A310" s="233">
        <v>42433</v>
      </c>
      <c r="B310">
        <v>97.715828000000002</v>
      </c>
      <c r="C310" s="47">
        <f t="shared" si="10"/>
        <v>-8.8178404501060292E-3</v>
      </c>
      <c r="G310" s="81">
        <v>42417</v>
      </c>
      <c r="H310" s="82">
        <v>288.17</v>
      </c>
      <c r="I310" s="211">
        <f t="shared" si="9"/>
        <v>-8.8736027515047278E-3</v>
      </c>
      <c r="J310" s="77"/>
      <c r="K310" s="77"/>
    </row>
    <row r="311" spans="1:11" ht="16">
      <c r="A311" s="233">
        <v>42434</v>
      </c>
      <c r="B311">
        <v>97.310715000000002</v>
      </c>
      <c r="C311" s="47">
        <f t="shared" si="10"/>
        <v>-4.1458278386587999E-3</v>
      </c>
      <c r="G311" s="81">
        <v>42418</v>
      </c>
      <c r="H311" s="82">
        <v>290.33</v>
      </c>
      <c r="I311" s="211">
        <f t="shared" si="9"/>
        <v>7.4955755283339087E-3</v>
      </c>
      <c r="J311" s="77"/>
      <c r="K311" s="77"/>
    </row>
    <row r="312" spans="1:11" ht="16">
      <c r="A312" s="233">
        <v>42437</v>
      </c>
      <c r="B312">
        <v>89.427986000000004</v>
      </c>
      <c r="C312" s="47">
        <f t="shared" si="10"/>
        <v>-8.1005765911801197E-2</v>
      </c>
      <c r="G312" s="81">
        <v>42419</v>
      </c>
      <c r="H312" s="82">
        <v>288.73</v>
      </c>
      <c r="I312" s="211">
        <f t="shared" si="9"/>
        <v>-5.5109702752039746E-3</v>
      </c>
      <c r="J312" s="77"/>
      <c r="K312" s="77"/>
    </row>
    <row r="313" spans="1:11" ht="16">
      <c r="A313" s="233">
        <v>42438</v>
      </c>
      <c r="B313">
        <v>90.466033999999993</v>
      </c>
      <c r="C313" s="47">
        <f t="shared" si="10"/>
        <v>1.1607641482611397E-2</v>
      </c>
      <c r="G313" s="81">
        <v>42420</v>
      </c>
      <c r="H313" s="82">
        <v>286.58999999999997</v>
      </c>
      <c r="I313" s="211">
        <f t="shared" si="9"/>
        <v>-7.4117687805217436E-3</v>
      </c>
      <c r="J313" s="77"/>
      <c r="K313" s="77"/>
    </row>
    <row r="314" spans="1:11" ht="16">
      <c r="A314" s="233">
        <v>42439</v>
      </c>
      <c r="B314">
        <v>86.372780000000006</v>
      </c>
      <c r="C314" s="47">
        <f t="shared" si="10"/>
        <v>-4.5246307581030765E-2</v>
      </c>
      <c r="G314" s="81">
        <v>42423</v>
      </c>
      <c r="H314" s="82">
        <v>280.14</v>
      </c>
      <c r="I314" s="211">
        <f t="shared" si="9"/>
        <v>-2.2506019051606763E-2</v>
      </c>
      <c r="J314" s="77"/>
      <c r="K314" s="77"/>
    </row>
    <row r="315" spans="1:11" ht="16">
      <c r="A315" s="233">
        <v>42440</v>
      </c>
      <c r="B315">
        <v>82.119124999999997</v>
      </c>
      <c r="C315" s="47">
        <f t="shared" si="10"/>
        <v>-4.9247633340040786E-2</v>
      </c>
      <c r="G315" s="81">
        <v>42424</v>
      </c>
      <c r="H315" s="82">
        <v>279.68</v>
      </c>
      <c r="I315" s="211">
        <f t="shared" si="9"/>
        <v>-1.6420361247946325E-3</v>
      </c>
      <c r="J315" s="77"/>
      <c r="K315" s="77"/>
    </row>
    <row r="316" spans="1:11" ht="16">
      <c r="A316" s="233">
        <v>42441</v>
      </c>
      <c r="B316">
        <v>84.448486000000003</v>
      </c>
      <c r="C316" s="47">
        <f t="shared" si="10"/>
        <v>2.8365633462363427E-2</v>
      </c>
      <c r="G316" s="81">
        <v>42425</v>
      </c>
      <c r="H316" s="82">
        <v>276.60000000000002</v>
      </c>
      <c r="I316" s="211">
        <f t="shared" si="9"/>
        <v>-1.1012585812356868E-2</v>
      </c>
      <c r="J316" s="77"/>
      <c r="K316" s="77"/>
    </row>
    <row r="317" spans="1:11" ht="16">
      <c r="A317" s="233">
        <v>42444</v>
      </c>
      <c r="B317">
        <v>80.549316000000005</v>
      </c>
      <c r="C317" s="47">
        <f t="shared" si="10"/>
        <v>-4.6172171754506053E-2</v>
      </c>
      <c r="G317" s="81">
        <v>42426</v>
      </c>
      <c r="H317" s="82">
        <v>273.07</v>
      </c>
      <c r="I317" s="211">
        <f t="shared" si="9"/>
        <v>-1.2762111352133121E-2</v>
      </c>
      <c r="J317" s="77"/>
      <c r="K317" s="77"/>
    </row>
    <row r="318" spans="1:11" ht="16">
      <c r="A318" s="233">
        <v>42445</v>
      </c>
      <c r="B318">
        <v>79.764426999999998</v>
      </c>
      <c r="C318" s="47">
        <f t="shared" si="10"/>
        <v>-9.7442044076452294E-3</v>
      </c>
      <c r="G318" s="81">
        <v>42427</v>
      </c>
      <c r="H318" s="82">
        <v>266.58999999999997</v>
      </c>
      <c r="I318" s="211">
        <f t="shared" si="9"/>
        <v>-2.3730179074962554E-2</v>
      </c>
      <c r="J318" s="77"/>
      <c r="K318" s="77"/>
    </row>
    <row r="319" spans="1:11" ht="16">
      <c r="A319" s="233">
        <v>42446</v>
      </c>
      <c r="B319">
        <v>72.413353000000001</v>
      </c>
      <c r="C319" s="47">
        <f t="shared" si="10"/>
        <v>-9.2159804520378419E-2</v>
      </c>
      <c r="G319" s="81">
        <v>42430</v>
      </c>
      <c r="H319" s="82">
        <v>268.94</v>
      </c>
      <c r="I319" s="211">
        <f t="shared" si="9"/>
        <v>8.815034322367854E-3</v>
      </c>
      <c r="J319" s="77"/>
      <c r="K319" s="77"/>
    </row>
    <row r="320" spans="1:11" ht="16">
      <c r="A320" s="233">
        <v>42447</v>
      </c>
      <c r="B320">
        <v>74.253242</v>
      </c>
      <c r="C320" s="47">
        <f t="shared" si="10"/>
        <v>2.5408145373409186E-2</v>
      </c>
      <c r="G320" s="81">
        <v>42431</v>
      </c>
      <c r="H320" s="82">
        <v>272.01</v>
      </c>
      <c r="I320" s="211">
        <f t="shared" si="9"/>
        <v>1.1415185543243833E-2</v>
      </c>
      <c r="J320" s="77"/>
      <c r="K320" s="77"/>
    </row>
    <row r="321" spans="1:11" ht="16">
      <c r="A321" s="233">
        <v>42448</v>
      </c>
      <c r="B321">
        <v>76.877990999999994</v>
      </c>
      <c r="C321" s="47">
        <f t="shared" si="10"/>
        <v>3.5348611445140676E-2</v>
      </c>
      <c r="G321" s="81">
        <v>42432</v>
      </c>
      <c r="H321" s="82">
        <v>273.49</v>
      </c>
      <c r="I321" s="211">
        <f t="shared" si="9"/>
        <v>5.4409764346898815E-3</v>
      </c>
      <c r="J321" s="77"/>
      <c r="K321" s="77"/>
    </row>
    <row r="322" spans="1:11" ht="16">
      <c r="A322" s="233">
        <v>42451</v>
      </c>
      <c r="B322">
        <v>77.097426999999996</v>
      </c>
      <c r="C322" s="47">
        <f t="shared" si="10"/>
        <v>2.8543409777708195E-3</v>
      </c>
      <c r="G322" s="81">
        <v>42433</v>
      </c>
      <c r="H322" s="82">
        <v>273.31</v>
      </c>
      <c r="I322" s="211">
        <f t="shared" si="9"/>
        <v>-6.5815934769097861E-4</v>
      </c>
      <c r="J322" s="77"/>
      <c r="K322" s="77"/>
    </row>
    <row r="323" spans="1:11" ht="16">
      <c r="A323" s="233">
        <v>42452</v>
      </c>
      <c r="B323">
        <v>79.502762000000004</v>
      </c>
      <c r="C323" s="47">
        <f t="shared" si="10"/>
        <v>3.1198641687484763E-2</v>
      </c>
      <c r="G323" s="81">
        <v>42434</v>
      </c>
      <c r="H323" s="82">
        <v>266.81</v>
      </c>
      <c r="I323" s="211">
        <f t="shared" si="9"/>
        <v>-2.3782518019831E-2</v>
      </c>
      <c r="J323" s="77"/>
      <c r="K323" s="77"/>
    </row>
    <row r="324" spans="1:11" ht="16">
      <c r="A324" s="233">
        <v>42453</v>
      </c>
      <c r="B324">
        <v>82.693023999999994</v>
      </c>
      <c r="C324" s="47">
        <f t="shared" si="10"/>
        <v>4.0127687639329945E-2</v>
      </c>
      <c r="G324" s="81">
        <v>42437</v>
      </c>
      <c r="H324" s="82">
        <v>249.58</v>
      </c>
      <c r="I324" s="211">
        <f t="shared" si="9"/>
        <v>-6.4577789438176936E-2</v>
      </c>
      <c r="J324" s="77"/>
      <c r="K324" s="77"/>
    </row>
    <row r="325" spans="1:11" ht="16">
      <c r="A325" s="233">
        <v>42454</v>
      </c>
      <c r="B325">
        <v>84.060248999999999</v>
      </c>
      <c r="C325" s="47">
        <f t="shared" si="10"/>
        <v>1.6533740500286997E-2</v>
      </c>
      <c r="G325" s="81">
        <v>42438</v>
      </c>
      <c r="H325" s="82">
        <v>253.81</v>
      </c>
      <c r="I325" s="211">
        <f t="shared" si="9"/>
        <v>1.6948473435371314E-2</v>
      </c>
      <c r="J325" s="77"/>
      <c r="K325" s="77"/>
    </row>
    <row r="326" spans="1:11" ht="16">
      <c r="A326" s="233">
        <v>42455</v>
      </c>
      <c r="B326">
        <v>82.330085999999994</v>
      </c>
      <c r="C326" s="47">
        <f t="shared" si="10"/>
        <v>-2.058241583367193E-2</v>
      </c>
      <c r="G326" s="81">
        <v>42439</v>
      </c>
      <c r="H326" s="82">
        <v>249.68</v>
      </c>
      <c r="I326" s="211">
        <f t="shared" si="9"/>
        <v>-1.6272014499034704E-2</v>
      </c>
      <c r="J326" s="77"/>
      <c r="K326" s="77"/>
    </row>
    <row r="327" spans="1:11" ht="16">
      <c r="A327" s="233">
        <v>42458</v>
      </c>
      <c r="B327">
        <v>82.220359999999999</v>
      </c>
      <c r="C327" s="47">
        <f t="shared" si="10"/>
        <v>-1.3327570191047355E-3</v>
      </c>
      <c r="G327" s="81">
        <v>42440</v>
      </c>
      <c r="H327" s="82">
        <v>232.06</v>
      </c>
      <c r="I327" s="211">
        <f t="shared" si="9"/>
        <v>-7.057033002242874E-2</v>
      </c>
      <c r="J327" s="77"/>
      <c r="K327" s="77"/>
    </row>
    <row r="328" spans="1:11" ht="16">
      <c r="A328" s="233">
        <v>42459</v>
      </c>
      <c r="B328">
        <v>81.595848000000004</v>
      </c>
      <c r="C328" s="47">
        <f t="shared" si="10"/>
        <v>-7.5955882460255753E-3</v>
      </c>
      <c r="G328" s="81">
        <v>42441</v>
      </c>
      <c r="H328" s="82">
        <v>234.96</v>
      </c>
      <c r="I328" s="211">
        <f t="shared" si="9"/>
        <v>1.2496768077221443E-2</v>
      </c>
      <c r="J328" s="77"/>
      <c r="K328" s="77"/>
    </row>
    <row r="329" spans="1:11" ht="16">
      <c r="A329" s="233">
        <v>42460</v>
      </c>
      <c r="B329">
        <v>79.543930000000003</v>
      </c>
      <c r="C329" s="47">
        <f t="shared" si="10"/>
        <v>-2.5147333477066103E-2</v>
      </c>
      <c r="G329" s="81">
        <v>42444</v>
      </c>
      <c r="H329" s="82">
        <v>218.98</v>
      </c>
      <c r="I329" s="211">
        <f t="shared" si="9"/>
        <v>-6.8011576438542831E-2</v>
      </c>
      <c r="J329" s="77"/>
      <c r="K329" s="77"/>
    </row>
    <row r="330" spans="1:11" ht="16">
      <c r="A330" s="233">
        <v>42461</v>
      </c>
      <c r="B330">
        <v>81.171227000000002</v>
      </c>
      <c r="C330" s="47">
        <f t="shared" si="10"/>
        <v>2.0457840089117996E-2</v>
      </c>
      <c r="G330" s="81">
        <v>42445</v>
      </c>
      <c r="H330" s="82">
        <v>217.76</v>
      </c>
      <c r="I330" s="211">
        <f t="shared" si="9"/>
        <v>-5.5712850488629506E-3</v>
      </c>
      <c r="J330" s="77"/>
      <c r="K330" s="77"/>
    </row>
    <row r="331" spans="1:11" ht="16">
      <c r="A331" s="233">
        <v>42462</v>
      </c>
      <c r="B331">
        <v>81.027114999999995</v>
      </c>
      <c r="C331" s="47">
        <f t="shared" si="10"/>
        <v>-1.775407435937959E-3</v>
      </c>
      <c r="G331" s="81">
        <v>42446</v>
      </c>
      <c r="H331" s="82">
        <v>207.3</v>
      </c>
      <c r="I331" s="211">
        <f t="shared" si="9"/>
        <v>-4.8034533431300375E-2</v>
      </c>
      <c r="J331" s="77"/>
      <c r="K331" s="77"/>
    </row>
    <row r="332" spans="1:11" ht="16">
      <c r="A332" s="233">
        <v>42465</v>
      </c>
      <c r="B332">
        <v>82.662918000000005</v>
      </c>
      <c r="C332" s="47">
        <f t="shared" si="10"/>
        <v>2.0188340656087878E-2</v>
      </c>
      <c r="G332" s="81">
        <v>42447</v>
      </c>
      <c r="H332" s="82">
        <v>203.35</v>
      </c>
      <c r="I332" s="211">
        <f t="shared" si="9"/>
        <v>-1.9054510371442457E-2</v>
      </c>
      <c r="J332" s="77"/>
      <c r="K332" s="77"/>
    </row>
    <row r="333" spans="1:11" ht="16">
      <c r="A333" s="233">
        <v>42466</v>
      </c>
      <c r="B333">
        <v>83.137566000000007</v>
      </c>
      <c r="C333" s="47">
        <f t="shared" si="10"/>
        <v>5.7419700572389765E-3</v>
      </c>
      <c r="G333" s="81">
        <v>42448</v>
      </c>
      <c r="H333" s="82">
        <v>211.43</v>
      </c>
      <c r="I333" s="211">
        <f t="shared" si="9"/>
        <v>3.9734447996065958E-2</v>
      </c>
      <c r="J333" s="77"/>
      <c r="K333" s="77"/>
    </row>
    <row r="334" spans="1:11" ht="16">
      <c r="A334" s="233">
        <v>42467</v>
      </c>
      <c r="B334">
        <v>83.493561</v>
      </c>
      <c r="C334" s="47">
        <f t="shared" si="10"/>
        <v>4.2819993070279949E-3</v>
      </c>
      <c r="G334" s="81">
        <v>42451</v>
      </c>
      <c r="H334" s="82">
        <v>199.71</v>
      </c>
      <c r="I334" s="211">
        <f t="shared" si="9"/>
        <v>-5.5432057891500741E-2</v>
      </c>
      <c r="J334" s="77"/>
      <c r="K334" s="77"/>
    </row>
    <row r="335" spans="1:11" ht="16">
      <c r="A335" s="233">
        <v>42468</v>
      </c>
      <c r="B335">
        <v>85.900642000000005</v>
      </c>
      <c r="C335" s="47">
        <f t="shared" si="10"/>
        <v>2.8829540519897057E-2</v>
      </c>
      <c r="G335" s="81">
        <v>42452</v>
      </c>
      <c r="H335" s="82">
        <v>209.4</v>
      </c>
      <c r="I335" s="211">
        <f t="shared" si="9"/>
        <v>4.852035451404535E-2</v>
      </c>
      <c r="J335" s="77"/>
      <c r="K335" s="77"/>
    </row>
    <row r="336" spans="1:11" ht="16">
      <c r="A336" s="233">
        <v>42472</v>
      </c>
      <c r="B336">
        <v>85.731087000000002</v>
      </c>
      <c r="C336" s="47">
        <f t="shared" si="10"/>
        <v>-1.9738502070799635E-3</v>
      </c>
      <c r="G336" s="81">
        <v>42453</v>
      </c>
      <c r="H336" s="82">
        <v>217.72</v>
      </c>
      <c r="I336" s="211">
        <f t="shared" ref="I336:I399" si="11">H336/H335-1</f>
        <v>3.973256924546309E-2</v>
      </c>
      <c r="J336" s="77"/>
      <c r="K336" s="77"/>
    </row>
    <row r="337" spans="1:11" ht="16">
      <c r="A337" s="233">
        <v>42473</v>
      </c>
      <c r="B337">
        <v>86.298973000000004</v>
      </c>
      <c r="C337" s="47">
        <f t="shared" ref="C337:C400" si="12">B337/B336-1</f>
        <v>6.6240382558080402E-3</v>
      </c>
      <c r="G337" s="81">
        <v>42454</v>
      </c>
      <c r="H337" s="82">
        <v>222.85</v>
      </c>
      <c r="I337" s="211">
        <f t="shared" si="11"/>
        <v>2.3562373690979133E-2</v>
      </c>
      <c r="J337" s="77"/>
      <c r="K337" s="77"/>
    </row>
    <row r="338" spans="1:11" ht="16">
      <c r="A338" s="233">
        <v>42474</v>
      </c>
      <c r="B338">
        <v>84.586899000000003</v>
      </c>
      <c r="C338" s="47">
        <f t="shared" si="12"/>
        <v>-1.9838868766143936E-2</v>
      </c>
      <c r="G338" s="81">
        <v>42455</v>
      </c>
      <c r="H338" s="82">
        <v>219.58</v>
      </c>
      <c r="I338" s="211">
        <f t="shared" si="11"/>
        <v>-1.4673547229077766E-2</v>
      </c>
      <c r="J338" s="77"/>
      <c r="K338" s="77"/>
    </row>
    <row r="339" spans="1:11" ht="16">
      <c r="A339" s="233">
        <v>42475</v>
      </c>
      <c r="B339">
        <v>84.035988000000003</v>
      </c>
      <c r="C339" s="47">
        <f t="shared" si="12"/>
        <v>-6.5129589394216092E-3</v>
      </c>
      <c r="G339" s="81">
        <v>42458</v>
      </c>
      <c r="H339" s="82">
        <v>216.78</v>
      </c>
      <c r="I339" s="211">
        <f t="shared" si="11"/>
        <v>-1.2751616722834536E-2</v>
      </c>
      <c r="J339" s="77"/>
      <c r="K339" s="77"/>
    </row>
    <row r="340" spans="1:11" ht="16">
      <c r="A340" s="233">
        <v>42476</v>
      </c>
      <c r="B340">
        <v>84.629265000000004</v>
      </c>
      <c r="C340" s="47">
        <f t="shared" si="12"/>
        <v>7.0597968099095354E-3</v>
      </c>
      <c r="G340" s="81">
        <v>42459</v>
      </c>
      <c r="H340" s="82">
        <v>220.78</v>
      </c>
      <c r="I340" s="211">
        <f t="shared" si="11"/>
        <v>1.8451886705415532E-2</v>
      </c>
      <c r="J340" s="77"/>
      <c r="K340" s="77"/>
    </row>
    <row r="341" spans="1:11" ht="16">
      <c r="A341" s="233">
        <v>42479</v>
      </c>
      <c r="B341">
        <v>84.095329000000007</v>
      </c>
      <c r="C341" s="47">
        <f t="shared" si="12"/>
        <v>-6.3091177738574533E-3</v>
      </c>
      <c r="G341" s="81">
        <v>42460</v>
      </c>
      <c r="H341" s="82">
        <v>216.35</v>
      </c>
      <c r="I341" s="211">
        <f t="shared" si="11"/>
        <v>-2.0065223299211898E-2</v>
      </c>
      <c r="J341" s="77"/>
      <c r="K341" s="77"/>
    </row>
    <row r="342" spans="1:11" ht="16">
      <c r="A342" s="233">
        <v>42480</v>
      </c>
      <c r="B342">
        <v>82.917197999999999</v>
      </c>
      <c r="C342" s="47">
        <f t="shared" si="12"/>
        <v>-1.4009470133590995E-2</v>
      </c>
      <c r="G342" s="81">
        <v>42461</v>
      </c>
      <c r="H342" s="82">
        <v>218.73</v>
      </c>
      <c r="I342" s="211">
        <f t="shared" si="11"/>
        <v>1.1000693321007615E-2</v>
      </c>
      <c r="J342" s="77"/>
      <c r="K342" s="77"/>
    </row>
    <row r="343" spans="1:11" ht="16">
      <c r="A343" s="233">
        <v>42481</v>
      </c>
      <c r="B343">
        <v>82.985022999999998</v>
      </c>
      <c r="C343" s="47">
        <f t="shared" si="12"/>
        <v>8.1798470806981882E-4</v>
      </c>
      <c r="G343" s="81">
        <v>42462</v>
      </c>
      <c r="H343" s="82">
        <v>216.77</v>
      </c>
      <c r="I343" s="211">
        <f t="shared" si="11"/>
        <v>-8.9608192749049964E-3</v>
      </c>
      <c r="J343" s="77"/>
      <c r="K343" s="77"/>
    </row>
    <row r="344" spans="1:11" ht="16">
      <c r="A344" s="233">
        <v>42482</v>
      </c>
      <c r="B344">
        <v>83.383369000000002</v>
      </c>
      <c r="C344" s="47">
        <f t="shared" si="12"/>
        <v>4.8002155762492116E-3</v>
      </c>
      <c r="G344" s="81">
        <v>42465</v>
      </c>
      <c r="H344" s="82">
        <v>221.78</v>
      </c>
      <c r="I344" s="211">
        <f t="shared" si="11"/>
        <v>2.3112054251049452E-2</v>
      </c>
      <c r="J344" s="77"/>
      <c r="K344" s="77"/>
    </row>
    <row r="345" spans="1:11" ht="16">
      <c r="A345" s="233">
        <v>42483</v>
      </c>
      <c r="B345">
        <v>83.018906000000001</v>
      </c>
      <c r="C345" s="47">
        <f t="shared" si="12"/>
        <v>-4.3709315702991081E-3</v>
      </c>
      <c r="G345" s="81">
        <v>42466</v>
      </c>
      <c r="H345" s="82">
        <v>228.48</v>
      </c>
      <c r="I345" s="211">
        <f t="shared" si="11"/>
        <v>3.021011813508867E-2</v>
      </c>
      <c r="J345" s="77"/>
      <c r="K345" s="77"/>
    </row>
    <row r="346" spans="1:11" ht="16">
      <c r="A346" s="233">
        <v>42486</v>
      </c>
      <c r="B346">
        <v>82.874816999999993</v>
      </c>
      <c r="C346" s="47">
        <f t="shared" si="12"/>
        <v>-1.7356167039831449E-3</v>
      </c>
      <c r="G346" s="81">
        <v>42467</v>
      </c>
      <c r="H346" s="82">
        <v>227.95</v>
      </c>
      <c r="I346" s="211">
        <f t="shared" si="11"/>
        <v>-2.3196778711485067E-3</v>
      </c>
      <c r="J346" s="77"/>
      <c r="K346" s="77"/>
    </row>
    <row r="347" spans="1:11" ht="16">
      <c r="A347" s="233">
        <v>42487</v>
      </c>
      <c r="B347">
        <v>83.688491999999997</v>
      </c>
      <c r="C347" s="47">
        <f t="shared" si="12"/>
        <v>9.8181212273447116E-3</v>
      </c>
      <c r="G347" s="81">
        <v>42468</v>
      </c>
      <c r="H347" s="82">
        <v>231.52</v>
      </c>
      <c r="I347" s="211">
        <f t="shared" si="11"/>
        <v>1.5661329238868316E-2</v>
      </c>
      <c r="J347" s="77"/>
      <c r="K347" s="77"/>
    </row>
    <row r="348" spans="1:11" ht="16">
      <c r="A348" s="233">
        <v>42488</v>
      </c>
      <c r="B348">
        <v>85.027648999999997</v>
      </c>
      <c r="C348" s="47">
        <f t="shared" si="12"/>
        <v>1.6001686348942723E-2</v>
      </c>
      <c r="G348" s="81">
        <v>42469</v>
      </c>
      <c r="H348" s="82">
        <v>231.6</v>
      </c>
      <c r="I348" s="211">
        <f t="shared" si="11"/>
        <v>3.4554250172758039E-4</v>
      </c>
      <c r="J348" s="77"/>
      <c r="K348" s="77"/>
    </row>
    <row r="349" spans="1:11" ht="16">
      <c r="A349" s="233">
        <v>42489</v>
      </c>
      <c r="B349">
        <v>85.180183</v>
      </c>
      <c r="C349" s="47">
        <f t="shared" si="12"/>
        <v>1.7939341119499463E-3</v>
      </c>
      <c r="G349" s="81">
        <v>42472</v>
      </c>
      <c r="H349" s="82">
        <v>230.69</v>
      </c>
      <c r="I349" s="211">
        <f t="shared" si="11"/>
        <v>-3.9291882556130586E-3</v>
      </c>
      <c r="J349" s="77"/>
      <c r="K349" s="77"/>
    </row>
    <row r="350" spans="1:11" ht="16">
      <c r="A350" s="233">
        <v>42490</v>
      </c>
      <c r="B350">
        <v>84.813514999999995</v>
      </c>
      <c r="C350" s="47">
        <f t="shared" si="12"/>
        <v>-4.3046162509419172E-3</v>
      </c>
      <c r="G350" s="81">
        <v>42473</v>
      </c>
      <c r="H350" s="82">
        <v>233.98</v>
      </c>
      <c r="I350" s="211">
        <f t="shared" si="11"/>
        <v>1.4261563136676925E-2</v>
      </c>
      <c r="J350" s="77"/>
      <c r="K350" s="77"/>
    </row>
    <row r="351" spans="1:11" ht="16">
      <c r="A351" s="233">
        <v>42493</v>
      </c>
      <c r="B351">
        <v>84.813514999999995</v>
      </c>
      <c r="C351" s="47">
        <f t="shared" si="12"/>
        <v>0</v>
      </c>
      <c r="G351" s="81">
        <v>42474</v>
      </c>
      <c r="H351" s="82">
        <v>231.54</v>
      </c>
      <c r="I351" s="211">
        <f t="shared" si="11"/>
        <v>-1.0428241730062404E-2</v>
      </c>
      <c r="J351" s="77"/>
      <c r="K351" s="77"/>
    </row>
    <row r="352" spans="1:11" ht="16">
      <c r="A352" s="233">
        <v>42494</v>
      </c>
      <c r="B352">
        <v>85.740852000000004</v>
      </c>
      <c r="C352" s="47">
        <f t="shared" si="12"/>
        <v>1.0933835250195756E-2</v>
      </c>
      <c r="G352" s="81">
        <v>42475</v>
      </c>
      <c r="H352" s="82">
        <v>230.99</v>
      </c>
      <c r="I352" s="211">
        <f t="shared" si="11"/>
        <v>-2.3753994990065586E-3</v>
      </c>
      <c r="J352" s="77"/>
      <c r="K352" s="77"/>
    </row>
    <row r="353" spans="1:11" ht="16">
      <c r="A353" s="233">
        <v>42495</v>
      </c>
      <c r="B353">
        <v>85.358001999999999</v>
      </c>
      <c r="C353" s="47">
        <f t="shared" si="12"/>
        <v>-4.465199389434682E-3</v>
      </c>
      <c r="G353" s="81">
        <v>42476</v>
      </c>
      <c r="H353" s="82">
        <v>234.23</v>
      </c>
      <c r="I353" s="211">
        <f t="shared" si="11"/>
        <v>1.4026581237282842E-2</v>
      </c>
      <c r="J353" s="77"/>
      <c r="K353" s="77"/>
    </row>
    <row r="354" spans="1:11" ht="16">
      <c r="A354" s="233">
        <v>42496</v>
      </c>
      <c r="B354">
        <v>86.038651000000002</v>
      </c>
      <c r="C354" s="47">
        <f t="shared" si="12"/>
        <v>7.9740502829483972E-3</v>
      </c>
      <c r="G354" s="81">
        <v>42479</v>
      </c>
      <c r="H354" s="82">
        <v>234.47</v>
      </c>
      <c r="I354" s="211">
        <f t="shared" si="11"/>
        <v>1.0246339068438193E-3</v>
      </c>
      <c r="J354" s="77"/>
      <c r="K354" s="77"/>
    </row>
    <row r="355" spans="1:11" ht="16">
      <c r="A355" s="233">
        <v>42497</v>
      </c>
      <c r="B355">
        <v>86.481032999999996</v>
      </c>
      <c r="C355" s="47">
        <f t="shared" si="12"/>
        <v>5.141665924073946E-3</v>
      </c>
      <c r="G355" s="81">
        <v>42480</v>
      </c>
      <c r="H355" s="82">
        <v>228.79</v>
      </c>
      <c r="I355" s="211">
        <f t="shared" si="11"/>
        <v>-2.4224847528468541E-2</v>
      </c>
      <c r="J355" s="77"/>
      <c r="K355" s="77"/>
    </row>
    <row r="356" spans="1:11" ht="16">
      <c r="A356" s="233">
        <v>42500</v>
      </c>
      <c r="B356">
        <v>86.957427999999993</v>
      </c>
      <c r="C356" s="47">
        <f t="shared" si="12"/>
        <v>5.5086645415070024E-3</v>
      </c>
      <c r="G356" s="81">
        <v>42481</v>
      </c>
      <c r="H356" s="82">
        <v>231.59</v>
      </c>
      <c r="I356" s="211">
        <f t="shared" si="11"/>
        <v>1.223829712837099E-2</v>
      </c>
      <c r="J356" s="77"/>
      <c r="K356" s="77"/>
    </row>
    <row r="357" spans="1:11" ht="16">
      <c r="A357" s="233">
        <v>42501</v>
      </c>
      <c r="B357">
        <v>86.795776000000004</v>
      </c>
      <c r="C357" s="47">
        <f t="shared" si="12"/>
        <v>-1.8589786257245944E-3</v>
      </c>
      <c r="G357" s="81">
        <v>42482</v>
      </c>
      <c r="H357" s="82">
        <v>232.52</v>
      </c>
      <c r="I357" s="211">
        <f t="shared" si="11"/>
        <v>4.0157174316679534E-3</v>
      </c>
      <c r="J357" s="77"/>
      <c r="K357" s="77"/>
    </row>
    <row r="358" spans="1:11" ht="16">
      <c r="A358" s="233">
        <v>42502</v>
      </c>
      <c r="B358">
        <v>86.276854999999998</v>
      </c>
      <c r="C358" s="47">
        <f t="shared" si="12"/>
        <v>-5.9786434768439589E-3</v>
      </c>
      <c r="G358" s="81">
        <v>42483</v>
      </c>
      <c r="H358" s="82">
        <v>229.45</v>
      </c>
      <c r="I358" s="211">
        <f t="shared" si="11"/>
        <v>-1.3203165319112475E-2</v>
      </c>
      <c r="J358" s="77"/>
      <c r="K358" s="77"/>
    </row>
    <row r="359" spans="1:11" ht="16">
      <c r="A359" s="233">
        <v>42503</v>
      </c>
      <c r="B359">
        <v>86.676704000000001</v>
      </c>
      <c r="C359" s="47">
        <f t="shared" si="12"/>
        <v>4.634487430029699E-3</v>
      </c>
      <c r="G359" s="81">
        <v>42486</v>
      </c>
      <c r="H359" s="82">
        <v>233.3</v>
      </c>
      <c r="I359" s="211">
        <f t="shared" si="11"/>
        <v>1.6779254739594851E-2</v>
      </c>
      <c r="J359" s="77"/>
      <c r="K359" s="77"/>
    </row>
    <row r="360" spans="1:11" ht="16">
      <c r="A360" s="233">
        <v>42504</v>
      </c>
      <c r="B360">
        <v>86.914940000000001</v>
      </c>
      <c r="C360" s="47">
        <f t="shared" si="12"/>
        <v>2.7485585977058413E-3</v>
      </c>
      <c r="G360" s="81">
        <v>42487</v>
      </c>
      <c r="H360" s="82">
        <v>235.31</v>
      </c>
      <c r="I360" s="211">
        <f t="shared" si="11"/>
        <v>8.6155165023573677E-3</v>
      </c>
      <c r="J360" s="77"/>
      <c r="K360" s="77"/>
    </row>
    <row r="361" spans="1:11" ht="16">
      <c r="A361" s="233">
        <v>42507</v>
      </c>
      <c r="B361">
        <v>88.429282999999998</v>
      </c>
      <c r="C361" s="47">
        <f t="shared" si="12"/>
        <v>1.74232761364157E-2</v>
      </c>
      <c r="G361" s="81">
        <v>42488</v>
      </c>
      <c r="H361" s="82">
        <v>239.9</v>
      </c>
      <c r="I361" s="211">
        <f t="shared" si="11"/>
        <v>1.9506183332625104E-2</v>
      </c>
      <c r="J361" s="77"/>
      <c r="K361" s="77"/>
    </row>
    <row r="362" spans="1:11" ht="16">
      <c r="A362" s="233">
        <v>42508</v>
      </c>
      <c r="B362">
        <v>88.49736</v>
      </c>
      <c r="C362" s="47">
        <f t="shared" si="12"/>
        <v>7.698467938499487E-4</v>
      </c>
      <c r="G362" s="81">
        <v>42489</v>
      </c>
      <c r="H362" s="82">
        <v>241.39</v>
      </c>
      <c r="I362" s="211">
        <f t="shared" si="11"/>
        <v>6.2109212171737038E-3</v>
      </c>
      <c r="J362" s="77"/>
      <c r="K362" s="77"/>
    </row>
    <row r="363" spans="1:11" ht="16">
      <c r="A363" s="233">
        <v>42509</v>
      </c>
      <c r="B363">
        <v>90.198914000000002</v>
      </c>
      <c r="C363" s="47">
        <f t="shared" si="12"/>
        <v>1.9227172426386607E-2</v>
      </c>
      <c r="G363" s="81">
        <v>42490</v>
      </c>
      <c r="H363" s="82">
        <v>239.2</v>
      </c>
      <c r="I363" s="211">
        <f t="shared" si="11"/>
        <v>-9.0724553626910787E-3</v>
      </c>
      <c r="J363" s="77"/>
      <c r="K363" s="77"/>
    </row>
    <row r="364" spans="1:11" ht="16">
      <c r="A364" s="233">
        <v>42510</v>
      </c>
      <c r="B364">
        <v>90.173355000000001</v>
      </c>
      <c r="C364" s="47">
        <f t="shared" si="12"/>
        <v>-2.8336261343453462E-4</v>
      </c>
      <c r="G364" s="81">
        <v>42493</v>
      </c>
      <c r="H364" s="82">
        <v>232.15</v>
      </c>
      <c r="I364" s="211">
        <f t="shared" si="11"/>
        <v>-2.9473244147157129E-2</v>
      </c>
      <c r="J364" s="77"/>
      <c r="K364" s="77"/>
    </row>
    <row r="365" spans="1:11" ht="16">
      <c r="A365" s="233">
        <v>42511</v>
      </c>
      <c r="B365">
        <v>89.765006999999997</v>
      </c>
      <c r="C365" s="47">
        <f t="shared" si="12"/>
        <v>-4.528477397785724E-3</v>
      </c>
      <c r="G365" s="81">
        <v>42494</v>
      </c>
      <c r="H365" s="82">
        <v>234.39</v>
      </c>
      <c r="I365" s="211">
        <f t="shared" si="11"/>
        <v>9.6489338789573775E-3</v>
      </c>
      <c r="J365" s="77"/>
      <c r="K365" s="77"/>
    </row>
    <row r="366" spans="1:11" ht="16">
      <c r="A366" s="233">
        <v>42515</v>
      </c>
      <c r="B366">
        <v>90.318023999999994</v>
      </c>
      <c r="C366" s="47">
        <f t="shared" si="12"/>
        <v>6.1607191764603275E-3</v>
      </c>
      <c r="G366" s="81">
        <v>42495</v>
      </c>
      <c r="H366" s="82">
        <v>234.83</v>
      </c>
      <c r="I366" s="211">
        <f t="shared" si="11"/>
        <v>1.8772131916890977E-3</v>
      </c>
      <c r="J366" s="77"/>
      <c r="K366" s="77"/>
    </row>
    <row r="367" spans="1:11" ht="16">
      <c r="A367" s="233">
        <v>42516</v>
      </c>
      <c r="B367">
        <v>90.471123000000006</v>
      </c>
      <c r="C367" s="47">
        <f t="shared" si="12"/>
        <v>1.6951101587432404E-3</v>
      </c>
      <c r="G367" s="81">
        <v>42496</v>
      </c>
      <c r="H367" s="82">
        <v>234.54</v>
      </c>
      <c r="I367" s="211">
        <f t="shared" si="11"/>
        <v>-1.2349359110847002E-3</v>
      </c>
      <c r="J367" s="77"/>
      <c r="K367" s="77"/>
    </row>
    <row r="368" spans="1:11" ht="16">
      <c r="A368" s="233">
        <v>42517</v>
      </c>
      <c r="B368">
        <v>90.215926999999994</v>
      </c>
      <c r="C368" s="47">
        <f t="shared" si="12"/>
        <v>-2.8207453553993345E-3</v>
      </c>
      <c r="G368" s="81">
        <v>42497</v>
      </c>
      <c r="H368" s="82">
        <v>238.3</v>
      </c>
      <c r="I368" s="211">
        <f t="shared" si="11"/>
        <v>1.6031380574742071E-2</v>
      </c>
      <c r="J368" s="77"/>
      <c r="K368" s="77"/>
    </row>
    <row r="369" spans="1:11" ht="16">
      <c r="A369" s="233">
        <v>42518</v>
      </c>
      <c r="B369">
        <v>90.522163000000006</v>
      </c>
      <c r="C369" s="47">
        <f t="shared" si="12"/>
        <v>3.3944782277746111E-3</v>
      </c>
      <c r="G369" s="81">
        <v>42500</v>
      </c>
      <c r="H369" s="82">
        <v>239.36</v>
      </c>
      <c r="I369" s="211">
        <f t="shared" si="11"/>
        <v>4.4481745698699005E-3</v>
      </c>
      <c r="J369" s="77"/>
      <c r="K369" s="77"/>
    </row>
    <row r="370" spans="1:11" ht="16">
      <c r="A370" s="233">
        <v>42521</v>
      </c>
      <c r="B370">
        <v>90.963425000000001</v>
      </c>
      <c r="C370" s="47">
        <f t="shared" si="12"/>
        <v>4.8746294319104155E-3</v>
      </c>
      <c r="G370" s="81">
        <v>42501</v>
      </c>
      <c r="H370" s="82">
        <v>237.97</v>
      </c>
      <c r="I370" s="211">
        <f t="shared" si="11"/>
        <v>-5.8071524064171598E-3</v>
      </c>
      <c r="J370" s="77"/>
      <c r="K370" s="77"/>
    </row>
    <row r="371" spans="1:11" ht="16">
      <c r="A371" s="233">
        <v>42522</v>
      </c>
      <c r="B371">
        <v>91.842506</v>
      </c>
      <c r="C371" s="47">
        <f t="shared" si="12"/>
        <v>9.6641150000673637E-3</v>
      </c>
      <c r="G371" s="81">
        <v>42502</v>
      </c>
      <c r="H371" s="82">
        <v>237.79</v>
      </c>
      <c r="I371" s="211">
        <f t="shared" si="11"/>
        <v>-7.5639786527714747E-4</v>
      </c>
      <c r="J371" s="77"/>
      <c r="K371" s="77"/>
    </row>
    <row r="372" spans="1:11" ht="16">
      <c r="A372" s="233">
        <v>42523</v>
      </c>
      <c r="B372">
        <v>92.252182000000005</v>
      </c>
      <c r="C372" s="47">
        <f t="shared" si="12"/>
        <v>4.460636124193007E-3</v>
      </c>
      <c r="G372" s="81">
        <v>42503</v>
      </c>
      <c r="H372" s="82">
        <v>235.7</v>
      </c>
      <c r="I372" s="211">
        <f t="shared" si="11"/>
        <v>-8.7892678413726832E-3</v>
      </c>
      <c r="J372" s="77"/>
      <c r="K372" s="77"/>
    </row>
    <row r="373" spans="1:11" ht="16">
      <c r="A373" s="233">
        <v>42524</v>
      </c>
      <c r="B373">
        <v>91.816901999999999</v>
      </c>
      <c r="C373" s="47">
        <f t="shared" si="12"/>
        <v>-4.7183707806499608E-3</v>
      </c>
      <c r="G373" s="81">
        <v>42504</v>
      </c>
      <c r="H373" s="82">
        <v>235.82</v>
      </c>
      <c r="I373" s="211">
        <f t="shared" si="11"/>
        <v>5.0912176495554462E-4</v>
      </c>
      <c r="J373" s="77"/>
      <c r="K373" s="77"/>
    </row>
    <row r="374" spans="1:11" ht="16">
      <c r="A374" s="233">
        <v>42525</v>
      </c>
      <c r="B374">
        <v>92.567977999999997</v>
      </c>
      <c r="C374" s="47">
        <f t="shared" si="12"/>
        <v>8.180149663511882E-3</v>
      </c>
      <c r="G374" s="81">
        <v>42507</v>
      </c>
      <c r="H374" s="82">
        <v>238.72</v>
      </c>
      <c r="I374" s="211">
        <f t="shared" si="11"/>
        <v>1.229751505385468E-2</v>
      </c>
      <c r="J374" s="77"/>
      <c r="K374" s="77"/>
    </row>
    <row r="375" spans="1:11" ht="16">
      <c r="A375" s="233">
        <v>42528</v>
      </c>
      <c r="B375">
        <v>93.225159000000005</v>
      </c>
      <c r="C375" s="47">
        <f t="shared" si="12"/>
        <v>7.0994420986489892E-3</v>
      </c>
      <c r="G375" s="81">
        <v>42508</v>
      </c>
      <c r="H375" s="82">
        <v>241.44</v>
      </c>
      <c r="I375" s="211">
        <f t="shared" si="11"/>
        <v>1.1394101876675666E-2</v>
      </c>
      <c r="J375" s="77"/>
      <c r="K375" s="77"/>
    </row>
    <row r="376" spans="1:11" ht="16">
      <c r="A376" s="233">
        <v>42529</v>
      </c>
      <c r="B376">
        <v>92.977637999999999</v>
      </c>
      <c r="C376" s="47">
        <f t="shared" si="12"/>
        <v>-2.6550879897132562E-3</v>
      </c>
      <c r="G376" s="81">
        <v>42509</v>
      </c>
      <c r="H376" s="82">
        <v>243.25</v>
      </c>
      <c r="I376" s="211">
        <f t="shared" si="11"/>
        <v>7.4966865473824473E-3</v>
      </c>
      <c r="J376" s="77"/>
      <c r="K376" s="77"/>
    </row>
    <row r="377" spans="1:11" ht="16">
      <c r="A377" s="233">
        <v>42530</v>
      </c>
      <c r="B377">
        <v>92.986168000000006</v>
      </c>
      <c r="C377" s="47">
        <f t="shared" si="12"/>
        <v>9.1742489737312027E-5</v>
      </c>
      <c r="G377" s="81">
        <v>42510</v>
      </c>
      <c r="H377" s="82">
        <v>242.92</v>
      </c>
      <c r="I377" s="211">
        <f t="shared" si="11"/>
        <v>-1.3566289825283073E-3</v>
      </c>
      <c r="J377" s="77"/>
      <c r="K377" s="77"/>
    </row>
    <row r="378" spans="1:11" ht="16">
      <c r="A378" s="233">
        <v>42531</v>
      </c>
      <c r="B378">
        <v>90.852478000000005</v>
      </c>
      <c r="C378" s="47">
        <f t="shared" si="12"/>
        <v>-2.2946316058534699E-2</v>
      </c>
      <c r="G378" s="81">
        <v>42511</v>
      </c>
      <c r="H378" s="82">
        <v>236.81</v>
      </c>
      <c r="I378" s="211">
        <f t="shared" si="11"/>
        <v>-2.515231351885383E-2</v>
      </c>
      <c r="J378" s="77"/>
      <c r="K378" s="77"/>
    </row>
    <row r="379" spans="1:11" ht="16">
      <c r="A379" s="233">
        <v>42532</v>
      </c>
      <c r="B379">
        <v>91.910797000000002</v>
      </c>
      <c r="C379" s="47">
        <f t="shared" si="12"/>
        <v>1.1648763174076482E-2</v>
      </c>
      <c r="G379" s="81">
        <v>42514</v>
      </c>
      <c r="H379" s="82">
        <v>238.6</v>
      </c>
      <c r="I379" s="211">
        <f t="shared" si="11"/>
        <v>7.5588024154384925E-3</v>
      </c>
      <c r="J379" s="77"/>
      <c r="K379" s="77"/>
    </row>
    <row r="380" spans="1:11" ht="16">
      <c r="A380" s="233">
        <v>42535</v>
      </c>
      <c r="B380">
        <v>92.397262999999995</v>
      </c>
      <c r="C380" s="47">
        <f t="shared" si="12"/>
        <v>5.2928058060468519E-3</v>
      </c>
      <c r="G380" s="81">
        <v>42515</v>
      </c>
      <c r="H380" s="82">
        <v>242.35</v>
      </c>
      <c r="I380" s="211">
        <f t="shared" si="11"/>
        <v>1.5716680637049452E-2</v>
      </c>
      <c r="J380" s="77"/>
      <c r="K380" s="77"/>
    </row>
    <row r="381" spans="1:11" ht="16">
      <c r="A381" s="233">
        <v>42536</v>
      </c>
      <c r="B381">
        <v>92.832558000000006</v>
      </c>
      <c r="C381" s="47">
        <f t="shared" si="12"/>
        <v>4.7111243977000505E-3</v>
      </c>
      <c r="G381" s="81">
        <v>42516</v>
      </c>
      <c r="H381" s="82">
        <v>242.7</v>
      </c>
      <c r="I381" s="211">
        <f t="shared" si="11"/>
        <v>1.4441922838868138E-3</v>
      </c>
      <c r="J381" s="77"/>
      <c r="K381" s="77"/>
    </row>
    <row r="382" spans="1:11" ht="16">
      <c r="A382" s="233">
        <v>42537</v>
      </c>
      <c r="B382">
        <v>92.704536000000004</v>
      </c>
      <c r="C382" s="47">
        <f t="shared" si="12"/>
        <v>-1.3790635824125763E-3</v>
      </c>
      <c r="G382" s="81">
        <v>42517</v>
      </c>
      <c r="H382" s="82">
        <v>242.42</v>
      </c>
      <c r="I382" s="211">
        <f t="shared" si="11"/>
        <v>-1.1536876802636931E-3</v>
      </c>
      <c r="J382" s="77"/>
      <c r="K382" s="77"/>
    </row>
    <row r="383" spans="1:11" ht="16">
      <c r="A383" s="233">
        <v>42538</v>
      </c>
      <c r="B383">
        <v>92.602135000000004</v>
      </c>
      <c r="C383" s="47">
        <f t="shared" si="12"/>
        <v>-1.1045953565853583E-3</v>
      </c>
      <c r="G383" s="81">
        <v>42518</v>
      </c>
      <c r="H383" s="82">
        <v>243.9</v>
      </c>
      <c r="I383" s="211">
        <f t="shared" si="11"/>
        <v>6.1051068393698227E-3</v>
      </c>
      <c r="J383" s="77"/>
      <c r="K383" s="77"/>
    </row>
    <row r="384" spans="1:11" ht="16">
      <c r="A384" s="233">
        <v>42539</v>
      </c>
      <c r="B384">
        <v>92.806952999999993</v>
      </c>
      <c r="C384" s="47">
        <f t="shared" si="12"/>
        <v>2.2118064556502226E-3</v>
      </c>
      <c r="G384" s="81">
        <v>42521</v>
      </c>
      <c r="H384" s="82">
        <v>249.33</v>
      </c>
      <c r="I384" s="211">
        <f t="shared" si="11"/>
        <v>2.2263222632226354E-2</v>
      </c>
      <c r="J384" s="77"/>
      <c r="K384" s="77"/>
    </row>
    <row r="385" spans="1:11" ht="16">
      <c r="A385" s="233">
        <v>42542</v>
      </c>
      <c r="B385">
        <v>92.969077999999996</v>
      </c>
      <c r="C385" s="47">
        <f t="shared" si="12"/>
        <v>1.7469057517705E-3</v>
      </c>
      <c r="G385" s="81">
        <v>42522</v>
      </c>
      <c r="H385" s="82">
        <v>253.66</v>
      </c>
      <c r="I385" s="211">
        <f t="shared" si="11"/>
        <v>1.7366542333453694E-2</v>
      </c>
      <c r="J385" s="77"/>
      <c r="K385" s="77"/>
    </row>
    <row r="386" spans="1:11" ht="16">
      <c r="A386" s="233">
        <v>42543</v>
      </c>
      <c r="B386">
        <v>93.156882999999993</v>
      </c>
      <c r="C386" s="47">
        <f t="shared" si="12"/>
        <v>2.020080267979063E-3</v>
      </c>
      <c r="G386" s="81">
        <v>42523</v>
      </c>
      <c r="H386" s="82">
        <v>258.20999999999998</v>
      </c>
      <c r="I386" s="211">
        <f t="shared" si="11"/>
        <v>1.7937396515020021E-2</v>
      </c>
      <c r="J386" s="77"/>
      <c r="K386" s="77"/>
    </row>
    <row r="387" spans="1:11" ht="16">
      <c r="A387" s="233">
        <v>42544</v>
      </c>
      <c r="B387">
        <v>92.866698999999997</v>
      </c>
      <c r="C387" s="47">
        <f t="shared" si="12"/>
        <v>-3.1150033218694251E-3</v>
      </c>
      <c r="G387" s="81">
        <v>42524</v>
      </c>
      <c r="H387" s="82">
        <v>258.38</v>
      </c>
      <c r="I387" s="211">
        <f t="shared" si="11"/>
        <v>6.5837883892960747E-4</v>
      </c>
      <c r="J387" s="77"/>
      <c r="K387" s="77"/>
    </row>
    <row r="388" spans="1:11" ht="16">
      <c r="A388" s="233">
        <v>42545</v>
      </c>
      <c r="B388">
        <v>92.926422000000002</v>
      </c>
      <c r="C388" s="47">
        <f t="shared" si="12"/>
        <v>6.4310458585370434E-4</v>
      </c>
      <c r="G388" s="81">
        <v>42525</v>
      </c>
      <c r="H388" s="82">
        <v>261.85000000000002</v>
      </c>
      <c r="I388" s="211">
        <f t="shared" si="11"/>
        <v>1.3429832030342981E-2</v>
      </c>
      <c r="J388" s="77"/>
      <c r="K388" s="77"/>
    </row>
    <row r="389" spans="1:11" ht="16">
      <c r="A389" s="233">
        <v>42546</v>
      </c>
      <c r="B389">
        <v>92.738692999999998</v>
      </c>
      <c r="C389" s="47">
        <f t="shared" si="12"/>
        <v>-2.0201896937342978E-3</v>
      </c>
      <c r="G389" s="81">
        <v>42528</v>
      </c>
      <c r="H389" s="82">
        <v>263.39</v>
      </c>
      <c r="I389" s="211">
        <f t="shared" si="11"/>
        <v>5.8812297116668244E-3</v>
      </c>
      <c r="J389" s="77"/>
      <c r="K389" s="77"/>
    </row>
    <row r="390" spans="1:11" ht="16">
      <c r="A390" s="233">
        <v>42549</v>
      </c>
      <c r="B390">
        <v>92.858161999999993</v>
      </c>
      <c r="C390" s="47">
        <f t="shared" si="12"/>
        <v>1.2882325180061382E-3</v>
      </c>
      <c r="G390" s="81">
        <v>42529</v>
      </c>
      <c r="H390" s="82">
        <v>263.62</v>
      </c>
      <c r="I390" s="211">
        <f t="shared" si="11"/>
        <v>8.7322981130655286E-4</v>
      </c>
      <c r="J390" s="77"/>
      <c r="K390" s="77"/>
    </row>
    <row r="391" spans="1:11" ht="16">
      <c r="A391" s="233">
        <v>42550</v>
      </c>
      <c r="B391">
        <v>93.216621000000004</v>
      </c>
      <c r="C391" s="47">
        <f t="shared" si="12"/>
        <v>3.8602853241915813E-3</v>
      </c>
      <c r="G391" s="81">
        <v>42530</v>
      </c>
      <c r="H391" s="82">
        <v>264.12</v>
      </c>
      <c r="I391" s="211">
        <f t="shared" si="11"/>
        <v>1.8966694484485735E-3</v>
      </c>
      <c r="J391" s="77"/>
      <c r="K391" s="77"/>
    </row>
    <row r="392" spans="1:11" ht="16">
      <c r="A392" s="233">
        <v>42551</v>
      </c>
      <c r="B392">
        <v>93.430655999999999</v>
      </c>
      <c r="C392" s="47">
        <f t="shared" si="12"/>
        <v>2.2961033955521959E-3</v>
      </c>
      <c r="G392" s="81">
        <v>42531</v>
      </c>
      <c r="H392" s="82">
        <v>259.01</v>
      </c>
      <c r="I392" s="211">
        <f t="shared" si="11"/>
        <v>-1.9347266394063367E-2</v>
      </c>
      <c r="J392" s="77"/>
      <c r="K392" s="77"/>
    </row>
    <row r="393" spans="1:11" ht="16">
      <c r="A393" s="233">
        <v>42552</v>
      </c>
      <c r="B393">
        <v>93.927170000000004</v>
      </c>
      <c r="C393" s="47">
        <f t="shared" si="12"/>
        <v>5.3142514593924606E-3</v>
      </c>
      <c r="G393" s="81">
        <v>42532</v>
      </c>
      <c r="H393" s="82">
        <v>258.13</v>
      </c>
      <c r="I393" s="211">
        <f t="shared" si="11"/>
        <v>-3.3975522180610396E-3</v>
      </c>
      <c r="J393" s="77"/>
      <c r="K393" s="77"/>
    </row>
    <row r="394" spans="1:11" ht="16">
      <c r="A394" s="233">
        <v>42556</v>
      </c>
      <c r="B394">
        <v>94.509270000000001</v>
      </c>
      <c r="C394" s="47">
        <f t="shared" si="12"/>
        <v>6.1973548228908548E-3</v>
      </c>
      <c r="G394" s="81">
        <v>42535</v>
      </c>
      <c r="H394" s="82">
        <v>254.1</v>
      </c>
      <c r="I394" s="211">
        <f t="shared" si="11"/>
        <v>-1.5612288381823158E-2</v>
      </c>
      <c r="J394" s="77"/>
      <c r="K394" s="77"/>
    </row>
    <row r="395" spans="1:11" ht="16">
      <c r="A395" s="233">
        <v>42557</v>
      </c>
      <c r="B395">
        <v>93.978499999999997</v>
      </c>
      <c r="C395" s="47">
        <f t="shared" si="12"/>
        <v>-5.6160628475916408E-3</v>
      </c>
      <c r="G395" s="81">
        <v>42536</v>
      </c>
      <c r="H395" s="82">
        <v>259.01</v>
      </c>
      <c r="I395" s="211">
        <f t="shared" si="11"/>
        <v>1.9323101141282883E-2</v>
      </c>
      <c r="J395" s="77"/>
      <c r="K395" s="77"/>
    </row>
    <row r="396" spans="1:11" ht="16">
      <c r="A396" s="233">
        <v>42558</v>
      </c>
      <c r="B396">
        <v>94.380852000000004</v>
      </c>
      <c r="C396" s="47">
        <f t="shared" si="12"/>
        <v>4.2813196635400619E-3</v>
      </c>
      <c r="G396" s="81">
        <v>42537</v>
      </c>
      <c r="H396" s="82">
        <v>260.51</v>
      </c>
      <c r="I396" s="211">
        <f t="shared" si="11"/>
        <v>5.7912821898769007E-3</v>
      </c>
      <c r="J396" s="77"/>
      <c r="K396" s="77"/>
    </row>
    <row r="397" spans="1:11" ht="16">
      <c r="A397" s="233">
        <v>42559</v>
      </c>
      <c r="B397">
        <v>93.969954999999999</v>
      </c>
      <c r="C397" s="47">
        <f t="shared" si="12"/>
        <v>-4.353605538547245E-3</v>
      </c>
      <c r="G397" s="81">
        <v>42538</v>
      </c>
      <c r="H397" s="82">
        <v>260.85000000000002</v>
      </c>
      <c r="I397" s="211">
        <f t="shared" si="11"/>
        <v>1.3051322406050225E-3</v>
      </c>
      <c r="J397" s="77"/>
      <c r="K397" s="77"/>
    </row>
    <row r="398" spans="1:11" ht="16">
      <c r="A398" s="233">
        <v>42560</v>
      </c>
      <c r="B398">
        <v>93.961387999999999</v>
      </c>
      <c r="C398" s="47">
        <f t="shared" si="12"/>
        <v>-9.1167437507033711E-5</v>
      </c>
      <c r="G398" s="81">
        <v>42539</v>
      </c>
      <c r="H398" s="82">
        <v>262.5</v>
      </c>
      <c r="I398" s="211">
        <f t="shared" si="11"/>
        <v>6.3254744105807337E-3</v>
      </c>
      <c r="J398" s="77"/>
      <c r="K398" s="77"/>
    </row>
    <row r="399" spans="1:11" ht="16">
      <c r="A399" s="233">
        <v>42563</v>
      </c>
      <c r="B399">
        <v>93.773055999999997</v>
      </c>
      <c r="C399" s="47">
        <f t="shared" si="12"/>
        <v>-2.0043552357911221E-3</v>
      </c>
      <c r="G399" s="81">
        <v>42542</v>
      </c>
      <c r="H399" s="82">
        <v>262.77</v>
      </c>
      <c r="I399" s="211">
        <f t="shared" si="11"/>
        <v>1.0285714285713787E-3</v>
      </c>
      <c r="J399" s="77"/>
      <c r="K399" s="77"/>
    </row>
    <row r="400" spans="1:11" ht="16">
      <c r="A400" s="233">
        <v>42564</v>
      </c>
      <c r="B400">
        <v>93.995627999999996</v>
      </c>
      <c r="C400" s="47">
        <f t="shared" si="12"/>
        <v>2.3735176125645463E-3</v>
      </c>
      <c r="G400" s="81">
        <v>42543</v>
      </c>
      <c r="H400" s="82">
        <v>266.39999999999998</v>
      </c>
      <c r="I400" s="211">
        <f t="shared" ref="I400:I463" si="13">H400/H399-1</f>
        <v>1.381436237013367E-2</v>
      </c>
      <c r="J400" s="77"/>
      <c r="K400" s="77"/>
    </row>
    <row r="401" spans="1:11" ht="16">
      <c r="A401" s="233">
        <v>42565</v>
      </c>
      <c r="B401">
        <v>94.380852000000004</v>
      </c>
      <c r="C401" s="47">
        <f t="shared" ref="C401:C464" si="14">B401/B400-1</f>
        <v>4.0983182749734226E-3</v>
      </c>
      <c r="G401" s="81">
        <v>42544</v>
      </c>
      <c r="H401" s="82">
        <v>264.45999999999998</v>
      </c>
      <c r="I401" s="211">
        <f t="shared" si="13"/>
        <v>-7.2822822822822264E-3</v>
      </c>
      <c r="J401" s="77"/>
      <c r="K401" s="77"/>
    </row>
    <row r="402" spans="1:11" ht="16">
      <c r="A402" s="233">
        <v>42566</v>
      </c>
      <c r="B402">
        <v>94.552109000000002</v>
      </c>
      <c r="C402" s="47">
        <f t="shared" si="14"/>
        <v>1.8145311932551422E-3</v>
      </c>
      <c r="G402" s="81">
        <v>42545</v>
      </c>
      <c r="H402" s="82">
        <v>263.75</v>
      </c>
      <c r="I402" s="211">
        <f t="shared" si="13"/>
        <v>-2.6847160251076696E-3</v>
      </c>
      <c r="J402" s="77"/>
      <c r="K402" s="77"/>
    </row>
    <row r="403" spans="1:11" ht="16">
      <c r="A403" s="233">
        <v>42567</v>
      </c>
      <c r="B403">
        <v>94.766075000000001</v>
      </c>
      <c r="C403" s="47">
        <f t="shared" si="14"/>
        <v>2.2629426489049198E-3</v>
      </c>
      <c r="G403" s="81">
        <v>42546</v>
      </c>
      <c r="H403" s="82">
        <v>261.81</v>
      </c>
      <c r="I403" s="211">
        <f t="shared" si="13"/>
        <v>-7.3554502369668207E-3</v>
      </c>
      <c r="J403" s="77"/>
      <c r="K403" s="77"/>
    </row>
    <row r="404" spans="1:11" ht="16">
      <c r="A404" s="233">
        <v>42570</v>
      </c>
      <c r="B404">
        <v>95.399558999999996</v>
      </c>
      <c r="C404" s="47">
        <f t="shared" si="14"/>
        <v>6.684712857422781E-3</v>
      </c>
      <c r="G404" s="81">
        <v>42549</v>
      </c>
      <c r="H404" s="82">
        <v>261.11</v>
      </c>
      <c r="I404" s="211">
        <f t="shared" si="13"/>
        <v>-2.6736946640693038E-3</v>
      </c>
      <c r="J404" s="77"/>
      <c r="K404" s="77"/>
    </row>
    <row r="405" spans="1:11" ht="16">
      <c r="A405" s="233">
        <v>42571</v>
      </c>
      <c r="B405">
        <v>95.913193000000007</v>
      </c>
      <c r="C405" s="47">
        <f t="shared" si="14"/>
        <v>5.3840290813085279E-3</v>
      </c>
      <c r="G405" s="81">
        <v>42550</v>
      </c>
      <c r="H405" s="82">
        <v>261.23</v>
      </c>
      <c r="I405" s="211">
        <f t="shared" si="13"/>
        <v>4.5957642372940199E-4</v>
      </c>
      <c r="J405" s="77"/>
      <c r="K405" s="77"/>
    </row>
    <row r="406" spans="1:11" ht="16">
      <c r="A406" s="233">
        <v>42572</v>
      </c>
      <c r="B406">
        <v>96.187172000000004</v>
      </c>
      <c r="C406" s="47">
        <f t="shared" si="14"/>
        <v>2.8565309049819465E-3</v>
      </c>
      <c r="G406" s="81">
        <v>42551</v>
      </c>
      <c r="H406" s="82">
        <v>262.85000000000002</v>
      </c>
      <c r="I406" s="211">
        <f t="shared" si="13"/>
        <v>6.2014316885503629E-3</v>
      </c>
      <c r="J406" s="77"/>
      <c r="K406" s="77"/>
    </row>
    <row r="407" spans="1:11" ht="16">
      <c r="A407" s="233">
        <v>42573</v>
      </c>
      <c r="B407">
        <v>96.144333000000003</v>
      </c>
      <c r="C407" s="47">
        <f t="shared" si="14"/>
        <v>-4.4537123931664979E-4</v>
      </c>
      <c r="G407" s="81">
        <v>42552</v>
      </c>
      <c r="H407" s="82">
        <v>269.22000000000003</v>
      </c>
      <c r="I407" s="211">
        <f t="shared" si="13"/>
        <v>2.4234354194407448E-2</v>
      </c>
      <c r="J407" s="77"/>
      <c r="K407" s="77"/>
    </row>
    <row r="408" spans="1:11" ht="16">
      <c r="A408" s="233">
        <v>42574</v>
      </c>
      <c r="B408">
        <v>96.212845000000002</v>
      </c>
      <c r="C408" s="47">
        <f t="shared" si="14"/>
        <v>7.1259530189893283E-4</v>
      </c>
      <c r="G408" s="81">
        <v>42553</v>
      </c>
      <c r="H408" s="82">
        <v>271.7</v>
      </c>
      <c r="I408" s="211">
        <f t="shared" si="13"/>
        <v>9.2117970433100993E-3</v>
      </c>
      <c r="J408" s="77"/>
      <c r="K408" s="77"/>
    </row>
    <row r="409" spans="1:11" ht="16">
      <c r="A409" s="233">
        <v>42577</v>
      </c>
      <c r="B409">
        <v>96.375495999999998</v>
      </c>
      <c r="C409" s="47">
        <f t="shared" si="14"/>
        <v>1.6905331091705555E-3</v>
      </c>
      <c r="G409" s="81">
        <v>42556</v>
      </c>
      <c r="H409" s="82">
        <v>278.94</v>
      </c>
      <c r="I409" s="211">
        <f t="shared" si="13"/>
        <v>2.6647037173352928E-2</v>
      </c>
      <c r="J409" s="77"/>
      <c r="K409" s="77"/>
    </row>
    <row r="410" spans="1:11" ht="16">
      <c r="A410" s="233">
        <v>42578</v>
      </c>
      <c r="B410">
        <v>96.050171000000006</v>
      </c>
      <c r="C410" s="47">
        <f t="shared" si="14"/>
        <v>-3.3755987102779272E-3</v>
      </c>
      <c r="G410" s="81">
        <v>42557</v>
      </c>
      <c r="H410" s="82">
        <v>277.2</v>
      </c>
      <c r="I410" s="211">
        <f t="shared" si="13"/>
        <v>-6.2379006237901491E-3</v>
      </c>
      <c r="J410" s="77"/>
      <c r="K410" s="77"/>
    </row>
    <row r="411" spans="1:11" ht="16">
      <c r="A411" s="233">
        <v>42579</v>
      </c>
      <c r="B411">
        <v>96.615181000000007</v>
      </c>
      <c r="C411" s="47">
        <f t="shared" si="14"/>
        <v>5.8824465809643733E-3</v>
      </c>
      <c r="G411" s="81">
        <v>42558</v>
      </c>
      <c r="H411" s="82">
        <v>281.73</v>
      </c>
      <c r="I411" s="211">
        <f t="shared" si="13"/>
        <v>1.6341991341991546E-2</v>
      </c>
      <c r="J411" s="77"/>
      <c r="K411" s="77"/>
    </row>
    <row r="412" spans="1:11" ht="16">
      <c r="A412" s="233">
        <v>42580</v>
      </c>
      <c r="B412">
        <v>96.589484999999996</v>
      </c>
      <c r="C412" s="47">
        <f t="shared" si="14"/>
        <v>-2.6596234395104279E-4</v>
      </c>
      <c r="G412" s="81">
        <v>42559</v>
      </c>
      <c r="H412" s="82">
        <v>284.11</v>
      </c>
      <c r="I412" s="211">
        <f t="shared" si="13"/>
        <v>8.4478046356439851E-3</v>
      </c>
      <c r="J412" s="77"/>
      <c r="K412" s="77"/>
    </row>
    <row r="413" spans="1:11" ht="16">
      <c r="A413" s="233">
        <v>42581</v>
      </c>
      <c r="B413">
        <v>96.812042000000005</v>
      </c>
      <c r="C413" s="47">
        <f t="shared" si="14"/>
        <v>2.3041535007668479E-3</v>
      </c>
      <c r="G413" s="81">
        <v>42560</v>
      </c>
      <c r="H413" s="82">
        <v>281.41000000000003</v>
      </c>
      <c r="I413" s="211">
        <f t="shared" si="13"/>
        <v>-9.5033613741156708E-3</v>
      </c>
      <c r="J413" s="77"/>
      <c r="K413" s="77"/>
    </row>
    <row r="414" spans="1:11" ht="16">
      <c r="A414" s="233">
        <v>42584</v>
      </c>
      <c r="B414">
        <v>97.170981999999995</v>
      </c>
      <c r="C414" s="47">
        <f t="shared" si="14"/>
        <v>3.7075966231554514E-3</v>
      </c>
      <c r="G414" s="81">
        <v>42563</v>
      </c>
      <c r="H414" s="82">
        <v>281.77</v>
      </c>
      <c r="I414" s="211">
        <f t="shared" si="13"/>
        <v>1.2792722362386932E-3</v>
      </c>
      <c r="J414" s="77"/>
      <c r="K414" s="77"/>
    </row>
    <row r="415" spans="1:11" ht="16">
      <c r="A415" s="233">
        <v>42585</v>
      </c>
      <c r="B415">
        <v>97.668921999999995</v>
      </c>
      <c r="C415" s="47">
        <f t="shared" si="14"/>
        <v>5.1243693307534421E-3</v>
      </c>
      <c r="G415" s="81">
        <v>42564</v>
      </c>
      <c r="H415" s="82">
        <v>278.27</v>
      </c>
      <c r="I415" s="211">
        <f t="shared" si="13"/>
        <v>-1.2421478510842188E-2</v>
      </c>
      <c r="J415" s="77"/>
      <c r="K415" s="77"/>
    </row>
    <row r="416" spans="1:11" ht="16">
      <c r="A416" s="233">
        <v>42586</v>
      </c>
      <c r="B416">
        <v>97.977997000000002</v>
      </c>
      <c r="C416" s="47">
        <f t="shared" si="14"/>
        <v>3.164517368175801E-3</v>
      </c>
      <c r="G416" s="81">
        <v>42565</v>
      </c>
      <c r="H416" s="82">
        <v>279.57</v>
      </c>
      <c r="I416" s="211">
        <f t="shared" si="13"/>
        <v>4.6717217091314378E-3</v>
      </c>
      <c r="J416" s="77"/>
      <c r="K416" s="77"/>
    </row>
    <row r="417" spans="1:11" ht="16">
      <c r="A417" s="233">
        <v>42587</v>
      </c>
      <c r="B417">
        <v>98.226990000000001</v>
      </c>
      <c r="C417" s="47">
        <f t="shared" si="14"/>
        <v>2.5413154751470213E-3</v>
      </c>
      <c r="G417" s="81">
        <v>42566</v>
      </c>
      <c r="H417" s="82">
        <v>274.64</v>
      </c>
      <c r="I417" s="211">
        <f t="shared" si="13"/>
        <v>-1.7634223986837005E-2</v>
      </c>
      <c r="J417" s="77"/>
      <c r="K417" s="77"/>
    </row>
    <row r="418" spans="1:11" ht="16">
      <c r="A418" s="233">
        <v>42588</v>
      </c>
      <c r="B418">
        <v>98.020897000000005</v>
      </c>
      <c r="C418" s="47">
        <f t="shared" si="14"/>
        <v>-2.0981300557005866E-3</v>
      </c>
      <c r="G418" s="81">
        <v>42567</v>
      </c>
      <c r="H418" s="82">
        <v>276.79000000000002</v>
      </c>
      <c r="I418" s="211">
        <f t="shared" si="13"/>
        <v>7.8284299446549355E-3</v>
      </c>
      <c r="J418" s="77"/>
      <c r="K418" s="77"/>
    </row>
    <row r="419" spans="1:11" ht="16">
      <c r="A419" s="233">
        <v>42591</v>
      </c>
      <c r="B419">
        <v>98.166877999999997</v>
      </c>
      <c r="C419" s="47">
        <f t="shared" si="14"/>
        <v>1.4892844736973387E-3</v>
      </c>
      <c r="G419" s="81">
        <v>42570</v>
      </c>
      <c r="H419" s="82">
        <v>279.70999999999998</v>
      </c>
      <c r="I419" s="211">
        <f t="shared" si="13"/>
        <v>1.0549514072039967E-2</v>
      </c>
      <c r="J419" s="77"/>
      <c r="K419" s="77"/>
    </row>
    <row r="420" spans="1:11" ht="16">
      <c r="A420" s="233">
        <v>42592</v>
      </c>
      <c r="B420">
        <v>98.063866000000004</v>
      </c>
      <c r="C420" s="47">
        <f t="shared" si="14"/>
        <v>-1.0493559752403625E-3</v>
      </c>
      <c r="G420" s="81">
        <v>42571</v>
      </c>
      <c r="H420" s="82">
        <v>284.60000000000002</v>
      </c>
      <c r="I420" s="211">
        <f t="shared" si="13"/>
        <v>1.7482392477923714E-2</v>
      </c>
      <c r="J420" s="77"/>
      <c r="K420" s="77"/>
    </row>
    <row r="421" spans="1:11" ht="16">
      <c r="A421" s="233">
        <v>42593</v>
      </c>
      <c r="B421">
        <v>97.952240000000003</v>
      </c>
      <c r="C421" s="47">
        <f t="shared" si="14"/>
        <v>-1.1382989938414356E-3</v>
      </c>
      <c r="G421" s="81">
        <v>42572</v>
      </c>
      <c r="H421" s="82">
        <v>282.72000000000003</v>
      </c>
      <c r="I421" s="211">
        <f t="shared" si="13"/>
        <v>-6.605762473647192E-3</v>
      </c>
      <c r="J421" s="77"/>
      <c r="K421" s="77"/>
    </row>
    <row r="422" spans="1:11" ht="16">
      <c r="A422" s="233">
        <v>42594</v>
      </c>
      <c r="B422">
        <v>97.729027000000002</v>
      </c>
      <c r="C422" s="47">
        <f t="shared" si="14"/>
        <v>-2.278794236864834E-3</v>
      </c>
      <c r="G422" s="81">
        <v>42573</v>
      </c>
      <c r="H422" s="82">
        <v>282.89999999999998</v>
      </c>
      <c r="I422" s="211">
        <f t="shared" si="13"/>
        <v>6.3667232597608425E-4</v>
      </c>
      <c r="J422" s="77"/>
      <c r="K422" s="77"/>
    </row>
    <row r="423" spans="1:11" ht="16">
      <c r="A423" s="233">
        <v>42595</v>
      </c>
      <c r="B423">
        <v>97.291175999999993</v>
      </c>
      <c r="C423" s="47">
        <f t="shared" si="14"/>
        <v>-4.4802553902435482E-3</v>
      </c>
      <c r="G423" s="81">
        <v>42574</v>
      </c>
      <c r="H423" s="82">
        <v>278.11</v>
      </c>
      <c r="I423" s="211">
        <f t="shared" si="13"/>
        <v>-1.6931778013432153E-2</v>
      </c>
      <c r="J423" s="77"/>
      <c r="K423" s="77"/>
    </row>
    <row r="424" spans="1:11" ht="16">
      <c r="A424" s="233">
        <v>42598</v>
      </c>
      <c r="B424">
        <v>97.402748000000003</v>
      </c>
      <c r="C424" s="47">
        <f t="shared" si="14"/>
        <v>1.1467843702497316E-3</v>
      </c>
      <c r="G424" s="81">
        <v>42577</v>
      </c>
      <c r="H424" s="82">
        <v>280.45999999999998</v>
      </c>
      <c r="I424" s="211">
        <f t="shared" si="13"/>
        <v>8.4498939268633499E-3</v>
      </c>
      <c r="J424" s="77"/>
      <c r="K424" s="77"/>
    </row>
    <row r="425" spans="1:11" ht="16">
      <c r="A425" s="233">
        <v>42599</v>
      </c>
      <c r="B425">
        <v>97.273978999999997</v>
      </c>
      <c r="C425" s="47">
        <f t="shared" si="14"/>
        <v>-1.3220263559710066E-3</v>
      </c>
      <c r="G425" s="81">
        <v>42578</v>
      </c>
      <c r="H425" s="82">
        <v>282</v>
      </c>
      <c r="I425" s="211">
        <f t="shared" si="13"/>
        <v>5.4909791057549118E-3</v>
      </c>
      <c r="J425" s="77"/>
      <c r="K425" s="77"/>
    </row>
    <row r="426" spans="1:11" ht="16">
      <c r="A426" s="233">
        <v>42600</v>
      </c>
      <c r="B426">
        <v>97.050765999999996</v>
      </c>
      <c r="C426" s="47">
        <f t="shared" si="14"/>
        <v>-2.2946835556094669E-3</v>
      </c>
      <c r="G426" s="81">
        <v>42579</v>
      </c>
      <c r="H426" s="82">
        <v>283.33</v>
      </c>
      <c r="I426" s="211">
        <f t="shared" si="13"/>
        <v>4.7163120567375039E-3</v>
      </c>
      <c r="J426" s="77"/>
      <c r="K426" s="77"/>
    </row>
    <row r="427" spans="1:11" ht="16">
      <c r="A427" s="233">
        <v>42601</v>
      </c>
      <c r="B427">
        <v>97.273978999999997</v>
      </c>
      <c r="C427" s="47">
        <f t="shared" si="14"/>
        <v>2.2999612388427959E-3</v>
      </c>
      <c r="G427" s="81">
        <v>42580</v>
      </c>
      <c r="H427" s="82">
        <v>281.89</v>
      </c>
      <c r="I427" s="211">
        <f t="shared" si="13"/>
        <v>-5.0824127342674608E-3</v>
      </c>
      <c r="J427" s="77"/>
      <c r="K427" s="77"/>
    </row>
    <row r="428" spans="1:11" ht="16">
      <c r="A428" s="233">
        <v>42602</v>
      </c>
      <c r="B428">
        <v>97.583054000000004</v>
      </c>
      <c r="C428" s="47">
        <f t="shared" si="14"/>
        <v>3.1773656550022622E-3</v>
      </c>
      <c r="G428" s="81">
        <v>42581</v>
      </c>
      <c r="H428" s="82">
        <v>281.56</v>
      </c>
      <c r="I428" s="211">
        <f t="shared" si="13"/>
        <v>-1.1706694100535042E-3</v>
      </c>
      <c r="J428" s="77"/>
      <c r="K428" s="77"/>
    </row>
    <row r="429" spans="1:11" ht="16">
      <c r="A429" s="233">
        <v>42605</v>
      </c>
      <c r="B429">
        <v>97.780533000000005</v>
      </c>
      <c r="C429" s="47">
        <f t="shared" si="14"/>
        <v>2.0237017792044121E-3</v>
      </c>
      <c r="G429" s="81">
        <v>42584</v>
      </c>
      <c r="H429" s="82">
        <v>281.20999999999998</v>
      </c>
      <c r="I429" s="211">
        <f t="shared" si="13"/>
        <v>-1.2430743003268852E-3</v>
      </c>
      <c r="J429" s="77"/>
      <c r="K429" s="77"/>
    </row>
    <row r="430" spans="1:11" ht="16">
      <c r="A430" s="233">
        <v>42606</v>
      </c>
      <c r="B430">
        <v>97.299735999999996</v>
      </c>
      <c r="C430" s="47">
        <f t="shared" si="14"/>
        <v>-4.9171034893009669E-3</v>
      </c>
      <c r="G430" s="81">
        <v>42585</v>
      </c>
      <c r="H430" s="82">
        <v>284</v>
      </c>
      <c r="I430" s="211">
        <f t="shared" si="13"/>
        <v>9.9214110451264492E-3</v>
      </c>
      <c r="J430" s="77"/>
      <c r="K430" s="77"/>
    </row>
    <row r="431" spans="1:11" ht="16">
      <c r="A431" s="233">
        <v>42607</v>
      </c>
      <c r="B431">
        <v>97.076508000000004</v>
      </c>
      <c r="C431" s="47">
        <f t="shared" si="14"/>
        <v>-2.2942302741704168E-3</v>
      </c>
      <c r="G431" s="81">
        <v>42586</v>
      </c>
      <c r="H431" s="82">
        <v>287.33999999999997</v>
      </c>
      <c r="I431" s="211">
        <f t="shared" si="13"/>
        <v>1.176056338028153E-2</v>
      </c>
      <c r="J431" s="77"/>
      <c r="K431" s="77"/>
    </row>
    <row r="432" spans="1:11" ht="16">
      <c r="A432" s="233">
        <v>42608</v>
      </c>
      <c r="B432">
        <v>96.621475000000004</v>
      </c>
      <c r="C432" s="47">
        <f t="shared" si="14"/>
        <v>-4.6873647329794821E-3</v>
      </c>
      <c r="G432" s="81">
        <v>42587</v>
      </c>
      <c r="H432" s="82">
        <v>287.58999999999997</v>
      </c>
      <c r="I432" s="211">
        <f t="shared" si="13"/>
        <v>8.7004941880697295E-4</v>
      </c>
      <c r="J432" s="77"/>
      <c r="K432" s="77"/>
    </row>
    <row r="433" spans="1:11" ht="16">
      <c r="A433" s="233">
        <v>42609</v>
      </c>
      <c r="B433">
        <v>97.522948999999997</v>
      </c>
      <c r="C433" s="47">
        <f t="shared" si="14"/>
        <v>9.3299548573440028E-3</v>
      </c>
      <c r="G433" s="81">
        <v>42588</v>
      </c>
      <c r="H433" s="82">
        <v>283.29000000000002</v>
      </c>
      <c r="I433" s="211">
        <f t="shared" si="13"/>
        <v>-1.4951841162766266E-2</v>
      </c>
      <c r="J433" s="77"/>
      <c r="K433" s="77"/>
    </row>
    <row r="434" spans="1:11" ht="16">
      <c r="A434" s="233">
        <v>42612</v>
      </c>
      <c r="B434">
        <v>97.514365999999995</v>
      </c>
      <c r="C434" s="47">
        <f t="shared" si="14"/>
        <v>-8.8010053920783982E-5</v>
      </c>
      <c r="G434" s="81">
        <v>42591</v>
      </c>
      <c r="H434" s="82">
        <v>282.39999999999998</v>
      </c>
      <c r="I434" s="211">
        <f t="shared" si="13"/>
        <v>-3.1416569592997989E-3</v>
      </c>
      <c r="J434" s="77"/>
      <c r="K434" s="77"/>
    </row>
    <row r="435" spans="1:11" ht="16">
      <c r="A435" s="233">
        <v>42613</v>
      </c>
      <c r="B435">
        <v>98.171379000000002</v>
      </c>
      <c r="C435" s="47">
        <f t="shared" si="14"/>
        <v>6.737602129310849E-3</v>
      </c>
      <c r="G435" s="81">
        <v>42592</v>
      </c>
      <c r="H435" s="82">
        <v>283.31</v>
      </c>
      <c r="I435" s="211">
        <f t="shared" si="13"/>
        <v>3.222379603399439E-3</v>
      </c>
      <c r="J435" s="77"/>
      <c r="K435" s="77"/>
    </row>
    <row r="436" spans="1:11" ht="16">
      <c r="A436" s="233">
        <v>42614</v>
      </c>
      <c r="B436">
        <v>98.576080000000005</v>
      </c>
      <c r="C436" s="47">
        <f t="shared" si="14"/>
        <v>4.1223929430593831E-3</v>
      </c>
      <c r="G436" s="81">
        <v>42593</v>
      </c>
      <c r="H436" s="82">
        <v>283.63</v>
      </c>
      <c r="I436" s="211">
        <f t="shared" si="13"/>
        <v>1.1295047827468707E-3</v>
      </c>
      <c r="J436" s="77"/>
      <c r="K436" s="77"/>
    </row>
    <row r="437" spans="1:11" ht="16">
      <c r="A437" s="233">
        <v>42615</v>
      </c>
      <c r="B437">
        <v>98.076667999999998</v>
      </c>
      <c r="C437" s="47">
        <f t="shared" si="14"/>
        <v>-5.0662594820164442E-3</v>
      </c>
      <c r="G437" s="81">
        <v>42594</v>
      </c>
      <c r="H437" s="82">
        <v>284.13</v>
      </c>
      <c r="I437" s="211">
        <f t="shared" si="13"/>
        <v>1.762860064168148E-3</v>
      </c>
      <c r="J437" s="77"/>
      <c r="K437" s="77"/>
    </row>
    <row r="438" spans="1:11" ht="16">
      <c r="A438" s="233">
        <v>42616</v>
      </c>
      <c r="B438">
        <v>97.654731999999996</v>
      </c>
      <c r="C438" s="47">
        <f t="shared" si="14"/>
        <v>-4.3021037378635496E-3</v>
      </c>
      <c r="G438" s="81">
        <v>42595</v>
      </c>
      <c r="H438" s="82">
        <v>283.91000000000003</v>
      </c>
      <c r="I438" s="211">
        <f t="shared" si="13"/>
        <v>-7.742934572201321E-4</v>
      </c>
      <c r="J438" s="77"/>
      <c r="K438" s="77"/>
    </row>
    <row r="439" spans="1:11" ht="16">
      <c r="A439" s="233">
        <v>42620</v>
      </c>
      <c r="B439">
        <v>97.267257999999998</v>
      </c>
      <c r="C439" s="47">
        <f t="shared" si="14"/>
        <v>-3.967795436681909E-3</v>
      </c>
      <c r="G439" s="81">
        <v>42598</v>
      </c>
      <c r="H439" s="82">
        <v>285.83</v>
      </c>
      <c r="I439" s="211">
        <f t="shared" si="13"/>
        <v>6.7627064914936863E-3</v>
      </c>
      <c r="J439" s="77"/>
      <c r="K439" s="77"/>
    </row>
    <row r="440" spans="1:11" ht="16">
      <c r="A440" s="233">
        <v>42621</v>
      </c>
      <c r="B440">
        <v>97.758049</v>
      </c>
      <c r="C440" s="47">
        <f t="shared" si="14"/>
        <v>5.0457986591951887E-3</v>
      </c>
      <c r="G440" s="81">
        <v>42599</v>
      </c>
      <c r="H440" s="82">
        <v>288.17</v>
      </c>
      <c r="I440" s="211">
        <f t="shared" si="13"/>
        <v>8.1866843928211086E-3</v>
      </c>
      <c r="J440" s="77"/>
      <c r="K440" s="77"/>
    </row>
    <row r="441" spans="1:11" ht="16">
      <c r="A441" s="233">
        <v>42622</v>
      </c>
      <c r="B441">
        <v>97.482506000000001</v>
      </c>
      <c r="C441" s="47">
        <f t="shared" si="14"/>
        <v>-2.8186221269616007E-3</v>
      </c>
      <c r="G441" s="81">
        <v>42600</v>
      </c>
      <c r="H441" s="82">
        <v>286.83</v>
      </c>
      <c r="I441" s="211">
        <f t="shared" si="13"/>
        <v>-4.6500329666517848E-3</v>
      </c>
      <c r="J441" s="77"/>
      <c r="K441" s="77"/>
    </row>
    <row r="442" spans="1:11" ht="16">
      <c r="A442" s="233">
        <v>42623</v>
      </c>
      <c r="B442">
        <v>97.516953000000001</v>
      </c>
      <c r="C442" s="47">
        <f t="shared" si="14"/>
        <v>3.5336596701762701E-4</v>
      </c>
      <c r="G442" s="81">
        <v>42601</v>
      </c>
      <c r="H442" s="82">
        <v>282.97000000000003</v>
      </c>
      <c r="I442" s="211">
        <f t="shared" si="13"/>
        <v>-1.3457448662970939E-2</v>
      </c>
      <c r="J442" s="77"/>
      <c r="K442" s="77"/>
    </row>
    <row r="443" spans="1:11" ht="16">
      <c r="A443" s="233">
        <v>42626</v>
      </c>
      <c r="B443">
        <v>97.611678999999995</v>
      </c>
      <c r="C443" s="47">
        <f t="shared" si="14"/>
        <v>9.7137981741490798E-4</v>
      </c>
      <c r="G443" s="81">
        <v>42602</v>
      </c>
      <c r="H443" s="82">
        <v>285.62</v>
      </c>
      <c r="I443" s="211">
        <f t="shared" si="13"/>
        <v>9.3649503480932594E-3</v>
      </c>
      <c r="J443" s="77"/>
      <c r="K443" s="77"/>
    </row>
    <row r="444" spans="1:11" ht="16">
      <c r="A444" s="233">
        <v>42627</v>
      </c>
      <c r="B444">
        <v>97.775283999999999</v>
      </c>
      <c r="C444" s="47">
        <f t="shared" si="14"/>
        <v>1.6760801747914833E-3</v>
      </c>
      <c r="G444" s="81">
        <v>42605</v>
      </c>
      <c r="H444" s="82">
        <v>289.79000000000002</v>
      </c>
      <c r="I444" s="211">
        <f t="shared" si="13"/>
        <v>1.4599817939920268E-2</v>
      </c>
      <c r="J444" s="77"/>
      <c r="K444" s="77"/>
    </row>
    <row r="445" spans="1:11" ht="16">
      <c r="A445" s="233">
        <v>42628</v>
      </c>
      <c r="B445">
        <v>97.542770000000004</v>
      </c>
      <c r="C445" s="47">
        <f t="shared" si="14"/>
        <v>-2.3780447418592088E-3</v>
      </c>
      <c r="G445" s="81">
        <v>42606</v>
      </c>
      <c r="H445" s="82">
        <v>290.89</v>
      </c>
      <c r="I445" s="211">
        <f t="shared" si="13"/>
        <v>3.7958521688117308E-3</v>
      </c>
      <c r="J445" s="77"/>
      <c r="K445" s="77"/>
    </row>
    <row r="446" spans="1:11" ht="16">
      <c r="A446" s="233">
        <v>42629</v>
      </c>
      <c r="B446">
        <v>97.138092</v>
      </c>
      <c r="C446" s="47">
        <f t="shared" si="14"/>
        <v>-4.1487236829547136E-3</v>
      </c>
      <c r="G446" s="81">
        <v>42607</v>
      </c>
      <c r="H446" s="82">
        <v>291.85000000000002</v>
      </c>
      <c r="I446" s="211">
        <f t="shared" si="13"/>
        <v>3.3002165767128666E-3</v>
      </c>
      <c r="J446" s="77"/>
      <c r="K446" s="77"/>
    </row>
    <row r="447" spans="1:11" ht="16">
      <c r="A447" s="233">
        <v>42630</v>
      </c>
      <c r="B447">
        <v>96.690314999999998</v>
      </c>
      <c r="C447" s="47">
        <f t="shared" si="14"/>
        <v>-4.6096952367563615E-3</v>
      </c>
      <c r="G447" s="81">
        <v>42608</v>
      </c>
      <c r="H447" s="82">
        <v>291.77</v>
      </c>
      <c r="I447" s="211">
        <f t="shared" si="13"/>
        <v>-2.7411341442540316E-4</v>
      </c>
      <c r="J447" s="77"/>
      <c r="K447" s="77"/>
    </row>
    <row r="448" spans="1:11" ht="16">
      <c r="A448" s="233">
        <v>42633</v>
      </c>
      <c r="B448">
        <v>95.743133999999998</v>
      </c>
      <c r="C448" s="47">
        <f t="shared" si="14"/>
        <v>-9.7960276579924788E-3</v>
      </c>
      <c r="G448" s="81">
        <v>42609</v>
      </c>
      <c r="H448" s="82">
        <v>293.3</v>
      </c>
      <c r="I448" s="211">
        <f t="shared" si="13"/>
        <v>5.2438564622820927E-3</v>
      </c>
      <c r="J448" s="77"/>
      <c r="K448" s="77"/>
    </row>
    <row r="449" spans="1:11" ht="16">
      <c r="A449" s="233">
        <v>42634</v>
      </c>
      <c r="B449">
        <v>95.545096999999998</v>
      </c>
      <c r="C449" s="47">
        <f t="shared" si="14"/>
        <v>-2.0684198618357019E-3</v>
      </c>
      <c r="G449" s="81">
        <v>42612</v>
      </c>
      <c r="H449" s="82">
        <v>288.68</v>
      </c>
      <c r="I449" s="211">
        <f t="shared" si="13"/>
        <v>-1.575178997613369E-2</v>
      </c>
      <c r="J449" s="77"/>
      <c r="K449" s="77"/>
    </row>
    <row r="450" spans="1:11" ht="16">
      <c r="A450" s="233">
        <v>42635</v>
      </c>
      <c r="B450">
        <v>94.313750999999996</v>
      </c>
      <c r="C450" s="47">
        <f t="shared" si="14"/>
        <v>-1.2887589616450978E-2</v>
      </c>
      <c r="G450" s="81">
        <v>42613</v>
      </c>
      <c r="H450" s="82">
        <v>293.31</v>
      </c>
      <c r="I450" s="211">
        <f t="shared" si="13"/>
        <v>1.6038520160731595E-2</v>
      </c>
      <c r="J450" s="77"/>
      <c r="K450" s="77"/>
    </row>
    <row r="451" spans="1:11" ht="16">
      <c r="A451" s="233">
        <v>42636</v>
      </c>
      <c r="B451">
        <v>94.563453999999993</v>
      </c>
      <c r="C451" s="47">
        <f t="shared" si="14"/>
        <v>2.647577870166451E-3</v>
      </c>
      <c r="G451" s="81">
        <v>42614</v>
      </c>
      <c r="H451" s="82">
        <v>293.01</v>
      </c>
      <c r="I451" s="211">
        <f t="shared" si="13"/>
        <v>-1.0228086325049235E-3</v>
      </c>
      <c r="J451" s="77"/>
      <c r="K451" s="77"/>
    </row>
    <row r="452" spans="1:11" ht="16">
      <c r="A452" s="233">
        <v>42637</v>
      </c>
      <c r="B452">
        <v>95.019813999999997</v>
      </c>
      <c r="C452" s="47">
        <f t="shared" si="14"/>
        <v>4.8259658535738659E-3</v>
      </c>
      <c r="G452" s="81">
        <v>42615</v>
      </c>
      <c r="H452" s="82">
        <v>289.95</v>
      </c>
      <c r="I452" s="211">
        <f t="shared" si="13"/>
        <v>-1.0443329579195249E-2</v>
      </c>
      <c r="J452" s="77"/>
      <c r="K452" s="77"/>
    </row>
    <row r="453" spans="1:11" ht="16">
      <c r="A453" s="233">
        <v>42640</v>
      </c>
      <c r="B453">
        <v>95.235123000000002</v>
      </c>
      <c r="C453" s="47">
        <f t="shared" si="14"/>
        <v>2.2659379232210508E-3</v>
      </c>
      <c r="G453" s="81">
        <v>42616</v>
      </c>
      <c r="H453" s="82">
        <v>287.88</v>
      </c>
      <c r="I453" s="211">
        <f t="shared" si="13"/>
        <v>-7.139161924469728E-3</v>
      </c>
      <c r="J453" s="77"/>
      <c r="K453" s="77"/>
    </row>
    <row r="454" spans="1:11" ht="16">
      <c r="A454" s="233">
        <v>42641</v>
      </c>
      <c r="B454">
        <v>95.019813999999997</v>
      </c>
      <c r="C454" s="47">
        <f t="shared" si="14"/>
        <v>-2.26081505664677E-3</v>
      </c>
      <c r="G454" s="81">
        <v>42619</v>
      </c>
      <c r="H454" s="82">
        <v>286.14</v>
      </c>
      <c r="I454" s="211">
        <f t="shared" si="13"/>
        <v>-6.0441850771154604E-3</v>
      </c>
      <c r="J454" s="77"/>
      <c r="K454" s="77"/>
    </row>
    <row r="455" spans="1:11" ht="16">
      <c r="A455" s="233">
        <v>42642</v>
      </c>
      <c r="B455">
        <v>95.484818000000004</v>
      </c>
      <c r="C455" s="47">
        <f t="shared" si="14"/>
        <v>4.8937582639343447E-3</v>
      </c>
      <c r="G455" s="81">
        <v>42620</v>
      </c>
      <c r="H455" s="82">
        <v>283.75</v>
      </c>
      <c r="I455" s="211">
        <f t="shared" si="13"/>
        <v>-8.3525546935065975E-3</v>
      </c>
      <c r="J455" s="77"/>
      <c r="K455" s="77"/>
    </row>
    <row r="456" spans="1:11" ht="16">
      <c r="A456" s="233">
        <v>42643</v>
      </c>
      <c r="B456">
        <v>95.662773000000001</v>
      </c>
      <c r="C456" s="47">
        <f t="shared" si="14"/>
        <v>1.8636994207812396E-3</v>
      </c>
      <c r="G456" s="81">
        <v>42621</v>
      </c>
      <c r="H456" s="82">
        <v>283.7</v>
      </c>
      <c r="I456" s="211">
        <f t="shared" si="13"/>
        <v>-1.7621145374457914E-4</v>
      </c>
      <c r="J456" s="77"/>
      <c r="K456" s="77"/>
    </row>
    <row r="457" spans="1:11" ht="16">
      <c r="A457" s="233">
        <v>42644</v>
      </c>
      <c r="B457">
        <v>95.325835999999995</v>
      </c>
      <c r="C457" s="47">
        <f t="shared" si="14"/>
        <v>-3.5221328990746592E-3</v>
      </c>
      <c r="G457" s="81">
        <v>42622</v>
      </c>
      <c r="H457" s="82">
        <v>283.08</v>
      </c>
      <c r="I457" s="211">
        <f t="shared" si="13"/>
        <v>-2.1854071201974357E-3</v>
      </c>
      <c r="J457" s="77"/>
      <c r="K457" s="77"/>
    </row>
    <row r="458" spans="1:11" ht="16">
      <c r="A458" s="233">
        <v>42647</v>
      </c>
      <c r="B458">
        <v>95.697333999999998</v>
      </c>
      <c r="C458" s="47">
        <f t="shared" si="14"/>
        <v>3.8971386518971141E-3</v>
      </c>
      <c r="G458" s="81">
        <v>42623</v>
      </c>
      <c r="H458" s="82">
        <v>284.64999999999998</v>
      </c>
      <c r="I458" s="211">
        <f t="shared" si="13"/>
        <v>5.5461353680938963E-3</v>
      </c>
      <c r="J458" s="77"/>
      <c r="K458" s="77"/>
    </row>
    <row r="459" spans="1:11" ht="16">
      <c r="A459" s="233">
        <v>42648</v>
      </c>
      <c r="B459">
        <v>95.766441</v>
      </c>
      <c r="C459" s="47">
        <f t="shared" si="14"/>
        <v>7.2214132945447318E-4</v>
      </c>
      <c r="G459" s="81">
        <v>42626</v>
      </c>
      <c r="H459" s="82">
        <v>287.67</v>
      </c>
      <c r="I459" s="211">
        <f t="shared" si="13"/>
        <v>1.060952046372754E-2</v>
      </c>
      <c r="J459" s="77"/>
      <c r="K459" s="77"/>
    </row>
    <row r="460" spans="1:11" ht="16">
      <c r="A460" s="233">
        <v>42649</v>
      </c>
      <c r="B460">
        <v>95.973793000000001</v>
      </c>
      <c r="C460" s="47">
        <f t="shared" si="14"/>
        <v>2.1651843572216833E-3</v>
      </c>
      <c r="G460" s="81">
        <v>42627</v>
      </c>
      <c r="H460" s="82">
        <v>289.66000000000003</v>
      </c>
      <c r="I460" s="211">
        <f t="shared" si="13"/>
        <v>6.9176486946849192E-3</v>
      </c>
      <c r="J460" s="77"/>
      <c r="K460" s="77"/>
    </row>
    <row r="461" spans="1:11" ht="16">
      <c r="A461" s="233">
        <v>42650</v>
      </c>
      <c r="B461">
        <v>96.906852999999998</v>
      </c>
      <c r="C461" s="47">
        <f t="shared" si="14"/>
        <v>9.7220290126494024E-3</v>
      </c>
      <c r="G461" s="81">
        <v>42628</v>
      </c>
      <c r="H461" s="82">
        <v>290.88</v>
      </c>
      <c r="I461" s="211">
        <f t="shared" si="13"/>
        <v>4.2118345646620092E-3</v>
      </c>
      <c r="J461" s="77"/>
      <c r="K461" s="77"/>
    </row>
    <row r="462" spans="1:11" ht="16">
      <c r="A462" s="233">
        <v>42651</v>
      </c>
      <c r="B462">
        <v>97.140113999999997</v>
      </c>
      <c r="C462" s="47">
        <f t="shared" si="14"/>
        <v>2.4070640287947587E-3</v>
      </c>
      <c r="G462" s="81">
        <v>42629</v>
      </c>
      <c r="H462" s="82">
        <v>288.68</v>
      </c>
      <c r="I462" s="211">
        <f t="shared" si="13"/>
        <v>-7.5632563256324836E-3</v>
      </c>
      <c r="J462" s="77"/>
      <c r="K462" s="77"/>
    </row>
    <row r="463" spans="1:11" ht="16">
      <c r="A463" s="233">
        <v>42654</v>
      </c>
      <c r="B463">
        <v>97.390632999999994</v>
      </c>
      <c r="C463" s="47">
        <f t="shared" si="14"/>
        <v>2.5789448836759377E-3</v>
      </c>
      <c r="G463" s="81">
        <v>42630</v>
      </c>
      <c r="H463" s="82">
        <v>288.88</v>
      </c>
      <c r="I463" s="211">
        <f t="shared" si="13"/>
        <v>6.9280864625187455E-4</v>
      </c>
      <c r="J463" s="77"/>
      <c r="K463" s="77"/>
    </row>
    <row r="464" spans="1:11" ht="16">
      <c r="A464" s="233">
        <v>42655</v>
      </c>
      <c r="B464">
        <v>97.148735000000002</v>
      </c>
      <c r="C464" s="47">
        <f t="shared" si="14"/>
        <v>-2.4837912286697073E-3</v>
      </c>
      <c r="G464" s="81">
        <v>42633</v>
      </c>
      <c r="H464" s="82">
        <v>283.63</v>
      </c>
      <c r="I464" s="211">
        <f t="shared" ref="I464:I527" si="15">H464/H463-1</f>
        <v>-1.8173636111880387E-2</v>
      </c>
      <c r="J464" s="77"/>
      <c r="K464" s="77"/>
    </row>
    <row r="465" spans="1:11" ht="16">
      <c r="A465" s="233">
        <v>42656</v>
      </c>
      <c r="B465">
        <v>97.114182</v>
      </c>
      <c r="C465" s="47">
        <f t="shared" ref="C465:C528" si="16">B465/B464-1</f>
        <v>-3.5567112634049547E-4</v>
      </c>
      <c r="G465" s="81">
        <v>42634</v>
      </c>
      <c r="H465" s="82">
        <v>282.42</v>
      </c>
      <c r="I465" s="211">
        <f t="shared" si="15"/>
        <v>-4.2661213552867006E-3</v>
      </c>
      <c r="J465" s="77"/>
      <c r="K465" s="77"/>
    </row>
    <row r="466" spans="1:11" ht="16">
      <c r="A466" s="233">
        <v>42657</v>
      </c>
      <c r="B466">
        <v>96.725418000000005</v>
      </c>
      <c r="C466" s="47">
        <f t="shared" si="16"/>
        <v>-4.0031640280921987E-3</v>
      </c>
      <c r="G466" s="81">
        <v>42635</v>
      </c>
      <c r="H466" s="82">
        <v>280.77999999999997</v>
      </c>
      <c r="I466" s="211">
        <f t="shared" si="15"/>
        <v>-5.8069541817152848E-3</v>
      </c>
      <c r="J466" s="77"/>
      <c r="K466" s="77"/>
    </row>
    <row r="467" spans="1:11" ht="16">
      <c r="A467" s="233">
        <v>42658</v>
      </c>
      <c r="B467">
        <v>96.872275999999999</v>
      </c>
      <c r="C467" s="47">
        <f t="shared" si="16"/>
        <v>1.5182979100694105E-3</v>
      </c>
      <c r="G467" s="81">
        <v>42636</v>
      </c>
      <c r="H467" s="82">
        <v>275.86</v>
      </c>
      <c r="I467" s="211">
        <f t="shared" si="15"/>
        <v>-1.7522615570909506E-2</v>
      </c>
      <c r="J467" s="77"/>
      <c r="K467" s="77"/>
    </row>
    <row r="468" spans="1:11" ht="16">
      <c r="A468" s="233">
        <v>42661</v>
      </c>
      <c r="B468">
        <v>96.310738000000001</v>
      </c>
      <c r="C468" s="47">
        <f t="shared" si="16"/>
        <v>-5.7966842856050915E-3</v>
      </c>
      <c r="G468" s="81">
        <v>42637</v>
      </c>
      <c r="H468" s="82">
        <v>276.19</v>
      </c>
      <c r="I468" s="211">
        <f t="shared" si="15"/>
        <v>1.19625897194231E-3</v>
      </c>
      <c r="J468" s="77"/>
      <c r="K468" s="77"/>
    </row>
    <row r="469" spans="1:11" ht="16">
      <c r="A469" s="233">
        <v>42662</v>
      </c>
      <c r="B469">
        <v>96.362572</v>
      </c>
      <c r="C469" s="47">
        <f t="shared" si="16"/>
        <v>5.3819543984801044E-4</v>
      </c>
      <c r="G469" s="81">
        <v>42640</v>
      </c>
      <c r="H469" s="82">
        <v>278.95999999999998</v>
      </c>
      <c r="I469" s="211">
        <f t="shared" si="15"/>
        <v>1.0029327636771779E-2</v>
      </c>
      <c r="J469" s="77"/>
      <c r="K469" s="77"/>
    </row>
    <row r="470" spans="1:11" ht="16">
      <c r="A470" s="233">
        <v>42663</v>
      </c>
      <c r="B470">
        <v>95.870125000000002</v>
      </c>
      <c r="C470" s="47">
        <f t="shared" si="16"/>
        <v>-5.1103555019266222E-3</v>
      </c>
      <c r="G470" s="81">
        <v>42641</v>
      </c>
      <c r="H470" s="82">
        <v>278.41000000000003</v>
      </c>
      <c r="I470" s="211">
        <f t="shared" si="15"/>
        <v>-1.9716088328074477E-3</v>
      </c>
      <c r="J470" s="77"/>
      <c r="K470" s="77"/>
    </row>
    <row r="471" spans="1:11" ht="16">
      <c r="A471" s="233">
        <v>42664</v>
      </c>
      <c r="B471">
        <v>95.420897999999994</v>
      </c>
      <c r="C471" s="47">
        <f t="shared" si="16"/>
        <v>-4.6857871521499561E-3</v>
      </c>
      <c r="G471" s="81">
        <v>42642</v>
      </c>
      <c r="H471" s="82">
        <v>281.88</v>
      </c>
      <c r="I471" s="211">
        <f t="shared" si="15"/>
        <v>1.2463632771811284E-2</v>
      </c>
      <c r="J471" s="77"/>
      <c r="K471" s="77"/>
    </row>
    <row r="472" spans="1:11" ht="16">
      <c r="A472" s="233">
        <v>42665</v>
      </c>
      <c r="B472">
        <v>95.870125000000002</v>
      </c>
      <c r="C472" s="47">
        <f t="shared" si="16"/>
        <v>4.7078471217070206E-3</v>
      </c>
      <c r="G472" s="81">
        <v>42643</v>
      </c>
      <c r="H472" s="82">
        <v>283.05</v>
      </c>
      <c r="I472" s="211">
        <f t="shared" si="15"/>
        <v>4.1507024265645676E-3</v>
      </c>
      <c r="J472" s="77"/>
      <c r="K472" s="77"/>
    </row>
    <row r="473" spans="1:11" ht="16">
      <c r="A473" s="233">
        <v>42668</v>
      </c>
      <c r="B473">
        <v>95.524567000000005</v>
      </c>
      <c r="C473" s="47">
        <f t="shared" si="16"/>
        <v>-3.6044388176190711E-3</v>
      </c>
      <c r="G473" s="81">
        <v>42644</v>
      </c>
      <c r="H473" s="82">
        <v>282.19</v>
      </c>
      <c r="I473" s="211">
        <f t="shared" si="15"/>
        <v>-3.0383324500972142E-3</v>
      </c>
      <c r="J473" s="77"/>
      <c r="K473" s="77"/>
    </row>
    <row r="474" spans="1:11" ht="16">
      <c r="A474" s="233">
        <v>42669</v>
      </c>
      <c r="B474">
        <v>96.094734000000003</v>
      </c>
      <c r="C474" s="47">
        <f t="shared" si="16"/>
        <v>5.9687996282673517E-3</v>
      </c>
      <c r="G474" s="81">
        <v>42647</v>
      </c>
      <c r="H474" s="82">
        <v>284.37</v>
      </c>
      <c r="I474" s="211">
        <f t="shared" si="15"/>
        <v>7.7252914702861109E-3</v>
      </c>
      <c r="J474" s="77"/>
      <c r="K474" s="77"/>
    </row>
    <row r="475" spans="1:11" ht="16">
      <c r="A475" s="233">
        <v>42670</v>
      </c>
      <c r="B475">
        <v>95.273994000000002</v>
      </c>
      <c r="C475" s="47">
        <f t="shared" si="16"/>
        <v>-8.5409466870474127E-3</v>
      </c>
      <c r="G475" s="81">
        <v>42648</v>
      </c>
      <c r="H475" s="82">
        <v>287.22000000000003</v>
      </c>
      <c r="I475" s="211">
        <f t="shared" si="15"/>
        <v>1.0022154235678871E-2</v>
      </c>
      <c r="J475" s="77"/>
      <c r="K475" s="77"/>
    </row>
    <row r="476" spans="1:11" ht="16">
      <c r="A476" s="233">
        <v>42671</v>
      </c>
      <c r="B476">
        <v>95.308571000000001</v>
      </c>
      <c r="C476" s="47">
        <f t="shared" si="16"/>
        <v>3.6292170138252366E-4</v>
      </c>
      <c r="G476" s="81">
        <v>42649</v>
      </c>
      <c r="H476" s="82">
        <v>288.2</v>
      </c>
      <c r="I476" s="211">
        <f t="shared" si="15"/>
        <v>3.4120186616528603E-3</v>
      </c>
      <c r="J476" s="77"/>
      <c r="K476" s="77"/>
    </row>
    <row r="477" spans="1:11" ht="16">
      <c r="A477" s="233">
        <v>42672</v>
      </c>
      <c r="B477">
        <v>95.049362000000002</v>
      </c>
      <c r="C477" s="47">
        <f t="shared" si="16"/>
        <v>-2.7196819475973077E-3</v>
      </c>
      <c r="G477" s="81">
        <v>42650</v>
      </c>
      <c r="H477" s="82">
        <v>290.51</v>
      </c>
      <c r="I477" s="211">
        <f t="shared" si="15"/>
        <v>8.0152671755724381E-3</v>
      </c>
      <c r="J477" s="77"/>
      <c r="K477" s="77"/>
    </row>
    <row r="478" spans="1:11" ht="16">
      <c r="A478" s="233">
        <v>42675</v>
      </c>
      <c r="B478">
        <v>95.201988</v>
      </c>
      <c r="C478" s="47">
        <f t="shared" si="16"/>
        <v>1.6057551233221723E-3</v>
      </c>
      <c r="G478" s="81">
        <v>42651</v>
      </c>
      <c r="H478" s="82">
        <v>292.33</v>
      </c>
      <c r="I478" s="211">
        <f t="shared" si="15"/>
        <v>6.264844583663276E-3</v>
      </c>
      <c r="J478" s="77"/>
      <c r="K478" s="77"/>
    </row>
    <row r="479" spans="1:11" ht="16">
      <c r="A479" s="233">
        <v>42676</v>
      </c>
      <c r="B479">
        <v>95.973679000000004</v>
      </c>
      <c r="C479" s="47">
        <f t="shared" si="16"/>
        <v>8.1058286303854477E-3</v>
      </c>
      <c r="G479" s="81">
        <v>42654</v>
      </c>
      <c r="H479" s="82">
        <v>295.73</v>
      </c>
      <c r="I479" s="211">
        <f t="shared" si="15"/>
        <v>1.1630691341976584E-2</v>
      </c>
      <c r="J479" s="77"/>
      <c r="K479" s="77"/>
    </row>
    <row r="480" spans="1:11" ht="16">
      <c r="A480" s="233">
        <v>42677</v>
      </c>
      <c r="B480">
        <v>97.829147000000006</v>
      </c>
      <c r="C480" s="47">
        <f t="shared" si="16"/>
        <v>1.9333092357540993E-2</v>
      </c>
      <c r="G480" s="81">
        <v>42655</v>
      </c>
      <c r="H480" s="82">
        <v>295.32</v>
      </c>
      <c r="I480" s="211">
        <f t="shared" si="15"/>
        <v>-1.3863997565347619E-3</v>
      </c>
      <c r="J480" s="77"/>
      <c r="K480" s="77"/>
    </row>
    <row r="481" spans="1:11" ht="16">
      <c r="A481" s="233">
        <v>42678</v>
      </c>
      <c r="B481">
        <v>98.201965000000001</v>
      </c>
      <c r="C481" s="47">
        <f t="shared" si="16"/>
        <v>3.8109092375098186E-3</v>
      </c>
      <c r="G481" s="81">
        <v>42656</v>
      </c>
      <c r="H481" s="82">
        <v>295.60000000000002</v>
      </c>
      <c r="I481" s="211">
        <f t="shared" si="15"/>
        <v>9.4812406880673272E-4</v>
      </c>
      <c r="J481" s="77"/>
      <c r="K481" s="77"/>
    </row>
    <row r="482" spans="1:11" ht="16">
      <c r="A482" s="233">
        <v>42679</v>
      </c>
      <c r="B482">
        <v>97.768462999999997</v>
      </c>
      <c r="C482" s="47">
        <f t="shared" si="16"/>
        <v>-4.4143923189317036E-3</v>
      </c>
      <c r="G482" s="81">
        <v>42657</v>
      </c>
      <c r="H482" s="82">
        <v>291.56</v>
      </c>
      <c r="I482" s="211">
        <f t="shared" si="15"/>
        <v>-1.366711772665774E-2</v>
      </c>
      <c r="J482" s="77"/>
      <c r="K482" s="77"/>
    </row>
    <row r="483" spans="1:11" ht="16">
      <c r="A483" s="233">
        <v>42682</v>
      </c>
      <c r="B483">
        <v>98.236671000000001</v>
      </c>
      <c r="C483" s="47">
        <f t="shared" si="16"/>
        <v>4.7889471270505801E-3</v>
      </c>
      <c r="G483" s="81">
        <v>42658</v>
      </c>
      <c r="H483" s="82">
        <v>292.97000000000003</v>
      </c>
      <c r="I483" s="211">
        <f t="shared" si="15"/>
        <v>4.8360543284402535E-3</v>
      </c>
      <c r="J483" s="77"/>
      <c r="K483" s="77"/>
    </row>
    <row r="484" spans="1:11" ht="16">
      <c r="A484" s="233">
        <v>42683</v>
      </c>
      <c r="B484">
        <v>98.132644999999997</v>
      </c>
      <c r="C484" s="47">
        <f t="shared" si="16"/>
        <v>-1.0589324632143127E-3</v>
      </c>
      <c r="G484" s="81">
        <v>42661</v>
      </c>
      <c r="H484" s="82">
        <v>293.43</v>
      </c>
      <c r="I484" s="211">
        <f t="shared" si="15"/>
        <v>1.5701266341263675E-3</v>
      </c>
      <c r="J484" s="77"/>
      <c r="K484" s="77"/>
    </row>
    <row r="485" spans="1:11" ht="16">
      <c r="A485" s="233">
        <v>42684</v>
      </c>
      <c r="B485">
        <v>98.505439999999993</v>
      </c>
      <c r="C485" s="47">
        <f t="shared" si="16"/>
        <v>3.7988887388085146E-3</v>
      </c>
      <c r="G485" s="81">
        <v>42662</v>
      </c>
      <c r="H485" s="82">
        <v>295.18</v>
      </c>
      <c r="I485" s="211">
        <f t="shared" si="15"/>
        <v>5.9639437003715656E-3</v>
      </c>
      <c r="J485" s="77"/>
      <c r="K485" s="77"/>
    </row>
    <row r="486" spans="1:11" ht="16">
      <c r="A486" s="233">
        <v>42685</v>
      </c>
      <c r="B486">
        <v>98.314696999999995</v>
      </c>
      <c r="C486" s="47">
        <f t="shared" si="16"/>
        <v>-1.9363702146805162E-3</v>
      </c>
      <c r="G486" s="81">
        <v>42663</v>
      </c>
      <c r="H486" s="82">
        <v>295.88</v>
      </c>
      <c r="I486" s="211">
        <f t="shared" si="15"/>
        <v>2.3714343790228742E-3</v>
      </c>
      <c r="J486" s="77"/>
      <c r="K486" s="77"/>
    </row>
    <row r="487" spans="1:11" ht="16">
      <c r="A487" s="233">
        <v>42686</v>
      </c>
      <c r="B487">
        <v>98.696219999999997</v>
      </c>
      <c r="C487" s="47">
        <f t="shared" si="16"/>
        <v>3.8806303802167985E-3</v>
      </c>
      <c r="G487" s="81">
        <v>42664</v>
      </c>
      <c r="H487" s="82">
        <v>295.66000000000003</v>
      </c>
      <c r="I487" s="211">
        <f t="shared" si="15"/>
        <v>-7.4354468027570952E-4</v>
      </c>
      <c r="J487" s="77"/>
      <c r="K487" s="77"/>
    </row>
    <row r="488" spans="1:11" ht="16">
      <c r="A488" s="233">
        <v>42689</v>
      </c>
      <c r="B488">
        <v>98.912948999999998</v>
      </c>
      <c r="C488" s="47">
        <f t="shared" si="16"/>
        <v>2.195919965323867E-3</v>
      </c>
      <c r="G488" s="81">
        <v>42665</v>
      </c>
      <c r="H488" s="82">
        <v>295.77</v>
      </c>
      <c r="I488" s="211">
        <f t="shared" si="15"/>
        <v>3.720489751739553E-4</v>
      </c>
      <c r="J488" s="77"/>
      <c r="K488" s="77"/>
    </row>
    <row r="489" spans="1:11" ht="16">
      <c r="A489" s="233">
        <v>42690</v>
      </c>
      <c r="B489">
        <v>98.739547999999999</v>
      </c>
      <c r="C489" s="47">
        <f t="shared" si="16"/>
        <v>-1.7530667294127777E-3</v>
      </c>
      <c r="G489" s="81">
        <v>42668</v>
      </c>
      <c r="H489" s="82">
        <v>293.83</v>
      </c>
      <c r="I489" s="211">
        <f t="shared" si="15"/>
        <v>-6.5591506914156605E-3</v>
      </c>
      <c r="J489" s="77"/>
      <c r="K489" s="77"/>
    </row>
    <row r="490" spans="1:11" ht="16">
      <c r="A490" s="233">
        <v>42691</v>
      </c>
      <c r="B490">
        <v>98.652855000000002</v>
      </c>
      <c r="C490" s="47">
        <f t="shared" si="16"/>
        <v>-8.7799672730926037E-4</v>
      </c>
      <c r="G490" s="81">
        <v>42669</v>
      </c>
      <c r="H490" s="82">
        <v>294.45</v>
      </c>
      <c r="I490" s="211">
        <f t="shared" si="15"/>
        <v>2.1100636422421992E-3</v>
      </c>
      <c r="J490" s="77"/>
      <c r="K490" s="77"/>
    </row>
    <row r="491" spans="1:11" ht="16">
      <c r="A491" s="233">
        <v>42692</v>
      </c>
      <c r="B491">
        <v>98.878281000000001</v>
      </c>
      <c r="C491" s="47">
        <f t="shared" si="16"/>
        <v>2.2850428403720091E-3</v>
      </c>
      <c r="G491" s="81">
        <v>42670</v>
      </c>
      <c r="H491" s="82">
        <v>290.74</v>
      </c>
      <c r="I491" s="211">
        <f t="shared" si="15"/>
        <v>-1.259976226863635E-2</v>
      </c>
      <c r="J491" s="77"/>
      <c r="K491" s="77"/>
    </row>
    <row r="492" spans="1:11" ht="16">
      <c r="A492" s="233">
        <v>42693</v>
      </c>
      <c r="B492">
        <v>98.947631999999999</v>
      </c>
      <c r="C492" s="47">
        <f t="shared" si="16"/>
        <v>7.0137748450549431E-4</v>
      </c>
      <c r="G492" s="81">
        <v>42671</v>
      </c>
      <c r="H492" s="82">
        <v>290.89999999999998</v>
      </c>
      <c r="I492" s="211">
        <f t="shared" si="15"/>
        <v>5.5031987342624156E-4</v>
      </c>
      <c r="J492" s="77"/>
      <c r="K492" s="77"/>
    </row>
    <row r="493" spans="1:11" ht="16">
      <c r="A493" s="233">
        <v>42696</v>
      </c>
      <c r="B493">
        <v>98.869597999999996</v>
      </c>
      <c r="C493" s="47">
        <f t="shared" si="16"/>
        <v>-7.8863938856066351E-4</v>
      </c>
      <c r="G493" s="81">
        <v>42672</v>
      </c>
      <c r="H493" s="82">
        <v>287.35000000000002</v>
      </c>
      <c r="I493" s="211">
        <f t="shared" si="15"/>
        <v>-1.2203506359573568E-2</v>
      </c>
      <c r="J493" s="77"/>
      <c r="K493" s="77"/>
    </row>
    <row r="494" spans="1:11" ht="16">
      <c r="A494" s="233">
        <v>42697</v>
      </c>
      <c r="B494">
        <v>99.008330999999998</v>
      </c>
      <c r="C494" s="47">
        <f t="shared" si="16"/>
        <v>1.4031917071211097E-3</v>
      </c>
      <c r="G494" s="81">
        <v>42675</v>
      </c>
      <c r="H494" s="82">
        <v>289.58999999999997</v>
      </c>
      <c r="I494" s="211">
        <f t="shared" si="15"/>
        <v>7.7953714981728872E-3</v>
      </c>
      <c r="J494" s="77"/>
      <c r="K494" s="77"/>
    </row>
    <row r="495" spans="1:11" ht="16">
      <c r="A495" s="233">
        <v>42698</v>
      </c>
      <c r="B495">
        <v>98.930305000000004</v>
      </c>
      <c r="C495" s="47">
        <f t="shared" si="16"/>
        <v>-7.8807509642797591E-4</v>
      </c>
      <c r="G495" s="81">
        <v>42676</v>
      </c>
      <c r="H495" s="82">
        <v>291.27</v>
      </c>
      <c r="I495" s="211">
        <f t="shared" si="15"/>
        <v>5.8013052936911613E-3</v>
      </c>
      <c r="J495" s="77"/>
      <c r="K495" s="77"/>
    </row>
    <row r="496" spans="1:11" ht="16">
      <c r="A496" s="233">
        <v>42700</v>
      </c>
      <c r="B496">
        <v>99.251114000000001</v>
      </c>
      <c r="C496" s="47">
        <f t="shared" si="16"/>
        <v>3.2427778323336209E-3</v>
      </c>
      <c r="G496" s="81">
        <v>42677</v>
      </c>
      <c r="H496" s="82">
        <v>295.14999999999998</v>
      </c>
      <c r="I496" s="211">
        <f t="shared" si="15"/>
        <v>1.3320973667044322E-2</v>
      </c>
      <c r="J496" s="77"/>
      <c r="K496" s="77"/>
    </row>
    <row r="497" spans="1:11" ht="16">
      <c r="A497" s="233">
        <v>42703</v>
      </c>
      <c r="B497">
        <v>99.060355999999999</v>
      </c>
      <c r="C497" s="47">
        <f t="shared" si="16"/>
        <v>-1.9219733896387314E-3</v>
      </c>
      <c r="G497" s="81">
        <v>42678</v>
      </c>
      <c r="H497" s="82">
        <v>302.67</v>
      </c>
      <c r="I497" s="211">
        <f t="shared" si="15"/>
        <v>2.547857021853317E-2</v>
      </c>
      <c r="J497" s="77"/>
      <c r="K497" s="77"/>
    </row>
    <row r="498" spans="1:11" ht="16">
      <c r="A498" s="233">
        <v>42704</v>
      </c>
      <c r="B498">
        <v>99.309196</v>
      </c>
      <c r="C498" s="47">
        <f t="shared" si="16"/>
        <v>2.5120038938684086E-3</v>
      </c>
      <c r="G498" s="81">
        <v>42679</v>
      </c>
      <c r="H498" s="82">
        <v>305.08999999999997</v>
      </c>
      <c r="I498" s="211">
        <f t="shared" si="15"/>
        <v>7.995506657415552E-3</v>
      </c>
      <c r="J498" s="77"/>
      <c r="K498" s="77"/>
    </row>
    <row r="499" spans="1:11" ht="16">
      <c r="A499" s="233">
        <v>42705</v>
      </c>
      <c r="B499">
        <v>99.361419999999995</v>
      </c>
      <c r="C499" s="47">
        <f t="shared" si="16"/>
        <v>5.2587274999171818E-4</v>
      </c>
      <c r="G499" s="81">
        <v>42682</v>
      </c>
      <c r="H499" s="82">
        <v>309.39</v>
      </c>
      <c r="I499" s="211">
        <f t="shared" si="15"/>
        <v>1.4094201710970644E-2</v>
      </c>
      <c r="J499" s="77"/>
      <c r="K499" s="77"/>
    </row>
    <row r="500" spans="1:11" ht="16">
      <c r="A500" s="233">
        <v>42706</v>
      </c>
      <c r="B500">
        <v>99.779044999999996</v>
      </c>
      <c r="C500" s="47">
        <f t="shared" si="16"/>
        <v>4.2030900927141346E-3</v>
      </c>
      <c r="G500" s="81">
        <v>42683</v>
      </c>
      <c r="H500" s="82">
        <v>306.37</v>
      </c>
      <c r="I500" s="211">
        <f t="shared" si="15"/>
        <v>-9.761142894081809E-3</v>
      </c>
      <c r="J500" s="77"/>
      <c r="K500" s="77"/>
    </row>
    <row r="501" spans="1:11" ht="16">
      <c r="A501" s="233">
        <v>42707</v>
      </c>
      <c r="B501">
        <v>99.866043000000005</v>
      </c>
      <c r="C501" s="47">
        <f t="shared" si="16"/>
        <v>8.7190652105362254E-4</v>
      </c>
      <c r="G501" s="81">
        <v>42684</v>
      </c>
      <c r="H501" s="82">
        <v>305.26</v>
      </c>
      <c r="I501" s="211">
        <f t="shared" si="15"/>
        <v>-3.6230701439436963E-3</v>
      </c>
      <c r="J501" s="77"/>
      <c r="K501" s="77"/>
    </row>
    <row r="502" spans="1:11" ht="16">
      <c r="A502" s="233">
        <v>42710</v>
      </c>
      <c r="B502">
        <v>99.848624999999998</v>
      </c>
      <c r="C502" s="47">
        <f t="shared" si="16"/>
        <v>-1.7441363927883646E-4</v>
      </c>
      <c r="G502" s="81">
        <v>42685</v>
      </c>
      <c r="H502" s="82">
        <v>306.38</v>
      </c>
      <c r="I502" s="211">
        <f t="shared" si="15"/>
        <v>3.6690034724498055E-3</v>
      </c>
      <c r="J502" s="77"/>
      <c r="K502" s="77"/>
    </row>
    <row r="503" spans="1:11" ht="16">
      <c r="A503" s="233">
        <v>42711</v>
      </c>
      <c r="B503">
        <v>99.683341999999996</v>
      </c>
      <c r="C503" s="47">
        <f t="shared" si="16"/>
        <v>-1.6553357645135991E-3</v>
      </c>
      <c r="G503" s="81">
        <v>42686</v>
      </c>
      <c r="H503" s="82">
        <v>307.75</v>
      </c>
      <c r="I503" s="211">
        <f t="shared" si="15"/>
        <v>4.4715712513871964E-3</v>
      </c>
      <c r="J503" s="77"/>
      <c r="K503" s="77"/>
    </row>
    <row r="504" spans="1:11" ht="16">
      <c r="A504" s="233">
        <v>42712</v>
      </c>
      <c r="B504">
        <v>99.439712999999998</v>
      </c>
      <c r="C504" s="47">
        <f t="shared" si="16"/>
        <v>-2.4440292140285313E-3</v>
      </c>
      <c r="G504" s="81">
        <v>42689</v>
      </c>
      <c r="H504" s="82">
        <v>310.62</v>
      </c>
      <c r="I504" s="211">
        <f t="shared" si="15"/>
        <v>9.3257514216085191E-3</v>
      </c>
      <c r="J504" s="77"/>
      <c r="K504" s="77"/>
    </row>
    <row r="505" spans="1:11" ht="16">
      <c r="A505" s="233">
        <v>42713</v>
      </c>
      <c r="B505">
        <v>99.935654</v>
      </c>
      <c r="C505" s="47">
        <f t="shared" si="16"/>
        <v>4.9873534932667329E-3</v>
      </c>
      <c r="G505" s="81">
        <v>42690</v>
      </c>
      <c r="H505" s="82">
        <v>310.72000000000003</v>
      </c>
      <c r="I505" s="211">
        <f t="shared" si="15"/>
        <v>3.2193677161806988E-4</v>
      </c>
      <c r="J505" s="77"/>
      <c r="K505" s="77"/>
    </row>
    <row r="506" spans="1:11" ht="16">
      <c r="A506" s="233">
        <v>42714</v>
      </c>
      <c r="B506">
        <v>99.987838999999994</v>
      </c>
      <c r="C506" s="47">
        <f t="shared" si="16"/>
        <v>5.2218600580733465E-4</v>
      </c>
      <c r="G506" s="81">
        <v>42691</v>
      </c>
      <c r="H506" s="82">
        <v>312.36</v>
      </c>
      <c r="I506" s="211">
        <f t="shared" si="15"/>
        <v>5.2780638516991552E-3</v>
      </c>
      <c r="J506" s="77"/>
      <c r="K506" s="77"/>
    </row>
    <row r="507" spans="1:11" ht="16">
      <c r="A507" s="233">
        <v>42717</v>
      </c>
      <c r="B507">
        <v>99.987838999999994</v>
      </c>
      <c r="C507" s="47">
        <f t="shared" si="16"/>
        <v>0</v>
      </c>
      <c r="G507" s="81">
        <v>42692</v>
      </c>
      <c r="H507" s="82">
        <v>311.08</v>
      </c>
      <c r="I507" s="211">
        <f t="shared" si="15"/>
        <v>-4.0978358304520901E-3</v>
      </c>
      <c r="J507" s="77"/>
      <c r="K507" s="77"/>
    </row>
    <row r="508" spans="1:11" ht="16">
      <c r="A508" s="233">
        <v>42718</v>
      </c>
      <c r="B508">
        <v>100.32714799999999</v>
      </c>
      <c r="C508" s="47">
        <f t="shared" si="16"/>
        <v>3.3935026838614046E-3</v>
      </c>
      <c r="G508" s="81">
        <v>42693</v>
      </c>
      <c r="H508" s="82">
        <v>313.57</v>
      </c>
      <c r="I508" s="211">
        <f t="shared" si="15"/>
        <v>8.0043718657580865E-3</v>
      </c>
      <c r="J508" s="77"/>
      <c r="K508" s="77"/>
    </row>
    <row r="509" spans="1:11" ht="16">
      <c r="A509" s="233">
        <v>42719</v>
      </c>
      <c r="B509">
        <v>100.39677399999999</v>
      </c>
      <c r="C509" s="47">
        <f t="shared" si="16"/>
        <v>6.939896268156609E-4</v>
      </c>
      <c r="G509" s="81">
        <v>42696</v>
      </c>
      <c r="H509" s="82">
        <v>315.64999999999998</v>
      </c>
      <c r="I509" s="211">
        <f t="shared" si="15"/>
        <v>6.6332876231782745E-3</v>
      </c>
      <c r="J509" s="77"/>
      <c r="K509" s="77"/>
    </row>
    <row r="510" spans="1:11" ht="16">
      <c r="A510" s="233">
        <v>42720</v>
      </c>
      <c r="B510">
        <v>100.724174</v>
      </c>
      <c r="C510" s="47">
        <f t="shared" si="16"/>
        <v>3.2610609579946104E-3</v>
      </c>
      <c r="G510" s="81">
        <v>42697</v>
      </c>
      <c r="H510" s="82">
        <v>317.08</v>
      </c>
      <c r="I510" s="211">
        <f t="shared" si="15"/>
        <v>4.530334230951949E-3</v>
      </c>
      <c r="J510" s="77"/>
      <c r="K510" s="77"/>
    </row>
    <row r="511" spans="1:11" ht="16">
      <c r="A511" s="233">
        <v>42721</v>
      </c>
      <c r="B511">
        <v>100.593231</v>
      </c>
      <c r="C511" s="47">
        <f t="shared" si="16"/>
        <v>-1.3000156248489381E-3</v>
      </c>
      <c r="G511" s="81">
        <v>42698</v>
      </c>
      <c r="H511" s="82">
        <v>314.89999999999998</v>
      </c>
      <c r="I511" s="211">
        <f t="shared" si="15"/>
        <v>-6.8752365333669685E-3</v>
      </c>
      <c r="J511" s="77"/>
      <c r="K511" s="77"/>
    </row>
    <row r="512" spans="1:11" ht="16">
      <c r="A512" s="233">
        <v>42724</v>
      </c>
      <c r="B512">
        <v>100.30508399999999</v>
      </c>
      <c r="C512" s="47">
        <f t="shared" si="16"/>
        <v>-2.8644770342450832E-3</v>
      </c>
      <c r="G512" s="81">
        <v>42699</v>
      </c>
      <c r="H512" s="82">
        <v>317.52999999999997</v>
      </c>
      <c r="I512" s="211">
        <f t="shared" si="15"/>
        <v>8.351857732613599E-3</v>
      </c>
      <c r="J512" s="77"/>
      <c r="K512" s="77"/>
    </row>
    <row r="513" spans="1:11" ht="16">
      <c r="A513" s="233">
        <v>42725</v>
      </c>
      <c r="B513">
        <v>100.42733</v>
      </c>
      <c r="C513" s="47">
        <f t="shared" si="16"/>
        <v>1.218741813725055E-3</v>
      </c>
      <c r="G513" s="81">
        <v>42700</v>
      </c>
      <c r="H513" s="82">
        <v>318.27999999999997</v>
      </c>
      <c r="I513" s="211">
        <f t="shared" si="15"/>
        <v>2.3619815450508508E-3</v>
      </c>
      <c r="J513" s="77"/>
      <c r="K513" s="77"/>
    </row>
    <row r="514" spans="1:11" ht="16">
      <c r="A514" s="233">
        <v>42726</v>
      </c>
      <c r="B514">
        <v>100.575737</v>
      </c>
      <c r="C514" s="47">
        <f t="shared" si="16"/>
        <v>1.4777551090923158E-3</v>
      </c>
      <c r="G514" s="81">
        <v>42703</v>
      </c>
      <c r="H514" s="82">
        <v>312.62</v>
      </c>
      <c r="I514" s="211">
        <f t="shared" si="15"/>
        <v>-1.7783084076913314E-2</v>
      </c>
      <c r="J514" s="77"/>
      <c r="K514" s="77"/>
    </row>
    <row r="515" spans="1:11" ht="16">
      <c r="A515" s="233">
        <v>42727</v>
      </c>
      <c r="B515">
        <v>100.82891100000001</v>
      </c>
      <c r="C515" s="47">
        <f t="shared" si="16"/>
        <v>2.517247276050405E-3</v>
      </c>
      <c r="G515" s="81">
        <v>42704</v>
      </c>
      <c r="H515" s="82">
        <v>317.3</v>
      </c>
      <c r="I515" s="211">
        <f t="shared" si="15"/>
        <v>1.4970251423453318E-2</v>
      </c>
      <c r="J515" s="77"/>
      <c r="K515" s="77"/>
    </row>
    <row r="516" spans="1:11" ht="16">
      <c r="A516" s="233">
        <v>42731</v>
      </c>
      <c r="B516">
        <v>100.855141</v>
      </c>
      <c r="C516" s="47">
        <f t="shared" si="16"/>
        <v>2.6014364074611329E-4</v>
      </c>
      <c r="G516" s="81">
        <v>42705</v>
      </c>
      <c r="H516" s="82">
        <v>317.47000000000003</v>
      </c>
      <c r="I516" s="211">
        <f t="shared" si="15"/>
        <v>5.3577056413489643E-4</v>
      </c>
      <c r="J516" s="77"/>
      <c r="K516" s="77"/>
    </row>
    <row r="517" spans="1:11" ht="16">
      <c r="A517" s="233">
        <v>42732</v>
      </c>
      <c r="B517">
        <v>101.00357099999999</v>
      </c>
      <c r="C517" s="47">
        <f t="shared" si="16"/>
        <v>1.4717147636529315E-3</v>
      </c>
      <c r="G517" s="81">
        <v>42706</v>
      </c>
      <c r="H517" s="82">
        <v>319.77999999999997</v>
      </c>
      <c r="I517" s="211">
        <f t="shared" si="15"/>
        <v>7.276278073518494E-3</v>
      </c>
      <c r="J517" s="77"/>
      <c r="K517" s="77"/>
    </row>
    <row r="518" spans="1:11" ht="16">
      <c r="A518" s="233">
        <v>42733</v>
      </c>
      <c r="B518">
        <v>101.134491</v>
      </c>
      <c r="C518" s="47">
        <f t="shared" si="16"/>
        <v>1.296191795040702E-3</v>
      </c>
      <c r="G518" s="81">
        <v>42707</v>
      </c>
      <c r="H518" s="82">
        <v>321.8</v>
      </c>
      <c r="I518" s="211">
        <f t="shared" si="15"/>
        <v>6.3168428294453349E-3</v>
      </c>
      <c r="J518" s="77"/>
      <c r="K518" s="77"/>
    </row>
    <row r="519" spans="1:11" ht="16">
      <c r="A519" s="233">
        <v>42734</v>
      </c>
      <c r="B519">
        <v>101.195633</v>
      </c>
      <c r="C519" s="47">
        <f t="shared" si="16"/>
        <v>6.0456130638963934E-4</v>
      </c>
      <c r="G519" s="81">
        <v>42710</v>
      </c>
      <c r="H519" s="82">
        <v>322.02</v>
      </c>
      <c r="I519" s="211">
        <f t="shared" si="15"/>
        <v>6.8365444375384499E-4</v>
      </c>
      <c r="J519" s="77"/>
      <c r="K519" s="77"/>
    </row>
    <row r="520" spans="1:11" ht="16">
      <c r="A520" s="233">
        <v>42738</v>
      </c>
      <c r="B520">
        <v>100.636864</v>
      </c>
      <c r="C520" s="47">
        <f t="shared" si="16"/>
        <v>-5.5216710784347089E-3</v>
      </c>
      <c r="G520" s="81">
        <v>42711</v>
      </c>
      <c r="H520" s="82">
        <v>323.22000000000003</v>
      </c>
      <c r="I520" s="211">
        <f t="shared" si="15"/>
        <v>3.7264766163593865E-3</v>
      </c>
      <c r="J520" s="77"/>
      <c r="K520" s="77"/>
    </row>
    <row r="521" spans="1:11" ht="16">
      <c r="A521" s="233">
        <v>42739</v>
      </c>
      <c r="B521">
        <v>100.706711</v>
      </c>
      <c r="C521" s="47">
        <f t="shared" si="16"/>
        <v>6.9404984638632428E-4</v>
      </c>
      <c r="G521" s="81">
        <v>42712</v>
      </c>
      <c r="H521" s="82">
        <v>322.69</v>
      </c>
      <c r="I521" s="211">
        <f t="shared" si="15"/>
        <v>-1.6397500154694544E-3</v>
      </c>
      <c r="J521" s="77"/>
      <c r="K521" s="77"/>
    </row>
    <row r="522" spans="1:11" ht="16">
      <c r="A522" s="233">
        <v>42740</v>
      </c>
      <c r="B522">
        <v>99.982071000000005</v>
      </c>
      <c r="C522" s="47">
        <f t="shared" si="16"/>
        <v>-7.1955482688734751E-3</v>
      </c>
      <c r="G522" s="81">
        <v>42713</v>
      </c>
      <c r="H522" s="82">
        <v>322.68</v>
      </c>
      <c r="I522" s="211">
        <f t="shared" si="15"/>
        <v>-3.0989494561262099E-5</v>
      </c>
      <c r="J522" s="77"/>
      <c r="K522" s="77"/>
    </row>
    <row r="523" spans="1:11" ht="16">
      <c r="A523" s="233">
        <v>42741</v>
      </c>
      <c r="B523">
        <v>99.947151000000005</v>
      </c>
      <c r="C523" s="47">
        <f t="shared" si="16"/>
        <v>-3.49262619295021E-4</v>
      </c>
      <c r="G523" s="81">
        <v>42714</v>
      </c>
      <c r="H523" s="82">
        <v>323.02</v>
      </c>
      <c r="I523" s="211">
        <f t="shared" si="15"/>
        <v>1.0536754679557614E-3</v>
      </c>
      <c r="J523" s="77"/>
      <c r="K523" s="77"/>
    </row>
    <row r="524" spans="1:11" ht="16">
      <c r="A524" s="233">
        <v>42742</v>
      </c>
      <c r="B524">
        <v>99.999556999999996</v>
      </c>
      <c r="C524" s="47">
        <f t="shared" si="16"/>
        <v>5.2433710691746072E-4</v>
      </c>
      <c r="G524" s="81">
        <v>42717</v>
      </c>
      <c r="H524" s="82">
        <v>321.62</v>
      </c>
      <c r="I524" s="211">
        <f t="shared" si="15"/>
        <v>-4.33409695994047E-3</v>
      </c>
      <c r="J524" s="77"/>
      <c r="K524" s="77"/>
    </row>
    <row r="525" spans="1:11" ht="16">
      <c r="A525" s="233">
        <v>42745</v>
      </c>
      <c r="B525">
        <v>99.213775999999996</v>
      </c>
      <c r="C525" s="47">
        <f t="shared" si="16"/>
        <v>-7.8578448102525345E-3</v>
      </c>
      <c r="G525" s="81">
        <v>42718</v>
      </c>
      <c r="H525" s="82">
        <v>321.77</v>
      </c>
      <c r="I525" s="211">
        <f t="shared" si="15"/>
        <v>4.6638890616246265E-4</v>
      </c>
      <c r="J525" s="77"/>
      <c r="K525" s="77"/>
    </row>
    <row r="526" spans="1:11" ht="16">
      <c r="A526" s="233">
        <v>42746</v>
      </c>
      <c r="B526">
        <v>98.742339999999999</v>
      </c>
      <c r="C526" s="47">
        <f t="shared" si="16"/>
        <v>-4.7517191564203642E-3</v>
      </c>
      <c r="G526" s="81">
        <v>42719</v>
      </c>
      <c r="H526" s="82">
        <v>325.44</v>
      </c>
      <c r="I526" s="211">
        <f t="shared" si="15"/>
        <v>1.1405662429685881E-2</v>
      </c>
      <c r="J526" s="77"/>
      <c r="K526" s="77"/>
    </row>
    <row r="527" spans="1:11" ht="16">
      <c r="A527" s="233">
        <v>42747</v>
      </c>
      <c r="B527">
        <v>99.205070000000006</v>
      </c>
      <c r="C527" s="47">
        <f t="shared" si="16"/>
        <v>4.6862369273403814E-3</v>
      </c>
      <c r="G527" s="81">
        <v>42720</v>
      </c>
      <c r="H527" s="82">
        <v>328.17</v>
      </c>
      <c r="I527" s="211">
        <f t="shared" si="15"/>
        <v>8.3886430678465906E-3</v>
      </c>
      <c r="J527" s="77"/>
      <c r="K527" s="77"/>
    </row>
    <row r="528" spans="1:11" ht="16">
      <c r="A528" s="233">
        <v>42748</v>
      </c>
      <c r="B528">
        <v>98.916954000000004</v>
      </c>
      <c r="C528" s="47">
        <f t="shared" si="16"/>
        <v>-2.9042467285190776E-3</v>
      </c>
      <c r="G528" s="81">
        <v>42721</v>
      </c>
      <c r="H528" s="82">
        <v>327.2</v>
      </c>
      <c r="I528" s="211">
        <f t="shared" ref="I528:I591" si="17">H528/H527-1</f>
        <v>-2.9557851113752864E-3</v>
      </c>
      <c r="J528" s="77"/>
      <c r="K528" s="77"/>
    </row>
    <row r="529" spans="1:11" ht="16">
      <c r="A529" s="233">
        <v>42749</v>
      </c>
      <c r="B529">
        <v>99.030434</v>
      </c>
      <c r="C529" s="47">
        <f t="shared" ref="C529:C592" si="18">B529/B528-1</f>
        <v>1.14722497419395E-3</v>
      </c>
      <c r="G529" s="81">
        <v>42724</v>
      </c>
      <c r="H529" s="82">
        <v>323.8</v>
      </c>
      <c r="I529" s="211">
        <f t="shared" si="17"/>
        <v>-1.0391198044009675E-2</v>
      </c>
      <c r="J529" s="77"/>
      <c r="K529" s="77"/>
    </row>
    <row r="530" spans="1:11" ht="16">
      <c r="A530" s="233">
        <v>42753</v>
      </c>
      <c r="B530">
        <v>99.170151000000004</v>
      </c>
      <c r="C530" s="47">
        <f t="shared" si="18"/>
        <v>1.4108491133140166E-3</v>
      </c>
      <c r="G530" s="81">
        <v>42725</v>
      </c>
      <c r="H530" s="82">
        <v>322.20999999999998</v>
      </c>
      <c r="I530" s="211">
        <f t="shared" si="17"/>
        <v>-4.9104385423102137E-3</v>
      </c>
      <c r="J530" s="77"/>
      <c r="K530" s="77"/>
    </row>
    <row r="531" spans="1:11" ht="16">
      <c r="A531" s="233">
        <v>42754</v>
      </c>
      <c r="B531">
        <v>99.283623000000006</v>
      </c>
      <c r="C531" s="47">
        <f t="shared" si="18"/>
        <v>1.1442152588836407E-3</v>
      </c>
      <c r="G531" s="81">
        <v>42726</v>
      </c>
      <c r="H531" s="82">
        <v>324.62</v>
      </c>
      <c r="I531" s="211">
        <f t="shared" si="17"/>
        <v>7.4795940535676841E-3</v>
      </c>
      <c r="J531" s="77"/>
      <c r="K531" s="77"/>
    </row>
    <row r="532" spans="1:11" ht="16">
      <c r="A532" s="233">
        <v>42755</v>
      </c>
      <c r="B532">
        <v>99.353485000000006</v>
      </c>
      <c r="C532" s="47">
        <f t="shared" si="18"/>
        <v>7.0366086459183741E-4</v>
      </c>
      <c r="G532" s="81">
        <v>42727</v>
      </c>
      <c r="H532" s="82">
        <v>322.79000000000002</v>
      </c>
      <c r="I532" s="211">
        <f t="shared" si="17"/>
        <v>-5.6373606062473103E-3</v>
      </c>
      <c r="J532" s="77"/>
      <c r="K532" s="77"/>
    </row>
    <row r="533" spans="1:11" ht="16">
      <c r="A533" s="233">
        <v>42756</v>
      </c>
      <c r="B533">
        <v>99.397141000000005</v>
      </c>
      <c r="C533" s="47">
        <f t="shared" si="18"/>
        <v>4.3940079203053095E-4</v>
      </c>
      <c r="G533" s="81">
        <v>42728</v>
      </c>
      <c r="H533" s="82">
        <v>323.16000000000003</v>
      </c>
      <c r="I533" s="211">
        <f t="shared" si="17"/>
        <v>1.1462560798041199E-3</v>
      </c>
      <c r="J533" s="77"/>
      <c r="K533" s="77"/>
    </row>
    <row r="534" spans="1:11" ht="16">
      <c r="A534" s="233">
        <v>42759</v>
      </c>
      <c r="B534">
        <v>99.790024000000003</v>
      </c>
      <c r="C534" s="47">
        <f t="shared" si="18"/>
        <v>3.9526589602814077E-3</v>
      </c>
      <c r="G534" s="81">
        <v>42731</v>
      </c>
      <c r="H534" s="82">
        <v>322.52999999999997</v>
      </c>
      <c r="I534" s="211">
        <f t="shared" si="17"/>
        <v>-1.94949870033434E-3</v>
      </c>
      <c r="J534" s="77"/>
      <c r="K534" s="77"/>
    </row>
    <row r="535" spans="1:11" ht="16">
      <c r="A535" s="233">
        <v>42760</v>
      </c>
      <c r="B535">
        <v>99.659026999999995</v>
      </c>
      <c r="C535" s="47">
        <f t="shared" si="18"/>
        <v>-1.3127264104075831E-3</v>
      </c>
      <c r="G535" s="81">
        <v>42732</v>
      </c>
      <c r="H535" s="82">
        <v>325.83999999999997</v>
      </c>
      <c r="I535" s="211">
        <f t="shared" si="17"/>
        <v>1.0262611229963081E-2</v>
      </c>
      <c r="J535" s="77"/>
      <c r="K535" s="77"/>
    </row>
    <row r="536" spans="1:11" ht="16">
      <c r="A536" s="233">
        <v>42761</v>
      </c>
      <c r="B536">
        <v>99.196335000000005</v>
      </c>
      <c r="C536" s="47">
        <f t="shared" si="18"/>
        <v>-4.6427505257500279E-3</v>
      </c>
      <c r="G536" s="81">
        <v>42733</v>
      </c>
      <c r="H536" s="82">
        <v>330.6</v>
      </c>
      <c r="I536" s="211">
        <f t="shared" si="17"/>
        <v>1.4608396759145714E-2</v>
      </c>
      <c r="J536" s="77"/>
      <c r="K536" s="77"/>
    </row>
    <row r="537" spans="1:11" ht="16">
      <c r="A537" s="233">
        <v>42762</v>
      </c>
      <c r="B537">
        <v>99.405861000000002</v>
      </c>
      <c r="C537" s="47">
        <f t="shared" si="18"/>
        <v>2.1122352957898549E-3</v>
      </c>
      <c r="G537" s="81">
        <v>42734</v>
      </c>
      <c r="H537" s="82">
        <v>331.34</v>
      </c>
      <c r="I537" s="211">
        <f t="shared" si="17"/>
        <v>2.2383545069568633E-3</v>
      </c>
    </row>
    <row r="538" spans="1:11" ht="16">
      <c r="A538" s="233">
        <v>42763</v>
      </c>
      <c r="B538">
        <v>99.397141000000005</v>
      </c>
      <c r="C538" s="47">
        <f t="shared" si="18"/>
        <v>-8.772118577593524E-5</v>
      </c>
      <c r="G538" s="81">
        <v>42735</v>
      </c>
      <c r="H538" s="82">
        <v>331.57</v>
      </c>
      <c r="I538" s="211">
        <f t="shared" si="17"/>
        <v>6.9415102311820576E-4</v>
      </c>
    </row>
    <row r="539" spans="1:11" ht="16">
      <c r="A539" s="233">
        <v>42766</v>
      </c>
      <c r="B539">
        <v>99.889374000000004</v>
      </c>
      <c r="C539" s="47">
        <f t="shared" si="18"/>
        <v>4.9521846911069201E-3</v>
      </c>
      <c r="G539" s="81">
        <v>42738</v>
      </c>
      <c r="H539" s="82">
        <v>334.34</v>
      </c>
      <c r="I539" s="211">
        <f t="shared" si="17"/>
        <v>8.3541936845914488E-3</v>
      </c>
    </row>
    <row r="540" spans="1:11" ht="16">
      <c r="A540" s="233">
        <v>42767</v>
      </c>
      <c r="B540">
        <v>99.889374000000004</v>
      </c>
      <c r="C540" s="47">
        <f t="shared" si="18"/>
        <v>0</v>
      </c>
      <c r="G540" s="81">
        <v>42739</v>
      </c>
      <c r="H540" s="82">
        <v>337.8</v>
      </c>
      <c r="I540" s="211">
        <f t="shared" si="17"/>
        <v>1.0348746784710317E-2</v>
      </c>
    </row>
    <row r="541" spans="1:11" ht="16">
      <c r="A541" s="233">
        <v>42768</v>
      </c>
      <c r="B541">
        <v>99.635352999999995</v>
      </c>
      <c r="C541" s="47">
        <f t="shared" si="18"/>
        <v>-2.5430232448949708E-3</v>
      </c>
      <c r="G541" s="81">
        <v>42740</v>
      </c>
      <c r="H541" s="82">
        <v>336.87</v>
      </c>
      <c r="I541" s="211">
        <f t="shared" si="17"/>
        <v>-2.7531083481350249E-3</v>
      </c>
    </row>
    <row r="542" spans="1:11" ht="16">
      <c r="A542" s="233">
        <v>42769</v>
      </c>
      <c r="B542">
        <v>99.924385000000001</v>
      </c>
      <c r="C542" s="47">
        <f t="shared" si="18"/>
        <v>2.9008980376674653E-3</v>
      </c>
      <c r="G542" s="81">
        <v>42741</v>
      </c>
      <c r="H542" s="82">
        <v>337.98</v>
      </c>
      <c r="I542" s="211">
        <f t="shared" si="17"/>
        <v>3.295039629530816E-3</v>
      </c>
    </row>
    <row r="543" spans="1:11" ht="16">
      <c r="A543" s="233">
        <v>42770</v>
      </c>
      <c r="B543">
        <v>100.038239</v>
      </c>
      <c r="C543" s="47">
        <f t="shared" si="18"/>
        <v>1.139401558488462E-3</v>
      </c>
      <c r="E543" s="81"/>
      <c r="F543" s="82"/>
      <c r="G543" s="81">
        <v>42742</v>
      </c>
      <c r="H543" s="82">
        <v>343.78</v>
      </c>
      <c r="I543" s="211">
        <f t="shared" si="17"/>
        <v>1.7160778744304217E-2</v>
      </c>
    </row>
    <row r="544" spans="1:11" ht="16">
      <c r="A544" s="233">
        <v>42773</v>
      </c>
      <c r="B544">
        <v>100.038239</v>
      </c>
      <c r="C544" s="47">
        <f t="shared" si="18"/>
        <v>0</v>
      </c>
      <c r="E544" s="81"/>
      <c r="F544" s="82"/>
      <c r="G544" s="81">
        <v>42745</v>
      </c>
      <c r="H544" s="82">
        <v>342.48</v>
      </c>
      <c r="I544" s="211">
        <f t="shared" si="17"/>
        <v>-3.7814881610330753E-3</v>
      </c>
    </row>
    <row r="545" spans="1:9" ht="16">
      <c r="A545" s="233">
        <v>42774</v>
      </c>
      <c r="B545">
        <v>99.679130999999998</v>
      </c>
      <c r="C545" s="47">
        <f t="shared" si="18"/>
        <v>-3.5897073318134076E-3</v>
      </c>
      <c r="E545" s="81"/>
      <c r="F545" s="82"/>
      <c r="G545" s="81">
        <v>42746</v>
      </c>
      <c r="H545" s="82">
        <v>344.33</v>
      </c>
      <c r="I545" s="211">
        <f t="shared" si="17"/>
        <v>5.4017752861479362E-3</v>
      </c>
    </row>
    <row r="546" spans="1:9" ht="16">
      <c r="A546" s="233">
        <v>42775</v>
      </c>
      <c r="B546">
        <v>99.880607999999995</v>
      </c>
      <c r="C546" s="47">
        <f t="shared" si="18"/>
        <v>2.0212555825751544E-3</v>
      </c>
      <c r="E546" s="81"/>
      <c r="F546" s="82"/>
      <c r="G546" s="81">
        <v>42747</v>
      </c>
      <c r="H546" s="82">
        <v>346.61</v>
      </c>
      <c r="I546" s="211">
        <f t="shared" si="17"/>
        <v>6.6215549037260679E-3</v>
      </c>
    </row>
    <row r="547" spans="1:9" ht="16">
      <c r="A547" s="233">
        <v>42776</v>
      </c>
      <c r="B547">
        <v>99.941909999999993</v>
      </c>
      <c r="C547" s="47">
        <f t="shared" si="18"/>
        <v>6.1375277170916398E-4</v>
      </c>
      <c r="E547" s="81"/>
      <c r="F547" s="82"/>
      <c r="G547" s="81">
        <v>42748</v>
      </c>
      <c r="H547" s="82">
        <v>348.89</v>
      </c>
      <c r="I547" s="211">
        <f t="shared" si="17"/>
        <v>6.5779983266494035E-3</v>
      </c>
    </row>
    <row r="548" spans="1:9" ht="16">
      <c r="A548" s="233">
        <v>42777</v>
      </c>
      <c r="B548">
        <v>99.390120999999994</v>
      </c>
      <c r="C548" s="47">
        <f t="shared" si="18"/>
        <v>-5.5210972053666429E-3</v>
      </c>
      <c r="E548" s="81"/>
      <c r="F548" s="82"/>
      <c r="G548" s="81">
        <v>42749</v>
      </c>
      <c r="H548" s="82">
        <v>346.19</v>
      </c>
      <c r="I548" s="211">
        <f t="shared" si="17"/>
        <v>-7.7388288572328712E-3</v>
      </c>
    </row>
    <row r="549" spans="1:9" ht="16">
      <c r="A549" s="233">
        <v>42781</v>
      </c>
      <c r="B549">
        <v>98.172707000000003</v>
      </c>
      <c r="C549" s="47">
        <f t="shared" si="18"/>
        <v>-1.2248843121943631E-2</v>
      </c>
      <c r="E549" s="81"/>
      <c r="F549" s="82"/>
      <c r="G549" s="81">
        <v>42752</v>
      </c>
      <c r="H549" s="82">
        <v>347.78</v>
      </c>
      <c r="I549" s="211">
        <f t="shared" si="17"/>
        <v>4.592853635286831E-3</v>
      </c>
    </row>
    <row r="550" spans="1:9" ht="16">
      <c r="A550" s="233">
        <v>42782</v>
      </c>
      <c r="B550">
        <v>98.715728999999996</v>
      </c>
      <c r="C550" s="47">
        <f t="shared" si="18"/>
        <v>5.5312929284918599E-3</v>
      </c>
      <c r="E550" s="81"/>
      <c r="F550" s="82"/>
      <c r="G550" s="81">
        <v>42753</v>
      </c>
      <c r="H550" s="82">
        <v>352.56</v>
      </c>
      <c r="I550" s="211">
        <f t="shared" si="17"/>
        <v>1.3744321122548753E-2</v>
      </c>
    </row>
    <row r="551" spans="1:9" ht="16">
      <c r="A551" s="233">
        <v>42783</v>
      </c>
      <c r="B551">
        <v>98.610634000000005</v>
      </c>
      <c r="C551" s="47">
        <f t="shared" si="18"/>
        <v>-1.0646226398225433E-3</v>
      </c>
      <c r="E551" s="81"/>
      <c r="F551" s="82"/>
      <c r="G551" s="81">
        <v>42754</v>
      </c>
      <c r="H551" s="82">
        <v>357.12</v>
      </c>
      <c r="I551" s="211">
        <f t="shared" si="17"/>
        <v>1.293396868618113E-2</v>
      </c>
    </row>
    <row r="552" spans="1:9" ht="16">
      <c r="A552" s="233">
        <v>42784</v>
      </c>
      <c r="B552">
        <v>98.085114000000004</v>
      </c>
      <c r="C552" s="47">
        <f t="shared" si="18"/>
        <v>-5.329242685935931E-3</v>
      </c>
      <c r="E552" s="81"/>
      <c r="F552" s="82"/>
      <c r="G552" s="81">
        <v>42755</v>
      </c>
      <c r="H552" s="82">
        <v>357.52</v>
      </c>
      <c r="I552" s="211">
        <f t="shared" si="17"/>
        <v>1.1200716845878311E-3</v>
      </c>
    </row>
    <row r="553" spans="1:9" ht="16">
      <c r="A553" s="233">
        <v>42787</v>
      </c>
      <c r="B553">
        <v>97.419487000000004</v>
      </c>
      <c r="C553" s="47">
        <f t="shared" si="18"/>
        <v>-6.7862183450181357E-3</v>
      </c>
      <c r="E553" s="81"/>
      <c r="F553" s="82"/>
      <c r="G553" s="81">
        <v>42756</v>
      </c>
      <c r="H553" s="82">
        <v>354.69</v>
      </c>
      <c r="I553" s="211">
        <f t="shared" si="17"/>
        <v>-7.9156410830163448E-3</v>
      </c>
    </row>
    <row r="554" spans="1:9" ht="16">
      <c r="A554" s="233">
        <v>42788</v>
      </c>
      <c r="B554">
        <v>97.533348000000004</v>
      </c>
      <c r="C554" s="47">
        <f t="shared" si="18"/>
        <v>1.1687702687246393E-3</v>
      </c>
      <c r="E554" s="81"/>
      <c r="F554" s="82"/>
      <c r="G554" s="81">
        <v>42759</v>
      </c>
      <c r="H554" s="82">
        <v>357.84</v>
      </c>
      <c r="I554" s="211">
        <f t="shared" si="17"/>
        <v>8.8809946714032417E-3</v>
      </c>
    </row>
    <row r="555" spans="1:9" ht="16">
      <c r="A555" s="233">
        <v>42789</v>
      </c>
      <c r="B555">
        <v>97.682236000000003</v>
      </c>
      <c r="C555" s="47">
        <f t="shared" si="18"/>
        <v>1.5265342885595334E-3</v>
      </c>
      <c r="E555" s="81"/>
      <c r="F555" s="82"/>
      <c r="G555" s="81">
        <v>42760</v>
      </c>
      <c r="H555" s="82">
        <v>353.68</v>
      </c>
      <c r="I555" s="211">
        <f t="shared" si="17"/>
        <v>-1.1625307399955154E-2</v>
      </c>
    </row>
    <row r="556" spans="1:9" ht="16">
      <c r="A556" s="233">
        <v>42790</v>
      </c>
      <c r="B556">
        <v>95.939339000000004</v>
      </c>
      <c r="C556" s="47">
        <f t="shared" si="18"/>
        <v>-1.784251744605847E-2</v>
      </c>
      <c r="E556" s="81"/>
      <c r="F556" s="82"/>
      <c r="G556" s="81">
        <v>42761</v>
      </c>
      <c r="H556" s="82">
        <v>349.28</v>
      </c>
      <c r="I556" s="211">
        <f t="shared" si="17"/>
        <v>-1.2440624293146407E-2</v>
      </c>
    </row>
    <row r="557" spans="1:9" ht="16">
      <c r="A557" s="233">
        <v>42791</v>
      </c>
      <c r="B557">
        <v>96.368469000000005</v>
      </c>
      <c r="C557" s="47">
        <f t="shared" si="18"/>
        <v>4.4729305462485325E-3</v>
      </c>
      <c r="E557" s="81"/>
      <c r="F557" s="82"/>
      <c r="G557" s="81">
        <v>42762</v>
      </c>
      <c r="H557" s="82">
        <v>344.95</v>
      </c>
      <c r="I557" s="211">
        <f t="shared" si="17"/>
        <v>-1.2396930829134178E-2</v>
      </c>
    </row>
    <row r="558" spans="1:9" ht="16">
      <c r="A558" s="233">
        <v>42794</v>
      </c>
      <c r="B558">
        <v>96.905342000000005</v>
      </c>
      <c r="C558" s="47">
        <f t="shared" si="18"/>
        <v>5.5710441970391322E-3</v>
      </c>
      <c r="E558" s="81"/>
      <c r="F558" s="82"/>
      <c r="G558" s="81">
        <v>42763</v>
      </c>
      <c r="H558" s="82">
        <v>340.73</v>
      </c>
      <c r="I558" s="211">
        <f t="shared" si="17"/>
        <v>-1.2233657051746505E-2</v>
      </c>
    </row>
    <row r="559" spans="1:9" ht="16">
      <c r="A559" s="233">
        <v>42795</v>
      </c>
      <c r="B559">
        <v>96.843826000000007</v>
      </c>
      <c r="C559" s="47">
        <f t="shared" si="18"/>
        <v>-6.3480504511292946E-4</v>
      </c>
      <c r="E559" s="81"/>
      <c r="F559" s="82"/>
      <c r="G559" s="81">
        <v>42766</v>
      </c>
      <c r="H559" s="82">
        <v>347.93</v>
      </c>
      <c r="I559" s="211">
        <f t="shared" si="17"/>
        <v>2.1131100871657926E-2</v>
      </c>
    </row>
    <row r="560" spans="1:9" ht="16">
      <c r="A560" s="233">
        <v>42796</v>
      </c>
      <c r="B560">
        <v>96.263915999999995</v>
      </c>
      <c r="C560" s="47">
        <f t="shared" si="18"/>
        <v>-5.9880946876263996E-3</v>
      </c>
      <c r="E560" s="81"/>
      <c r="F560" s="82"/>
      <c r="G560" s="81">
        <v>42767</v>
      </c>
      <c r="H560" s="82">
        <v>353.35</v>
      </c>
      <c r="I560" s="211">
        <f t="shared" si="17"/>
        <v>1.5577846118472127E-2</v>
      </c>
    </row>
    <row r="561" spans="1:9" ht="16">
      <c r="A561" s="233">
        <v>42797</v>
      </c>
      <c r="B561">
        <v>95.438018999999997</v>
      </c>
      <c r="C561" s="47">
        <f t="shared" si="18"/>
        <v>-8.5795076111384594E-3</v>
      </c>
      <c r="E561" s="81"/>
      <c r="F561" s="82"/>
      <c r="G561" s="81">
        <v>42768</v>
      </c>
      <c r="H561" s="82">
        <v>355.98</v>
      </c>
      <c r="I561" s="211">
        <f t="shared" si="17"/>
        <v>7.4430451393801E-3</v>
      </c>
    </row>
    <row r="562" spans="1:9" ht="16">
      <c r="A562" s="233">
        <v>42798</v>
      </c>
      <c r="B562">
        <v>95.420433000000003</v>
      </c>
      <c r="C562" s="47">
        <f t="shared" si="18"/>
        <v>-1.8426618850919674E-4</v>
      </c>
      <c r="E562" s="81"/>
      <c r="F562" s="82"/>
      <c r="G562" s="81">
        <v>42769</v>
      </c>
      <c r="H562" s="82">
        <v>355.5</v>
      </c>
      <c r="I562" s="211">
        <f t="shared" si="17"/>
        <v>-1.3483903590090218E-3</v>
      </c>
    </row>
    <row r="563" spans="1:9" ht="16">
      <c r="A563" s="233">
        <v>42801</v>
      </c>
      <c r="B563">
        <v>93.768569999999997</v>
      </c>
      <c r="C563" s="47">
        <f t="shared" si="18"/>
        <v>-1.7311417985286348E-2</v>
      </c>
      <c r="E563" s="81"/>
      <c r="F563" s="82"/>
      <c r="G563" s="81">
        <v>42770</v>
      </c>
      <c r="H563" s="82">
        <v>357.29</v>
      </c>
      <c r="I563" s="211">
        <f t="shared" si="17"/>
        <v>5.0351617440225205E-3</v>
      </c>
    </row>
    <row r="564" spans="1:9" ht="16">
      <c r="A564" s="233">
        <v>42802</v>
      </c>
      <c r="B564">
        <v>94.875679000000005</v>
      </c>
      <c r="C564" s="47">
        <f t="shared" si="18"/>
        <v>1.1806823970974545E-2</v>
      </c>
      <c r="E564" s="81"/>
      <c r="F564" s="82"/>
      <c r="G564" s="81">
        <v>42773</v>
      </c>
      <c r="H564" s="82">
        <v>359.51</v>
      </c>
      <c r="I564" s="211">
        <f t="shared" si="17"/>
        <v>6.2134400626940867E-3</v>
      </c>
    </row>
    <row r="565" spans="1:9" ht="16">
      <c r="A565" s="233">
        <v>42803</v>
      </c>
      <c r="B565">
        <v>95.798241000000004</v>
      </c>
      <c r="C565" s="47">
        <f t="shared" si="18"/>
        <v>9.7239040576457825E-3</v>
      </c>
      <c r="E565" s="81"/>
      <c r="F565" s="82"/>
      <c r="G565" s="81">
        <v>42774</v>
      </c>
      <c r="H565" s="82">
        <v>362.25</v>
      </c>
      <c r="I565" s="211">
        <f t="shared" si="17"/>
        <v>7.6214847987539081E-3</v>
      </c>
    </row>
    <row r="566" spans="1:9" ht="16">
      <c r="A566" s="233">
        <v>42804</v>
      </c>
      <c r="B566">
        <v>96.509925999999993</v>
      </c>
      <c r="C566" s="47">
        <f t="shared" si="18"/>
        <v>7.4289986180433587E-3</v>
      </c>
      <c r="E566" s="81"/>
      <c r="F566" s="82"/>
      <c r="G566" s="81">
        <v>42775</v>
      </c>
      <c r="H566" s="82">
        <v>365.49</v>
      </c>
      <c r="I566" s="211">
        <f t="shared" si="17"/>
        <v>8.9440993788820755E-3</v>
      </c>
    </row>
    <row r="567" spans="1:9" ht="16">
      <c r="A567" s="233">
        <v>42805</v>
      </c>
      <c r="B567">
        <v>95.297424000000007</v>
      </c>
      <c r="C567" s="47">
        <f t="shared" si="18"/>
        <v>-1.256349528234002E-2</v>
      </c>
      <c r="E567" s="81"/>
      <c r="F567" s="82"/>
      <c r="G567" s="81">
        <v>42776</v>
      </c>
      <c r="H567" s="82">
        <v>367.04</v>
      </c>
      <c r="I567" s="211">
        <f t="shared" si="17"/>
        <v>4.2408821034776167E-3</v>
      </c>
    </row>
    <row r="568" spans="1:9" ht="16">
      <c r="A568" s="233">
        <v>42808</v>
      </c>
      <c r="B568">
        <v>95.921272000000002</v>
      </c>
      <c r="C568" s="47">
        <f t="shared" si="18"/>
        <v>6.5463259531548523E-3</v>
      </c>
      <c r="E568" s="81"/>
      <c r="F568" s="82"/>
      <c r="G568" s="81">
        <v>42777</v>
      </c>
      <c r="H568" s="82">
        <v>367.4</v>
      </c>
      <c r="I568" s="211">
        <f t="shared" si="17"/>
        <v>9.8081952920647808E-4</v>
      </c>
    </row>
    <row r="569" spans="1:9" ht="16">
      <c r="A569" s="233">
        <v>42809</v>
      </c>
      <c r="B569">
        <v>96.255127000000002</v>
      </c>
      <c r="C569" s="47">
        <f t="shared" si="18"/>
        <v>3.480510558700578E-3</v>
      </c>
      <c r="E569" s="81"/>
      <c r="F569" s="82"/>
      <c r="G569" s="81">
        <v>42780</v>
      </c>
      <c r="H569" s="82">
        <v>368.84</v>
      </c>
      <c r="I569" s="211">
        <f t="shared" si="17"/>
        <v>3.9194338595536227E-3</v>
      </c>
    </row>
    <row r="570" spans="1:9" ht="16">
      <c r="A570" s="233">
        <v>42810</v>
      </c>
      <c r="B570">
        <v>97.063491999999997</v>
      </c>
      <c r="C570" s="47">
        <f t="shared" si="18"/>
        <v>8.398150053866793E-3</v>
      </c>
      <c r="E570" s="81"/>
      <c r="F570" s="82"/>
      <c r="G570" s="81">
        <v>42781</v>
      </c>
      <c r="H570" s="82">
        <v>369.97</v>
      </c>
      <c r="I570" s="211">
        <f t="shared" si="17"/>
        <v>3.0636590391499574E-3</v>
      </c>
    </row>
    <row r="571" spans="1:9" ht="16">
      <c r="A571" s="233">
        <v>42811</v>
      </c>
      <c r="B571">
        <v>95.745514</v>
      </c>
      <c r="C571" s="47">
        <f t="shared" si="18"/>
        <v>-1.3578514154425791E-2</v>
      </c>
      <c r="E571" s="81"/>
      <c r="F571" s="82"/>
      <c r="G571" s="81">
        <v>42782</v>
      </c>
      <c r="H571" s="82">
        <v>371.45</v>
      </c>
      <c r="I571" s="211">
        <f t="shared" si="17"/>
        <v>4.0003243506228081E-3</v>
      </c>
    </row>
    <row r="572" spans="1:9" ht="16">
      <c r="A572" s="233">
        <v>42812</v>
      </c>
      <c r="B572">
        <v>96.026687999999993</v>
      </c>
      <c r="C572" s="47">
        <f t="shared" si="18"/>
        <v>2.9366806678796653E-3</v>
      </c>
      <c r="E572" s="81"/>
      <c r="F572" s="82"/>
      <c r="G572" s="81">
        <v>42783</v>
      </c>
      <c r="H572" s="82">
        <v>367.1</v>
      </c>
      <c r="I572" s="211">
        <f t="shared" si="17"/>
        <v>-1.1710862834836355E-2</v>
      </c>
    </row>
    <row r="573" spans="1:9" ht="16">
      <c r="A573" s="233">
        <v>42815</v>
      </c>
      <c r="B573">
        <v>96.237549000000001</v>
      </c>
      <c r="C573" s="47">
        <f t="shared" si="18"/>
        <v>2.1958583013923505E-3</v>
      </c>
      <c r="E573" s="81"/>
      <c r="F573" s="82"/>
      <c r="G573" s="81">
        <v>42784</v>
      </c>
      <c r="H573" s="82">
        <v>368.17</v>
      </c>
      <c r="I573" s="211">
        <f t="shared" si="17"/>
        <v>2.9147371288475998E-3</v>
      </c>
    </row>
    <row r="574" spans="1:9" ht="16">
      <c r="A574" s="233">
        <v>42816</v>
      </c>
      <c r="B574">
        <v>95.894897</v>
      </c>
      <c r="C574" s="47">
        <f t="shared" si="18"/>
        <v>-3.5604813667895474E-3</v>
      </c>
      <c r="E574" s="81"/>
      <c r="F574" s="82"/>
      <c r="G574" s="81">
        <v>42787</v>
      </c>
      <c r="H574" s="82">
        <v>360.27</v>
      </c>
      <c r="I574" s="211">
        <f t="shared" si="17"/>
        <v>-2.1457478882038306E-2</v>
      </c>
    </row>
    <row r="575" spans="1:9" ht="16">
      <c r="A575" s="233">
        <v>42817</v>
      </c>
      <c r="B575">
        <v>96.105766000000003</v>
      </c>
      <c r="C575" s="47">
        <f t="shared" si="18"/>
        <v>2.1989595546465512E-3</v>
      </c>
      <c r="E575" s="81"/>
      <c r="F575" s="82"/>
      <c r="G575" s="81">
        <v>42788</v>
      </c>
      <c r="H575" s="82">
        <v>360.55</v>
      </c>
      <c r="I575" s="211">
        <f t="shared" si="17"/>
        <v>7.7719488161664962E-4</v>
      </c>
    </row>
    <row r="576" spans="1:9" ht="16">
      <c r="A576" s="233">
        <v>42818</v>
      </c>
      <c r="B576">
        <v>95.965202000000005</v>
      </c>
      <c r="C576" s="47">
        <f t="shared" si="18"/>
        <v>-1.4625969476170786E-3</v>
      </c>
      <c r="E576" s="81"/>
      <c r="F576" s="82"/>
      <c r="G576" s="81">
        <v>42789</v>
      </c>
      <c r="H576" s="82">
        <v>355.64</v>
      </c>
      <c r="I576" s="211">
        <f t="shared" si="17"/>
        <v>-1.3618083483566856E-2</v>
      </c>
    </row>
    <row r="577" spans="1:9" ht="16">
      <c r="A577" s="233">
        <v>42819</v>
      </c>
      <c r="B577">
        <v>96.000327999999996</v>
      </c>
      <c r="C577" s="47">
        <f t="shared" si="18"/>
        <v>3.6602851104294842E-4</v>
      </c>
      <c r="E577" s="81"/>
      <c r="F577" s="82"/>
      <c r="G577" s="81">
        <v>42790</v>
      </c>
      <c r="H577" s="82">
        <v>355.86</v>
      </c>
      <c r="I577" s="211">
        <f t="shared" si="17"/>
        <v>6.1860308176808765E-4</v>
      </c>
    </row>
    <row r="578" spans="1:9" ht="16">
      <c r="A578" s="233">
        <v>42822</v>
      </c>
      <c r="B578">
        <v>95.499504000000002</v>
      </c>
      <c r="C578" s="47">
        <f t="shared" si="18"/>
        <v>-5.2168988422622853E-3</v>
      </c>
      <c r="E578" s="81"/>
      <c r="F578" s="82"/>
      <c r="G578" s="81">
        <v>42791</v>
      </c>
      <c r="H578" s="82">
        <v>345.68</v>
      </c>
      <c r="I578" s="211">
        <f t="shared" si="17"/>
        <v>-2.8606755465632516E-2</v>
      </c>
    </row>
    <row r="579" spans="1:9" ht="16">
      <c r="A579" s="233">
        <v>42823</v>
      </c>
      <c r="B579">
        <v>95.543434000000005</v>
      </c>
      <c r="C579" s="47">
        <f t="shared" si="18"/>
        <v>4.6000238912236036E-4</v>
      </c>
      <c r="E579" s="81"/>
      <c r="F579" s="82"/>
      <c r="G579" s="81">
        <v>42794</v>
      </c>
      <c r="H579" s="82">
        <v>352.43</v>
      </c>
      <c r="I579" s="211">
        <f t="shared" si="17"/>
        <v>1.9526729923628805E-2</v>
      </c>
    </row>
    <row r="580" spans="1:9" ht="16">
      <c r="A580" s="233">
        <v>42824</v>
      </c>
      <c r="B580">
        <v>95.666450999999995</v>
      </c>
      <c r="C580" s="47">
        <f t="shared" si="18"/>
        <v>1.2875505395795184E-3</v>
      </c>
      <c r="E580" s="81"/>
      <c r="F580" s="82"/>
      <c r="G580" s="81">
        <v>42795</v>
      </c>
      <c r="H580" s="82">
        <v>350.92</v>
      </c>
      <c r="I580" s="211">
        <f t="shared" si="17"/>
        <v>-4.2845387736571983E-3</v>
      </c>
    </row>
    <row r="581" spans="1:9" ht="16">
      <c r="A581" s="233">
        <v>42825</v>
      </c>
      <c r="B581">
        <v>96.422721999999993</v>
      </c>
      <c r="C581" s="47">
        <f t="shared" si="18"/>
        <v>7.9052895983358074E-3</v>
      </c>
      <c r="E581" s="81"/>
      <c r="F581" s="82"/>
      <c r="G581" s="81">
        <v>42796</v>
      </c>
      <c r="H581" s="82">
        <v>355.27</v>
      </c>
      <c r="I581" s="211">
        <f t="shared" si="17"/>
        <v>1.2395987689501675E-2</v>
      </c>
    </row>
    <row r="582" spans="1:9" ht="16">
      <c r="A582" s="233">
        <v>42829</v>
      </c>
      <c r="B582">
        <v>96.308150999999995</v>
      </c>
      <c r="C582" s="47">
        <f t="shared" si="18"/>
        <v>-1.1882157817532102E-3</v>
      </c>
      <c r="E582" s="81"/>
      <c r="F582" s="82"/>
      <c r="G582" s="81">
        <v>42797</v>
      </c>
      <c r="H582" s="82">
        <v>347.71</v>
      </c>
      <c r="I582" s="211">
        <f t="shared" si="17"/>
        <v>-2.1279590170856011E-2</v>
      </c>
    </row>
    <row r="583" spans="1:9" ht="16">
      <c r="A583" s="233">
        <v>42830</v>
      </c>
      <c r="B583">
        <v>96.634299999999996</v>
      </c>
      <c r="C583" s="47">
        <f t="shared" si="18"/>
        <v>3.3865150209353434E-3</v>
      </c>
      <c r="E583" s="81"/>
      <c r="F583" s="82"/>
      <c r="G583" s="81">
        <v>42798</v>
      </c>
      <c r="H583" s="82">
        <v>345.69</v>
      </c>
      <c r="I583" s="211">
        <f t="shared" si="17"/>
        <v>-5.8094389002328883E-3</v>
      </c>
    </row>
    <row r="584" spans="1:9" ht="16">
      <c r="A584" s="233">
        <v>42831</v>
      </c>
      <c r="B584">
        <v>96.299316000000005</v>
      </c>
      <c r="C584" s="47">
        <f t="shared" si="18"/>
        <v>-3.4665124081200149E-3</v>
      </c>
      <c r="E584" s="81"/>
      <c r="F584" s="82"/>
      <c r="G584" s="81">
        <v>42801</v>
      </c>
      <c r="H584" s="82">
        <v>337.39</v>
      </c>
      <c r="I584" s="211">
        <f t="shared" si="17"/>
        <v>-2.4009951112268224E-2</v>
      </c>
    </row>
    <row r="585" spans="1:9" ht="16">
      <c r="A585" s="233">
        <v>42832</v>
      </c>
      <c r="B585">
        <v>96.854659999999996</v>
      </c>
      <c r="C585" s="47">
        <f t="shared" si="18"/>
        <v>5.7668530065155821E-3</v>
      </c>
      <c r="E585" s="81"/>
      <c r="F585" s="82"/>
      <c r="G585" s="81">
        <v>42802</v>
      </c>
      <c r="H585" s="82">
        <v>340.26</v>
      </c>
      <c r="I585" s="211">
        <f t="shared" si="17"/>
        <v>8.5064761848305803E-3</v>
      </c>
    </row>
    <row r="586" spans="1:9" ht="16">
      <c r="A586" s="233">
        <v>42833</v>
      </c>
      <c r="B586">
        <v>96.590225000000004</v>
      </c>
      <c r="C586" s="47">
        <f t="shared" si="18"/>
        <v>-2.7302248544364138E-3</v>
      </c>
      <c r="E586" s="81"/>
      <c r="F586" s="82"/>
      <c r="G586" s="81">
        <v>42803</v>
      </c>
      <c r="H586" s="82">
        <v>342.84</v>
      </c>
      <c r="I586" s="211">
        <f t="shared" si="17"/>
        <v>7.5824369599717389E-3</v>
      </c>
    </row>
    <row r="587" spans="1:9" ht="16">
      <c r="A587" s="233">
        <v>42836</v>
      </c>
      <c r="B587">
        <v>96.748863</v>
      </c>
      <c r="C587" s="47">
        <f t="shared" si="18"/>
        <v>1.6423815142785347E-3</v>
      </c>
      <c r="E587" s="81"/>
      <c r="F587" s="82"/>
      <c r="G587" s="81">
        <v>42804</v>
      </c>
      <c r="H587" s="82">
        <v>351.1</v>
      </c>
      <c r="I587" s="211">
        <f t="shared" si="17"/>
        <v>2.4092871310232411E-2</v>
      </c>
    </row>
    <row r="588" spans="1:9" ht="16">
      <c r="A588" s="233">
        <v>42837</v>
      </c>
      <c r="B588">
        <v>97.260124000000005</v>
      </c>
      <c r="C588" s="47">
        <f t="shared" si="18"/>
        <v>5.284413523288789E-3</v>
      </c>
      <c r="E588" s="81"/>
      <c r="F588" s="82"/>
      <c r="G588" s="81">
        <v>42805</v>
      </c>
      <c r="H588" s="82">
        <v>348.12</v>
      </c>
      <c r="I588" s="211">
        <f t="shared" si="17"/>
        <v>-8.4876103674167425E-3</v>
      </c>
    </row>
    <row r="589" spans="1:9" ht="16">
      <c r="A589" s="233">
        <v>42838</v>
      </c>
      <c r="B589">
        <v>97.171974000000006</v>
      </c>
      <c r="C589" s="47">
        <f t="shared" si="18"/>
        <v>-9.0633238345450007E-4</v>
      </c>
      <c r="E589" s="81"/>
      <c r="F589" s="82"/>
      <c r="G589" s="81">
        <v>42808</v>
      </c>
      <c r="H589" s="82">
        <v>346.23</v>
      </c>
      <c r="I589" s="211">
        <f t="shared" si="17"/>
        <v>-5.4291623578076598E-3</v>
      </c>
    </row>
    <row r="590" spans="1:9" ht="16">
      <c r="A590" s="233">
        <v>42839</v>
      </c>
      <c r="B590">
        <v>98.353149000000002</v>
      </c>
      <c r="C590" s="47">
        <f t="shared" si="18"/>
        <v>1.2155511011847864E-2</v>
      </c>
      <c r="E590" s="81"/>
      <c r="F590" s="82"/>
      <c r="G590" s="81">
        <v>42809</v>
      </c>
      <c r="H590" s="82">
        <v>348.11</v>
      </c>
      <c r="I590" s="211">
        <f t="shared" si="17"/>
        <v>5.4299165294746654E-3</v>
      </c>
    </row>
    <row r="591" spans="1:9" ht="16">
      <c r="A591" s="233">
        <v>42840</v>
      </c>
      <c r="B591">
        <v>98.035804999999996</v>
      </c>
      <c r="C591" s="47">
        <f t="shared" si="18"/>
        <v>-3.2265769141769374E-3</v>
      </c>
      <c r="E591" s="81"/>
      <c r="F591" s="82"/>
      <c r="G591" s="81">
        <v>42810</v>
      </c>
      <c r="H591" s="82">
        <v>346.81</v>
      </c>
      <c r="I591" s="211">
        <f t="shared" si="17"/>
        <v>-3.734451753755974E-3</v>
      </c>
    </row>
    <row r="592" spans="1:9" ht="16">
      <c r="A592" s="233">
        <v>42843</v>
      </c>
      <c r="B592">
        <v>97.965278999999995</v>
      </c>
      <c r="C592" s="47">
        <f t="shared" si="18"/>
        <v>-7.1939022686662302E-4</v>
      </c>
      <c r="E592" s="81"/>
      <c r="F592" s="82"/>
      <c r="G592" s="81">
        <v>42811</v>
      </c>
      <c r="H592" s="82">
        <v>347.35</v>
      </c>
      <c r="I592" s="211">
        <f t="shared" ref="I592:I655" si="19">H592/H591-1</f>
        <v>1.5570485280125279E-3</v>
      </c>
    </row>
    <row r="593" spans="1:9" ht="16">
      <c r="A593" s="233">
        <v>42844</v>
      </c>
      <c r="B593">
        <v>97.718483000000006</v>
      </c>
      <c r="C593" s="47">
        <f t="shared" ref="C593:C656" si="20">B593/B592-1</f>
        <v>-2.5192190796495817E-3</v>
      </c>
      <c r="E593" s="81"/>
      <c r="F593" s="82"/>
      <c r="G593" s="81">
        <v>42812</v>
      </c>
      <c r="H593" s="82">
        <v>345.31</v>
      </c>
      <c r="I593" s="211">
        <f t="shared" si="19"/>
        <v>-5.8730387217504898E-3</v>
      </c>
    </row>
    <row r="594" spans="1:9" ht="16">
      <c r="A594" s="233">
        <v>42845</v>
      </c>
      <c r="B594">
        <v>97.90361</v>
      </c>
      <c r="C594" s="47">
        <f t="shared" si="20"/>
        <v>1.8944931840580992E-3</v>
      </c>
      <c r="E594" s="81"/>
      <c r="F594" s="82"/>
      <c r="G594" s="81">
        <v>42815</v>
      </c>
      <c r="H594" s="82">
        <v>345.15</v>
      </c>
      <c r="I594" s="211">
        <f t="shared" si="19"/>
        <v>-4.6335177087264423E-4</v>
      </c>
    </row>
    <row r="595" spans="1:9" ht="16">
      <c r="A595" s="233">
        <v>42846</v>
      </c>
      <c r="B595">
        <v>98.053428999999994</v>
      </c>
      <c r="C595" s="47">
        <f t="shared" si="20"/>
        <v>1.5302704364015263E-3</v>
      </c>
      <c r="E595" s="81"/>
      <c r="F595" s="82"/>
      <c r="G595" s="81">
        <v>42816</v>
      </c>
      <c r="H595" s="82">
        <v>341.91</v>
      </c>
      <c r="I595" s="211">
        <f t="shared" si="19"/>
        <v>-9.3872229465448154E-3</v>
      </c>
    </row>
    <row r="596" spans="1:9" ht="16">
      <c r="A596" s="233">
        <v>42847</v>
      </c>
      <c r="B596">
        <v>98.220909000000006</v>
      </c>
      <c r="C596" s="47">
        <f t="shared" si="20"/>
        <v>1.7080483743205921E-3</v>
      </c>
      <c r="E596" s="81"/>
      <c r="F596" s="82"/>
      <c r="G596" s="81">
        <v>42817</v>
      </c>
      <c r="H596" s="82">
        <v>335.12</v>
      </c>
      <c r="I596" s="211">
        <f t="shared" si="19"/>
        <v>-1.9859027229387927E-2</v>
      </c>
    </row>
    <row r="597" spans="1:9" ht="16">
      <c r="A597" s="233">
        <v>42850</v>
      </c>
      <c r="B597">
        <v>97.771384999999995</v>
      </c>
      <c r="C597" s="47">
        <f t="shared" si="20"/>
        <v>-4.5766629995249719E-3</v>
      </c>
      <c r="E597" s="81"/>
      <c r="F597" s="82"/>
      <c r="G597" s="81">
        <v>42818</v>
      </c>
      <c r="H597" s="82">
        <v>332.33</v>
      </c>
      <c r="I597" s="211">
        <f t="shared" si="19"/>
        <v>-8.3253759847219388E-3</v>
      </c>
    </row>
    <row r="598" spans="1:9" ht="16">
      <c r="A598" s="233">
        <v>42851</v>
      </c>
      <c r="B598">
        <v>97.242500000000007</v>
      </c>
      <c r="C598" s="47">
        <f t="shared" si="20"/>
        <v>-5.4094048069380785E-3</v>
      </c>
      <c r="E598" s="81"/>
      <c r="F598" s="82"/>
      <c r="G598" s="81">
        <v>42819</v>
      </c>
      <c r="H598" s="82">
        <v>337</v>
      </c>
      <c r="I598" s="211">
        <f t="shared" si="19"/>
        <v>1.4052297415219961E-2</v>
      </c>
    </row>
    <row r="599" spans="1:9" ht="16">
      <c r="A599" s="233">
        <v>42852</v>
      </c>
      <c r="B599">
        <v>97.568618999999998</v>
      </c>
      <c r="C599" s="47">
        <f t="shared" si="20"/>
        <v>3.3536673779468451E-3</v>
      </c>
      <c r="E599" s="81"/>
      <c r="F599" s="82"/>
      <c r="G599" s="81">
        <v>42822</v>
      </c>
      <c r="H599" s="82">
        <v>337.71</v>
      </c>
      <c r="I599" s="211">
        <f t="shared" si="19"/>
        <v>2.1068249258160421E-3</v>
      </c>
    </row>
    <row r="600" spans="1:9" ht="16">
      <c r="A600" s="233">
        <v>42853</v>
      </c>
      <c r="B600">
        <v>97.683228</v>
      </c>
      <c r="C600" s="47">
        <f t="shared" si="20"/>
        <v>1.1746502223219935E-3</v>
      </c>
      <c r="E600" s="81"/>
      <c r="F600" s="82"/>
      <c r="G600" s="81">
        <v>42823</v>
      </c>
      <c r="H600" s="82">
        <v>340.1</v>
      </c>
      <c r="I600" s="211">
        <f t="shared" si="19"/>
        <v>7.0770779663025252E-3</v>
      </c>
    </row>
    <row r="601" spans="1:9" ht="16">
      <c r="A601" s="233">
        <v>42854</v>
      </c>
      <c r="B601">
        <v>97.965278999999995</v>
      </c>
      <c r="C601" s="47">
        <f t="shared" si="20"/>
        <v>2.8874045808560123E-3</v>
      </c>
      <c r="E601" s="81"/>
      <c r="F601" s="82"/>
      <c r="G601" s="81">
        <v>42824</v>
      </c>
      <c r="H601" s="82">
        <v>339.62</v>
      </c>
      <c r="I601" s="211">
        <f t="shared" si="19"/>
        <v>-1.4113496030579986E-3</v>
      </c>
    </row>
    <row r="602" spans="1:9" ht="16">
      <c r="A602" s="233">
        <v>42857</v>
      </c>
      <c r="B602">
        <v>97.830878999999996</v>
      </c>
      <c r="C602" s="47">
        <f t="shared" si="20"/>
        <v>-1.3719146351841571E-3</v>
      </c>
      <c r="E602" s="81"/>
      <c r="F602" s="82"/>
      <c r="G602" s="81">
        <v>42825</v>
      </c>
      <c r="H602" s="82">
        <v>344.11</v>
      </c>
      <c r="I602" s="211">
        <f t="shared" si="19"/>
        <v>1.3220658382898653E-2</v>
      </c>
    </row>
    <row r="603" spans="1:9" ht="16">
      <c r="A603" s="233">
        <v>42858</v>
      </c>
      <c r="B603">
        <v>97.919303999999997</v>
      </c>
      <c r="C603" s="47">
        <f t="shared" si="20"/>
        <v>9.0385572432616357E-4</v>
      </c>
      <c r="E603" s="81"/>
      <c r="F603" s="82"/>
      <c r="G603" s="81">
        <v>42826</v>
      </c>
      <c r="H603" s="82">
        <v>344.2</v>
      </c>
      <c r="I603" s="211">
        <f t="shared" si="19"/>
        <v>2.6154427363334065E-4</v>
      </c>
    </row>
    <row r="604" spans="1:9" ht="16">
      <c r="A604" s="233">
        <v>42859</v>
      </c>
      <c r="B604">
        <v>98.051956000000004</v>
      </c>
      <c r="C604" s="47">
        <f t="shared" si="20"/>
        <v>1.3547073414656996E-3</v>
      </c>
      <c r="E604" s="81"/>
      <c r="F604" s="82"/>
      <c r="G604" s="81">
        <v>42829</v>
      </c>
      <c r="H604" s="82">
        <v>343.95</v>
      </c>
      <c r="I604" s="211">
        <f t="shared" si="19"/>
        <v>-7.263219058686321E-4</v>
      </c>
    </row>
    <row r="605" spans="1:9" ht="16">
      <c r="A605" s="233">
        <v>42860</v>
      </c>
      <c r="B605">
        <v>98.237639999999999</v>
      </c>
      <c r="C605" s="47">
        <f t="shared" si="20"/>
        <v>1.8937307074220477E-3</v>
      </c>
      <c r="E605" s="81"/>
      <c r="F605" s="82"/>
      <c r="G605" s="81">
        <v>42830</v>
      </c>
      <c r="H605" s="82">
        <v>345.97</v>
      </c>
      <c r="I605" s="211">
        <f t="shared" si="19"/>
        <v>5.8729466492224436E-3</v>
      </c>
    </row>
    <row r="606" spans="1:9" ht="16">
      <c r="A606" s="233">
        <v>42861</v>
      </c>
      <c r="B606">
        <v>98.679732999999999</v>
      </c>
      <c r="C606" s="47">
        <f t="shared" si="20"/>
        <v>4.5002404373719607E-3</v>
      </c>
      <c r="E606" s="81"/>
      <c r="F606" s="82"/>
      <c r="G606" s="81">
        <v>42831</v>
      </c>
      <c r="H606" s="82">
        <v>344.33</v>
      </c>
      <c r="I606" s="211">
        <f t="shared" si="19"/>
        <v>-4.7402954013354703E-3</v>
      </c>
    </row>
    <row r="607" spans="1:9" ht="16">
      <c r="A607" s="233">
        <v>42864</v>
      </c>
      <c r="B607">
        <v>98.458686999999998</v>
      </c>
      <c r="C607" s="47">
        <f t="shared" si="20"/>
        <v>-2.2400344354397417E-3</v>
      </c>
      <c r="E607" s="81"/>
      <c r="F607" s="82"/>
      <c r="G607" s="81">
        <v>42832</v>
      </c>
      <c r="H607" s="82">
        <v>345.8</v>
      </c>
      <c r="I607" s="211">
        <f t="shared" si="19"/>
        <v>4.2691603984550408E-3</v>
      </c>
    </row>
    <row r="608" spans="1:9" ht="16">
      <c r="A608" s="233">
        <v>42865</v>
      </c>
      <c r="B608">
        <v>98.228797999999998</v>
      </c>
      <c r="C608" s="47">
        <f t="shared" si="20"/>
        <v>-2.3348777746752258E-3</v>
      </c>
      <c r="E608" s="81"/>
      <c r="F608" s="82"/>
      <c r="G608" s="81">
        <v>42833</v>
      </c>
      <c r="H608" s="82">
        <v>342.87</v>
      </c>
      <c r="I608" s="211">
        <f t="shared" si="19"/>
        <v>-8.47310584152694E-3</v>
      </c>
    </row>
    <row r="609" spans="1:9" ht="16">
      <c r="A609" s="233">
        <v>42866</v>
      </c>
      <c r="B609">
        <v>97.335739000000004</v>
      </c>
      <c r="C609" s="47">
        <f t="shared" si="20"/>
        <v>-9.0916209724972719E-3</v>
      </c>
      <c r="E609" s="81"/>
      <c r="F609" s="82"/>
      <c r="G609" s="81">
        <v>42836</v>
      </c>
      <c r="H609" s="82">
        <v>340.05</v>
      </c>
      <c r="I609" s="211">
        <f t="shared" si="19"/>
        <v>-8.2246915740659121E-3</v>
      </c>
    </row>
    <row r="610" spans="1:9" ht="16">
      <c r="A610" s="233">
        <v>42867</v>
      </c>
      <c r="B610">
        <v>97.839744999999994</v>
      </c>
      <c r="C610" s="47">
        <f t="shared" si="20"/>
        <v>5.1780158570531309E-3</v>
      </c>
      <c r="E610" s="81"/>
      <c r="F610" s="82"/>
      <c r="G610" s="81">
        <v>42837</v>
      </c>
      <c r="H610" s="82">
        <v>339.76</v>
      </c>
      <c r="I610" s="211">
        <f t="shared" si="19"/>
        <v>-8.5281576238793733E-4</v>
      </c>
    </row>
    <row r="611" spans="1:9" ht="16">
      <c r="A611" s="233">
        <v>42868</v>
      </c>
      <c r="B611">
        <v>98.352592000000001</v>
      </c>
      <c r="C611" s="47">
        <f t="shared" si="20"/>
        <v>5.2417041765593364E-3</v>
      </c>
      <c r="E611" s="81"/>
      <c r="F611" s="82"/>
      <c r="G611" s="81">
        <v>42838</v>
      </c>
      <c r="H611" s="82">
        <v>342.53</v>
      </c>
      <c r="I611" s="211">
        <f t="shared" si="19"/>
        <v>8.1528137508828369E-3</v>
      </c>
    </row>
    <row r="612" spans="1:9" ht="16">
      <c r="A612" s="233">
        <v>42871</v>
      </c>
      <c r="B612">
        <v>98.299521999999996</v>
      </c>
      <c r="C612" s="47">
        <f t="shared" si="20"/>
        <v>-5.3958923624508603E-4</v>
      </c>
      <c r="E612" s="81"/>
      <c r="F612" s="82"/>
      <c r="G612" s="81">
        <v>42839</v>
      </c>
      <c r="H612" s="82">
        <v>343.64</v>
      </c>
      <c r="I612" s="211">
        <f t="shared" si="19"/>
        <v>3.2405920649285491E-3</v>
      </c>
    </row>
    <row r="613" spans="1:9" ht="16">
      <c r="A613" s="233">
        <v>42872</v>
      </c>
      <c r="B613">
        <v>98.290702999999993</v>
      </c>
      <c r="C613" s="47">
        <f t="shared" si="20"/>
        <v>-8.9715593937556015E-5</v>
      </c>
      <c r="E613" s="81"/>
      <c r="F613" s="82"/>
      <c r="G613" s="81">
        <v>42840</v>
      </c>
      <c r="H613" s="82">
        <v>346.25</v>
      </c>
      <c r="I613" s="211">
        <f t="shared" si="19"/>
        <v>7.5951577231987422E-3</v>
      </c>
    </row>
    <row r="614" spans="1:9" ht="16">
      <c r="A614" s="233">
        <v>42873</v>
      </c>
      <c r="B614">
        <v>97.830878999999996</v>
      </c>
      <c r="C614" s="47">
        <f t="shared" si="20"/>
        <v>-4.678204407592812E-3</v>
      </c>
      <c r="E614" s="81"/>
      <c r="F614" s="82"/>
      <c r="G614" s="81">
        <v>42843</v>
      </c>
      <c r="H614" s="82">
        <v>346.6</v>
      </c>
      <c r="I614" s="211">
        <f t="shared" si="19"/>
        <v>1.0108303249098949E-3</v>
      </c>
    </row>
    <row r="615" spans="1:9" ht="16">
      <c r="A615" s="233">
        <v>42874</v>
      </c>
      <c r="B615">
        <v>98.511741999999998</v>
      </c>
      <c r="C615" s="47">
        <f t="shared" si="20"/>
        <v>6.9595919709564136E-3</v>
      </c>
      <c r="E615" s="81"/>
      <c r="F615" s="82"/>
      <c r="G615" s="81">
        <v>42844</v>
      </c>
      <c r="H615" s="82">
        <v>346.06</v>
      </c>
      <c r="I615" s="211">
        <f t="shared" si="19"/>
        <v>-1.5579919215233939E-3</v>
      </c>
    </row>
    <row r="616" spans="1:9" ht="16">
      <c r="A616" s="233">
        <v>42875</v>
      </c>
      <c r="B616">
        <v>98.317215000000004</v>
      </c>
      <c r="C616" s="47">
        <f t="shared" si="20"/>
        <v>-1.9746580057430352E-3</v>
      </c>
      <c r="E616" s="81"/>
      <c r="F616" s="82"/>
      <c r="G616" s="81">
        <v>42845</v>
      </c>
      <c r="H616" s="82">
        <v>344.58</v>
      </c>
      <c r="I616" s="211">
        <f t="shared" si="19"/>
        <v>-4.2767150205167415E-3</v>
      </c>
    </row>
    <row r="617" spans="1:9" ht="16">
      <c r="A617" s="233">
        <v>42878</v>
      </c>
      <c r="B617">
        <v>98.423316999999997</v>
      </c>
      <c r="C617" s="47">
        <f t="shared" si="20"/>
        <v>1.0791802839409392E-3</v>
      </c>
      <c r="E617" s="81"/>
      <c r="F617" s="82"/>
      <c r="G617" s="81">
        <v>42846</v>
      </c>
      <c r="H617" s="82">
        <v>345.69</v>
      </c>
      <c r="I617" s="211">
        <f t="shared" si="19"/>
        <v>3.2213129026641418E-3</v>
      </c>
    </row>
    <row r="618" spans="1:9" ht="16">
      <c r="A618" s="233">
        <v>42879</v>
      </c>
      <c r="B618">
        <v>98.900810000000007</v>
      </c>
      <c r="C618" s="47">
        <f t="shared" si="20"/>
        <v>4.8514215386583626E-3</v>
      </c>
      <c r="E618" s="81"/>
      <c r="F618" s="82"/>
      <c r="G618" s="81">
        <v>42847</v>
      </c>
      <c r="H618" s="82">
        <v>348.69</v>
      </c>
      <c r="I618" s="211">
        <f t="shared" si="19"/>
        <v>8.678295582747575E-3</v>
      </c>
    </row>
    <row r="619" spans="1:9" ht="16">
      <c r="A619" s="233">
        <v>42880</v>
      </c>
      <c r="B619">
        <v>98.891945000000007</v>
      </c>
      <c r="C619" s="47">
        <f t="shared" si="20"/>
        <v>-8.9635261834586366E-5</v>
      </c>
      <c r="E619" s="81"/>
      <c r="F619" s="82"/>
      <c r="G619" s="81">
        <v>42850</v>
      </c>
      <c r="H619" s="82">
        <v>350.67</v>
      </c>
      <c r="I619" s="211">
        <f t="shared" si="19"/>
        <v>5.6783962832316348E-3</v>
      </c>
    </row>
    <row r="620" spans="1:9" ht="16">
      <c r="A620" s="233">
        <v>42881</v>
      </c>
      <c r="B620">
        <v>98.706283999999997</v>
      </c>
      <c r="C620" s="47">
        <f t="shared" si="20"/>
        <v>-1.8774127660247109E-3</v>
      </c>
      <c r="E620" s="81"/>
      <c r="F620" s="82"/>
      <c r="G620" s="81">
        <v>42851</v>
      </c>
      <c r="H620" s="82">
        <v>351.2</v>
      </c>
      <c r="I620" s="211">
        <f t="shared" si="19"/>
        <v>1.5113924772578446E-3</v>
      </c>
    </row>
    <row r="621" spans="1:9" ht="16">
      <c r="A621" s="233">
        <v>42882</v>
      </c>
      <c r="B621">
        <v>98.909637000000004</v>
      </c>
      <c r="C621" s="47">
        <f t="shared" si="20"/>
        <v>2.0601829160138418E-3</v>
      </c>
      <c r="E621" s="81"/>
      <c r="F621" s="82"/>
      <c r="G621" s="81">
        <v>42852</v>
      </c>
      <c r="H621" s="82">
        <v>353.08</v>
      </c>
      <c r="I621" s="211">
        <f t="shared" si="19"/>
        <v>5.3530751708428248E-3</v>
      </c>
    </row>
    <row r="622" spans="1:9" ht="16">
      <c r="A622" s="233">
        <v>42886</v>
      </c>
      <c r="B622">
        <v>99.040931999999998</v>
      </c>
      <c r="C622" s="47">
        <f t="shared" si="20"/>
        <v>1.32742373728445E-3</v>
      </c>
      <c r="E622" s="81"/>
      <c r="F622" s="82"/>
      <c r="G622" s="81">
        <v>42853</v>
      </c>
      <c r="H622" s="82">
        <v>353.02</v>
      </c>
      <c r="I622" s="211">
        <f t="shared" si="19"/>
        <v>-1.6993315962388067E-4</v>
      </c>
    </row>
    <row r="623" spans="1:9" ht="16">
      <c r="A623" s="233">
        <v>42887</v>
      </c>
      <c r="B623">
        <v>99.191733999999997</v>
      </c>
      <c r="C623" s="47">
        <f t="shared" si="20"/>
        <v>1.5226229898563926E-3</v>
      </c>
      <c r="E623" s="81"/>
      <c r="F623" s="82"/>
      <c r="G623" s="81">
        <v>42854</v>
      </c>
      <c r="H623" s="82">
        <v>349</v>
      </c>
      <c r="I623" s="211">
        <f t="shared" si="19"/>
        <v>-1.1387456801314366E-2</v>
      </c>
    </row>
    <row r="624" spans="1:9" ht="16">
      <c r="A624" s="233">
        <v>42888</v>
      </c>
      <c r="B624">
        <v>98.703841999999995</v>
      </c>
      <c r="C624" s="47">
        <f t="shared" si="20"/>
        <v>-4.918675985642107E-3</v>
      </c>
      <c r="E624" s="81"/>
      <c r="F624" s="82"/>
      <c r="G624" s="81">
        <v>42857</v>
      </c>
      <c r="H624" s="82">
        <v>347.17</v>
      </c>
      <c r="I624" s="211">
        <f t="shared" si="19"/>
        <v>-5.2435530085959137E-3</v>
      </c>
    </row>
    <row r="625" spans="1:9" ht="16">
      <c r="A625" s="233">
        <v>42889</v>
      </c>
      <c r="B625">
        <v>99.360282999999995</v>
      </c>
      <c r="C625" s="47">
        <f t="shared" si="20"/>
        <v>6.6506124452583304E-3</v>
      </c>
      <c r="E625" s="81"/>
      <c r="F625" s="82"/>
      <c r="G625" s="81">
        <v>42858</v>
      </c>
      <c r="H625" s="82">
        <v>344.99</v>
      </c>
      <c r="I625" s="211">
        <f t="shared" si="19"/>
        <v>-6.2793444133998344E-3</v>
      </c>
    </row>
    <row r="626" spans="1:9" ht="16">
      <c r="A626" s="233">
        <v>42892</v>
      </c>
      <c r="B626">
        <v>99.138503999999998</v>
      </c>
      <c r="C626" s="47">
        <f t="shared" si="20"/>
        <v>-2.2320689243607861E-3</v>
      </c>
      <c r="E626" s="81"/>
      <c r="F626" s="82"/>
      <c r="G626" s="81">
        <v>42859</v>
      </c>
      <c r="H626" s="82">
        <v>344.66</v>
      </c>
      <c r="I626" s="211">
        <f t="shared" si="19"/>
        <v>-9.5654946520185025E-4</v>
      </c>
    </row>
    <row r="627" spans="1:9" ht="16">
      <c r="A627" s="233">
        <v>42893</v>
      </c>
      <c r="B627">
        <v>99.528816000000006</v>
      </c>
      <c r="C627" s="47">
        <f t="shared" si="20"/>
        <v>3.9370374198910429E-3</v>
      </c>
      <c r="E627" s="81"/>
      <c r="F627" s="82"/>
      <c r="G627" s="81">
        <v>42860</v>
      </c>
      <c r="H627" s="82">
        <v>346.65</v>
      </c>
      <c r="I627" s="211">
        <f t="shared" si="19"/>
        <v>5.773806069749865E-3</v>
      </c>
    </row>
    <row r="628" spans="1:9" ht="16">
      <c r="A628" s="233">
        <v>42894</v>
      </c>
      <c r="B628">
        <v>99.883628999999999</v>
      </c>
      <c r="C628" s="47">
        <f t="shared" si="20"/>
        <v>3.5649273673665771E-3</v>
      </c>
      <c r="E628" s="81"/>
      <c r="F628" s="82"/>
      <c r="G628" s="81">
        <v>42861</v>
      </c>
      <c r="H628" s="82">
        <v>348.66</v>
      </c>
      <c r="I628" s="211">
        <f t="shared" si="19"/>
        <v>5.7983556901775035E-3</v>
      </c>
    </row>
    <row r="629" spans="1:9" ht="16">
      <c r="A629" s="233">
        <v>42895</v>
      </c>
      <c r="B629">
        <v>100.034454</v>
      </c>
      <c r="C629" s="47">
        <f t="shared" si="20"/>
        <v>1.5100072104909934E-3</v>
      </c>
      <c r="E629" s="81"/>
      <c r="F629" s="82"/>
      <c r="G629" s="81">
        <v>42864</v>
      </c>
      <c r="H629" s="82">
        <v>347.55</v>
      </c>
      <c r="I629" s="211">
        <f t="shared" si="19"/>
        <v>-3.1836172775770999E-3</v>
      </c>
    </row>
    <row r="630" spans="1:9" ht="16">
      <c r="A630" s="233">
        <v>42896</v>
      </c>
      <c r="B630">
        <v>100.149765</v>
      </c>
      <c r="C630" s="47">
        <f t="shared" si="20"/>
        <v>1.1527128443167278E-3</v>
      </c>
      <c r="E630" s="81"/>
      <c r="F630" s="82"/>
      <c r="G630" s="81">
        <v>42865</v>
      </c>
      <c r="H630" s="82">
        <v>343.59</v>
      </c>
      <c r="I630" s="211">
        <f t="shared" si="19"/>
        <v>-1.1394044022442928E-2</v>
      </c>
    </row>
    <row r="631" spans="1:9" ht="16">
      <c r="A631" s="233">
        <v>42899</v>
      </c>
      <c r="B631">
        <v>99.546570000000003</v>
      </c>
      <c r="C631" s="47">
        <f t="shared" si="20"/>
        <v>-6.0229297592460096E-3</v>
      </c>
      <c r="E631" s="81"/>
      <c r="F631" s="82"/>
      <c r="G631" s="81">
        <v>42866</v>
      </c>
      <c r="H631" s="82">
        <v>340.16</v>
      </c>
      <c r="I631" s="211">
        <f t="shared" si="19"/>
        <v>-9.9828283710234889E-3</v>
      </c>
    </row>
    <row r="632" spans="1:9" ht="16">
      <c r="A632" s="233">
        <v>42900</v>
      </c>
      <c r="B632">
        <v>99.768317999999994</v>
      </c>
      <c r="C632" s="47">
        <f t="shared" si="20"/>
        <v>2.2275805183442632E-3</v>
      </c>
      <c r="E632" s="81"/>
      <c r="F632" s="82"/>
      <c r="G632" s="81">
        <v>42867</v>
      </c>
      <c r="H632" s="82">
        <v>335.04</v>
      </c>
      <c r="I632" s="211">
        <f t="shared" si="19"/>
        <v>-1.5051740357478804E-2</v>
      </c>
    </row>
    <row r="633" spans="1:9" ht="16">
      <c r="A633" s="233">
        <v>42901</v>
      </c>
      <c r="B633">
        <v>98.916756000000007</v>
      </c>
      <c r="C633" s="47">
        <f t="shared" si="20"/>
        <v>-8.5353949737830836E-3</v>
      </c>
      <c r="E633" s="81"/>
      <c r="F633" s="82"/>
      <c r="G633" s="81">
        <v>42868</v>
      </c>
      <c r="H633" s="82">
        <v>338.29</v>
      </c>
      <c r="I633" s="211">
        <f t="shared" si="19"/>
        <v>9.7003342884431909E-3</v>
      </c>
    </row>
    <row r="634" spans="1:9" ht="16">
      <c r="A634" s="233">
        <v>42902</v>
      </c>
      <c r="B634">
        <v>99.307045000000002</v>
      </c>
      <c r="C634" s="47">
        <f t="shared" si="20"/>
        <v>3.9456308090006775E-3</v>
      </c>
      <c r="E634" s="81"/>
      <c r="F634" s="82"/>
      <c r="G634" s="81">
        <v>42871</v>
      </c>
      <c r="H634" s="82">
        <v>339.63</v>
      </c>
      <c r="I634" s="211">
        <f t="shared" si="19"/>
        <v>3.9610984658133841E-3</v>
      </c>
    </row>
    <row r="635" spans="1:9" ht="16">
      <c r="A635" s="233">
        <v>42903</v>
      </c>
      <c r="B635">
        <v>99.590912000000003</v>
      </c>
      <c r="C635" s="47">
        <f t="shared" si="20"/>
        <v>2.858477965989259E-3</v>
      </c>
      <c r="E635" s="81"/>
      <c r="F635" s="82"/>
      <c r="G635" s="81">
        <v>42872</v>
      </c>
      <c r="H635" s="82">
        <v>345.37</v>
      </c>
      <c r="I635" s="211">
        <f t="shared" si="19"/>
        <v>1.690074492830429E-2</v>
      </c>
    </row>
    <row r="636" spans="1:9" ht="16">
      <c r="A636" s="233">
        <v>42906</v>
      </c>
      <c r="B636">
        <v>99.528816000000006</v>
      </c>
      <c r="C636" s="47">
        <f t="shared" si="20"/>
        <v>-6.2351070748301041E-4</v>
      </c>
      <c r="E636" s="81"/>
      <c r="F636" s="82"/>
      <c r="G636" s="81">
        <v>42873</v>
      </c>
      <c r="H636" s="82">
        <v>343.94</v>
      </c>
      <c r="I636" s="211">
        <f t="shared" si="19"/>
        <v>-4.1404870139271077E-3</v>
      </c>
    </row>
    <row r="637" spans="1:9" ht="16">
      <c r="A637" s="233">
        <v>42907</v>
      </c>
      <c r="B637">
        <v>99.484466999999995</v>
      </c>
      <c r="C637" s="47">
        <f t="shared" si="20"/>
        <v>-4.4558954664963846E-4</v>
      </c>
      <c r="E637" s="81"/>
      <c r="F637" s="82"/>
      <c r="G637" s="81">
        <v>42874</v>
      </c>
      <c r="H637" s="82">
        <v>344.45</v>
      </c>
      <c r="I637" s="211">
        <f t="shared" si="19"/>
        <v>1.4828167703668793E-3</v>
      </c>
    </row>
    <row r="638" spans="1:9" ht="16">
      <c r="A638" s="233">
        <v>42908</v>
      </c>
      <c r="B638">
        <v>99.599791999999994</v>
      </c>
      <c r="C638" s="47">
        <f t="shared" si="20"/>
        <v>1.159226193572449E-3</v>
      </c>
      <c r="E638" s="81"/>
      <c r="F638" s="82"/>
      <c r="G638" s="81">
        <v>42875</v>
      </c>
      <c r="H638" s="82">
        <v>344.78</v>
      </c>
      <c r="I638" s="211">
        <f t="shared" si="19"/>
        <v>9.5804906372465304E-4</v>
      </c>
    </row>
    <row r="639" spans="1:9" ht="16">
      <c r="A639" s="233">
        <v>42909</v>
      </c>
      <c r="B639">
        <v>99.635238999999999</v>
      </c>
      <c r="C639" s="47">
        <f t="shared" si="20"/>
        <v>3.5589431753035861E-4</v>
      </c>
      <c r="E639" s="81"/>
      <c r="F639" s="82"/>
      <c r="G639" s="81">
        <v>42878</v>
      </c>
      <c r="H639" s="82">
        <v>344.65</v>
      </c>
      <c r="I639" s="211">
        <f t="shared" si="19"/>
        <v>-3.7705203318061375E-4</v>
      </c>
    </row>
    <row r="640" spans="1:9" ht="16">
      <c r="A640" s="233">
        <v>42910</v>
      </c>
      <c r="B640">
        <v>99.466712999999999</v>
      </c>
      <c r="C640" s="47">
        <f t="shared" si="20"/>
        <v>-1.691429675799716E-3</v>
      </c>
      <c r="E640" s="81"/>
      <c r="F640" s="82"/>
      <c r="G640" s="81">
        <v>42879</v>
      </c>
      <c r="H640" s="82">
        <v>348.92</v>
      </c>
      <c r="I640" s="211">
        <f t="shared" si="19"/>
        <v>1.2389380530973604E-2</v>
      </c>
    </row>
    <row r="641" spans="1:9" ht="16">
      <c r="A641" s="233">
        <v>42913</v>
      </c>
      <c r="B641">
        <v>99.653008</v>
      </c>
      <c r="C641" s="47">
        <f t="shared" si="20"/>
        <v>1.8729381355950814E-3</v>
      </c>
      <c r="E641" s="81"/>
      <c r="F641" s="82"/>
      <c r="G641" s="81">
        <v>42880</v>
      </c>
      <c r="H641" s="82">
        <v>350.79</v>
      </c>
      <c r="I641" s="211">
        <f t="shared" si="19"/>
        <v>5.3593947036569833E-3</v>
      </c>
    </row>
    <row r="642" spans="1:9" ht="16">
      <c r="A642" s="233">
        <v>42914</v>
      </c>
      <c r="B642">
        <v>99.626389000000003</v>
      </c>
      <c r="C642" s="47">
        <f t="shared" si="20"/>
        <v>-2.6711687418401464E-4</v>
      </c>
      <c r="E642" s="81"/>
      <c r="F642" s="82"/>
      <c r="G642" s="81">
        <v>42881</v>
      </c>
      <c r="H642" s="82">
        <v>352.03</v>
      </c>
      <c r="I642" s="211">
        <f t="shared" si="19"/>
        <v>3.5348784172866132E-3</v>
      </c>
    </row>
    <row r="643" spans="1:9" ht="16">
      <c r="A643" s="233">
        <v>42915</v>
      </c>
      <c r="B643">
        <v>99.759467999999998</v>
      </c>
      <c r="C643" s="47">
        <f t="shared" si="20"/>
        <v>1.3357806233447178E-3</v>
      </c>
      <c r="E643" s="81"/>
      <c r="F643" s="82"/>
      <c r="G643" s="81">
        <v>42882</v>
      </c>
      <c r="H643" s="82">
        <v>353.55</v>
      </c>
      <c r="I643" s="211">
        <f t="shared" si="19"/>
        <v>4.31781382268559E-3</v>
      </c>
    </row>
    <row r="644" spans="1:9" ht="16">
      <c r="A644" s="233">
        <v>42916</v>
      </c>
      <c r="B644">
        <v>99.657120000000006</v>
      </c>
      <c r="C644" s="47">
        <f t="shared" si="20"/>
        <v>-1.0259477326001187E-3</v>
      </c>
      <c r="E644" s="81"/>
      <c r="F644" s="82"/>
      <c r="G644" s="81">
        <v>42885</v>
      </c>
      <c r="H644" s="82">
        <v>357.07</v>
      </c>
      <c r="I644" s="211">
        <f t="shared" si="19"/>
        <v>9.9561589591288246E-3</v>
      </c>
    </row>
    <row r="645" spans="1:9" ht="16">
      <c r="A645" s="233">
        <v>42917</v>
      </c>
      <c r="B645">
        <v>99.772819999999996</v>
      </c>
      <c r="C645" s="47">
        <f t="shared" si="20"/>
        <v>1.160980770867015E-3</v>
      </c>
      <c r="E645" s="81"/>
      <c r="F645" s="82"/>
      <c r="G645" s="81">
        <v>42886</v>
      </c>
      <c r="H645" s="82">
        <v>360.55</v>
      </c>
      <c r="I645" s="211">
        <f t="shared" si="19"/>
        <v>9.7459881815891158E-3</v>
      </c>
    </row>
    <row r="646" spans="1:9" ht="16">
      <c r="A646" s="233">
        <v>42921</v>
      </c>
      <c r="B646">
        <v>99.888480999999999</v>
      </c>
      <c r="C646" s="47">
        <f t="shared" si="20"/>
        <v>1.159243569541335E-3</v>
      </c>
      <c r="E646" s="81"/>
      <c r="F646" s="82"/>
      <c r="G646" s="81">
        <v>42887</v>
      </c>
      <c r="H646" s="82">
        <v>360.82</v>
      </c>
      <c r="I646" s="211">
        <f t="shared" si="19"/>
        <v>7.4885591457496403E-4</v>
      </c>
    </row>
    <row r="647" spans="1:9" ht="16">
      <c r="A647" s="233">
        <v>42922</v>
      </c>
      <c r="B647">
        <v>100.030861</v>
      </c>
      <c r="C647" s="47">
        <f t="shared" si="20"/>
        <v>1.4253895802058825E-3</v>
      </c>
      <c r="E647" s="81"/>
      <c r="F647" s="82"/>
      <c r="G647" s="81">
        <v>42888</v>
      </c>
      <c r="H647" s="82">
        <v>359.36</v>
      </c>
      <c r="I647" s="211">
        <f t="shared" si="19"/>
        <v>-4.0463388947397094E-3</v>
      </c>
    </row>
    <row r="648" spans="1:9" ht="16">
      <c r="A648" s="233">
        <v>42923</v>
      </c>
      <c r="B648">
        <v>99.826201999999995</v>
      </c>
      <c r="C648" s="47">
        <f t="shared" si="20"/>
        <v>-2.0459585967175231E-3</v>
      </c>
      <c r="E648" s="81"/>
      <c r="F648" s="82"/>
      <c r="G648" s="81">
        <v>42889</v>
      </c>
      <c r="H648" s="82">
        <v>359.35</v>
      </c>
      <c r="I648" s="211">
        <f t="shared" si="19"/>
        <v>-2.7827248441636421E-5</v>
      </c>
    </row>
    <row r="649" spans="1:9" ht="16">
      <c r="A649" s="233">
        <v>42924</v>
      </c>
      <c r="B649">
        <v>99.799507000000006</v>
      </c>
      <c r="C649" s="47">
        <f t="shared" si="20"/>
        <v>-2.6741476150704546E-4</v>
      </c>
      <c r="E649" s="81"/>
      <c r="F649" s="82"/>
      <c r="G649" s="81">
        <v>42892</v>
      </c>
      <c r="H649" s="82">
        <v>359</v>
      </c>
      <c r="I649" s="211">
        <f t="shared" si="19"/>
        <v>-9.7398079866428677E-4</v>
      </c>
    </row>
    <row r="650" spans="1:9" ht="16">
      <c r="A650" s="233">
        <v>42927</v>
      </c>
      <c r="B650">
        <v>99.861785999999995</v>
      </c>
      <c r="C650" s="47">
        <f t="shared" si="20"/>
        <v>6.2404115884051592E-4</v>
      </c>
      <c r="E650" s="81"/>
      <c r="F650" s="82"/>
      <c r="G650" s="81">
        <v>42893</v>
      </c>
      <c r="H650" s="82">
        <v>358.41</v>
      </c>
      <c r="I650" s="211">
        <f t="shared" si="19"/>
        <v>-1.6434540389971275E-3</v>
      </c>
    </row>
    <row r="651" spans="1:9" ht="16">
      <c r="A651" s="233">
        <v>42928</v>
      </c>
      <c r="B651">
        <v>99.505843999999996</v>
      </c>
      <c r="C651" s="47">
        <f t="shared" si="20"/>
        <v>-3.5643464257688606E-3</v>
      </c>
      <c r="E651" s="81"/>
      <c r="F651" s="82"/>
      <c r="G651" s="81">
        <v>42894</v>
      </c>
      <c r="H651" s="82">
        <v>357.69</v>
      </c>
      <c r="I651" s="211">
        <f t="shared" si="19"/>
        <v>-2.0088725202980218E-3</v>
      </c>
    </row>
    <row r="652" spans="1:9" ht="16">
      <c r="A652" s="233">
        <v>42929</v>
      </c>
      <c r="B652">
        <v>99.932998999999995</v>
      </c>
      <c r="C652" s="47">
        <f t="shared" si="20"/>
        <v>4.2927629456617211E-3</v>
      </c>
      <c r="E652" s="81"/>
      <c r="F652" s="82"/>
      <c r="G652" s="81">
        <v>42895</v>
      </c>
      <c r="H652" s="82">
        <v>359.54</v>
      </c>
      <c r="I652" s="211">
        <f t="shared" si="19"/>
        <v>5.1720763789875335E-3</v>
      </c>
    </row>
    <row r="653" spans="1:9" ht="16">
      <c r="A653" s="233">
        <v>42930</v>
      </c>
      <c r="B653">
        <v>100.244469</v>
      </c>
      <c r="C653" s="47">
        <f t="shared" si="20"/>
        <v>3.1167882793150525E-3</v>
      </c>
      <c r="E653" s="81"/>
      <c r="F653" s="82"/>
      <c r="G653" s="81">
        <v>42896</v>
      </c>
      <c r="H653" s="82">
        <v>359.7</v>
      </c>
      <c r="I653" s="211">
        <f t="shared" si="19"/>
        <v>4.4501307225885967E-4</v>
      </c>
    </row>
    <row r="654" spans="1:9" ht="16">
      <c r="A654" s="233">
        <v>42931</v>
      </c>
      <c r="B654">
        <v>100.110947</v>
      </c>
      <c r="C654" s="47">
        <f t="shared" si="20"/>
        <v>-1.3319637615119007E-3</v>
      </c>
      <c r="E654" s="81"/>
      <c r="F654" s="82"/>
      <c r="G654" s="81">
        <v>42899</v>
      </c>
      <c r="H654" s="82">
        <v>360.42</v>
      </c>
      <c r="I654" s="211">
        <f t="shared" si="19"/>
        <v>2.0016680567140899E-3</v>
      </c>
    </row>
    <row r="655" spans="1:9" ht="16">
      <c r="A655" s="233">
        <v>42934</v>
      </c>
      <c r="B655">
        <v>100.12872299999999</v>
      </c>
      <c r="C655" s="47">
        <f t="shared" si="20"/>
        <v>1.7756299917937035E-4</v>
      </c>
      <c r="E655" s="81"/>
      <c r="F655" s="82"/>
      <c r="G655" s="81">
        <v>42900</v>
      </c>
      <c r="H655" s="82">
        <v>358.56</v>
      </c>
      <c r="I655" s="211">
        <f t="shared" si="19"/>
        <v>-5.1606459131013915E-3</v>
      </c>
    </row>
    <row r="656" spans="1:9" ht="16">
      <c r="A656" s="233">
        <v>42935</v>
      </c>
      <c r="B656">
        <v>100.404617</v>
      </c>
      <c r="C656" s="47">
        <f t="shared" si="20"/>
        <v>2.7553931752430927E-3</v>
      </c>
      <c r="E656" s="81"/>
      <c r="F656" s="82"/>
      <c r="G656" s="81">
        <v>42901</v>
      </c>
      <c r="H656" s="82">
        <v>355.87</v>
      </c>
      <c r="I656" s="211">
        <f t="shared" ref="I656:I719" si="21">H656/H655-1</f>
        <v>-7.5022311468094793E-3</v>
      </c>
    </row>
    <row r="657" spans="1:9" ht="16">
      <c r="A657" s="233">
        <v>42936</v>
      </c>
      <c r="B657">
        <v>100.021973</v>
      </c>
      <c r="C657" s="47">
        <f t="shared" ref="C657:C720" si="22">B657/B656-1</f>
        <v>-3.8110199653468291E-3</v>
      </c>
      <c r="E657" s="81"/>
      <c r="F657" s="82"/>
      <c r="G657" s="81">
        <v>42902</v>
      </c>
      <c r="H657" s="82">
        <v>354.57</v>
      </c>
      <c r="I657" s="211">
        <f t="shared" si="21"/>
        <v>-3.6530193610025963E-3</v>
      </c>
    </row>
    <row r="658" spans="1:9" ht="16">
      <c r="A658" s="233">
        <v>42937</v>
      </c>
      <c r="B658">
        <v>100.244469</v>
      </c>
      <c r="C658" s="47">
        <f t="shared" si="22"/>
        <v>2.224471216939472E-3</v>
      </c>
      <c r="E658" s="81"/>
      <c r="F658" s="82"/>
      <c r="G658" s="81">
        <v>42903</v>
      </c>
      <c r="H658" s="82">
        <v>354.09</v>
      </c>
      <c r="I658" s="211">
        <f t="shared" si="21"/>
        <v>-1.3537524325240025E-3</v>
      </c>
    </row>
    <row r="659" spans="1:9" ht="16">
      <c r="A659" s="233">
        <v>42938</v>
      </c>
      <c r="B659">
        <v>100.253326</v>
      </c>
      <c r="C659" s="47">
        <f t="shared" si="22"/>
        <v>8.8354001855250885E-5</v>
      </c>
      <c r="E659" s="81"/>
      <c r="F659" s="82"/>
      <c r="G659" s="81">
        <v>42906</v>
      </c>
      <c r="H659" s="82">
        <v>351.85</v>
      </c>
      <c r="I659" s="211">
        <f t="shared" si="21"/>
        <v>-6.3260752915923479E-3</v>
      </c>
    </row>
    <row r="660" spans="1:9" ht="16">
      <c r="A660" s="233">
        <v>42941</v>
      </c>
      <c r="B660">
        <v>99.977463</v>
      </c>
      <c r="C660" s="47">
        <f t="shared" si="22"/>
        <v>-2.7516593314819149E-3</v>
      </c>
      <c r="E660" s="81"/>
      <c r="F660" s="82"/>
      <c r="G660" s="81">
        <v>42907</v>
      </c>
      <c r="H660" s="82">
        <v>350.98</v>
      </c>
      <c r="I660" s="211">
        <f t="shared" si="21"/>
        <v>-2.4726445928663354E-3</v>
      </c>
    </row>
    <row r="661" spans="1:9" ht="16">
      <c r="A661" s="233">
        <v>42942</v>
      </c>
      <c r="B661">
        <v>99.710517999999993</v>
      </c>
      <c r="C661" s="47">
        <f t="shared" si="22"/>
        <v>-2.6700517495629184E-3</v>
      </c>
      <c r="E661" s="81"/>
      <c r="F661" s="82"/>
      <c r="G661" s="81">
        <v>42908</v>
      </c>
      <c r="H661" s="82">
        <v>354.53</v>
      </c>
      <c r="I661" s="211">
        <f t="shared" si="21"/>
        <v>1.0114536440822608E-2</v>
      </c>
    </row>
    <row r="662" spans="1:9" ht="16">
      <c r="A662" s="233">
        <v>42943</v>
      </c>
      <c r="B662">
        <v>99.959686000000005</v>
      </c>
      <c r="C662" s="47">
        <f t="shared" si="22"/>
        <v>2.4989139059532484E-3</v>
      </c>
      <c r="E662" s="81"/>
      <c r="F662" s="82"/>
      <c r="G662" s="81">
        <v>42909</v>
      </c>
      <c r="H662" s="82">
        <v>356.13</v>
      </c>
      <c r="I662" s="211">
        <f t="shared" si="21"/>
        <v>4.5130172340845931E-3</v>
      </c>
    </row>
    <row r="663" spans="1:9" ht="16">
      <c r="A663" s="233">
        <v>42944</v>
      </c>
      <c r="B663">
        <v>100.048676</v>
      </c>
      <c r="C663" s="47">
        <f t="shared" si="22"/>
        <v>8.9025889897254018E-4</v>
      </c>
      <c r="E663" s="81"/>
      <c r="F663" s="82"/>
      <c r="G663" s="81">
        <v>42910</v>
      </c>
      <c r="H663" s="82">
        <v>359.35</v>
      </c>
      <c r="I663" s="211">
        <f t="shared" si="21"/>
        <v>9.0416420969872124E-3</v>
      </c>
    </row>
    <row r="664" spans="1:9" ht="16">
      <c r="A664" s="233">
        <v>42945</v>
      </c>
      <c r="B664">
        <v>100.31564299999999</v>
      </c>
      <c r="C664" s="47">
        <f t="shared" si="22"/>
        <v>2.6683711436621405E-3</v>
      </c>
      <c r="E664" s="81"/>
      <c r="F664" s="82"/>
      <c r="G664" s="81">
        <v>42913</v>
      </c>
      <c r="H664" s="82">
        <v>359.43</v>
      </c>
      <c r="I664" s="211">
        <f t="shared" si="21"/>
        <v>2.226241825518116E-4</v>
      </c>
    </row>
    <row r="665" spans="1:9" ht="16">
      <c r="A665" s="233">
        <v>42948</v>
      </c>
      <c r="B665">
        <v>100.449493</v>
      </c>
      <c r="C665" s="47">
        <f t="shared" si="22"/>
        <v>1.334288412027762E-3</v>
      </c>
      <c r="E665" s="81"/>
      <c r="F665" s="82"/>
      <c r="G665" s="81">
        <v>42914</v>
      </c>
      <c r="H665" s="82">
        <v>358.53</v>
      </c>
      <c r="I665" s="211">
        <f t="shared" si="21"/>
        <v>-2.5039646106336244E-3</v>
      </c>
    </row>
    <row r="666" spans="1:9" ht="16">
      <c r="A666" s="233">
        <v>42949</v>
      </c>
      <c r="B666">
        <v>100.494164</v>
      </c>
      <c r="C666" s="47">
        <f t="shared" si="22"/>
        <v>4.4471105493770757E-4</v>
      </c>
      <c r="E666" s="81"/>
      <c r="F666" s="82"/>
      <c r="G666" s="81">
        <v>42915</v>
      </c>
      <c r="H666" s="82">
        <v>357.51</v>
      </c>
      <c r="I666" s="211">
        <f t="shared" si="21"/>
        <v>-2.8449502133711668E-3</v>
      </c>
    </row>
    <row r="667" spans="1:9" ht="16">
      <c r="A667" s="233">
        <v>42950</v>
      </c>
      <c r="B667">
        <v>100.538788</v>
      </c>
      <c r="C667" s="47">
        <f t="shared" si="22"/>
        <v>4.4404568607592232E-4</v>
      </c>
      <c r="E667" s="81"/>
      <c r="F667" s="82"/>
      <c r="G667" s="81">
        <v>42916</v>
      </c>
      <c r="H667" s="82">
        <v>355.92</v>
      </c>
      <c r="I667" s="211">
        <f t="shared" si="21"/>
        <v>-4.4474280439706915E-3</v>
      </c>
    </row>
    <row r="668" spans="1:9" ht="16">
      <c r="A668" s="233">
        <v>42951</v>
      </c>
      <c r="B668">
        <v>100.47629499999999</v>
      </c>
      <c r="C668" s="47">
        <f t="shared" si="22"/>
        <v>-6.2158099618236928E-4</v>
      </c>
      <c r="E668" s="81"/>
      <c r="F668" s="82"/>
      <c r="G668" s="81">
        <v>42917</v>
      </c>
      <c r="H668" s="82">
        <v>353.12</v>
      </c>
      <c r="I668" s="211">
        <f t="shared" si="21"/>
        <v>-7.8669363902000855E-3</v>
      </c>
    </row>
    <row r="669" spans="1:9" ht="16">
      <c r="A669" s="233">
        <v>42952</v>
      </c>
      <c r="B669">
        <v>99.940712000000005</v>
      </c>
      <c r="C669" s="47">
        <f t="shared" si="22"/>
        <v>-5.3304413742564227E-3</v>
      </c>
      <c r="E669" s="81"/>
      <c r="F669" s="82"/>
      <c r="G669" s="81">
        <v>42920</v>
      </c>
      <c r="H669" s="82">
        <v>353.41</v>
      </c>
      <c r="I669" s="211">
        <f t="shared" si="21"/>
        <v>8.2125056637982752E-4</v>
      </c>
    </row>
    <row r="670" spans="1:9" ht="16">
      <c r="A670" s="233">
        <v>42955</v>
      </c>
      <c r="B670">
        <v>99.610427999999999</v>
      </c>
      <c r="C670" s="47">
        <f t="shared" si="22"/>
        <v>-3.304799349438392E-3</v>
      </c>
      <c r="E670" s="81"/>
      <c r="F670" s="82"/>
      <c r="G670" s="81">
        <v>42921</v>
      </c>
      <c r="H670" s="82">
        <v>350.16</v>
      </c>
      <c r="I670" s="211">
        <f t="shared" si="21"/>
        <v>-9.1961178234911678E-3</v>
      </c>
    </row>
    <row r="671" spans="1:9" ht="16">
      <c r="A671" s="233">
        <v>42956</v>
      </c>
      <c r="B671">
        <v>99.592574999999997</v>
      </c>
      <c r="C671" s="47">
        <f t="shared" si="22"/>
        <v>-1.7922822297278262E-4</v>
      </c>
      <c r="E671" s="81"/>
      <c r="F671" s="82"/>
      <c r="G671" s="81">
        <v>42922</v>
      </c>
      <c r="H671" s="82">
        <v>349.27</v>
      </c>
      <c r="I671" s="211">
        <f t="shared" si="21"/>
        <v>-2.5416952250401081E-3</v>
      </c>
    </row>
    <row r="672" spans="1:9" ht="16">
      <c r="A672" s="233">
        <v>42957</v>
      </c>
      <c r="B672">
        <v>99.655074999999997</v>
      </c>
      <c r="C672" s="47">
        <f t="shared" si="22"/>
        <v>6.2755682338777596E-4</v>
      </c>
      <c r="E672" s="81"/>
      <c r="F672" s="82"/>
      <c r="G672" s="81">
        <v>42923</v>
      </c>
      <c r="H672" s="82">
        <v>343.35</v>
      </c>
      <c r="I672" s="211">
        <f t="shared" si="21"/>
        <v>-1.6949637816016105E-2</v>
      </c>
    </row>
    <row r="673" spans="1:9" ht="16">
      <c r="A673" s="233">
        <v>42958</v>
      </c>
      <c r="B673">
        <v>99.788955999999999</v>
      </c>
      <c r="C673" s="47">
        <f t="shared" si="22"/>
        <v>1.3434438737816023E-3</v>
      </c>
      <c r="E673" s="81"/>
      <c r="F673" s="82"/>
      <c r="G673" s="81">
        <v>42924</v>
      </c>
      <c r="H673" s="82">
        <v>345.29</v>
      </c>
      <c r="I673" s="211">
        <f t="shared" si="21"/>
        <v>5.6502111547982459E-3</v>
      </c>
    </row>
    <row r="674" spans="1:9" ht="16">
      <c r="A674" s="233">
        <v>42959</v>
      </c>
      <c r="B674">
        <v>100.262047</v>
      </c>
      <c r="C674" s="47">
        <f t="shared" si="22"/>
        <v>4.740915417533742E-3</v>
      </c>
      <c r="E674" s="81"/>
      <c r="F674" s="82"/>
      <c r="G674" s="81">
        <v>42927</v>
      </c>
      <c r="H674" s="82">
        <v>347.23</v>
      </c>
      <c r="I674" s="211">
        <f t="shared" si="21"/>
        <v>5.6184656375799502E-3</v>
      </c>
    </row>
    <row r="675" spans="1:9" ht="16">
      <c r="A675" s="233">
        <v>42962</v>
      </c>
      <c r="B675">
        <v>100.279915</v>
      </c>
      <c r="C675" s="47">
        <f t="shared" si="22"/>
        <v>1.7821299818465697E-4</v>
      </c>
      <c r="E675" s="81"/>
      <c r="F675" s="82"/>
      <c r="G675" s="81">
        <v>42928</v>
      </c>
      <c r="H675" s="82">
        <v>349.69</v>
      </c>
      <c r="I675" s="211">
        <f t="shared" si="21"/>
        <v>7.0846413040346334E-3</v>
      </c>
    </row>
    <row r="676" spans="1:9" ht="16">
      <c r="A676" s="233">
        <v>42963</v>
      </c>
      <c r="B676">
        <v>100.190651</v>
      </c>
      <c r="C676" s="47">
        <f t="shared" si="22"/>
        <v>-8.9014834127054687E-4</v>
      </c>
      <c r="E676" s="81"/>
      <c r="F676" s="82"/>
      <c r="G676" s="81">
        <v>42929</v>
      </c>
      <c r="H676" s="82">
        <v>349.57</v>
      </c>
      <c r="I676" s="211">
        <f t="shared" si="21"/>
        <v>-3.4316108553289482E-4</v>
      </c>
    </row>
    <row r="677" spans="1:9" ht="16">
      <c r="A677" s="233">
        <v>42964</v>
      </c>
      <c r="B677">
        <v>100.110313</v>
      </c>
      <c r="C677" s="47">
        <f t="shared" si="22"/>
        <v>-8.0185126254939121E-4</v>
      </c>
      <c r="E677" s="81"/>
      <c r="F677" s="82"/>
      <c r="G677" s="81">
        <v>42930</v>
      </c>
      <c r="H677" s="82">
        <v>351.76</v>
      </c>
      <c r="I677" s="211">
        <f t="shared" si="21"/>
        <v>6.264839660153898E-3</v>
      </c>
    </row>
    <row r="678" spans="1:9" ht="16">
      <c r="A678" s="233">
        <v>42965</v>
      </c>
      <c r="B678">
        <v>100.208496</v>
      </c>
      <c r="C678" s="47">
        <f t="shared" si="22"/>
        <v>9.8074810734027906E-4</v>
      </c>
      <c r="E678" s="81"/>
      <c r="F678" s="82"/>
      <c r="G678" s="81">
        <v>42931</v>
      </c>
      <c r="H678" s="82">
        <v>349.79</v>
      </c>
      <c r="I678" s="211">
        <f t="shared" si="21"/>
        <v>-5.600409370024928E-3</v>
      </c>
    </row>
    <row r="679" spans="1:9" ht="16">
      <c r="A679" s="233">
        <v>42966</v>
      </c>
      <c r="B679">
        <v>100.065681</v>
      </c>
      <c r="C679" s="47">
        <f t="shared" si="22"/>
        <v>-1.4251785597101385E-3</v>
      </c>
      <c r="E679" s="81"/>
      <c r="F679" s="82"/>
      <c r="G679" s="81">
        <v>42934</v>
      </c>
      <c r="H679" s="82">
        <v>344.53</v>
      </c>
      <c r="I679" s="211">
        <f t="shared" si="21"/>
        <v>-1.5037593984962516E-2</v>
      </c>
    </row>
    <row r="680" spans="1:9" ht="16">
      <c r="A680" s="233">
        <v>42969</v>
      </c>
      <c r="B680">
        <v>100.440567</v>
      </c>
      <c r="C680" s="47">
        <f t="shared" si="22"/>
        <v>3.7463993274577945E-3</v>
      </c>
      <c r="E680" s="81"/>
      <c r="F680" s="82"/>
      <c r="G680" s="81">
        <v>42935</v>
      </c>
      <c r="H680" s="82">
        <v>342.95</v>
      </c>
      <c r="I680" s="211">
        <f t="shared" si="21"/>
        <v>-4.5859576814790692E-3</v>
      </c>
    </row>
    <row r="681" spans="1:9" ht="16">
      <c r="A681" s="233">
        <v>42970</v>
      </c>
      <c r="B681">
        <v>100.50305899999999</v>
      </c>
      <c r="C681" s="47">
        <f t="shared" si="22"/>
        <v>6.2217888515103681E-4</v>
      </c>
      <c r="E681" s="81"/>
      <c r="F681" s="82"/>
      <c r="G681" s="81">
        <v>42936</v>
      </c>
      <c r="H681" s="82">
        <v>343.74</v>
      </c>
      <c r="I681" s="211">
        <f t="shared" si="21"/>
        <v>2.3035427904942729E-3</v>
      </c>
    </row>
    <row r="682" spans="1:9" ht="16">
      <c r="A682" s="233">
        <v>42971</v>
      </c>
      <c r="B682">
        <v>100.43167099999999</v>
      </c>
      <c r="C682" s="47">
        <f t="shared" si="22"/>
        <v>-7.1030673802674471E-4</v>
      </c>
      <c r="E682" s="81"/>
      <c r="F682" s="82"/>
      <c r="G682" s="81">
        <v>42937</v>
      </c>
      <c r="H682" s="82">
        <v>347.03</v>
      </c>
      <c r="I682" s="211">
        <f t="shared" si="21"/>
        <v>9.5711875254551604E-3</v>
      </c>
    </row>
    <row r="683" spans="1:9" ht="16">
      <c r="A683" s="233">
        <v>42972</v>
      </c>
      <c r="B683">
        <v>100.271004</v>
      </c>
      <c r="C683" s="47">
        <f t="shared" si="22"/>
        <v>-1.5997642815281932E-3</v>
      </c>
      <c r="E683" s="81"/>
      <c r="F683" s="82"/>
      <c r="G683" s="81">
        <v>42938</v>
      </c>
      <c r="H683" s="82">
        <v>342.79</v>
      </c>
      <c r="I683" s="211">
        <f t="shared" si="21"/>
        <v>-1.2217963864795456E-2</v>
      </c>
    </row>
    <row r="684" spans="1:9" ht="16">
      <c r="A684" s="233">
        <v>42973</v>
      </c>
      <c r="B684">
        <v>100.913696</v>
      </c>
      <c r="C684" s="47">
        <f t="shared" si="22"/>
        <v>6.4095498634879622E-3</v>
      </c>
      <c r="E684" s="81"/>
      <c r="F684" s="82"/>
      <c r="G684" s="81">
        <v>42941</v>
      </c>
      <c r="H684" s="82">
        <v>334.85</v>
      </c>
      <c r="I684" s="211">
        <f t="shared" si="21"/>
        <v>-2.316286939525658E-2</v>
      </c>
    </row>
    <row r="685" spans="1:9" ht="16">
      <c r="A685" s="233">
        <v>42976</v>
      </c>
      <c r="B685">
        <v>101.18150300000001</v>
      </c>
      <c r="C685" s="47">
        <f t="shared" si="22"/>
        <v>2.6538221333207712E-3</v>
      </c>
      <c r="E685" s="81"/>
      <c r="F685" s="82"/>
      <c r="G685" s="81">
        <v>42942</v>
      </c>
      <c r="H685" s="82">
        <v>327.16000000000003</v>
      </c>
      <c r="I685" s="211">
        <f t="shared" si="21"/>
        <v>-2.2965506943407488E-2</v>
      </c>
    </row>
    <row r="686" spans="1:9" ht="16">
      <c r="A686" s="233">
        <v>42977</v>
      </c>
      <c r="B686">
        <v>101.217186</v>
      </c>
      <c r="C686" s="47">
        <f t="shared" si="22"/>
        <v>3.526632728512169E-4</v>
      </c>
      <c r="E686" s="81"/>
      <c r="F686" s="82"/>
      <c r="G686" s="81">
        <v>42943</v>
      </c>
      <c r="H686" s="82">
        <v>331.47</v>
      </c>
      <c r="I686" s="211">
        <f t="shared" si="21"/>
        <v>1.3173982149407015E-2</v>
      </c>
    </row>
    <row r="687" spans="1:9" ht="16">
      <c r="A687" s="233">
        <v>42978</v>
      </c>
      <c r="B687">
        <v>101.39447</v>
      </c>
      <c r="C687" s="47">
        <f t="shared" si="22"/>
        <v>1.7515207348286488E-3</v>
      </c>
      <c r="E687" s="81"/>
      <c r="F687" s="82"/>
      <c r="G687" s="81">
        <v>42944</v>
      </c>
      <c r="H687" s="82">
        <v>338.17</v>
      </c>
      <c r="I687" s="211">
        <f t="shared" si="21"/>
        <v>2.0212990617552107E-2</v>
      </c>
    </row>
    <row r="688" spans="1:9" ht="16">
      <c r="A688" s="233">
        <v>42979</v>
      </c>
      <c r="B688">
        <v>101.672073</v>
      </c>
      <c r="C688" s="47">
        <f t="shared" si="22"/>
        <v>2.7378514824329958E-3</v>
      </c>
      <c r="E688" s="81"/>
      <c r="F688" s="82"/>
      <c r="G688" s="81">
        <v>42945</v>
      </c>
      <c r="H688" s="82">
        <v>334.62</v>
      </c>
      <c r="I688" s="211">
        <f t="shared" si="21"/>
        <v>-1.0497678682319544E-2</v>
      </c>
    </row>
    <row r="689" spans="1:9" ht="16">
      <c r="A689" s="233">
        <v>42980</v>
      </c>
      <c r="B689">
        <v>101.34075900000001</v>
      </c>
      <c r="C689" s="47">
        <f t="shared" si="22"/>
        <v>-3.2586529439602163E-3</v>
      </c>
      <c r="E689" s="81"/>
      <c r="F689" s="82"/>
      <c r="G689" s="81">
        <v>42948</v>
      </c>
      <c r="H689" s="82">
        <v>338.84</v>
      </c>
      <c r="I689" s="211">
        <f t="shared" si="21"/>
        <v>1.2611320303627993E-2</v>
      </c>
    </row>
    <row r="690" spans="1:9" ht="16">
      <c r="A690" s="233">
        <v>42984</v>
      </c>
      <c r="B690">
        <v>101.063187</v>
      </c>
      <c r="C690" s="47">
        <f t="shared" si="22"/>
        <v>-2.7389966558273304E-3</v>
      </c>
      <c r="E690" s="81"/>
      <c r="F690" s="82"/>
      <c r="G690" s="81">
        <v>42949</v>
      </c>
      <c r="H690" s="82">
        <v>338.05</v>
      </c>
      <c r="I690" s="211">
        <f t="shared" si="21"/>
        <v>-2.3314838861998588E-3</v>
      </c>
    </row>
    <row r="691" spans="1:9" ht="16">
      <c r="A691" s="233">
        <v>42985</v>
      </c>
      <c r="B691">
        <v>101.24226400000001</v>
      </c>
      <c r="C691" s="47">
        <f t="shared" si="22"/>
        <v>1.7719310593282689E-3</v>
      </c>
      <c r="E691" s="81"/>
      <c r="F691" s="82"/>
      <c r="G691" s="81">
        <v>42950</v>
      </c>
      <c r="H691" s="82">
        <v>340.17</v>
      </c>
      <c r="I691" s="211">
        <f t="shared" si="21"/>
        <v>6.2712616476852112E-3</v>
      </c>
    </row>
    <row r="692" spans="1:9" ht="16">
      <c r="A692" s="233">
        <v>42986</v>
      </c>
      <c r="B692">
        <v>101.41237599999999</v>
      </c>
      <c r="C692" s="47">
        <f t="shared" si="22"/>
        <v>1.680246897678872E-3</v>
      </c>
      <c r="E692" s="81"/>
      <c r="F692" s="82"/>
      <c r="G692" s="81">
        <v>42951</v>
      </c>
      <c r="H692" s="82">
        <v>339.06</v>
      </c>
      <c r="I692" s="211">
        <f t="shared" si="21"/>
        <v>-3.2630743451803612E-3</v>
      </c>
    </row>
    <row r="693" spans="1:9" ht="16">
      <c r="A693" s="233">
        <v>42987</v>
      </c>
      <c r="B693">
        <v>101.09005000000001</v>
      </c>
      <c r="C693" s="47">
        <f t="shared" si="22"/>
        <v>-3.1783694723807043E-3</v>
      </c>
      <c r="E693" s="81"/>
      <c r="F693" s="82"/>
      <c r="G693" s="81">
        <v>42952</v>
      </c>
      <c r="H693" s="82">
        <v>336.9</v>
      </c>
      <c r="I693" s="211">
        <f t="shared" si="21"/>
        <v>-6.3705538842683263E-3</v>
      </c>
    </row>
    <row r="694" spans="1:9" ht="16">
      <c r="A694" s="233">
        <v>42990</v>
      </c>
      <c r="B694">
        <v>101.224358</v>
      </c>
      <c r="C694" s="47">
        <f t="shared" si="22"/>
        <v>1.3285976216252937E-3</v>
      </c>
      <c r="E694" s="81"/>
      <c r="F694" s="82"/>
      <c r="G694" s="81">
        <v>42955</v>
      </c>
      <c r="H694" s="82">
        <v>337.54</v>
      </c>
      <c r="I694" s="211">
        <f t="shared" si="21"/>
        <v>1.8996734936183035E-3</v>
      </c>
    </row>
    <row r="695" spans="1:9" ht="16">
      <c r="A695" s="233">
        <v>42991</v>
      </c>
      <c r="B695">
        <v>101.421341</v>
      </c>
      <c r="C695" s="47">
        <f t="shared" si="22"/>
        <v>1.9460039450189814E-3</v>
      </c>
      <c r="E695" s="81"/>
      <c r="F695" s="82"/>
      <c r="G695" s="81">
        <v>42956</v>
      </c>
      <c r="H695" s="82">
        <v>339.36</v>
      </c>
      <c r="I695" s="211">
        <f t="shared" si="21"/>
        <v>5.3919535462463308E-3</v>
      </c>
    </row>
    <row r="696" spans="1:9" ht="16">
      <c r="A696" s="233">
        <v>42992</v>
      </c>
      <c r="B696">
        <v>101.403435</v>
      </c>
      <c r="C696" s="47">
        <f t="shared" si="22"/>
        <v>-1.7655061374111103E-4</v>
      </c>
      <c r="E696" s="81"/>
      <c r="F696" s="82"/>
      <c r="G696" s="81">
        <v>42957</v>
      </c>
      <c r="H696" s="82">
        <v>339.28</v>
      </c>
      <c r="I696" s="211">
        <f t="shared" si="21"/>
        <v>-2.357378595003734E-4</v>
      </c>
    </row>
    <row r="697" spans="1:9" ht="16">
      <c r="A697" s="233">
        <v>42993</v>
      </c>
      <c r="B697">
        <v>101.063187</v>
      </c>
      <c r="C697" s="47">
        <f t="shared" si="22"/>
        <v>-3.3553892922858486E-3</v>
      </c>
      <c r="E697" s="81"/>
      <c r="F697" s="82"/>
      <c r="G697" s="81">
        <v>42958</v>
      </c>
      <c r="H697" s="82">
        <v>338.21</v>
      </c>
      <c r="I697" s="211">
        <f t="shared" si="21"/>
        <v>-3.1537373261023571E-3</v>
      </c>
    </row>
    <row r="698" spans="1:9" ht="16">
      <c r="A698" s="233">
        <v>42994</v>
      </c>
      <c r="B698">
        <v>100.73188</v>
      </c>
      <c r="C698" s="47">
        <f t="shared" si="22"/>
        <v>-3.278216429093983E-3</v>
      </c>
      <c r="E698" s="81"/>
      <c r="F698" s="82"/>
      <c r="G698" s="81">
        <v>42959</v>
      </c>
      <c r="H698" s="82">
        <v>336.45</v>
      </c>
      <c r="I698" s="211">
        <f t="shared" si="21"/>
        <v>-5.2038674196505097E-3</v>
      </c>
    </row>
    <row r="699" spans="1:9" ht="16">
      <c r="A699" s="233">
        <v>42997</v>
      </c>
      <c r="B699">
        <v>100.266296</v>
      </c>
      <c r="C699" s="47">
        <f t="shared" si="22"/>
        <v>-4.6220124155332831E-3</v>
      </c>
      <c r="E699" s="81"/>
      <c r="F699" s="82"/>
      <c r="G699" s="81">
        <v>42962</v>
      </c>
      <c r="H699" s="82">
        <v>333.54</v>
      </c>
      <c r="I699" s="211">
        <f t="shared" si="21"/>
        <v>-8.6491306286222702E-3</v>
      </c>
    </row>
    <row r="700" spans="1:9" ht="16">
      <c r="A700" s="233">
        <v>42998</v>
      </c>
      <c r="B700">
        <v>100.45433</v>
      </c>
      <c r="C700" s="47">
        <f t="shared" si="22"/>
        <v>1.8753460285398926E-3</v>
      </c>
      <c r="E700" s="81"/>
      <c r="F700" s="82"/>
      <c r="G700" s="81">
        <v>42963</v>
      </c>
      <c r="H700" s="82">
        <v>329.49</v>
      </c>
      <c r="I700" s="211">
        <f t="shared" si="21"/>
        <v>-1.2142471667566102E-2</v>
      </c>
    </row>
    <row r="701" spans="1:9" ht="16">
      <c r="A701" s="233">
        <v>42999</v>
      </c>
      <c r="B701">
        <v>100.516991</v>
      </c>
      <c r="C701" s="47">
        <f t="shared" si="22"/>
        <v>6.2377599850593768E-4</v>
      </c>
      <c r="E701" s="81"/>
      <c r="F701" s="82"/>
      <c r="G701" s="81">
        <v>42964</v>
      </c>
      <c r="H701" s="82">
        <v>330.87</v>
      </c>
      <c r="I701" s="211">
        <f t="shared" si="21"/>
        <v>4.1882909951742597E-3</v>
      </c>
    </row>
    <row r="702" spans="1:9" ht="16">
      <c r="A702" s="233">
        <v>43000</v>
      </c>
      <c r="B702">
        <v>99.746948000000003</v>
      </c>
      <c r="C702" s="47">
        <f t="shared" si="22"/>
        <v>-7.6608242282143468E-3</v>
      </c>
      <c r="E702" s="81"/>
      <c r="F702" s="82"/>
      <c r="G702" s="81">
        <v>42965</v>
      </c>
      <c r="H702" s="82">
        <v>323.88</v>
      </c>
      <c r="I702" s="211">
        <f t="shared" si="21"/>
        <v>-2.1126122041889572E-2</v>
      </c>
    </row>
    <row r="703" spans="1:9" ht="16">
      <c r="A703" s="233">
        <v>43001</v>
      </c>
      <c r="B703">
        <v>99.335075000000003</v>
      </c>
      <c r="C703" s="47">
        <f t="shared" si="22"/>
        <v>-4.1291789699671178E-3</v>
      </c>
      <c r="E703" s="81"/>
      <c r="F703" s="82"/>
      <c r="G703" s="81">
        <v>42966</v>
      </c>
      <c r="H703" s="82">
        <v>321.23</v>
      </c>
      <c r="I703" s="211">
        <f t="shared" si="21"/>
        <v>-8.1820427318759492E-3</v>
      </c>
    </row>
    <row r="704" spans="1:9" ht="16">
      <c r="A704" s="233">
        <v>43004</v>
      </c>
      <c r="B704">
        <v>99.039597000000001</v>
      </c>
      <c r="C704" s="47">
        <f t="shared" si="22"/>
        <v>-2.9745585836624677E-3</v>
      </c>
      <c r="E704" s="81"/>
      <c r="F704" s="82"/>
      <c r="G704" s="81">
        <v>42969</v>
      </c>
      <c r="H704" s="82">
        <v>326.25</v>
      </c>
      <c r="I704" s="211">
        <f t="shared" si="21"/>
        <v>1.5627432058026969E-2</v>
      </c>
    </row>
    <row r="705" spans="1:9" ht="16">
      <c r="A705" s="233">
        <v>43005</v>
      </c>
      <c r="B705">
        <v>98.475502000000006</v>
      </c>
      <c r="C705" s="47">
        <f t="shared" si="22"/>
        <v>-5.6956512050426733E-3</v>
      </c>
      <c r="E705" s="81"/>
      <c r="F705" s="82"/>
      <c r="G705" s="81">
        <v>42970</v>
      </c>
      <c r="H705" s="82">
        <v>333.81</v>
      </c>
      <c r="I705" s="211">
        <f t="shared" si="21"/>
        <v>2.317241379310353E-2</v>
      </c>
    </row>
    <row r="706" spans="1:9" ht="16">
      <c r="A706" s="233">
        <v>43006</v>
      </c>
      <c r="B706">
        <v>98.565048000000004</v>
      </c>
      <c r="C706" s="47">
        <f t="shared" si="22"/>
        <v>9.0932260492571082E-4</v>
      </c>
      <c r="E706" s="81"/>
      <c r="F706" s="82"/>
      <c r="G706" s="81">
        <v>42971</v>
      </c>
      <c r="H706" s="82">
        <v>335.47</v>
      </c>
      <c r="I706" s="211">
        <f t="shared" si="21"/>
        <v>4.9728887690603241E-3</v>
      </c>
    </row>
    <row r="707" spans="1:9" ht="16">
      <c r="A707" s="233">
        <v>43007</v>
      </c>
      <c r="B707">
        <v>98.547127000000003</v>
      </c>
      <c r="C707" s="47">
        <f t="shared" si="22"/>
        <v>-1.8181901560077041E-4</v>
      </c>
      <c r="E707" s="81"/>
      <c r="F707" s="82"/>
      <c r="G707" s="81">
        <v>42972</v>
      </c>
      <c r="H707" s="82">
        <v>333.09</v>
      </c>
      <c r="I707" s="211">
        <f t="shared" si="21"/>
        <v>-7.0945241005158088E-3</v>
      </c>
    </row>
    <row r="708" spans="1:9" ht="16">
      <c r="A708" s="233">
        <v>43008</v>
      </c>
      <c r="B708">
        <v>98.524688999999995</v>
      </c>
      <c r="C708" s="47">
        <f t="shared" si="22"/>
        <v>-2.2768801773398462E-4</v>
      </c>
      <c r="E708" s="81"/>
      <c r="F708" s="82"/>
      <c r="G708" s="81">
        <v>42973</v>
      </c>
      <c r="H708" s="82">
        <v>335.25</v>
      </c>
      <c r="I708" s="211">
        <f t="shared" si="21"/>
        <v>6.4847338557147971E-3</v>
      </c>
    </row>
    <row r="709" spans="1:9" ht="16">
      <c r="A709" s="233">
        <v>43011</v>
      </c>
      <c r="B709">
        <v>98.048614999999998</v>
      </c>
      <c r="C709" s="47">
        <f t="shared" si="22"/>
        <v>-4.8320274322306567E-3</v>
      </c>
      <c r="E709" s="81"/>
      <c r="F709" s="82"/>
      <c r="G709" s="81">
        <v>42976</v>
      </c>
      <c r="H709" s="82">
        <v>338.88</v>
      </c>
      <c r="I709" s="211">
        <f t="shared" si="21"/>
        <v>1.0827740492169946E-2</v>
      </c>
    </row>
    <row r="710" spans="1:9" ht="16">
      <c r="A710" s="233">
        <v>43012</v>
      </c>
      <c r="B710">
        <v>98.111503999999996</v>
      </c>
      <c r="C710" s="47">
        <f t="shared" si="22"/>
        <v>6.4140630645326269E-4</v>
      </c>
      <c r="E710" s="81"/>
      <c r="F710" s="82"/>
      <c r="G710" s="81">
        <v>42977</v>
      </c>
      <c r="H710" s="82">
        <v>343.62</v>
      </c>
      <c r="I710" s="211">
        <f t="shared" si="21"/>
        <v>1.3987252124646021E-2</v>
      </c>
    </row>
    <row r="711" spans="1:9" ht="16">
      <c r="A711" s="233">
        <v>43013</v>
      </c>
      <c r="B711">
        <v>97.904906999999994</v>
      </c>
      <c r="C711" s="47">
        <f t="shared" si="22"/>
        <v>-2.1057367543769745E-3</v>
      </c>
      <c r="E711" s="81"/>
      <c r="F711" s="82"/>
      <c r="G711" s="81">
        <v>42978</v>
      </c>
      <c r="H711" s="82">
        <v>345.15</v>
      </c>
      <c r="I711" s="211">
        <f t="shared" si="21"/>
        <v>4.4525929806180642E-3</v>
      </c>
    </row>
    <row r="712" spans="1:9" ht="16">
      <c r="A712" s="233">
        <v>43014</v>
      </c>
      <c r="B712">
        <v>98.012703000000002</v>
      </c>
      <c r="C712" s="47">
        <f t="shared" si="22"/>
        <v>1.1010275511522671E-3</v>
      </c>
      <c r="E712" s="81"/>
      <c r="F712" s="82"/>
      <c r="G712" s="81">
        <v>42979</v>
      </c>
      <c r="H712" s="82">
        <v>345.18</v>
      </c>
      <c r="I712" s="211">
        <f t="shared" si="21"/>
        <v>8.6918730986651482E-5</v>
      </c>
    </row>
    <row r="713" spans="1:9" ht="16">
      <c r="A713" s="233">
        <v>43015</v>
      </c>
      <c r="B713">
        <v>97.770179999999996</v>
      </c>
      <c r="C713" s="47">
        <f t="shared" si="22"/>
        <v>-2.4744037515219697E-3</v>
      </c>
      <c r="E713" s="81"/>
      <c r="F713" s="82"/>
      <c r="G713" s="81">
        <v>42980</v>
      </c>
      <c r="H713" s="82">
        <v>346.12</v>
      </c>
      <c r="I713" s="211">
        <f t="shared" si="21"/>
        <v>2.7232168723565486E-3</v>
      </c>
    </row>
    <row r="714" spans="1:9" ht="16">
      <c r="A714" s="233">
        <v>43018</v>
      </c>
      <c r="B714">
        <v>97.500731999999999</v>
      </c>
      <c r="C714" s="47">
        <f t="shared" si="22"/>
        <v>-2.7559323302871475E-3</v>
      </c>
      <c r="E714" s="81"/>
      <c r="F714" s="82"/>
      <c r="G714" s="81">
        <v>42983</v>
      </c>
      <c r="H714" s="82">
        <v>347.97</v>
      </c>
      <c r="I714" s="211">
        <f t="shared" si="21"/>
        <v>5.3449670634462265E-3</v>
      </c>
    </row>
    <row r="715" spans="1:9" ht="16">
      <c r="A715" s="233">
        <v>43019</v>
      </c>
      <c r="B715">
        <v>97.815078999999997</v>
      </c>
      <c r="C715" s="47">
        <f t="shared" si="22"/>
        <v>3.2240475897145071E-3</v>
      </c>
      <c r="E715" s="81"/>
      <c r="F715" s="82"/>
      <c r="G715" s="81">
        <v>42984</v>
      </c>
      <c r="H715" s="82">
        <v>348.89</v>
      </c>
      <c r="I715" s="211">
        <f t="shared" si="21"/>
        <v>2.6439060838576722E-3</v>
      </c>
    </row>
    <row r="716" spans="1:9" ht="16">
      <c r="A716" s="233">
        <v>43020</v>
      </c>
      <c r="B716">
        <v>98.434837000000002</v>
      </c>
      <c r="C716" s="47">
        <f t="shared" si="22"/>
        <v>6.3360169652371123E-3</v>
      </c>
      <c r="E716" s="81"/>
      <c r="F716" s="82"/>
      <c r="G716" s="81">
        <v>42985</v>
      </c>
      <c r="H716" s="82">
        <v>345.54</v>
      </c>
      <c r="I716" s="211">
        <f t="shared" si="21"/>
        <v>-9.601880248788941E-3</v>
      </c>
    </row>
    <row r="717" spans="1:9" ht="16">
      <c r="A717" s="233">
        <v>43021</v>
      </c>
      <c r="B717">
        <v>98.857010000000002</v>
      </c>
      <c r="C717" s="47">
        <f t="shared" si="22"/>
        <v>4.288857612473107E-3</v>
      </c>
      <c r="E717" s="81"/>
      <c r="F717" s="82"/>
      <c r="G717" s="81">
        <v>42986</v>
      </c>
      <c r="H717" s="82">
        <v>343.68</v>
      </c>
      <c r="I717" s="211">
        <f t="shared" si="21"/>
        <v>-5.3828789720438142E-3</v>
      </c>
    </row>
    <row r="718" spans="1:9" ht="16">
      <c r="A718" s="233">
        <v>43022</v>
      </c>
      <c r="B718">
        <v>98.740227000000004</v>
      </c>
      <c r="C718" s="47">
        <f t="shared" si="22"/>
        <v>-1.1813325124844232E-3</v>
      </c>
      <c r="E718" s="81"/>
      <c r="F718" s="82"/>
      <c r="G718" s="81">
        <v>42987</v>
      </c>
      <c r="H718" s="82">
        <v>345.63</v>
      </c>
      <c r="I718" s="211">
        <f t="shared" si="21"/>
        <v>5.6738826815641019E-3</v>
      </c>
    </row>
    <row r="719" spans="1:9" ht="16">
      <c r="A719" s="233">
        <v>43025</v>
      </c>
      <c r="B719">
        <v>98.416877999999997</v>
      </c>
      <c r="C719" s="47">
        <f t="shared" si="22"/>
        <v>-3.2747443450783509E-3</v>
      </c>
      <c r="E719" s="81"/>
      <c r="F719" s="82"/>
      <c r="G719" s="81">
        <v>42990</v>
      </c>
      <c r="H719" s="82">
        <v>344.47</v>
      </c>
      <c r="I719" s="211">
        <f t="shared" si="21"/>
        <v>-3.3561901455312348E-3</v>
      </c>
    </row>
    <row r="720" spans="1:9" ht="16">
      <c r="A720" s="233">
        <v>43026</v>
      </c>
      <c r="B720">
        <v>98.345039</v>
      </c>
      <c r="C720" s="47">
        <f t="shared" si="22"/>
        <v>-7.2994593468000968E-4</v>
      </c>
      <c r="E720" s="81"/>
      <c r="F720" s="82"/>
      <c r="G720" s="81">
        <v>42991</v>
      </c>
      <c r="H720" s="82">
        <v>342.42</v>
      </c>
      <c r="I720" s="211">
        <f t="shared" ref="I720:I783" si="23">H720/H719-1</f>
        <v>-5.9511713647052433E-3</v>
      </c>
    </row>
    <row r="721" spans="1:9" ht="16">
      <c r="A721" s="233">
        <v>43027</v>
      </c>
      <c r="B721">
        <v>98.398917999999995</v>
      </c>
      <c r="C721" s="47">
        <f t="shared" ref="C721:C784" si="24">B721/B720-1</f>
        <v>5.4785681665125985E-4</v>
      </c>
      <c r="E721" s="81"/>
      <c r="F721" s="82"/>
      <c r="G721" s="81">
        <v>42992</v>
      </c>
      <c r="H721" s="82">
        <v>340.71</v>
      </c>
      <c r="I721" s="211">
        <f t="shared" si="23"/>
        <v>-4.9938671806554202E-3</v>
      </c>
    </row>
    <row r="722" spans="1:9" ht="16">
      <c r="A722" s="233">
        <v>43028</v>
      </c>
      <c r="B722">
        <v>97.976776000000001</v>
      </c>
      <c r="C722" s="47">
        <f t="shared" si="24"/>
        <v>-4.290108149359817E-3</v>
      </c>
      <c r="E722" s="81"/>
      <c r="F722" s="82"/>
      <c r="G722" s="81">
        <v>42993</v>
      </c>
      <c r="H722" s="82">
        <v>337.88</v>
      </c>
      <c r="I722" s="211">
        <f t="shared" si="23"/>
        <v>-8.3061841448739404E-3</v>
      </c>
    </row>
    <row r="723" spans="1:9" ht="16">
      <c r="A723" s="233">
        <v>43029</v>
      </c>
      <c r="B723">
        <v>98.363014000000007</v>
      </c>
      <c r="C723" s="47">
        <f t="shared" si="24"/>
        <v>3.9421382879551992E-3</v>
      </c>
      <c r="E723" s="81"/>
      <c r="F723" s="82"/>
      <c r="G723" s="81">
        <v>42994</v>
      </c>
      <c r="H723" s="82">
        <v>337.68</v>
      </c>
      <c r="I723" s="211">
        <f t="shared" si="23"/>
        <v>-5.9192612761926888E-4</v>
      </c>
    </row>
    <row r="724" spans="1:9" ht="16">
      <c r="A724" s="233">
        <v>43032</v>
      </c>
      <c r="B724">
        <v>98.434837000000002</v>
      </c>
      <c r="C724" s="47">
        <f t="shared" si="24"/>
        <v>7.301829933759052E-4</v>
      </c>
      <c r="E724" s="81"/>
      <c r="F724" s="82"/>
      <c r="G724" s="81">
        <v>42997</v>
      </c>
      <c r="H724" s="82">
        <v>331.06</v>
      </c>
      <c r="I724" s="211">
        <f t="shared" si="23"/>
        <v>-1.9604359156597972E-2</v>
      </c>
    </row>
    <row r="725" spans="1:9" ht="16">
      <c r="A725" s="233">
        <v>43033</v>
      </c>
      <c r="B725">
        <v>98.641434000000004</v>
      </c>
      <c r="C725" s="47">
        <f t="shared" si="24"/>
        <v>2.0988199533464869E-3</v>
      </c>
      <c r="E725" s="81"/>
      <c r="F725" s="82"/>
      <c r="G725" s="81">
        <v>42998</v>
      </c>
      <c r="H725" s="82">
        <v>332.2</v>
      </c>
      <c r="I725" s="211">
        <f t="shared" si="23"/>
        <v>3.443484564731536E-3</v>
      </c>
    </row>
    <row r="726" spans="1:9" ht="16">
      <c r="A726" s="233">
        <v>43034</v>
      </c>
      <c r="B726">
        <v>99.225280999999995</v>
      </c>
      <c r="C726" s="47">
        <f t="shared" si="24"/>
        <v>5.9188819173086049E-3</v>
      </c>
      <c r="E726" s="81"/>
      <c r="F726" s="82"/>
      <c r="G726" s="81">
        <v>42999</v>
      </c>
      <c r="H726" s="82">
        <v>333.07</v>
      </c>
      <c r="I726" s="211">
        <f t="shared" si="23"/>
        <v>2.6189042745334845E-3</v>
      </c>
    </row>
    <row r="727" spans="1:9" ht="16">
      <c r="A727" s="233">
        <v>43035</v>
      </c>
      <c r="B727">
        <v>99.036636000000001</v>
      </c>
      <c r="C727" s="47">
        <f t="shared" si="24"/>
        <v>-1.9011787933358448E-3</v>
      </c>
      <c r="E727" s="81"/>
      <c r="F727" s="82"/>
      <c r="G727" s="81">
        <v>43000</v>
      </c>
      <c r="H727" s="82">
        <v>336.36</v>
      </c>
      <c r="I727" s="211">
        <f t="shared" si="23"/>
        <v>9.8778034647371005E-3</v>
      </c>
    </row>
    <row r="728" spans="1:9" ht="16">
      <c r="A728" s="233">
        <v>43036</v>
      </c>
      <c r="B728">
        <v>98.704323000000002</v>
      </c>
      <c r="C728" s="47">
        <f t="shared" si="24"/>
        <v>-3.3554552478942679E-3</v>
      </c>
      <c r="E728" s="81"/>
      <c r="F728" s="82"/>
      <c r="G728" s="81">
        <v>43001</v>
      </c>
      <c r="H728" s="82">
        <v>334.03</v>
      </c>
      <c r="I728" s="211">
        <f t="shared" si="23"/>
        <v>-6.92710191461543E-3</v>
      </c>
    </row>
    <row r="729" spans="1:9" ht="16">
      <c r="A729" s="233">
        <v>43039</v>
      </c>
      <c r="B729">
        <v>98.432167000000007</v>
      </c>
      <c r="C729" s="47">
        <f t="shared" si="24"/>
        <v>-2.7572855142321551E-3</v>
      </c>
      <c r="E729" s="81"/>
      <c r="F729" s="82"/>
      <c r="G729" s="81">
        <v>43004</v>
      </c>
      <c r="H729" s="82">
        <v>334.7</v>
      </c>
      <c r="I729" s="211">
        <f t="shared" si="23"/>
        <v>2.005807861569453E-3</v>
      </c>
    </row>
    <row r="730" spans="1:9" ht="16">
      <c r="A730" s="233">
        <v>43040</v>
      </c>
      <c r="B730">
        <v>98.558350000000004</v>
      </c>
      <c r="C730" s="47">
        <f t="shared" si="24"/>
        <v>1.2819284980285506E-3</v>
      </c>
      <c r="E730" s="81"/>
      <c r="F730" s="82"/>
      <c r="G730" s="81">
        <v>43005</v>
      </c>
      <c r="H730" s="82">
        <v>332.91</v>
      </c>
      <c r="I730" s="211">
        <f t="shared" si="23"/>
        <v>-5.348072901105394E-3</v>
      </c>
    </row>
    <row r="731" spans="1:9" ht="16">
      <c r="A731" s="233">
        <v>43041</v>
      </c>
      <c r="B731">
        <v>98.405128000000005</v>
      </c>
      <c r="C731" s="47">
        <f t="shared" si="24"/>
        <v>-1.5546323573801812E-3</v>
      </c>
      <c r="E731" s="81"/>
      <c r="F731" s="82"/>
      <c r="G731" s="81">
        <v>43006</v>
      </c>
      <c r="H731" s="82">
        <v>330.45</v>
      </c>
      <c r="I731" s="211">
        <f t="shared" si="23"/>
        <v>-7.3893845183383711E-3</v>
      </c>
    </row>
    <row r="732" spans="1:9" ht="16">
      <c r="A732" s="233">
        <v>43042</v>
      </c>
      <c r="B732">
        <v>99.117035000000001</v>
      </c>
      <c r="C732" s="47">
        <f t="shared" si="24"/>
        <v>7.2344502209273909E-3</v>
      </c>
      <c r="E732" s="81"/>
      <c r="F732" s="82"/>
      <c r="G732" s="81">
        <v>43007</v>
      </c>
      <c r="H732" s="82">
        <v>331.89</v>
      </c>
      <c r="I732" s="211">
        <f t="shared" si="23"/>
        <v>4.3576940535632325E-3</v>
      </c>
    </row>
    <row r="733" spans="1:9" ht="16">
      <c r="A733" s="233">
        <v>43043</v>
      </c>
      <c r="B733">
        <v>99.864990000000006</v>
      </c>
      <c r="C733" s="47">
        <f t="shared" si="24"/>
        <v>7.546180129379465E-3</v>
      </c>
      <c r="E733" s="81"/>
      <c r="F733" s="82"/>
      <c r="G733" s="81">
        <v>43008</v>
      </c>
      <c r="H733" s="82">
        <v>330.75</v>
      </c>
      <c r="I733" s="211">
        <f t="shared" si="23"/>
        <v>-3.4348730000903771E-3</v>
      </c>
    </row>
    <row r="734" spans="1:9" ht="16">
      <c r="A734" s="233">
        <v>43046</v>
      </c>
      <c r="B734">
        <v>99.774872000000002</v>
      </c>
      <c r="C734" s="47">
        <f t="shared" si="24"/>
        <v>-9.023983279826675E-4</v>
      </c>
      <c r="E734" s="81"/>
      <c r="F734" s="82"/>
      <c r="G734" s="81">
        <v>43011</v>
      </c>
      <c r="H734" s="82">
        <v>328.07</v>
      </c>
      <c r="I734" s="211">
        <f t="shared" si="23"/>
        <v>-8.1027966742253099E-3</v>
      </c>
    </row>
    <row r="735" spans="1:9" ht="16">
      <c r="A735" s="233">
        <v>43047</v>
      </c>
      <c r="B735">
        <v>99.955093000000005</v>
      </c>
      <c r="C735" s="47">
        <f t="shared" si="24"/>
        <v>1.8062764340103232E-3</v>
      </c>
      <c r="E735" s="81"/>
      <c r="F735" s="82"/>
      <c r="G735" s="81">
        <v>43012</v>
      </c>
      <c r="H735" s="82">
        <v>329.39</v>
      </c>
      <c r="I735" s="211">
        <f t="shared" si="23"/>
        <v>4.0235315633858626E-3</v>
      </c>
    </row>
    <row r="736" spans="1:9" ht="16">
      <c r="A736" s="233">
        <v>43048</v>
      </c>
      <c r="B736">
        <v>98.495255</v>
      </c>
      <c r="C736" s="47">
        <f t="shared" si="24"/>
        <v>-1.4604938639795062E-2</v>
      </c>
      <c r="E736" s="81"/>
      <c r="F736" s="82"/>
      <c r="G736" s="81">
        <v>43013</v>
      </c>
      <c r="H736" s="82">
        <v>327.22000000000003</v>
      </c>
      <c r="I736" s="211">
        <f t="shared" si="23"/>
        <v>-6.5879352742947983E-3</v>
      </c>
    </row>
    <row r="737" spans="1:9" ht="16">
      <c r="A737" s="233">
        <v>43049</v>
      </c>
      <c r="B737">
        <v>98.495255</v>
      </c>
      <c r="C737" s="47">
        <f t="shared" si="24"/>
        <v>0</v>
      </c>
      <c r="E737" s="81"/>
      <c r="F737" s="82"/>
      <c r="G737" s="81">
        <v>43014</v>
      </c>
      <c r="H737" s="82">
        <v>333.88</v>
      </c>
      <c r="I737" s="211">
        <f t="shared" si="23"/>
        <v>2.0353279139416758E-2</v>
      </c>
    </row>
    <row r="738" spans="1:9" ht="16">
      <c r="A738" s="233">
        <v>43050</v>
      </c>
      <c r="B738">
        <v>98.747574</v>
      </c>
      <c r="C738" s="47">
        <f t="shared" si="24"/>
        <v>2.5617376187310192E-3</v>
      </c>
      <c r="E738" s="81"/>
      <c r="F738" s="82"/>
      <c r="G738" s="81">
        <v>43015</v>
      </c>
      <c r="H738" s="82">
        <v>334.74</v>
      </c>
      <c r="I738" s="211">
        <f t="shared" si="23"/>
        <v>2.5757757278064286E-3</v>
      </c>
    </row>
    <row r="739" spans="1:9" ht="16">
      <c r="A739" s="233">
        <v>43053</v>
      </c>
      <c r="B739">
        <v>98.486228999999994</v>
      </c>
      <c r="C739" s="47">
        <f t="shared" si="24"/>
        <v>-2.6465966647444272E-3</v>
      </c>
      <c r="E739" s="81"/>
      <c r="F739" s="82"/>
      <c r="G739" s="81">
        <v>43018</v>
      </c>
      <c r="H739" s="82">
        <v>335.98</v>
      </c>
      <c r="I739" s="211">
        <f t="shared" si="23"/>
        <v>3.7043675688595012E-3</v>
      </c>
    </row>
    <row r="740" spans="1:9" ht="16">
      <c r="A740" s="233">
        <v>43054</v>
      </c>
      <c r="B740">
        <v>98.260963000000004</v>
      </c>
      <c r="C740" s="47">
        <f t="shared" si="24"/>
        <v>-2.2872842455973208E-3</v>
      </c>
      <c r="E740" s="81"/>
      <c r="F740" s="82"/>
      <c r="G740" s="81">
        <v>43019</v>
      </c>
      <c r="H740" s="82">
        <v>333.96</v>
      </c>
      <c r="I740" s="211">
        <f t="shared" si="23"/>
        <v>-6.0122626346807984E-3</v>
      </c>
    </row>
    <row r="741" spans="1:9" ht="16">
      <c r="A741" s="233">
        <v>43055</v>
      </c>
      <c r="B741">
        <v>98.369095000000002</v>
      </c>
      <c r="C741" s="47">
        <f t="shared" si="24"/>
        <v>1.1004573606712142E-3</v>
      </c>
      <c r="E741" s="81"/>
      <c r="F741" s="82"/>
      <c r="G741" s="81">
        <v>43020</v>
      </c>
      <c r="H741" s="82">
        <v>335.39</v>
      </c>
      <c r="I741" s="211">
        <f t="shared" si="23"/>
        <v>4.2819499341237854E-3</v>
      </c>
    </row>
    <row r="742" spans="1:9" ht="16">
      <c r="A742" s="233">
        <v>43056</v>
      </c>
      <c r="B742">
        <v>98.621429000000006</v>
      </c>
      <c r="C742" s="47">
        <f t="shared" si="24"/>
        <v>2.5651755767399642E-3</v>
      </c>
      <c r="E742" s="81"/>
      <c r="F742" s="82"/>
      <c r="G742" s="81">
        <v>43021</v>
      </c>
      <c r="H742" s="82">
        <v>336.43</v>
      </c>
      <c r="I742" s="211">
        <f t="shared" si="23"/>
        <v>3.100867646620431E-3</v>
      </c>
    </row>
    <row r="743" spans="1:9" ht="16">
      <c r="A743" s="233">
        <v>43057</v>
      </c>
      <c r="B743">
        <v>98.594382999999993</v>
      </c>
      <c r="C743" s="47">
        <f t="shared" si="24"/>
        <v>-2.7424060140124329E-4</v>
      </c>
      <c r="E743" s="81"/>
      <c r="F743" s="82"/>
      <c r="G743" s="81">
        <v>43022</v>
      </c>
      <c r="H743" s="82">
        <v>340.73</v>
      </c>
      <c r="I743" s="211">
        <f t="shared" si="23"/>
        <v>1.2781262075320265E-2</v>
      </c>
    </row>
    <row r="744" spans="1:9" ht="16">
      <c r="A744" s="233">
        <v>43060</v>
      </c>
      <c r="B744">
        <v>97.576072999999994</v>
      </c>
      <c r="C744" s="47">
        <f t="shared" si="24"/>
        <v>-1.0328276003309433E-2</v>
      </c>
      <c r="E744" s="81"/>
      <c r="F744" s="82"/>
      <c r="G744" s="81">
        <v>43025</v>
      </c>
      <c r="H744" s="82">
        <v>340.99</v>
      </c>
      <c r="I744" s="211">
        <f t="shared" si="23"/>
        <v>7.630675314764801E-4</v>
      </c>
    </row>
    <row r="745" spans="1:9" ht="16">
      <c r="A745" s="233">
        <v>43061</v>
      </c>
      <c r="B745">
        <v>96.963302999999996</v>
      </c>
      <c r="C745" s="47">
        <f t="shared" si="24"/>
        <v>-6.2799206932625529E-3</v>
      </c>
      <c r="E745" s="81"/>
      <c r="F745" s="82"/>
      <c r="G745" s="81">
        <v>43026</v>
      </c>
      <c r="H745" s="82">
        <v>343.88</v>
      </c>
      <c r="I745" s="211">
        <f t="shared" si="23"/>
        <v>8.4753218569459943E-3</v>
      </c>
    </row>
    <row r="746" spans="1:9" ht="16">
      <c r="A746" s="233">
        <v>43062</v>
      </c>
      <c r="B746">
        <v>97.116493000000006</v>
      </c>
      <c r="C746" s="47">
        <f t="shared" si="24"/>
        <v>1.5798760485707941E-3</v>
      </c>
      <c r="E746" s="81"/>
      <c r="F746" s="82"/>
      <c r="G746" s="81">
        <v>43027</v>
      </c>
      <c r="H746" s="82">
        <v>344.52</v>
      </c>
      <c r="I746" s="211">
        <f t="shared" si="23"/>
        <v>1.8611143422122556E-3</v>
      </c>
    </row>
    <row r="747" spans="1:9" ht="16">
      <c r="A747" s="233">
        <v>43064</v>
      </c>
      <c r="B747">
        <v>96.035110000000003</v>
      </c>
      <c r="C747" s="47">
        <f t="shared" si="24"/>
        <v>-1.1134905787835714E-2</v>
      </c>
      <c r="E747" s="81"/>
      <c r="F747" s="82"/>
      <c r="G747" s="81">
        <v>43028</v>
      </c>
      <c r="H747" s="82">
        <v>342.55</v>
      </c>
      <c r="I747" s="211">
        <f t="shared" si="23"/>
        <v>-5.7181005456866663E-3</v>
      </c>
    </row>
    <row r="748" spans="1:9" ht="16">
      <c r="A748" s="233">
        <v>43067</v>
      </c>
      <c r="B748">
        <v>96.864197000000004</v>
      </c>
      <c r="C748" s="47">
        <f t="shared" si="24"/>
        <v>8.6331655162368293E-3</v>
      </c>
      <c r="E748" s="81"/>
      <c r="F748" s="82"/>
      <c r="G748" s="81">
        <v>43029</v>
      </c>
      <c r="H748" s="82">
        <v>342.18</v>
      </c>
      <c r="I748" s="211">
        <f t="shared" si="23"/>
        <v>-1.0801342869654063E-3</v>
      </c>
    </row>
    <row r="749" spans="1:9" ht="16">
      <c r="A749" s="233">
        <v>43068</v>
      </c>
      <c r="B749">
        <v>96.846176</v>
      </c>
      <c r="C749" s="47">
        <f t="shared" si="24"/>
        <v>-1.8604397247012905E-4</v>
      </c>
      <c r="E749" s="81"/>
      <c r="F749" s="82"/>
      <c r="G749" s="81">
        <v>43032</v>
      </c>
      <c r="H749" s="82">
        <v>342.85</v>
      </c>
      <c r="I749" s="211">
        <f t="shared" si="23"/>
        <v>1.9580337833888795E-3</v>
      </c>
    </row>
    <row r="750" spans="1:9" ht="16">
      <c r="A750" s="233">
        <v>43069</v>
      </c>
      <c r="B750">
        <v>97.521561000000005</v>
      </c>
      <c r="C750" s="47">
        <f t="shared" si="24"/>
        <v>6.9737910973377559E-3</v>
      </c>
      <c r="E750" s="81"/>
      <c r="F750" s="82"/>
      <c r="G750" s="81">
        <v>43033</v>
      </c>
      <c r="H750" s="82">
        <v>342.14</v>
      </c>
      <c r="I750" s="211">
        <f t="shared" si="23"/>
        <v>-2.0708764765933196E-3</v>
      </c>
    </row>
    <row r="751" spans="1:9" ht="16">
      <c r="A751" s="233">
        <v>43070</v>
      </c>
      <c r="B751">
        <v>98.100227000000004</v>
      </c>
      <c r="C751" s="47">
        <f t="shared" si="24"/>
        <v>5.9337237229006856E-3</v>
      </c>
      <c r="E751" s="81"/>
      <c r="F751" s="82"/>
      <c r="G751" s="81">
        <v>43034</v>
      </c>
      <c r="H751" s="82">
        <v>339.39</v>
      </c>
      <c r="I751" s="211">
        <f t="shared" si="23"/>
        <v>-8.0376454083124216E-3</v>
      </c>
    </row>
    <row r="752" spans="1:9" ht="16">
      <c r="A752" s="233">
        <v>43071</v>
      </c>
      <c r="B752">
        <v>98.226799</v>
      </c>
      <c r="C752" s="47">
        <f t="shared" si="24"/>
        <v>1.2902314690872441E-3</v>
      </c>
      <c r="E752" s="81"/>
      <c r="F752" s="82"/>
      <c r="G752" s="81">
        <v>43035</v>
      </c>
      <c r="H752" s="82">
        <v>337.29</v>
      </c>
      <c r="I752" s="211">
        <f t="shared" si="23"/>
        <v>-6.1875718200299357E-3</v>
      </c>
    </row>
    <row r="753" spans="1:9" ht="16">
      <c r="A753" s="233">
        <v>43074</v>
      </c>
      <c r="B753">
        <v>98.317183999999997</v>
      </c>
      <c r="C753" s="47">
        <f t="shared" si="24"/>
        <v>9.2016639980285753E-4</v>
      </c>
      <c r="E753" s="81"/>
      <c r="F753" s="82"/>
      <c r="G753" s="81">
        <v>43036</v>
      </c>
      <c r="H753" s="82">
        <v>334.9</v>
      </c>
      <c r="I753" s="211">
        <f t="shared" si="23"/>
        <v>-7.0858904800025213E-3</v>
      </c>
    </row>
    <row r="754" spans="1:9" ht="16">
      <c r="A754" s="233">
        <v>43075</v>
      </c>
      <c r="B754">
        <v>98.841599000000002</v>
      </c>
      <c r="C754" s="47">
        <f t="shared" si="24"/>
        <v>5.3339098890383685E-3</v>
      </c>
      <c r="E754" s="81"/>
      <c r="F754" s="82"/>
      <c r="G754" s="81">
        <v>43039</v>
      </c>
      <c r="H754" s="82">
        <v>335.97</v>
      </c>
      <c r="I754" s="211">
        <f t="shared" si="23"/>
        <v>3.1949835771873936E-3</v>
      </c>
    </row>
    <row r="755" spans="1:9" ht="16">
      <c r="A755" s="233">
        <v>43076</v>
      </c>
      <c r="B755">
        <v>98.696960000000004</v>
      </c>
      <c r="C755" s="47">
        <f t="shared" si="24"/>
        <v>-1.4633413609587143E-3</v>
      </c>
      <c r="E755" s="81"/>
      <c r="F755" s="82"/>
      <c r="G755" s="81">
        <v>43040</v>
      </c>
      <c r="H755" s="82">
        <v>334.32</v>
      </c>
      <c r="I755" s="211">
        <f t="shared" si="23"/>
        <v>-4.9111527814984512E-3</v>
      </c>
    </row>
    <row r="756" spans="1:9" ht="16">
      <c r="A756" s="233">
        <v>43077</v>
      </c>
      <c r="B756">
        <v>98.633658999999994</v>
      </c>
      <c r="C756" s="47">
        <f t="shared" si="24"/>
        <v>-6.4136727210251099E-4</v>
      </c>
      <c r="E756" s="81"/>
      <c r="F756" s="82"/>
      <c r="G756" s="81">
        <v>43041</v>
      </c>
      <c r="H756" s="82">
        <v>335.12</v>
      </c>
      <c r="I756" s="211">
        <f t="shared" si="23"/>
        <v>2.3929169657812555E-3</v>
      </c>
    </row>
    <row r="757" spans="1:9" ht="16">
      <c r="A757" s="233">
        <v>43078</v>
      </c>
      <c r="B757">
        <v>98.651748999999995</v>
      </c>
      <c r="C757" s="47">
        <f t="shared" si="24"/>
        <v>1.8340595070087673E-4</v>
      </c>
      <c r="E757" s="81"/>
      <c r="F757" s="82"/>
      <c r="G757" s="81">
        <v>43042</v>
      </c>
      <c r="H757" s="82">
        <v>336.3</v>
      </c>
      <c r="I757" s="211">
        <f t="shared" si="23"/>
        <v>3.5211267605634866E-3</v>
      </c>
    </row>
    <row r="758" spans="1:9" ht="16">
      <c r="A758" s="233">
        <v>43081</v>
      </c>
      <c r="B758">
        <v>99.058623999999995</v>
      </c>
      <c r="C758" s="47">
        <f t="shared" si="24"/>
        <v>4.1243566801840714E-3</v>
      </c>
      <c r="E758" s="81"/>
      <c r="F758" s="82"/>
      <c r="G758" s="81">
        <v>43043</v>
      </c>
      <c r="H758" s="82">
        <v>335.24</v>
      </c>
      <c r="I758" s="211">
        <f t="shared" si="23"/>
        <v>-3.1519476657746459E-3</v>
      </c>
    </row>
    <row r="759" spans="1:9" ht="16">
      <c r="A759" s="233">
        <v>43082</v>
      </c>
      <c r="B759">
        <v>98.805442999999997</v>
      </c>
      <c r="C759" s="47">
        <f t="shared" si="24"/>
        <v>-2.555870350066658E-3</v>
      </c>
      <c r="E759" s="81"/>
      <c r="F759" s="82"/>
      <c r="G759" s="81">
        <v>43046</v>
      </c>
      <c r="H759" s="82">
        <v>337.32</v>
      </c>
      <c r="I759" s="211">
        <f t="shared" si="23"/>
        <v>6.2045102016465847E-3</v>
      </c>
    </row>
    <row r="760" spans="1:9" ht="16">
      <c r="A760" s="233">
        <v>43083</v>
      </c>
      <c r="B760">
        <v>98.488997999999995</v>
      </c>
      <c r="C760" s="47">
        <f t="shared" si="24"/>
        <v>-3.2027081746903718E-3</v>
      </c>
      <c r="E760" s="81"/>
      <c r="F760" s="82"/>
      <c r="G760" s="81">
        <v>43047</v>
      </c>
      <c r="H760" s="82">
        <v>338.32</v>
      </c>
      <c r="I760" s="211">
        <f t="shared" si="23"/>
        <v>2.9645440531247402E-3</v>
      </c>
    </row>
    <row r="761" spans="1:9" ht="16">
      <c r="A761" s="233">
        <v>43084</v>
      </c>
      <c r="B761">
        <v>98.586983000000004</v>
      </c>
      <c r="C761" s="47">
        <f t="shared" si="24"/>
        <v>9.9488269745640068E-4</v>
      </c>
      <c r="E761" s="81"/>
      <c r="F761" s="82"/>
      <c r="G761" s="81">
        <v>43048</v>
      </c>
      <c r="H761" s="82">
        <v>338.97</v>
      </c>
      <c r="I761" s="211">
        <f t="shared" si="23"/>
        <v>1.9212579806102692E-3</v>
      </c>
    </row>
    <row r="762" spans="1:9" ht="16">
      <c r="A762" s="233">
        <v>43085</v>
      </c>
      <c r="B762">
        <v>98.414597000000001</v>
      </c>
      <c r="C762" s="47">
        <f t="shared" si="24"/>
        <v>-1.7485675568346126E-3</v>
      </c>
      <c r="E762" s="81"/>
      <c r="F762" s="82"/>
      <c r="G762" s="81">
        <v>43049</v>
      </c>
      <c r="H762" s="82">
        <v>341.22</v>
      </c>
      <c r="I762" s="211">
        <f t="shared" si="23"/>
        <v>6.6377555535888089E-3</v>
      </c>
    </row>
    <row r="763" spans="1:9" ht="16">
      <c r="A763" s="233">
        <v>43088</v>
      </c>
      <c r="B763">
        <v>97.888412000000002</v>
      </c>
      <c r="C763" s="47">
        <f t="shared" si="24"/>
        <v>-5.346615400965371E-3</v>
      </c>
      <c r="E763" s="81"/>
      <c r="F763" s="82"/>
      <c r="G763" s="81">
        <v>43050</v>
      </c>
      <c r="H763" s="82">
        <v>341.98</v>
      </c>
      <c r="I763" s="211">
        <f t="shared" si="23"/>
        <v>2.2273020338783311E-3</v>
      </c>
    </row>
    <row r="764" spans="1:9" ht="16">
      <c r="A764" s="233">
        <v>43089</v>
      </c>
      <c r="B764">
        <v>98.178734000000006</v>
      </c>
      <c r="C764" s="47">
        <f t="shared" si="24"/>
        <v>2.9658464579036536E-3</v>
      </c>
      <c r="E764" s="81"/>
      <c r="F764" s="82"/>
      <c r="G764" s="81">
        <v>43053</v>
      </c>
      <c r="H764" s="82">
        <v>342.06</v>
      </c>
      <c r="I764" s="211">
        <f t="shared" si="23"/>
        <v>2.339318088777631E-4</v>
      </c>
    </row>
    <row r="765" spans="1:9" ht="16">
      <c r="A765" s="233">
        <v>43090</v>
      </c>
      <c r="B765">
        <v>98.287589999999994</v>
      </c>
      <c r="C765" s="47">
        <f t="shared" si="24"/>
        <v>1.1087533477462941E-3</v>
      </c>
      <c r="E765" s="81"/>
      <c r="F765" s="82"/>
      <c r="G765" s="81">
        <v>43054</v>
      </c>
      <c r="H765" s="82">
        <v>342.54</v>
      </c>
      <c r="I765" s="211">
        <f t="shared" si="23"/>
        <v>1.4032625855113778E-3</v>
      </c>
    </row>
    <row r="766" spans="1:9" ht="16">
      <c r="A766" s="233">
        <v>43091</v>
      </c>
      <c r="B766">
        <v>98.432761999999997</v>
      </c>
      <c r="C766" s="47">
        <f t="shared" si="24"/>
        <v>1.4770125099212716E-3</v>
      </c>
      <c r="E766" s="81"/>
      <c r="F766" s="82"/>
      <c r="G766" s="81">
        <v>43055</v>
      </c>
      <c r="H766" s="82">
        <v>341.62</v>
      </c>
      <c r="I766" s="211">
        <f t="shared" si="23"/>
        <v>-2.6858177147195406E-3</v>
      </c>
    </row>
    <row r="767" spans="1:9" ht="16">
      <c r="A767" s="233">
        <v>43095</v>
      </c>
      <c r="B767">
        <v>98.795647000000002</v>
      </c>
      <c r="C767" s="47">
        <f t="shared" si="24"/>
        <v>3.6866282386753824E-3</v>
      </c>
      <c r="E767" s="81"/>
      <c r="F767" s="82"/>
      <c r="G767" s="81">
        <v>43056</v>
      </c>
      <c r="H767" s="82">
        <v>337.38</v>
      </c>
      <c r="I767" s="211">
        <f t="shared" si="23"/>
        <v>-1.2411451320180289E-2</v>
      </c>
    </row>
    <row r="768" spans="1:9" ht="16">
      <c r="A768" s="233">
        <v>43096</v>
      </c>
      <c r="B768">
        <v>98.704932999999997</v>
      </c>
      <c r="C768" s="47">
        <f t="shared" si="24"/>
        <v>-9.1819834936657241E-4</v>
      </c>
      <c r="E768" s="81"/>
      <c r="F768" s="82"/>
      <c r="G768" s="81">
        <v>43057</v>
      </c>
      <c r="H768" s="82">
        <v>337.02</v>
      </c>
      <c r="I768" s="211">
        <f t="shared" si="23"/>
        <v>-1.0670460608216414E-3</v>
      </c>
    </row>
    <row r="769" spans="1:9" ht="16">
      <c r="A769" s="233">
        <v>43097</v>
      </c>
      <c r="B769">
        <v>98.605125000000001</v>
      </c>
      <c r="C769" s="47">
        <f t="shared" si="24"/>
        <v>-1.0111753989032746E-3</v>
      </c>
      <c r="E769" s="81"/>
      <c r="F769" s="82"/>
      <c r="G769" s="81">
        <v>43060</v>
      </c>
      <c r="H769" s="82">
        <v>333.63</v>
      </c>
      <c r="I769" s="211">
        <f t="shared" si="23"/>
        <v>-1.0058750222538659E-2</v>
      </c>
    </row>
    <row r="770" spans="1:9" ht="16">
      <c r="A770" s="233">
        <v>43098</v>
      </c>
      <c r="B770">
        <v>99.067795000000004</v>
      </c>
      <c r="C770" s="47">
        <f t="shared" si="24"/>
        <v>4.6921496220404535E-3</v>
      </c>
      <c r="E770" s="81"/>
      <c r="F770" s="82"/>
      <c r="G770" s="81">
        <v>43061</v>
      </c>
      <c r="H770" s="82">
        <v>332.5</v>
      </c>
      <c r="I770" s="211">
        <f t="shared" si="23"/>
        <v>-3.3869855828312367E-3</v>
      </c>
    </row>
    <row r="771" spans="1:9" ht="16">
      <c r="A771" s="233">
        <v>43099</v>
      </c>
      <c r="B771">
        <v>98.940787999999998</v>
      </c>
      <c r="C771" s="47">
        <f t="shared" si="24"/>
        <v>-1.2820210644640673E-3</v>
      </c>
      <c r="E771" s="81"/>
      <c r="F771" s="82"/>
      <c r="G771" s="81">
        <v>43062</v>
      </c>
      <c r="H771" s="82">
        <v>332.53</v>
      </c>
      <c r="I771" s="211">
        <f t="shared" si="23"/>
        <v>9.0225563909696049E-5</v>
      </c>
    </row>
    <row r="772" spans="1:9" ht="16">
      <c r="A772" s="233">
        <v>43102</v>
      </c>
      <c r="B772">
        <v>97.960991000000007</v>
      </c>
      <c r="C772" s="47">
        <f t="shared" si="24"/>
        <v>-9.9028623058873277E-3</v>
      </c>
      <c r="E772" s="81"/>
      <c r="F772" s="82"/>
      <c r="G772" s="81">
        <v>43063</v>
      </c>
      <c r="H772" s="82">
        <v>333.41</v>
      </c>
      <c r="I772" s="211">
        <f t="shared" si="23"/>
        <v>2.6463777704268665E-3</v>
      </c>
    </row>
    <row r="773" spans="1:9" ht="16">
      <c r="A773" s="233">
        <v>43103</v>
      </c>
      <c r="B773">
        <v>97.906554999999997</v>
      </c>
      <c r="C773" s="47">
        <f t="shared" si="24"/>
        <v>-5.5569058095794599E-4</v>
      </c>
      <c r="E773" s="81"/>
      <c r="F773" s="82"/>
      <c r="G773" s="81">
        <v>43064</v>
      </c>
      <c r="H773" s="82">
        <v>325.05</v>
      </c>
      <c r="I773" s="211">
        <f t="shared" si="23"/>
        <v>-2.5074232926426965E-2</v>
      </c>
    </row>
    <row r="774" spans="1:9" ht="16">
      <c r="A774" s="233">
        <v>43104</v>
      </c>
      <c r="B774">
        <v>96.972160000000002</v>
      </c>
      <c r="C774" s="47">
        <f t="shared" si="24"/>
        <v>-9.5437430108739063E-3</v>
      </c>
      <c r="E774" s="81"/>
      <c r="F774" s="82"/>
      <c r="G774" s="81">
        <v>43067</v>
      </c>
      <c r="H774" s="82">
        <v>323.91000000000003</v>
      </c>
      <c r="I774" s="211">
        <f t="shared" si="23"/>
        <v>-3.5071527457314344E-3</v>
      </c>
    </row>
    <row r="775" spans="1:9" ht="16">
      <c r="A775" s="233">
        <v>43105</v>
      </c>
      <c r="B775">
        <v>96.881416000000002</v>
      </c>
      <c r="C775" s="47">
        <f t="shared" si="24"/>
        <v>-9.3577373134723363E-4</v>
      </c>
      <c r="E775" s="81"/>
      <c r="F775" s="82"/>
      <c r="G775" s="81">
        <v>43068</v>
      </c>
      <c r="H775" s="82">
        <v>322.83999999999997</v>
      </c>
      <c r="I775" s="211">
        <f t="shared" si="23"/>
        <v>-3.3033867432312736E-3</v>
      </c>
    </row>
    <row r="776" spans="1:9" ht="16">
      <c r="A776" s="233">
        <v>43106</v>
      </c>
      <c r="B776">
        <v>96.690894999999998</v>
      </c>
      <c r="C776" s="47">
        <f t="shared" si="24"/>
        <v>-1.9665381439099017E-3</v>
      </c>
      <c r="E776" s="81"/>
      <c r="F776" s="82"/>
      <c r="G776" s="81">
        <v>43069</v>
      </c>
      <c r="H776" s="82">
        <v>324.95999999999998</v>
      </c>
      <c r="I776" s="211">
        <f t="shared" si="23"/>
        <v>6.5667203568331445E-3</v>
      </c>
    </row>
    <row r="777" spans="1:9" ht="16">
      <c r="A777" s="233">
        <v>43109</v>
      </c>
      <c r="B777">
        <v>96.364295999999996</v>
      </c>
      <c r="C777" s="47">
        <f t="shared" si="24"/>
        <v>-3.3777637491100299E-3</v>
      </c>
      <c r="E777" s="81"/>
      <c r="F777" s="82"/>
      <c r="G777" s="81">
        <v>43070</v>
      </c>
      <c r="H777" s="82">
        <v>326.52</v>
      </c>
      <c r="I777" s="211">
        <f t="shared" si="23"/>
        <v>4.8005908419497256E-3</v>
      </c>
    </row>
    <row r="778" spans="1:9" ht="16">
      <c r="A778" s="233">
        <v>43110</v>
      </c>
      <c r="B778">
        <v>96.563880999999995</v>
      </c>
      <c r="C778" s="47">
        <f t="shared" si="24"/>
        <v>2.0711509167254949E-3</v>
      </c>
      <c r="E778" s="81"/>
      <c r="F778" s="82"/>
      <c r="G778" s="81">
        <v>43071</v>
      </c>
      <c r="H778" s="82">
        <v>323.44</v>
      </c>
      <c r="I778" s="211">
        <f t="shared" si="23"/>
        <v>-9.4328065662133698E-3</v>
      </c>
    </row>
    <row r="779" spans="1:9" ht="16">
      <c r="A779" s="233">
        <v>43111</v>
      </c>
      <c r="B779">
        <v>96.364295999999996</v>
      </c>
      <c r="C779" s="47">
        <f t="shared" si="24"/>
        <v>-2.0668701167882997E-3</v>
      </c>
      <c r="E779" s="81"/>
      <c r="F779" s="82"/>
      <c r="G779" s="81">
        <v>43074</v>
      </c>
      <c r="H779" s="82">
        <v>322.01</v>
      </c>
      <c r="I779" s="211">
        <f t="shared" si="23"/>
        <v>-4.4212218649517521E-3</v>
      </c>
    </row>
    <row r="780" spans="1:9" ht="16">
      <c r="A780" s="233">
        <v>43112</v>
      </c>
      <c r="B780">
        <v>96.037711999999999</v>
      </c>
      <c r="C780" s="47">
        <f t="shared" si="24"/>
        <v>-3.3890560462351838E-3</v>
      </c>
      <c r="E780" s="81"/>
      <c r="F780" s="82"/>
      <c r="G780" s="81">
        <v>43075</v>
      </c>
      <c r="H780" s="82">
        <v>326.63</v>
      </c>
      <c r="I780" s="211">
        <f t="shared" si="23"/>
        <v>1.4347380516133157E-2</v>
      </c>
    </row>
    <row r="781" spans="1:9" ht="16">
      <c r="A781" s="233">
        <v>43113</v>
      </c>
      <c r="B781">
        <v>95.194000000000003</v>
      </c>
      <c r="C781" s="47">
        <f t="shared" si="24"/>
        <v>-8.7852155411615174E-3</v>
      </c>
      <c r="E781" s="81"/>
      <c r="F781" s="82"/>
      <c r="G781" s="81">
        <v>43076</v>
      </c>
      <c r="H781" s="82">
        <v>328.96</v>
      </c>
      <c r="I781" s="211">
        <f t="shared" si="23"/>
        <v>7.1334537550131749E-3</v>
      </c>
    </row>
    <row r="782" spans="1:9" ht="16">
      <c r="A782" s="233">
        <v>43117</v>
      </c>
      <c r="B782">
        <v>94.313987999999995</v>
      </c>
      <c r="C782" s="47">
        <f t="shared" si="24"/>
        <v>-9.2444061600521765E-3</v>
      </c>
      <c r="E782" s="81"/>
      <c r="F782" s="82"/>
      <c r="G782" s="81">
        <v>43077</v>
      </c>
      <c r="H782" s="82">
        <v>329.87</v>
      </c>
      <c r="I782" s="211">
        <f t="shared" si="23"/>
        <v>2.7662937743191396E-3</v>
      </c>
    </row>
    <row r="783" spans="1:9" ht="16">
      <c r="A783" s="233">
        <v>43118</v>
      </c>
      <c r="B783">
        <v>94.949073999999996</v>
      </c>
      <c r="C783" s="47">
        <f t="shared" si="24"/>
        <v>6.733741340680055E-3</v>
      </c>
      <c r="E783" s="81"/>
      <c r="F783" s="82"/>
      <c r="G783" s="81">
        <v>43078</v>
      </c>
      <c r="H783" s="82">
        <v>328.36</v>
      </c>
      <c r="I783" s="211">
        <f t="shared" si="23"/>
        <v>-4.5775608573074278E-3</v>
      </c>
    </row>
    <row r="784" spans="1:9" ht="16">
      <c r="A784" s="233">
        <v>43119</v>
      </c>
      <c r="B784">
        <v>95.284721000000005</v>
      </c>
      <c r="C784" s="47">
        <f t="shared" si="24"/>
        <v>3.5350213104765604E-3</v>
      </c>
      <c r="E784" s="81"/>
      <c r="F784" s="82"/>
      <c r="G784" s="81">
        <v>43081</v>
      </c>
      <c r="H784" s="82">
        <v>326.16000000000003</v>
      </c>
      <c r="I784" s="211">
        <f t="shared" ref="I784:I847" si="25">H784/H783-1</f>
        <v>-6.6999634547447728E-3</v>
      </c>
    </row>
    <row r="785" spans="1:9" ht="16">
      <c r="A785" s="233">
        <v>43120</v>
      </c>
      <c r="B785">
        <v>95.792755</v>
      </c>
      <c r="C785" s="47">
        <f t="shared" ref="C785:C848" si="26">B785/B784-1</f>
        <v>5.3317467340854297E-3</v>
      </c>
      <c r="E785" s="81"/>
      <c r="F785" s="82"/>
      <c r="G785" s="81">
        <v>43082</v>
      </c>
      <c r="H785" s="82">
        <v>324.17</v>
      </c>
      <c r="I785" s="211">
        <f t="shared" si="25"/>
        <v>-6.101299975472152E-3</v>
      </c>
    </row>
    <row r="786" spans="1:9" ht="16">
      <c r="A786" s="233">
        <v>43123</v>
      </c>
      <c r="B786">
        <v>95.148635999999996</v>
      </c>
      <c r="C786" s="47">
        <f t="shared" si="26"/>
        <v>-6.7240888937790677E-3</v>
      </c>
      <c r="E786" s="81"/>
      <c r="F786" s="82"/>
      <c r="G786" s="81">
        <v>43083</v>
      </c>
      <c r="H786" s="82">
        <v>321.58999999999997</v>
      </c>
      <c r="I786" s="211">
        <f t="shared" si="25"/>
        <v>-7.9587870561743657E-3</v>
      </c>
    </row>
    <row r="787" spans="1:9" ht="16">
      <c r="A787" s="233">
        <v>43124</v>
      </c>
      <c r="B787">
        <v>95.293807999999999</v>
      </c>
      <c r="C787" s="47">
        <f t="shared" si="26"/>
        <v>1.5257391603595849E-3</v>
      </c>
      <c r="E787" s="81"/>
      <c r="F787" s="82"/>
      <c r="G787" s="81">
        <v>43084</v>
      </c>
      <c r="H787" s="82">
        <v>323.85000000000002</v>
      </c>
      <c r="I787" s="211">
        <f t="shared" si="25"/>
        <v>7.0275817034113341E-3</v>
      </c>
    </row>
    <row r="788" spans="1:9" ht="16">
      <c r="A788" s="233">
        <v>43125</v>
      </c>
      <c r="B788">
        <v>94.794815</v>
      </c>
      <c r="C788" s="47">
        <f t="shared" si="26"/>
        <v>-5.2363633112447738E-3</v>
      </c>
      <c r="E788" s="81"/>
      <c r="F788" s="82"/>
      <c r="G788" s="81">
        <v>43085</v>
      </c>
      <c r="H788" s="82">
        <v>321.5</v>
      </c>
      <c r="I788" s="211">
        <f t="shared" si="25"/>
        <v>-7.256445885440832E-3</v>
      </c>
    </row>
    <row r="789" spans="1:9" ht="16">
      <c r="A789" s="233">
        <v>43126</v>
      </c>
      <c r="B789">
        <v>95.330085999999994</v>
      </c>
      <c r="C789" s="47">
        <f t="shared" si="26"/>
        <v>5.6466274025641638E-3</v>
      </c>
      <c r="E789" s="81"/>
      <c r="F789" s="82"/>
      <c r="G789" s="81">
        <v>43088</v>
      </c>
      <c r="H789" s="82">
        <v>314.64</v>
      </c>
      <c r="I789" s="211">
        <f t="shared" si="25"/>
        <v>-2.133748055987561E-2</v>
      </c>
    </row>
    <row r="790" spans="1:9" ht="16">
      <c r="A790" s="233">
        <v>43127</v>
      </c>
      <c r="B790">
        <v>95.629456000000005</v>
      </c>
      <c r="C790" s="47">
        <f t="shared" si="26"/>
        <v>3.1403517248480561E-3</v>
      </c>
      <c r="E790" s="81"/>
      <c r="F790" s="82"/>
      <c r="G790" s="81">
        <v>43089</v>
      </c>
      <c r="H790" s="82">
        <v>319.60000000000002</v>
      </c>
      <c r="I790" s="211">
        <f t="shared" si="25"/>
        <v>1.5764047800661096E-2</v>
      </c>
    </row>
    <row r="791" spans="1:9" ht="16">
      <c r="A791" s="233">
        <v>43130</v>
      </c>
      <c r="B791">
        <v>95.602233999999996</v>
      </c>
      <c r="C791" s="47">
        <f t="shared" si="26"/>
        <v>-2.8466124496207001E-4</v>
      </c>
      <c r="E791" s="81"/>
      <c r="F791" s="82"/>
      <c r="G791" s="81">
        <v>43090</v>
      </c>
      <c r="H791" s="82">
        <v>320.72000000000003</v>
      </c>
      <c r="I791" s="211">
        <f t="shared" si="25"/>
        <v>3.5043804755945374E-3</v>
      </c>
    </row>
    <row r="792" spans="1:9" ht="16">
      <c r="A792" s="233">
        <v>43131</v>
      </c>
      <c r="B792">
        <v>95.850769</v>
      </c>
      <c r="C792" s="47">
        <f t="shared" si="26"/>
        <v>2.5996777439323271E-3</v>
      </c>
      <c r="E792" s="81"/>
      <c r="F792" s="82"/>
      <c r="G792" s="81">
        <v>43091</v>
      </c>
      <c r="H792" s="82">
        <v>323.51</v>
      </c>
      <c r="I792" s="211">
        <f t="shared" si="25"/>
        <v>8.6991768520827684E-3</v>
      </c>
    </row>
    <row r="793" spans="1:9" ht="16">
      <c r="A793" s="233">
        <v>43132</v>
      </c>
      <c r="B793">
        <v>96.287811000000005</v>
      </c>
      <c r="C793" s="47">
        <f t="shared" si="26"/>
        <v>4.5596086975578931E-3</v>
      </c>
      <c r="E793" s="81"/>
      <c r="F793" s="82"/>
      <c r="G793" s="81">
        <v>43092</v>
      </c>
      <c r="H793" s="82">
        <v>323.61</v>
      </c>
      <c r="I793" s="211">
        <f t="shared" si="25"/>
        <v>3.0910945565842951E-4</v>
      </c>
    </row>
    <row r="794" spans="1:9" ht="16">
      <c r="A794" s="233">
        <v>43133</v>
      </c>
      <c r="B794">
        <v>95.459297000000007</v>
      </c>
      <c r="C794" s="47">
        <f t="shared" si="26"/>
        <v>-8.6045574345853248E-3</v>
      </c>
      <c r="E794" s="81"/>
      <c r="F794" s="82"/>
      <c r="G794" s="81">
        <v>43095</v>
      </c>
      <c r="H794" s="82">
        <v>324.19</v>
      </c>
      <c r="I794" s="211">
        <f t="shared" si="25"/>
        <v>1.7922808318655559E-3</v>
      </c>
    </row>
    <row r="795" spans="1:9" ht="16">
      <c r="A795" s="233">
        <v>43134</v>
      </c>
      <c r="B795">
        <v>95.004088999999993</v>
      </c>
      <c r="C795" s="47">
        <f t="shared" si="26"/>
        <v>-4.7686083420456216E-3</v>
      </c>
      <c r="E795" s="81"/>
      <c r="F795" s="82"/>
      <c r="G795" s="81">
        <v>43096</v>
      </c>
      <c r="H795" s="82">
        <v>324.95</v>
      </c>
      <c r="I795" s="211">
        <f t="shared" si="25"/>
        <v>2.3443042660167279E-3</v>
      </c>
    </row>
    <row r="796" spans="1:9" ht="16">
      <c r="A796" s="233">
        <v>43137</v>
      </c>
      <c r="B796">
        <v>94.894844000000006</v>
      </c>
      <c r="C796" s="47">
        <f t="shared" si="26"/>
        <v>-1.1498978743955668E-3</v>
      </c>
      <c r="E796" s="81"/>
      <c r="F796" s="82"/>
      <c r="G796" s="81">
        <v>43097</v>
      </c>
      <c r="H796" s="82">
        <v>322.89999999999998</v>
      </c>
      <c r="I796" s="211">
        <f t="shared" si="25"/>
        <v>-6.3086628712110127E-3</v>
      </c>
    </row>
    <row r="797" spans="1:9" ht="16">
      <c r="A797" s="233">
        <v>43138</v>
      </c>
      <c r="B797">
        <v>94.649017000000001</v>
      </c>
      <c r="C797" s="47">
        <f t="shared" si="26"/>
        <v>-2.5905200919030813E-3</v>
      </c>
      <c r="E797" s="81"/>
      <c r="F797" s="82"/>
      <c r="G797" s="81">
        <v>43098</v>
      </c>
      <c r="H797" s="82">
        <v>325.86</v>
      </c>
      <c r="I797" s="211">
        <f t="shared" si="25"/>
        <v>9.16692474450298E-3</v>
      </c>
    </row>
    <row r="798" spans="1:9" ht="16">
      <c r="A798" s="233">
        <v>43139</v>
      </c>
      <c r="B798">
        <v>94.985885999999994</v>
      </c>
      <c r="C798" s="47">
        <f t="shared" si="26"/>
        <v>3.5591389184739253E-3</v>
      </c>
      <c r="E798" s="81"/>
      <c r="F798" s="82"/>
      <c r="G798" s="81">
        <v>43099</v>
      </c>
      <c r="H798" s="82">
        <v>327.39</v>
      </c>
      <c r="I798" s="211">
        <f t="shared" si="25"/>
        <v>4.6952679064629077E-3</v>
      </c>
    </row>
    <row r="799" spans="1:9" ht="16">
      <c r="A799" s="233">
        <v>43140</v>
      </c>
      <c r="B799">
        <v>93.738579000000001</v>
      </c>
      <c r="C799" s="47">
        <f t="shared" si="26"/>
        <v>-1.3131498294388644E-2</v>
      </c>
      <c r="E799" s="81"/>
      <c r="F799" s="82"/>
      <c r="G799" s="81">
        <v>43102</v>
      </c>
      <c r="H799" s="82">
        <v>328.07</v>
      </c>
      <c r="I799" s="211">
        <f t="shared" si="25"/>
        <v>2.0770335074375978E-3</v>
      </c>
    </row>
    <row r="800" spans="1:9" ht="16">
      <c r="A800" s="233">
        <v>43141</v>
      </c>
      <c r="B800">
        <v>93.192336999999995</v>
      </c>
      <c r="C800" s="47">
        <f t="shared" si="26"/>
        <v>-5.8272912372611119E-3</v>
      </c>
      <c r="E800" s="81"/>
      <c r="F800" s="82"/>
      <c r="G800" s="81">
        <v>43103</v>
      </c>
      <c r="H800" s="82">
        <v>327.93</v>
      </c>
      <c r="I800" s="211">
        <f t="shared" si="25"/>
        <v>-4.2673819611660502E-4</v>
      </c>
    </row>
    <row r="801" spans="1:9" ht="16">
      <c r="A801" s="233">
        <v>43144</v>
      </c>
      <c r="B801">
        <v>93.547400999999994</v>
      </c>
      <c r="C801" s="47">
        <f t="shared" si="26"/>
        <v>3.810012833995069E-3</v>
      </c>
      <c r="E801" s="81"/>
      <c r="F801" s="82"/>
      <c r="G801" s="81">
        <v>43104</v>
      </c>
      <c r="H801" s="82">
        <v>325.45999999999998</v>
      </c>
      <c r="I801" s="211">
        <f t="shared" si="25"/>
        <v>-7.5320952642332628E-3</v>
      </c>
    </row>
    <row r="802" spans="1:9" ht="16">
      <c r="A802" s="233">
        <v>43145</v>
      </c>
      <c r="B802">
        <v>93.902480999999995</v>
      </c>
      <c r="C802" s="47">
        <f t="shared" si="26"/>
        <v>3.7957227694653817E-3</v>
      </c>
      <c r="E802" s="81"/>
      <c r="F802" s="82"/>
      <c r="G802" s="81">
        <v>43105</v>
      </c>
      <c r="H802" s="82">
        <v>324.43</v>
      </c>
      <c r="I802" s="211">
        <f t="shared" si="25"/>
        <v>-3.164751428746948E-3</v>
      </c>
    </row>
    <row r="803" spans="1:9" ht="16">
      <c r="A803" s="233">
        <v>43146</v>
      </c>
      <c r="B803">
        <v>94.175590999999997</v>
      </c>
      <c r="C803" s="47">
        <f t="shared" si="26"/>
        <v>2.9084428557324404E-3</v>
      </c>
      <c r="E803" s="81"/>
      <c r="F803" s="82"/>
      <c r="G803" s="81">
        <v>43106</v>
      </c>
      <c r="H803" s="82">
        <v>325.81</v>
      </c>
      <c r="I803" s="211">
        <f t="shared" si="25"/>
        <v>4.2536140307616321E-3</v>
      </c>
    </row>
    <row r="804" spans="1:9" ht="16">
      <c r="A804" s="233">
        <v>43147</v>
      </c>
      <c r="B804">
        <v>93.738579000000001</v>
      </c>
      <c r="C804" s="47">
        <f t="shared" si="26"/>
        <v>-4.6403956201347407E-3</v>
      </c>
      <c r="E804" s="81"/>
      <c r="F804" s="82"/>
      <c r="G804" s="81">
        <v>43109</v>
      </c>
      <c r="H804" s="82">
        <v>328.12</v>
      </c>
      <c r="I804" s="211">
        <f t="shared" si="25"/>
        <v>7.0900217918419273E-3</v>
      </c>
    </row>
    <row r="805" spans="1:9" ht="16">
      <c r="A805" s="233">
        <v>43148</v>
      </c>
      <c r="B805">
        <v>93.775002000000001</v>
      </c>
      <c r="C805" s="47">
        <f t="shared" si="26"/>
        <v>3.8855933585257851E-4</v>
      </c>
      <c r="E805" s="81"/>
      <c r="F805" s="82"/>
      <c r="G805" s="81">
        <v>43110</v>
      </c>
      <c r="H805" s="82">
        <v>330.92</v>
      </c>
      <c r="I805" s="211">
        <f t="shared" si="25"/>
        <v>8.5334633670608451E-3</v>
      </c>
    </row>
    <row r="806" spans="1:9" ht="16">
      <c r="A806" s="233">
        <v>43152</v>
      </c>
      <c r="B806">
        <v>92.591423000000006</v>
      </c>
      <c r="C806" s="47">
        <f t="shared" si="26"/>
        <v>-1.2621476670296339E-2</v>
      </c>
      <c r="E806" s="81"/>
      <c r="F806" s="82"/>
      <c r="G806" s="81">
        <v>43111</v>
      </c>
      <c r="H806" s="82">
        <v>336.3</v>
      </c>
      <c r="I806" s="211">
        <f t="shared" si="25"/>
        <v>1.6257705789918919E-2</v>
      </c>
    </row>
    <row r="807" spans="1:9" ht="16">
      <c r="A807" s="233">
        <v>43153</v>
      </c>
      <c r="B807">
        <v>91.034583999999995</v>
      </c>
      <c r="C807" s="47">
        <f t="shared" si="26"/>
        <v>-1.6814073588652056E-2</v>
      </c>
      <c r="E807" s="81"/>
      <c r="F807" s="82"/>
      <c r="G807" s="81">
        <v>43112</v>
      </c>
      <c r="H807" s="82">
        <v>334.62</v>
      </c>
      <c r="I807" s="211">
        <f t="shared" si="25"/>
        <v>-4.9955396966994137E-3</v>
      </c>
    </row>
    <row r="808" spans="1:9" ht="16">
      <c r="A808" s="233">
        <v>43154</v>
      </c>
      <c r="B808">
        <v>90.115036000000003</v>
      </c>
      <c r="C808" s="47">
        <f t="shared" si="26"/>
        <v>-1.0101084220915379E-2</v>
      </c>
      <c r="E808" s="218"/>
      <c r="F808" s="82"/>
      <c r="G808" s="81">
        <v>43113</v>
      </c>
      <c r="H808" s="82">
        <v>333.92</v>
      </c>
      <c r="I808" s="211">
        <f t="shared" si="25"/>
        <v>-2.0919251688482632E-3</v>
      </c>
    </row>
    <row r="809" spans="1:9" ht="16">
      <c r="A809" s="233">
        <v>43155</v>
      </c>
      <c r="B809">
        <v>91.198470999999998</v>
      </c>
      <c r="C809" s="47">
        <f t="shared" si="26"/>
        <v>1.2022799391657513E-2</v>
      </c>
      <c r="E809" s="218"/>
      <c r="F809" s="82"/>
      <c r="G809" s="81">
        <v>43116</v>
      </c>
      <c r="H809" s="82">
        <v>334.06</v>
      </c>
      <c r="I809" s="211">
        <f t="shared" si="25"/>
        <v>4.192620987062412E-4</v>
      </c>
    </row>
    <row r="810" spans="1:9" ht="16">
      <c r="A810" s="233">
        <v>43158</v>
      </c>
      <c r="B810">
        <v>90.315323000000006</v>
      </c>
      <c r="C810" s="47">
        <f t="shared" si="26"/>
        <v>-9.6838027032272178E-3</v>
      </c>
      <c r="E810" s="81"/>
      <c r="F810" s="82"/>
      <c r="G810" s="81">
        <v>43117</v>
      </c>
      <c r="H810" s="82">
        <v>330.6</v>
      </c>
      <c r="I810" s="211">
        <f t="shared" si="25"/>
        <v>-1.0357420822606711E-2</v>
      </c>
    </row>
    <row r="811" spans="1:9" ht="16">
      <c r="A811" s="233">
        <v>43159</v>
      </c>
      <c r="B811">
        <v>88.922828999999993</v>
      </c>
      <c r="C811" s="47">
        <f t="shared" si="26"/>
        <v>-1.5418136742975652E-2</v>
      </c>
      <c r="E811" s="81"/>
      <c r="F811" s="82"/>
      <c r="G811" s="81">
        <v>43118</v>
      </c>
      <c r="H811" s="82">
        <v>330.67</v>
      </c>
      <c r="I811" s="211">
        <f t="shared" si="25"/>
        <v>2.1173623714454415E-4</v>
      </c>
    </row>
    <row r="812" spans="1:9" ht="16">
      <c r="A812" s="233">
        <v>43160</v>
      </c>
      <c r="B812">
        <v>88.730948999999995</v>
      </c>
      <c r="C812" s="47">
        <f t="shared" si="26"/>
        <v>-2.1578260853576392E-3</v>
      </c>
      <c r="E812" s="219"/>
      <c r="F812" s="82"/>
      <c r="G812" s="81">
        <v>43119</v>
      </c>
      <c r="H812" s="82">
        <v>334.27</v>
      </c>
      <c r="I812" s="211">
        <f t="shared" si="25"/>
        <v>1.0886987026340389E-2</v>
      </c>
    </row>
    <row r="813" spans="1:9" ht="16">
      <c r="A813" s="233">
        <v>43161</v>
      </c>
      <c r="B813">
        <v>88.347183000000001</v>
      </c>
      <c r="C813" s="47">
        <f t="shared" si="26"/>
        <v>-4.3250523557456511E-3</v>
      </c>
      <c r="E813" s="81"/>
      <c r="F813" s="82"/>
      <c r="G813" s="81">
        <v>43120</v>
      </c>
      <c r="H813" s="82">
        <v>330.67</v>
      </c>
      <c r="I813" s="211">
        <f t="shared" si="25"/>
        <v>-1.0769737038920479E-2</v>
      </c>
    </row>
    <row r="814" spans="1:9" ht="16">
      <c r="A814" s="233">
        <v>43162</v>
      </c>
      <c r="B814">
        <v>86.446663000000001</v>
      </c>
      <c r="C814" s="47">
        <f t="shared" si="26"/>
        <v>-2.1511947924813812E-2</v>
      </c>
      <c r="E814" s="81"/>
      <c r="F814" s="82"/>
      <c r="G814" s="81">
        <v>43123</v>
      </c>
      <c r="H814" s="82">
        <v>325.07</v>
      </c>
      <c r="I814" s="211">
        <f t="shared" si="25"/>
        <v>-1.6935313152085185E-2</v>
      </c>
    </row>
    <row r="815" spans="1:9" ht="16">
      <c r="A815" s="233">
        <v>43165</v>
      </c>
      <c r="B815">
        <v>85.770522999999997</v>
      </c>
      <c r="C815" s="47">
        <f t="shared" si="26"/>
        <v>-7.8214702168434291E-3</v>
      </c>
      <c r="E815" s="81"/>
      <c r="F815" s="82"/>
      <c r="G815" s="81">
        <v>43124</v>
      </c>
      <c r="H815" s="82">
        <v>322.73</v>
      </c>
      <c r="I815" s="211">
        <f t="shared" si="25"/>
        <v>-7.198449564709053E-3</v>
      </c>
    </row>
    <row r="816" spans="1:9" ht="16">
      <c r="A816" s="233">
        <v>43166</v>
      </c>
      <c r="B816">
        <v>86.519752999999994</v>
      </c>
      <c r="C816" s="47">
        <f t="shared" si="26"/>
        <v>8.7352854313362815E-3</v>
      </c>
      <c r="E816" s="81"/>
      <c r="F816" s="82"/>
      <c r="G816" s="81">
        <v>43125</v>
      </c>
      <c r="H816" s="82">
        <v>322.88</v>
      </c>
      <c r="I816" s="211">
        <f t="shared" si="25"/>
        <v>4.647848046352987E-4</v>
      </c>
    </row>
    <row r="817" spans="1:9" ht="16">
      <c r="A817" s="233">
        <v>43167</v>
      </c>
      <c r="B817">
        <v>87.360389999999995</v>
      </c>
      <c r="C817" s="47">
        <f t="shared" si="26"/>
        <v>9.716128061530549E-3</v>
      </c>
      <c r="E817" s="81"/>
      <c r="F817" s="82"/>
      <c r="G817" s="81">
        <v>43126</v>
      </c>
      <c r="H817" s="82">
        <v>319.26</v>
      </c>
      <c r="I817" s="211">
        <f t="shared" si="25"/>
        <v>-1.1211595639246785E-2</v>
      </c>
    </row>
    <row r="818" spans="1:9" ht="16">
      <c r="A818" s="233">
        <v>43168</v>
      </c>
      <c r="B818">
        <v>87.488297000000003</v>
      </c>
      <c r="C818" s="47">
        <f t="shared" si="26"/>
        <v>1.4641303684657103E-3</v>
      </c>
      <c r="E818" s="81"/>
      <c r="F818" s="82"/>
      <c r="G818" s="81">
        <v>43127</v>
      </c>
      <c r="H818" s="82">
        <v>318.61</v>
      </c>
      <c r="I818" s="211">
        <f t="shared" si="25"/>
        <v>-2.0359581532293225E-3</v>
      </c>
    </row>
    <row r="819" spans="1:9" ht="16">
      <c r="A819" s="233">
        <v>43169</v>
      </c>
      <c r="B819">
        <v>86.812149000000005</v>
      </c>
      <c r="C819" s="47">
        <f t="shared" si="26"/>
        <v>-7.7284393820123976E-3</v>
      </c>
      <c r="E819" s="81"/>
      <c r="F819" s="82"/>
      <c r="G819" s="81">
        <v>43130</v>
      </c>
      <c r="H819" s="82">
        <v>324.16000000000003</v>
      </c>
      <c r="I819" s="211">
        <f t="shared" si="25"/>
        <v>1.7419415586453768E-2</v>
      </c>
    </row>
    <row r="820" spans="1:9" ht="16">
      <c r="A820" s="233">
        <v>43172</v>
      </c>
      <c r="B820">
        <v>86.629409999999993</v>
      </c>
      <c r="C820" s="47">
        <f t="shared" si="26"/>
        <v>-2.1049933921116759E-3</v>
      </c>
      <c r="E820" s="81"/>
      <c r="F820" s="82"/>
      <c r="G820" s="81">
        <v>43131</v>
      </c>
      <c r="H820" s="82">
        <v>325.95999999999998</v>
      </c>
      <c r="I820" s="211">
        <f t="shared" si="25"/>
        <v>5.5528134254687611E-3</v>
      </c>
    </row>
    <row r="821" spans="1:9" ht="16">
      <c r="A821" s="233">
        <v>43173</v>
      </c>
      <c r="B821">
        <v>87.150215000000003</v>
      </c>
      <c r="C821" s="47">
        <f t="shared" si="26"/>
        <v>6.0118728731963778E-3</v>
      </c>
      <c r="E821" s="81"/>
      <c r="F821" s="82"/>
      <c r="G821" s="81">
        <v>43132</v>
      </c>
      <c r="H821" s="82">
        <v>325.51</v>
      </c>
      <c r="I821" s="211">
        <f t="shared" si="25"/>
        <v>-1.3805374892624789E-3</v>
      </c>
    </row>
    <row r="822" spans="1:9" ht="16">
      <c r="A822" s="233">
        <v>43174</v>
      </c>
      <c r="B822">
        <v>88.931976000000006</v>
      </c>
      <c r="C822" s="47">
        <f t="shared" si="26"/>
        <v>2.0444711467435983E-2</v>
      </c>
      <c r="E822" s="81"/>
      <c r="F822" s="82"/>
      <c r="G822" s="81">
        <v>43133</v>
      </c>
      <c r="H822" s="82">
        <v>324.19</v>
      </c>
      <c r="I822" s="211">
        <f t="shared" si="25"/>
        <v>-4.0551749562225403E-3</v>
      </c>
    </row>
    <row r="823" spans="1:9" ht="16">
      <c r="A823" s="233">
        <v>43175</v>
      </c>
      <c r="B823">
        <v>89.498465999999993</v>
      </c>
      <c r="C823" s="47">
        <f t="shared" si="26"/>
        <v>6.3699248063484593E-3</v>
      </c>
      <c r="E823" s="81"/>
      <c r="F823" s="82"/>
      <c r="G823" s="81">
        <v>43134</v>
      </c>
      <c r="H823" s="82">
        <v>325.60000000000002</v>
      </c>
      <c r="I823" s="211">
        <f t="shared" si="25"/>
        <v>4.3493013356366017E-3</v>
      </c>
    </row>
    <row r="824" spans="1:9" ht="16">
      <c r="A824" s="233">
        <v>43176</v>
      </c>
      <c r="B824">
        <v>89.132980000000003</v>
      </c>
      <c r="C824" s="47">
        <f t="shared" si="26"/>
        <v>-4.0837124515630263E-3</v>
      </c>
      <c r="E824" s="81"/>
      <c r="F824" s="82"/>
      <c r="G824" s="81">
        <v>43137</v>
      </c>
      <c r="H824" s="82">
        <v>325.87</v>
      </c>
      <c r="I824" s="211">
        <f t="shared" si="25"/>
        <v>8.292383292383132E-4</v>
      </c>
    </row>
    <row r="825" spans="1:9" ht="16">
      <c r="A825" s="233">
        <v>43179</v>
      </c>
      <c r="B825">
        <v>87.570533999999995</v>
      </c>
      <c r="C825" s="47">
        <f t="shared" si="26"/>
        <v>-1.7529381380494757E-2</v>
      </c>
      <c r="E825" s="81"/>
      <c r="F825" s="82"/>
      <c r="G825" s="81">
        <v>43138</v>
      </c>
      <c r="H825" s="82">
        <v>327.07</v>
      </c>
      <c r="I825" s="211">
        <f t="shared" si="25"/>
        <v>3.6824500567711471E-3</v>
      </c>
    </row>
    <row r="826" spans="1:9" ht="16">
      <c r="A826" s="233">
        <v>43180</v>
      </c>
      <c r="B826">
        <v>87.415206999999995</v>
      </c>
      <c r="C826" s="47">
        <f t="shared" si="26"/>
        <v>-1.7737359007082842E-3</v>
      </c>
      <c r="E826" s="81"/>
      <c r="F826" s="82"/>
      <c r="G826" s="81">
        <v>43139</v>
      </c>
      <c r="H826" s="82">
        <v>331.92</v>
      </c>
      <c r="I826" s="211">
        <f t="shared" si="25"/>
        <v>1.4828629956890049E-2</v>
      </c>
    </row>
    <row r="827" spans="1:9" ht="16">
      <c r="A827" s="233">
        <v>43181</v>
      </c>
      <c r="B827">
        <v>87.488297000000003</v>
      </c>
      <c r="C827" s="47">
        <f t="shared" si="26"/>
        <v>8.3612454295289851E-4</v>
      </c>
      <c r="E827" s="81"/>
      <c r="F827" s="82"/>
      <c r="G827" s="81">
        <v>43140</v>
      </c>
      <c r="H827" s="82">
        <v>333.71</v>
      </c>
      <c r="I827" s="211">
        <f t="shared" si="25"/>
        <v>5.3928657507831268E-3</v>
      </c>
    </row>
    <row r="828" spans="1:9" ht="16">
      <c r="A828" s="233">
        <v>43182</v>
      </c>
      <c r="B828">
        <v>87.835517999999993</v>
      </c>
      <c r="C828" s="47">
        <f t="shared" si="26"/>
        <v>3.9687708174269698E-3</v>
      </c>
      <c r="E828" s="81"/>
      <c r="F828" s="82"/>
      <c r="G828" s="81">
        <v>43141</v>
      </c>
      <c r="H828" s="82">
        <v>330.42</v>
      </c>
      <c r="I828" s="211">
        <f t="shared" si="25"/>
        <v>-9.8588594887776271E-3</v>
      </c>
    </row>
    <row r="829" spans="1:9" ht="16">
      <c r="A829" s="233">
        <v>43183</v>
      </c>
      <c r="B829">
        <v>87.634513999999996</v>
      </c>
      <c r="C829" s="47">
        <f t="shared" si="26"/>
        <v>-2.2884136688303691E-3</v>
      </c>
      <c r="E829" s="81"/>
      <c r="F829" s="82"/>
      <c r="G829" s="81">
        <v>43144</v>
      </c>
      <c r="H829" s="82">
        <v>325.08</v>
      </c>
      <c r="I829" s="211">
        <f t="shared" si="25"/>
        <v>-1.616124931904861E-2</v>
      </c>
    </row>
    <row r="830" spans="1:9" ht="16">
      <c r="A830" s="233">
        <v>43186</v>
      </c>
      <c r="B830">
        <v>88.484229999999997</v>
      </c>
      <c r="C830" s="47">
        <f t="shared" si="26"/>
        <v>9.6961341053365402E-3</v>
      </c>
      <c r="E830" s="81"/>
      <c r="F830" s="82"/>
      <c r="G830" s="81">
        <v>43145</v>
      </c>
      <c r="H830" s="82">
        <v>329.02</v>
      </c>
      <c r="I830" s="211">
        <f t="shared" si="25"/>
        <v>1.2120093515442409E-2</v>
      </c>
    </row>
    <row r="831" spans="1:9" ht="16">
      <c r="A831" s="233">
        <v>43187</v>
      </c>
      <c r="B831">
        <v>89.352271999999999</v>
      </c>
      <c r="C831" s="47">
        <f t="shared" si="26"/>
        <v>9.8101322687669246E-3</v>
      </c>
      <c r="E831" s="81"/>
      <c r="F831" s="82"/>
      <c r="G831" s="81">
        <v>43146</v>
      </c>
      <c r="H831" s="82">
        <v>332.03</v>
      </c>
      <c r="I831" s="211">
        <f t="shared" si="25"/>
        <v>9.1483800376876978E-3</v>
      </c>
    </row>
    <row r="832" spans="1:9" ht="16">
      <c r="A832" s="233">
        <v>43188</v>
      </c>
      <c r="B832">
        <v>89.416252</v>
      </c>
      <c r="C832" s="47">
        <f t="shared" si="26"/>
        <v>7.1604222889831703E-4</v>
      </c>
      <c r="E832" s="81"/>
      <c r="F832" s="82"/>
      <c r="G832" s="81">
        <v>43147</v>
      </c>
      <c r="H832" s="82">
        <v>331.18</v>
      </c>
      <c r="I832" s="211">
        <f t="shared" si="25"/>
        <v>-2.5600096376832138E-3</v>
      </c>
    </row>
    <row r="833" spans="1:9" ht="16">
      <c r="A833" s="233">
        <v>43189</v>
      </c>
      <c r="B833">
        <v>89.324875000000006</v>
      </c>
      <c r="C833" s="47">
        <f t="shared" si="26"/>
        <v>-1.0219283179079275E-3</v>
      </c>
      <c r="E833" s="81"/>
      <c r="F833" s="82"/>
      <c r="G833" s="81">
        <v>43148</v>
      </c>
      <c r="H833" s="82">
        <v>328.52</v>
      </c>
      <c r="I833" s="211">
        <f t="shared" si="25"/>
        <v>-8.0318859834531686E-3</v>
      </c>
    </row>
    <row r="834" spans="1:9" ht="16">
      <c r="A834" s="233">
        <v>43190</v>
      </c>
      <c r="B834">
        <v>89.648674</v>
      </c>
      <c r="C834" s="47">
        <f t="shared" si="26"/>
        <v>3.6249588930294951E-3</v>
      </c>
      <c r="E834" s="81"/>
      <c r="F834" s="82"/>
      <c r="G834" s="81">
        <v>43151</v>
      </c>
      <c r="H834" s="82">
        <v>325.37</v>
      </c>
      <c r="I834" s="211">
        <f t="shared" si="25"/>
        <v>-9.5884573237549064E-3</v>
      </c>
    </row>
    <row r="835" spans="1:9" ht="16">
      <c r="A835" s="233">
        <v>43193</v>
      </c>
      <c r="B835">
        <v>89.997246000000004</v>
      </c>
      <c r="C835" s="47">
        <f t="shared" si="26"/>
        <v>3.8882002872679955E-3</v>
      </c>
      <c r="E835" s="81"/>
      <c r="F835" s="82"/>
      <c r="G835" s="81">
        <v>43152</v>
      </c>
      <c r="H835" s="82">
        <v>321.67</v>
      </c>
      <c r="I835" s="211">
        <f t="shared" si="25"/>
        <v>-1.1371669176629684E-2</v>
      </c>
    </row>
    <row r="836" spans="1:9" ht="16">
      <c r="A836" s="233">
        <v>43194</v>
      </c>
      <c r="B836">
        <v>88.547889999999995</v>
      </c>
      <c r="C836" s="47">
        <f t="shared" si="26"/>
        <v>-1.6104448351675238E-2</v>
      </c>
      <c r="E836" s="81"/>
      <c r="F836" s="82"/>
      <c r="G836" s="81">
        <v>43153</v>
      </c>
      <c r="H836" s="82">
        <v>321.89999999999998</v>
      </c>
      <c r="I836" s="211">
        <f t="shared" si="25"/>
        <v>7.1501849721755661E-4</v>
      </c>
    </row>
    <row r="837" spans="1:9" ht="16">
      <c r="A837" s="233">
        <v>43195</v>
      </c>
      <c r="B837">
        <v>88.281859999999995</v>
      </c>
      <c r="C837" s="47">
        <f t="shared" si="26"/>
        <v>-3.0043629498116564E-3</v>
      </c>
      <c r="E837" s="81"/>
      <c r="F837" s="82"/>
      <c r="G837" s="81">
        <v>43154</v>
      </c>
      <c r="H837" s="82">
        <v>308.29000000000002</v>
      </c>
      <c r="I837" s="211">
        <f t="shared" si="25"/>
        <v>-4.2280211245728339E-2</v>
      </c>
    </row>
    <row r="838" spans="1:9" ht="16">
      <c r="A838" s="233">
        <v>43196</v>
      </c>
      <c r="B838">
        <v>88.025040000000004</v>
      </c>
      <c r="C838" s="47">
        <f t="shared" si="26"/>
        <v>-2.9090914033753634E-3</v>
      </c>
      <c r="E838" s="81"/>
      <c r="F838" s="82"/>
      <c r="G838" s="81">
        <v>43155</v>
      </c>
      <c r="H838" s="82">
        <v>313.45</v>
      </c>
      <c r="I838" s="211">
        <f t="shared" si="25"/>
        <v>1.6737487430665832E-2</v>
      </c>
    </row>
    <row r="839" spans="1:9" ht="16">
      <c r="A839" s="233">
        <v>43197</v>
      </c>
      <c r="B839">
        <v>87.263679999999994</v>
      </c>
      <c r="C839" s="47">
        <f t="shared" si="26"/>
        <v>-8.6493570465859815E-3</v>
      </c>
      <c r="E839" s="81"/>
      <c r="F839" s="82"/>
      <c r="G839" s="81">
        <v>43158</v>
      </c>
      <c r="H839" s="82">
        <v>312.85000000000002</v>
      </c>
      <c r="I839" s="211">
        <f t="shared" si="25"/>
        <v>-1.9141808900939861E-3</v>
      </c>
    </row>
    <row r="840" spans="1:9" ht="16">
      <c r="A840" s="233">
        <v>43200</v>
      </c>
      <c r="B840">
        <v>86.227103999999997</v>
      </c>
      <c r="C840" s="47">
        <f t="shared" si="26"/>
        <v>-1.1878664754912838E-2</v>
      </c>
      <c r="E840" s="81"/>
      <c r="F840" s="82"/>
      <c r="G840" s="81">
        <v>43159</v>
      </c>
      <c r="H840" s="82">
        <v>314.64999999999998</v>
      </c>
      <c r="I840" s="211">
        <f t="shared" si="25"/>
        <v>5.7535560172605749E-3</v>
      </c>
    </row>
    <row r="841" spans="1:9" ht="16">
      <c r="A841" s="233">
        <v>43201</v>
      </c>
      <c r="B841">
        <v>86.548171999999994</v>
      </c>
      <c r="C841" s="47">
        <f t="shared" si="26"/>
        <v>3.7235159840227627E-3</v>
      </c>
      <c r="E841" s="81"/>
      <c r="F841" s="82"/>
      <c r="G841" s="81">
        <v>43160</v>
      </c>
      <c r="H841" s="82">
        <v>312.51</v>
      </c>
      <c r="I841" s="211">
        <f t="shared" si="25"/>
        <v>-6.8012076910852759E-3</v>
      </c>
    </row>
    <row r="842" spans="1:9" ht="16">
      <c r="A842" s="233">
        <v>43202</v>
      </c>
      <c r="B842">
        <v>86.768326000000002</v>
      </c>
      <c r="C842" s="47">
        <f t="shared" si="26"/>
        <v>2.5437163479318237E-3</v>
      </c>
      <c r="E842" s="81"/>
      <c r="F842" s="82"/>
      <c r="G842" s="81">
        <v>43161</v>
      </c>
      <c r="H842" s="82">
        <v>312.60000000000002</v>
      </c>
      <c r="I842" s="211">
        <f t="shared" si="25"/>
        <v>2.8799078429497804E-4</v>
      </c>
    </row>
    <row r="843" spans="1:9" ht="16">
      <c r="A843" s="233">
        <v>43203</v>
      </c>
      <c r="B843">
        <v>85.961105000000003</v>
      </c>
      <c r="C843" s="47">
        <f t="shared" si="26"/>
        <v>-9.3031759077615295E-3</v>
      </c>
      <c r="E843" s="81"/>
      <c r="F843" s="82"/>
      <c r="G843" s="81">
        <v>43162</v>
      </c>
      <c r="H843" s="82">
        <v>305.89</v>
      </c>
      <c r="I843" s="211">
        <f t="shared" si="25"/>
        <v>-2.1465131158029505E-2</v>
      </c>
    </row>
    <row r="844" spans="1:9" ht="16">
      <c r="A844" s="233">
        <v>43207</v>
      </c>
      <c r="B844">
        <v>85.915237000000005</v>
      </c>
      <c r="C844" s="47">
        <f t="shared" si="26"/>
        <v>-5.3359016266718573E-4</v>
      </c>
      <c r="E844" s="81"/>
      <c r="F844" s="82"/>
      <c r="G844" s="81">
        <v>43165</v>
      </c>
      <c r="H844" s="82">
        <v>296.24</v>
      </c>
      <c r="I844" s="211">
        <f t="shared" si="25"/>
        <v>-3.154728824087083E-2</v>
      </c>
    </row>
    <row r="845" spans="1:9" ht="16">
      <c r="A845" s="233">
        <v>43208</v>
      </c>
      <c r="B845">
        <v>85.575835999999995</v>
      </c>
      <c r="C845" s="47">
        <f t="shared" si="26"/>
        <v>-3.9504168509715276E-3</v>
      </c>
      <c r="E845" s="81"/>
      <c r="F845" s="82"/>
      <c r="G845" s="81">
        <v>43166</v>
      </c>
      <c r="H845" s="82">
        <v>288.91000000000003</v>
      </c>
      <c r="I845" s="211">
        <f t="shared" si="25"/>
        <v>-2.4743451255738513E-2</v>
      </c>
    </row>
    <row r="846" spans="1:9" ht="16">
      <c r="A846" s="233">
        <v>43209</v>
      </c>
      <c r="B846">
        <v>86.162887999999995</v>
      </c>
      <c r="C846" s="47">
        <f t="shared" si="26"/>
        <v>6.8600206254485485E-3</v>
      </c>
      <c r="E846" s="81"/>
      <c r="F846" s="82"/>
      <c r="G846" s="81">
        <v>43167</v>
      </c>
      <c r="H846" s="82">
        <v>292.60000000000002</v>
      </c>
      <c r="I846" s="211">
        <f t="shared" si="25"/>
        <v>1.2772143574123485E-2</v>
      </c>
    </row>
    <row r="847" spans="1:9" ht="16">
      <c r="A847" s="233">
        <v>43210</v>
      </c>
      <c r="B847">
        <v>85.383178999999998</v>
      </c>
      <c r="C847" s="47">
        <f t="shared" si="26"/>
        <v>-9.0492440318388212E-3</v>
      </c>
      <c r="E847" s="81"/>
      <c r="F847" s="82"/>
      <c r="G847" s="81">
        <v>43168</v>
      </c>
      <c r="H847" s="82">
        <v>294.02999999999997</v>
      </c>
      <c r="I847" s="211">
        <f t="shared" si="25"/>
        <v>4.8872180451127178E-3</v>
      </c>
    </row>
    <row r="848" spans="1:9" ht="16">
      <c r="A848" s="233">
        <v>43211</v>
      </c>
      <c r="B848">
        <v>84.475052000000005</v>
      </c>
      <c r="C848" s="47">
        <f t="shared" si="26"/>
        <v>-1.0635900544297971E-2</v>
      </c>
      <c r="E848" s="81"/>
      <c r="F848" s="82"/>
      <c r="G848" s="81">
        <v>43169</v>
      </c>
      <c r="H848" s="82">
        <v>290.22000000000003</v>
      </c>
      <c r="I848" s="211">
        <f t="shared" ref="I848:I911" si="27">H848/H847-1</f>
        <v>-1.2957861442709717E-2</v>
      </c>
    </row>
    <row r="849" spans="1:9" ht="16">
      <c r="A849" s="233">
        <v>43214</v>
      </c>
      <c r="B849">
        <v>85.465744000000001</v>
      </c>
      <c r="C849" s="47">
        <f t="shared" ref="C849:C912" si="28">B849/B848-1</f>
        <v>1.1727628175949523E-2</v>
      </c>
      <c r="E849" s="81"/>
      <c r="F849" s="82"/>
      <c r="G849" s="81">
        <v>43172</v>
      </c>
      <c r="H849" s="82">
        <v>282.39</v>
      </c>
      <c r="I849" s="211">
        <f t="shared" si="27"/>
        <v>-2.697953276824494E-2</v>
      </c>
    </row>
    <row r="850" spans="1:9" ht="16">
      <c r="A850" s="233">
        <v>43215</v>
      </c>
      <c r="B850">
        <v>84.878662000000006</v>
      </c>
      <c r="C850" s="47">
        <f t="shared" si="28"/>
        <v>-6.8692083228105716E-3</v>
      </c>
      <c r="E850" s="81"/>
      <c r="F850" s="82"/>
      <c r="G850" s="81">
        <v>43173</v>
      </c>
      <c r="H850" s="82">
        <v>275.45</v>
      </c>
      <c r="I850" s="211">
        <f t="shared" si="27"/>
        <v>-2.4575941074400642E-2</v>
      </c>
    </row>
    <row r="851" spans="1:9" ht="16">
      <c r="A851" s="233">
        <v>43216</v>
      </c>
      <c r="B851">
        <v>84.649338</v>
      </c>
      <c r="C851" s="47">
        <f t="shared" si="28"/>
        <v>-2.7017862274973936E-3</v>
      </c>
      <c r="E851" s="81"/>
      <c r="F851" s="82"/>
      <c r="G851" s="81">
        <v>43174</v>
      </c>
      <c r="H851" s="82">
        <v>290.45</v>
      </c>
      <c r="I851" s="211">
        <f t="shared" si="27"/>
        <v>5.4456344164095061E-2</v>
      </c>
    </row>
    <row r="852" spans="1:9" ht="16">
      <c r="A852" s="233">
        <v>43217</v>
      </c>
      <c r="B852">
        <v>84.805305000000004</v>
      </c>
      <c r="C852" s="47">
        <f t="shared" si="28"/>
        <v>1.8425070258671905E-3</v>
      </c>
      <c r="E852" s="81"/>
      <c r="F852" s="82"/>
      <c r="G852" s="81">
        <v>43175</v>
      </c>
      <c r="H852" s="82">
        <v>298.56</v>
      </c>
      <c r="I852" s="211">
        <f t="shared" si="27"/>
        <v>2.7922189705629208E-2</v>
      </c>
    </row>
    <row r="853" spans="1:9" ht="16">
      <c r="A853" s="233">
        <v>43218</v>
      </c>
      <c r="B853">
        <v>83.365111999999996</v>
      </c>
      <c r="C853" s="47">
        <f t="shared" si="28"/>
        <v>-1.6982345620949135E-2</v>
      </c>
      <c r="E853" s="81"/>
      <c r="F853" s="82"/>
      <c r="G853" s="81">
        <v>43176</v>
      </c>
      <c r="H853" s="82">
        <v>300.37</v>
      </c>
      <c r="I853" s="211">
        <f t="shared" si="27"/>
        <v>6.0624330117899916E-3</v>
      </c>
    </row>
    <row r="854" spans="1:9" ht="16">
      <c r="A854" s="233">
        <v>43221</v>
      </c>
      <c r="B854">
        <v>82.908278999999993</v>
      </c>
      <c r="C854" s="47">
        <f t="shared" si="28"/>
        <v>-5.4799062706232249E-3</v>
      </c>
      <c r="E854" s="81"/>
      <c r="F854" s="82"/>
      <c r="G854" s="81">
        <v>43179</v>
      </c>
      <c r="H854" s="82">
        <v>298.5</v>
      </c>
      <c r="I854" s="211">
        <f t="shared" si="27"/>
        <v>-6.2256550254685683E-3</v>
      </c>
    </row>
    <row r="855" spans="1:9" ht="16">
      <c r="A855" s="233">
        <v>43222</v>
      </c>
      <c r="B855">
        <v>83.258269999999996</v>
      </c>
      <c r="C855" s="47">
        <f t="shared" si="28"/>
        <v>4.2214240148441551E-3</v>
      </c>
      <c r="E855" s="81"/>
      <c r="F855" s="82"/>
      <c r="G855" s="81">
        <v>43180</v>
      </c>
      <c r="H855" s="82">
        <v>302.64</v>
      </c>
      <c r="I855" s="211">
        <f t="shared" si="27"/>
        <v>1.3869346733668353E-2</v>
      </c>
    </row>
    <row r="856" spans="1:9" ht="16">
      <c r="A856" s="233">
        <v>43223</v>
      </c>
      <c r="B856">
        <v>84.685828999999998</v>
      </c>
      <c r="C856" s="47">
        <f t="shared" si="28"/>
        <v>1.7146152568387585E-2</v>
      </c>
      <c r="E856" s="81"/>
      <c r="F856" s="82"/>
      <c r="G856" s="81">
        <v>43181</v>
      </c>
      <c r="H856" s="82">
        <v>304.24</v>
      </c>
      <c r="I856" s="211">
        <f t="shared" si="27"/>
        <v>5.2868094105207319E-3</v>
      </c>
    </row>
    <row r="857" spans="1:9" ht="16">
      <c r="A857" s="233">
        <v>43224</v>
      </c>
      <c r="B857">
        <v>83.414856</v>
      </c>
      <c r="C857" s="47">
        <f t="shared" si="28"/>
        <v>-1.5008095392205489E-2</v>
      </c>
      <c r="E857" s="81"/>
      <c r="F857" s="82"/>
      <c r="G857" s="81">
        <v>43182</v>
      </c>
      <c r="H857" s="82">
        <v>303.88</v>
      </c>
      <c r="I857" s="211">
        <f t="shared" si="27"/>
        <v>-1.1832763607678709E-3</v>
      </c>
    </row>
    <row r="858" spans="1:9" ht="16">
      <c r="A858" s="233">
        <v>43225</v>
      </c>
      <c r="B858">
        <v>82.291222000000005</v>
      </c>
      <c r="C858" s="47">
        <f t="shared" si="28"/>
        <v>-1.3470430255253296E-2</v>
      </c>
      <c r="E858" s="81"/>
      <c r="F858" s="82"/>
      <c r="G858" s="81">
        <v>43183</v>
      </c>
      <c r="H858" s="82">
        <v>301.17</v>
      </c>
      <c r="I858" s="211">
        <f t="shared" si="27"/>
        <v>-8.9179939449781642E-3</v>
      </c>
    </row>
    <row r="859" spans="1:9" ht="16">
      <c r="A859" s="233">
        <v>43228</v>
      </c>
      <c r="B859">
        <v>81.563643999999996</v>
      </c>
      <c r="C859" s="47">
        <f t="shared" si="28"/>
        <v>-8.8415019526627558E-3</v>
      </c>
      <c r="E859" s="81"/>
      <c r="F859" s="82"/>
      <c r="G859" s="81">
        <v>43186</v>
      </c>
      <c r="H859" s="82">
        <v>301.20999999999998</v>
      </c>
      <c r="I859" s="211">
        <f t="shared" si="27"/>
        <v>1.328153534547738E-4</v>
      </c>
    </row>
    <row r="860" spans="1:9" ht="16">
      <c r="A860" s="233">
        <v>43229</v>
      </c>
      <c r="B860">
        <v>81.968879999999999</v>
      </c>
      <c r="C860" s="47">
        <f t="shared" si="28"/>
        <v>4.9683410417513674E-3</v>
      </c>
      <c r="E860" s="81"/>
      <c r="F860" s="82"/>
      <c r="G860" s="81">
        <v>43187</v>
      </c>
      <c r="H860" s="82">
        <v>304.05</v>
      </c>
      <c r="I860" s="211">
        <f t="shared" si="27"/>
        <v>9.4286378274295313E-3</v>
      </c>
    </row>
    <row r="861" spans="1:9" ht="16">
      <c r="A861" s="233">
        <v>43230</v>
      </c>
      <c r="B861">
        <v>82.328063999999998</v>
      </c>
      <c r="C861" s="47">
        <f t="shared" si="28"/>
        <v>4.3819556885491551E-3</v>
      </c>
      <c r="E861" s="81"/>
      <c r="F861" s="82"/>
      <c r="G861" s="81">
        <v>43188</v>
      </c>
      <c r="H861" s="82">
        <v>307.36</v>
      </c>
      <c r="I861" s="211">
        <f t="shared" si="27"/>
        <v>1.088636737378712E-2</v>
      </c>
    </row>
    <row r="862" spans="1:9" ht="16">
      <c r="A862" s="233">
        <v>43231</v>
      </c>
      <c r="B862">
        <v>82.383324000000002</v>
      </c>
      <c r="C862" s="47">
        <f t="shared" si="28"/>
        <v>6.7121704695982665E-4</v>
      </c>
      <c r="E862" s="81"/>
      <c r="F862" s="82"/>
      <c r="G862" s="81">
        <v>43189</v>
      </c>
      <c r="H862" s="82">
        <v>304.87</v>
      </c>
      <c r="I862" s="211">
        <f t="shared" si="27"/>
        <v>-8.1012493492972348E-3</v>
      </c>
    </row>
    <row r="863" spans="1:9" ht="16">
      <c r="A863" s="233">
        <v>43232</v>
      </c>
      <c r="B863">
        <v>82.245177999999996</v>
      </c>
      <c r="C863" s="47">
        <f t="shared" si="28"/>
        <v>-1.6768684885791751E-3</v>
      </c>
      <c r="E863" s="81"/>
      <c r="F863" s="82"/>
      <c r="G863" s="81">
        <v>43190</v>
      </c>
      <c r="H863" s="82">
        <v>307.12</v>
      </c>
      <c r="I863" s="211">
        <f t="shared" si="27"/>
        <v>7.3801948371436943E-3</v>
      </c>
    </row>
    <row r="864" spans="1:9" ht="16">
      <c r="A864" s="233">
        <v>43235</v>
      </c>
      <c r="B864">
        <v>81.803093000000004</v>
      </c>
      <c r="C864" s="47">
        <f t="shared" si="28"/>
        <v>-5.3752087447606067E-3</v>
      </c>
      <c r="E864" s="81"/>
      <c r="F864" s="82"/>
      <c r="G864" s="81">
        <v>43193</v>
      </c>
      <c r="H864" s="82">
        <v>311.64999999999998</v>
      </c>
      <c r="I864" s="211">
        <f t="shared" si="27"/>
        <v>1.474993487887466E-2</v>
      </c>
    </row>
    <row r="865" spans="1:9" ht="16">
      <c r="A865" s="233">
        <v>43236</v>
      </c>
      <c r="B865">
        <v>82.097815999999995</v>
      </c>
      <c r="C865" s="47">
        <f t="shared" si="28"/>
        <v>3.6028344307224014E-3</v>
      </c>
      <c r="E865" s="81"/>
      <c r="F865" s="82"/>
      <c r="G865" s="81">
        <v>43194</v>
      </c>
      <c r="H865" s="82">
        <v>309.92</v>
      </c>
      <c r="I865" s="211">
        <f t="shared" si="27"/>
        <v>-5.5510989892506579E-3</v>
      </c>
    </row>
    <row r="866" spans="1:9" ht="16">
      <c r="A866" s="233">
        <v>43237</v>
      </c>
      <c r="B866">
        <v>81.572838000000004</v>
      </c>
      <c r="C866" s="47">
        <f t="shared" si="28"/>
        <v>-6.3945428219429612E-3</v>
      </c>
      <c r="E866" s="81"/>
      <c r="F866" s="82"/>
      <c r="G866" s="81">
        <v>43195</v>
      </c>
      <c r="H866" s="82">
        <v>307.10000000000002</v>
      </c>
      <c r="I866" s="211">
        <f t="shared" si="27"/>
        <v>-9.0991223541558863E-3</v>
      </c>
    </row>
    <row r="867" spans="1:9" ht="16">
      <c r="A867" s="233">
        <v>43238</v>
      </c>
      <c r="B867">
        <v>82.014922999999996</v>
      </c>
      <c r="C867" s="47">
        <f t="shared" si="28"/>
        <v>5.4195123136453471E-3</v>
      </c>
      <c r="E867" s="81"/>
      <c r="F867" s="82"/>
      <c r="G867" s="81">
        <v>43196</v>
      </c>
      <c r="H867" s="82">
        <v>302.58999999999997</v>
      </c>
      <c r="I867" s="211">
        <f t="shared" si="27"/>
        <v>-1.4685770107456975E-2</v>
      </c>
    </row>
    <row r="868" spans="1:9" ht="16">
      <c r="A868" s="233">
        <v>43239</v>
      </c>
      <c r="B868">
        <v>82.549103000000002</v>
      </c>
      <c r="C868" s="47">
        <f t="shared" si="28"/>
        <v>6.5132049200364861E-3</v>
      </c>
      <c r="E868" s="81"/>
      <c r="F868" s="82"/>
      <c r="G868" s="81">
        <v>43197</v>
      </c>
      <c r="H868" s="82">
        <v>303.61</v>
      </c>
      <c r="I868" s="211">
        <f t="shared" si="27"/>
        <v>3.3708979146700457E-3</v>
      </c>
    </row>
    <row r="869" spans="1:9" ht="16">
      <c r="A869" s="233">
        <v>43242</v>
      </c>
      <c r="B869">
        <v>82.604354999999998</v>
      </c>
      <c r="C869" s="47">
        <f t="shared" si="28"/>
        <v>6.6932283928022862E-4</v>
      </c>
      <c r="E869" s="81"/>
      <c r="F869" s="82"/>
      <c r="G869" s="81">
        <v>43200</v>
      </c>
      <c r="H869" s="82">
        <v>299.58</v>
      </c>
      <c r="I869" s="211">
        <f t="shared" si="27"/>
        <v>-1.3273607588682901E-2</v>
      </c>
    </row>
    <row r="870" spans="1:9" ht="16">
      <c r="A870" s="233">
        <v>43243</v>
      </c>
      <c r="B870">
        <v>83.322738999999999</v>
      </c>
      <c r="C870" s="47">
        <f t="shared" si="28"/>
        <v>8.6966843334108646E-3</v>
      </c>
      <c r="E870" s="81"/>
      <c r="F870" s="82"/>
      <c r="G870" s="81">
        <v>43201</v>
      </c>
      <c r="H870" s="82">
        <v>299.17</v>
      </c>
      <c r="I870" s="211">
        <f t="shared" si="27"/>
        <v>-1.3685826824219038E-3</v>
      </c>
    </row>
    <row r="871" spans="1:9" ht="16">
      <c r="A871" s="233">
        <v>43244</v>
      </c>
      <c r="B871">
        <v>84.059539999999998</v>
      </c>
      <c r="C871" s="47">
        <f t="shared" si="28"/>
        <v>8.8427361947378547E-3</v>
      </c>
      <c r="E871" s="81"/>
      <c r="F871" s="82"/>
      <c r="G871" s="81">
        <v>43202</v>
      </c>
      <c r="H871" s="82">
        <v>300.61</v>
      </c>
      <c r="I871" s="211">
        <f t="shared" si="27"/>
        <v>4.8133168432664686E-3</v>
      </c>
    </row>
    <row r="872" spans="1:9" ht="16">
      <c r="A872" s="233">
        <v>43245</v>
      </c>
      <c r="B872">
        <v>84.335830999999999</v>
      </c>
      <c r="C872" s="47">
        <f t="shared" si="28"/>
        <v>3.2868488216803993E-3</v>
      </c>
      <c r="E872" s="81"/>
      <c r="F872" s="82"/>
      <c r="G872" s="81">
        <v>43203</v>
      </c>
      <c r="H872" s="82">
        <v>299.93</v>
      </c>
      <c r="I872" s="211">
        <f t="shared" si="27"/>
        <v>-2.2620671301686324E-3</v>
      </c>
    </row>
    <row r="873" spans="1:9" ht="16">
      <c r="A873" s="233">
        <v>43246</v>
      </c>
      <c r="B873">
        <v>84.473999000000006</v>
      </c>
      <c r="C873" s="47">
        <f t="shared" si="28"/>
        <v>1.6383072101346929E-3</v>
      </c>
      <c r="E873" s="81"/>
      <c r="F873" s="82"/>
      <c r="G873" s="81">
        <v>43204</v>
      </c>
      <c r="H873" s="82">
        <v>299.17</v>
      </c>
      <c r="I873" s="211">
        <f t="shared" si="27"/>
        <v>-2.5339245824025358E-3</v>
      </c>
    </row>
    <row r="874" spans="1:9" ht="16">
      <c r="A874" s="233">
        <v>43250</v>
      </c>
      <c r="B874">
        <v>84.041129999999995</v>
      </c>
      <c r="C874" s="47">
        <f t="shared" si="28"/>
        <v>-5.1242868234521177E-3</v>
      </c>
      <c r="E874" s="81"/>
      <c r="F874" s="82"/>
      <c r="G874" s="81">
        <v>43207</v>
      </c>
      <c r="H874" s="82">
        <v>297.58999999999997</v>
      </c>
      <c r="I874" s="211">
        <f t="shared" si="27"/>
        <v>-5.2812782030284833E-3</v>
      </c>
    </row>
    <row r="875" spans="1:9" ht="16">
      <c r="A875" s="233">
        <v>43251</v>
      </c>
      <c r="B875">
        <v>83.888587999999999</v>
      </c>
      <c r="C875" s="47">
        <f t="shared" si="28"/>
        <v>-1.8150874458732202E-3</v>
      </c>
      <c r="E875" s="81"/>
      <c r="F875" s="82"/>
      <c r="G875" s="81">
        <v>43208</v>
      </c>
      <c r="H875" s="82">
        <v>294.92</v>
      </c>
      <c r="I875" s="211">
        <f t="shared" si="27"/>
        <v>-8.9720756745856889E-3</v>
      </c>
    </row>
    <row r="876" spans="1:9" ht="16">
      <c r="A876" s="233">
        <v>43252</v>
      </c>
      <c r="B876">
        <v>84.702049000000002</v>
      </c>
      <c r="C876" s="47">
        <f t="shared" si="28"/>
        <v>9.6969208731942924E-3</v>
      </c>
      <c r="E876" s="81"/>
      <c r="F876" s="82"/>
      <c r="G876" s="81">
        <v>43209</v>
      </c>
      <c r="H876" s="82">
        <v>294.33999999999997</v>
      </c>
      <c r="I876" s="211">
        <f t="shared" si="27"/>
        <v>-1.9666350196665405E-3</v>
      </c>
    </row>
    <row r="877" spans="1:9" ht="16">
      <c r="A877" s="233">
        <v>43253</v>
      </c>
      <c r="B877">
        <v>84.128960000000006</v>
      </c>
      <c r="C877" s="47">
        <f t="shared" si="28"/>
        <v>-6.7659402194626406E-3</v>
      </c>
      <c r="E877" s="81"/>
      <c r="F877" s="82"/>
      <c r="G877" s="81">
        <v>43210</v>
      </c>
      <c r="H877" s="82">
        <v>291.91000000000003</v>
      </c>
      <c r="I877" s="211">
        <f t="shared" si="27"/>
        <v>-8.2557586464631072E-3</v>
      </c>
    </row>
    <row r="878" spans="1:9" ht="16">
      <c r="A878" s="233">
        <v>43256</v>
      </c>
      <c r="B878">
        <v>83.019676000000004</v>
      </c>
      <c r="C878" s="47">
        <f t="shared" si="28"/>
        <v>-1.3185518993697354E-2</v>
      </c>
      <c r="E878" s="81"/>
      <c r="F878" s="82"/>
      <c r="G878" s="81">
        <v>43211</v>
      </c>
      <c r="H878" s="82">
        <v>288.94</v>
      </c>
      <c r="I878" s="211">
        <f t="shared" si="27"/>
        <v>-1.0174368812305268E-2</v>
      </c>
    </row>
    <row r="879" spans="1:9" ht="16">
      <c r="A879" s="233">
        <v>43257</v>
      </c>
      <c r="B879">
        <v>83.509590000000003</v>
      </c>
      <c r="C879" s="47">
        <f t="shared" si="28"/>
        <v>5.901179378247523E-3</v>
      </c>
      <c r="E879" s="81"/>
      <c r="F879" s="82"/>
      <c r="G879" s="81">
        <v>43214</v>
      </c>
      <c r="H879" s="82">
        <v>281.29000000000002</v>
      </c>
      <c r="I879" s="211">
        <f t="shared" si="27"/>
        <v>-2.6476085000346039E-2</v>
      </c>
    </row>
    <row r="880" spans="1:9" ht="16">
      <c r="A880" s="233">
        <v>43258</v>
      </c>
      <c r="B880">
        <v>82.686890000000005</v>
      </c>
      <c r="C880" s="47">
        <f t="shared" si="28"/>
        <v>-9.8515631558003802E-3</v>
      </c>
      <c r="E880" s="81"/>
      <c r="F880" s="82"/>
      <c r="G880" s="81">
        <v>43215</v>
      </c>
      <c r="H880" s="82">
        <v>281.32</v>
      </c>
      <c r="I880" s="211">
        <f t="shared" si="27"/>
        <v>1.0665149845334732E-4</v>
      </c>
    </row>
    <row r="881" spans="1:9" ht="16">
      <c r="A881" s="233">
        <v>43259</v>
      </c>
      <c r="B881">
        <v>82.002846000000005</v>
      </c>
      <c r="C881" s="47">
        <f t="shared" si="28"/>
        <v>-8.2727019966526427E-3</v>
      </c>
      <c r="E881" s="81"/>
      <c r="F881" s="82"/>
      <c r="G881" s="81">
        <v>43216</v>
      </c>
      <c r="H881" s="82">
        <v>281.36</v>
      </c>
      <c r="I881" s="211">
        <f t="shared" si="27"/>
        <v>1.4218683349920269E-4</v>
      </c>
    </row>
    <row r="882" spans="1:9" ht="16">
      <c r="A882" s="233">
        <v>43260</v>
      </c>
      <c r="B882">
        <v>80.625488000000004</v>
      </c>
      <c r="C882" s="47">
        <f t="shared" si="28"/>
        <v>-1.6796465820222872E-2</v>
      </c>
      <c r="E882" s="81"/>
      <c r="F882" s="82"/>
      <c r="G882" s="81">
        <v>43217</v>
      </c>
      <c r="H882" s="82">
        <v>283.63</v>
      </c>
      <c r="I882" s="211">
        <f t="shared" si="27"/>
        <v>8.0679556440146349E-3</v>
      </c>
    </row>
    <row r="883" spans="1:9" ht="16">
      <c r="A883" s="233">
        <v>43263</v>
      </c>
      <c r="B883">
        <v>78.49015</v>
      </c>
      <c r="C883" s="47">
        <f t="shared" si="28"/>
        <v>-2.6484652099098005E-2</v>
      </c>
      <c r="E883" s="81"/>
      <c r="F883" s="82"/>
      <c r="G883" s="81">
        <v>43218</v>
      </c>
      <c r="H883" s="82">
        <v>287.7</v>
      </c>
      <c r="I883" s="211">
        <f t="shared" si="27"/>
        <v>1.4349680922328467E-2</v>
      </c>
    </row>
    <row r="884" spans="1:9" ht="16">
      <c r="A884" s="233">
        <v>43264</v>
      </c>
      <c r="B884">
        <v>78.453156000000007</v>
      </c>
      <c r="C884" s="47">
        <f t="shared" si="28"/>
        <v>-4.7132028668561698E-4</v>
      </c>
      <c r="E884" s="81"/>
      <c r="F884" s="82"/>
      <c r="G884" s="81">
        <v>43221</v>
      </c>
      <c r="H884" s="82">
        <v>287.11</v>
      </c>
      <c r="I884" s="211">
        <f t="shared" si="27"/>
        <v>-2.0507473062216786E-3</v>
      </c>
    </row>
    <row r="885" spans="1:9" ht="16">
      <c r="A885" s="233">
        <v>43265</v>
      </c>
      <c r="B885">
        <v>80.801131999999996</v>
      </c>
      <c r="C885" s="47">
        <f t="shared" si="28"/>
        <v>2.9928381721189057E-2</v>
      </c>
      <c r="E885" s="81"/>
      <c r="F885" s="82"/>
      <c r="G885" s="81">
        <v>43222</v>
      </c>
      <c r="H885" s="82">
        <v>286.72000000000003</v>
      </c>
      <c r="I885" s="211">
        <f t="shared" si="27"/>
        <v>-1.358364389955069E-3</v>
      </c>
    </row>
    <row r="886" spans="1:9" ht="16">
      <c r="A886" s="233">
        <v>43266</v>
      </c>
      <c r="B886">
        <v>79.007796999999997</v>
      </c>
      <c r="C886" s="47">
        <f t="shared" si="28"/>
        <v>-2.2194429157254891E-2</v>
      </c>
      <c r="E886" s="81"/>
      <c r="F886" s="82"/>
      <c r="G886" s="81">
        <v>43223</v>
      </c>
      <c r="H886" s="82">
        <v>285.45</v>
      </c>
      <c r="I886" s="211">
        <f t="shared" si="27"/>
        <v>-4.4294084821430157E-3</v>
      </c>
    </row>
    <row r="887" spans="1:9" ht="16">
      <c r="A887" s="233">
        <v>43267</v>
      </c>
      <c r="B887">
        <v>79.433021999999994</v>
      </c>
      <c r="C887" s="47">
        <f t="shared" si="28"/>
        <v>5.3820637474550903E-3</v>
      </c>
      <c r="E887" s="81"/>
      <c r="F887" s="82"/>
      <c r="G887" s="81">
        <v>43224</v>
      </c>
      <c r="H887" s="82">
        <v>283.43</v>
      </c>
      <c r="I887" s="211">
        <f t="shared" si="27"/>
        <v>-7.076545804869494E-3</v>
      </c>
    </row>
    <row r="888" spans="1:9" ht="16">
      <c r="A888" s="233">
        <v>43271</v>
      </c>
      <c r="B888">
        <v>79.201935000000006</v>
      </c>
      <c r="C888" s="47">
        <f t="shared" si="28"/>
        <v>-2.9092056953339274E-3</v>
      </c>
      <c r="E888" s="81"/>
      <c r="F888" s="82"/>
      <c r="G888" s="81">
        <v>43225</v>
      </c>
      <c r="H888" s="82">
        <v>276.92</v>
      </c>
      <c r="I888" s="211">
        <f t="shared" si="27"/>
        <v>-2.296863423067419E-2</v>
      </c>
    </row>
    <row r="889" spans="1:9" ht="16">
      <c r="A889" s="233">
        <v>43272</v>
      </c>
      <c r="B889">
        <v>79.322104999999993</v>
      </c>
      <c r="C889" s="47">
        <f t="shared" si="28"/>
        <v>1.5172609103550894E-3</v>
      </c>
      <c r="E889" s="81"/>
      <c r="F889" s="82"/>
      <c r="G889" s="81">
        <v>43228</v>
      </c>
      <c r="H889" s="82">
        <v>271.36</v>
      </c>
      <c r="I889" s="211">
        <f t="shared" si="27"/>
        <v>-2.0078000866676327E-2</v>
      </c>
    </row>
    <row r="890" spans="1:9" ht="16">
      <c r="A890" s="233">
        <v>43273</v>
      </c>
      <c r="B890">
        <v>79.848990999999998</v>
      </c>
      <c r="C890" s="47">
        <f t="shared" si="28"/>
        <v>6.6423602853202812E-3</v>
      </c>
      <c r="E890" s="81"/>
      <c r="F890" s="82"/>
      <c r="G890" s="81">
        <v>43229</v>
      </c>
      <c r="H890" s="82">
        <v>269.69</v>
      </c>
      <c r="I890" s="211">
        <f t="shared" si="27"/>
        <v>-6.1541863207548175E-3</v>
      </c>
    </row>
    <row r="891" spans="1:9" ht="16">
      <c r="A891" s="233">
        <v>43274</v>
      </c>
      <c r="B891">
        <v>79.950683999999995</v>
      </c>
      <c r="C891" s="47">
        <f t="shared" si="28"/>
        <v>1.2735665000449536E-3</v>
      </c>
      <c r="E891" s="81"/>
      <c r="F891" s="82"/>
      <c r="G891" s="81">
        <v>43230</v>
      </c>
      <c r="H891" s="82">
        <v>270.10000000000002</v>
      </c>
      <c r="I891" s="211">
        <f t="shared" si="27"/>
        <v>1.5202640068228135E-3</v>
      </c>
    </row>
    <row r="892" spans="1:9" ht="16">
      <c r="A892" s="233">
        <v>43277</v>
      </c>
      <c r="B892">
        <v>78.859886000000003</v>
      </c>
      <c r="C892" s="47">
        <f t="shared" si="28"/>
        <v>-1.3643385464969793E-2</v>
      </c>
      <c r="E892" s="81"/>
      <c r="F892" s="82"/>
      <c r="G892" s="81">
        <v>43231</v>
      </c>
      <c r="H892" s="82">
        <v>264.83999999999997</v>
      </c>
      <c r="I892" s="211">
        <f t="shared" si="27"/>
        <v>-1.9474268789337446E-2</v>
      </c>
    </row>
    <row r="893" spans="1:9" ht="16">
      <c r="A893" s="233">
        <v>43278</v>
      </c>
      <c r="B893">
        <v>78.259026000000006</v>
      </c>
      <c r="C893" s="47">
        <f t="shared" si="28"/>
        <v>-7.6193364012724363E-3</v>
      </c>
      <c r="E893" s="81"/>
      <c r="F893" s="82"/>
      <c r="G893" s="81">
        <v>43232</v>
      </c>
      <c r="H893" s="82">
        <v>269.27999999999997</v>
      </c>
      <c r="I893" s="211">
        <f t="shared" si="27"/>
        <v>1.6764839148164956E-2</v>
      </c>
    </row>
    <row r="894" spans="1:9" ht="16">
      <c r="A894" s="233">
        <v>43279</v>
      </c>
      <c r="B894">
        <v>78.545608999999999</v>
      </c>
      <c r="C894" s="47">
        <f t="shared" si="28"/>
        <v>3.6619801529345075E-3</v>
      </c>
      <c r="E894" s="81"/>
      <c r="F894" s="82"/>
      <c r="G894" s="81">
        <v>43235</v>
      </c>
      <c r="H894" s="82">
        <v>269.89999999999998</v>
      </c>
      <c r="I894" s="211">
        <f t="shared" si="27"/>
        <v>2.3024361259655901E-3</v>
      </c>
    </row>
    <row r="895" spans="1:9" ht="16">
      <c r="A895" s="233">
        <v>43280</v>
      </c>
      <c r="B895">
        <v>78.869124999999997</v>
      </c>
      <c r="C895" s="47">
        <f t="shared" si="28"/>
        <v>4.1188298635510545E-3</v>
      </c>
      <c r="E895" s="81"/>
      <c r="F895" s="82"/>
      <c r="G895" s="81">
        <v>43236</v>
      </c>
      <c r="H895" s="82">
        <v>275.8</v>
      </c>
      <c r="I895" s="211">
        <f t="shared" si="27"/>
        <v>2.1859948128936768E-2</v>
      </c>
    </row>
    <row r="896" spans="1:9" ht="16">
      <c r="A896" s="233">
        <v>43281</v>
      </c>
      <c r="B896">
        <v>79.974784999999997</v>
      </c>
      <c r="C896" s="47">
        <f t="shared" si="28"/>
        <v>1.4018920585209926E-2</v>
      </c>
      <c r="E896" s="81"/>
      <c r="F896" s="82"/>
      <c r="G896" s="81">
        <v>43237</v>
      </c>
      <c r="H896" s="82">
        <v>275.45999999999998</v>
      </c>
      <c r="I896" s="211">
        <f t="shared" si="27"/>
        <v>-1.232777374909455E-3</v>
      </c>
    </row>
    <row r="897" spans="1:9" ht="16">
      <c r="A897" s="233">
        <v>43285</v>
      </c>
      <c r="B897">
        <v>79.343520999999996</v>
      </c>
      <c r="C897" s="47">
        <f t="shared" si="28"/>
        <v>-7.8932878656692296E-3</v>
      </c>
      <c r="E897" s="81"/>
      <c r="F897" s="82"/>
      <c r="G897" s="81">
        <v>43238</v>
      </c>
      <c r="H897" s="82">
        <v>272.17</v>
      </c>
      <c r="I897" s="211">
        <f t="shared" si="27"/>
        <v>-1.194365788136198E-2</v>
      </c>
    </row>
    <row r="898" spans="1:9" ht="16">
      <c r="A898" s="233">
        <v>43286</v>
      </c>
      <c r="B898">
        <v>78.702972000000003</v>
      </c>
      <c r="C898" s="47">
        <f t="shared" si="28"/>
        <v>-8.0731103425570883E-3</v>
      </c>
      <c r="E898" s="81"/>
      <c r="F898" s="82"/>
      <c r="G898" s="81">
        <v>43239</v>
      </c>
      <c r="H898" s="82">
        <v>276.56</v>
      </c>
      <c r="I898" s="211">
        <f t="shared" si="27"/>
        <v>1.6129624866811243E-2</v>
      </c>
    </row>
    <row r="899" spans="1:9" ht="16">
      <c r="A899" s="233">
        <v>43287</v>
      </c>
      <c r="B899">
        <v>78.935066000000006</v>
      </c>
      <c r="C899" s="47">
        <f t="shared" si="28"/>
        <v>2.9489864753773354E-3</v>
      </c>
      <c r="E899" s="81"/>
      <c r="F899" s="82"/>
      <c r="G899" s="81">
        <v>43242</v>
      </c>
      <c r="H899" s="82">
        <v>276.66000000000003</v>
      </c>
      <c r="I899" s="211">
        <f t="shared" si="27"/>
        <v>3.615851894707145E-4</v>
      </c>
    </row>
    <row r="900" spans="1:9" ht="16">
      <c r="A900" s="233">
        <v>43288</v>
      </c>
      <c r="B900">
        <v>78.563736000000006</v>
      </c>
      <c r="C900" s="47">
        <f t="shared" si="28"/>
        <v>-4.7042463991858741E-3</v>
      </c>
      <c r="E900" s="81"/>
      <c r="F900" s="82"/>
      <c r="G900" s="81">
        <v>43243</v>
      </c>
      <c r="H900" s="82">
        <v>272.01</v>
      </c>
      <c r="I900" s="211">
        <f t="shared" si="27"/>
        <v>-1.6807633918889731E-2</v>
      </c>
    </row>
    <row r="901" spans="1:9" ht="16">
      <c r="A901" s="233">
        <v>43291</v>
      </c>
      <c r="B901">
        <v>77.904633000000004</v>
      </c>
      <c r="C901" s="47">
        <f t="shared" si="28"/>
        <v>-8.389405004874062E-3</v>
      </c>
      <c r="E901" s="81"/>
      <c r="F901" s="82"/>
      <c r="G901" s="81">
        <v>43244</v>
      </c>
      <c r="H901" s="82">
        <v>272.47000000000003</v>
      </c>
      <c r="I901" s="211">
        <f t="shared" si="27"/>
        <v>1.6911142972686477E-3</v>
      </c>
    </row>
    <row r="902" spans="1:9" ht="16">
      <c r="A902" s="233">
        <v>43292</v>
      </c>
      <c r="B902">
        <v>77.681831000000003</v>
      </c>
      <c r="C902" s="47">
        <f t="shared" si="28"/>
        <v>-2.8599326050352536E-3</v>
      </c>
      <c r="E902" s="81"/>
      <c r="F902" s="82"/>
      <c r="G902" s="81">
        <v>43245</v>
      </c>
      <c r="H902" s="82">
        <v>274.97000000000003</v>
      </c>
      <c r="I902" s="211">
        <f t="shared" si="27"/>
        <v>9.1753220538040026E-3</v>
      </c>
    </row>
    <row r="903" spans="1:9" ht="16">
      <c r="A903" s="233">
        <v>43293</v>
      </c>
      <c r="B903">
        <v>77.366187999999994</v>
      </c>
      <c r="C903" s="47">
        <f t="shared" si="28"/>
        <v>-4.0632796103893254E-3</v>
      </c>
      <c r="E903" s="81"/>
      <c r="F903" s="82"/>
      <c r="G903" s="81">
        <v>43246</v>
      </c>
      <c r="H903" s="82">
        <v>278.89999999999998</v>
      </c>
      <c r="I903" s="211">
        <f t="shared" si="27"/>
        <v>1.4292468269265557E-2</v>
      </c>
    </row>
    <row r="904" spans="1:9" ht="16">
      <c r="A904" s="233">
        <v>43294</v>
      </c>
      <c r="B904">
        <v>76.010840999999999</v>
      </c>
      <c r="C904" s="47">
        <f t="shared" si="28"/>
        <v>-1.7518596108160311E-2</v>
      </c>
      <c r="E904" s="81"/>
      <c r="F904" s="82"/>
      <c r="G904" s="81">
        <v>43249</v>
      </c>
      <c r="H904" s="82">
        <v>283.68</v>
      </c>
      <c r="I904" s="211">
        <f t="shared" si="27"/>
        <v>1.7138759411975624E-2</v>
      </c>
    </row>
    <row r="905" spans="1:9" ht="16">
      <c r="A905" s="233">
        <v>43295</v>
      </c>
      <c r="B905">
        <v>76.772079000000005</v>
      </c>
      <c r="C905" s="47">
        <f t="shared" si="28"/>
        <v>1.0014860906485845E-2</v>
      </c>
      <c r="E905" s="81"/>
      <c r="F905" s="82"/>
      <c r="G905" s="81">
        <v>43250</v>
      </c>
      <c r="H905" s="82">
        <v>286.8</v>
      </c>
      <c r="I905" s="211">
        <f t="shared" si="27"/>
        <v>1.0998307952622799E-2</v>
      </c>
    </row>
    <row r="906" spans="1:9" ht="16">
      <c r="A906" s="233">
        <v>43298</v>
      </c>
      <c r="B906">
        <v>76.809218999999999</v>
      </c>
      <c r="C906" s="47">
        <f t="shared" si="28"/>
        <v>4.8376962671548007E-4</v>
      </c>
      <c r="E906" s="81"/>
      <c r="F906" s="82"/>
      <c r="G906" s="81">
        <v>43251</v>
      </c>
      <c r="H906" s="82">
        <v>284.32</v>
      </c>
      <c r="I906" s="211">
        <f t="shared" si="27"/>
        <v>-8.6471408647141867E-3</v>
      </c>
    </row>
    <row r="907" spans="1:9" ht="16">
      <c r="A907" s="233">
        <v>43299</v>
      </c>
      <c r="B907">
        <v>77.932464999999993</v>
      </c>
      <c r="C907" s="47">
        <f t="shared" si="28"/>
        <v>1.462384352586632E-2</v>
      </c>
      <c r="E907" s="81"/>
      <c r="F907" s="82"/>
      <c r="G907" s="81">
        <v>43252</v>
      </c>
      <c r="H907" s="82">
        <v>284.52</v>
      </c>
      <c r="I907" s="211">
        <f t="shared" si="27"/>
        <v>7.0343275182893628E-4</v>
      </c>
    </row>
    <row r="908" spans="1:9" ht="16">
      <c r="A908" s="233">
        <v>43300</v>
      </c>
      <c r="B908">
        <v>78.545174000000003</v>
      </c>
      <c r="C908" s="47">
        <f t="shared" si="28"/>
        <v>7.8620508154081392E-3</v>
      </c>
      <c r="E908" s="81"/>
      <c r="F908" s="82"/>
      <c r="G908" s="81">
        <v>43253</v>
      </c>
      <c r="H908" s="82">
        <v>283.41000000000003</v>
      </c>
      <c r="I908" s="211">
        <f t="shared" si="27"/>
        <v>-3.901307465204451E-3</v>
      </c>
    </row>
    <row r="909" spans="1:9" ht="16">
      <c r="A909" s="233">
        <v>43301</v>
      </c>
      <c r="B909">
        <v>78.981460999999996</v>
      </c>
      <c r="C909" s="47">
        <f t="shared" si="28"/>
        <v>5.5545997008039638E-3</v>
      </c>
      <c r="E909" s="81"/>
      <c r="F909" s="82"/>
      <c r="G909" s="81">
        <v>43256</v>
      </c>
      <c r="H909" s="82">
        <v>286.02999999999997</v>
      </c>
      <c r="I909" s="211">
        <f t="shared" si="27"/>
        <v>9.2445573550683502E-3</v>
      </c>
    </row>
    <row r="910" spans="1:9" ht="16">
      <c r="A910" s="233">
        <v>43302</v>
      </c>
      <c r="B910">
        <v>79.844825999999998</v>
      </c>
      <c r="C910" s="47">
        <f t="shared" si="28"/>
        <v>1.0931236128944199E-2</v>
      </c>
      <c r="E910" s="81"/>
      <c r="F910" s="82"/>
      <c r="G910" s="81">
        <v>43257</v>
      </c>
      <c r="H910" s="82">
        <v>284.61</v>
      </c>
      <c r="I910" s="211">
        <f t="shared" si="27"/>
        <v>-4.9645142117957786E-3</v>
      </c>
    </row>
    <row r="911" spans="1:9" ht="16">
      <c r="A911" s="233">
        <v>43305</v>
      </c>
      <c r="B911">
        <v>79.900513000000004</v>
      </c>
      <c r="C911" s="47">
        <f t="shared" si="28"/>
        <v>6.9744030752860731E-4</v>
      </c>
      <c r="E911" s="81"/>
      <c r="F911" s="82"/>
      <c r="G911" s="81">
        <v>43258</v>
      </c>
      <c r="H911" s="82">
        <v>287.77999999999997</v>
      </c>
      <c r="I911" s="211">
        <f t="shared" si="27"/>
        <v>1.1138048557675306E-2</v>
      </c>
    </row>
    <row r="912" spans="1:9" ht="16">
      <c r="A912" s="233">
        <v>43306</v>
      </c>
      <c r="B912">
        <v>79.157852000000005</v>
      </c>
      <c r="C912" s="47">
        <f t="shared" si="28"/>
        <v>-9.2948214237372762E-3</v>
      </c>
      <c r="E912" s="81"/>
      <c r="F912" s="82"/>
      <c r="G912" s="81">
        <v>43259</v>
      </c>
      <c r="H912" s="82">
        <v>284.72000000000003</v>
      </c>
      <c r="I912" s="211">
        <f t="shared" ref="I912:I975" si="29">H912/H911-1</f>
        <v>-1.0633122524150163E-2</v>
      </c>
    </row>
    <row r="913" spans="1:9" ht="16">
      <c r="A913" s="233">
        <v>43307</v>
      </c>
      <c r="B913">
        <v>80.355400000000003</v>
      </c>
      <c r="C913" s="47">
        <f t="shared" ref="C913:C976" si="30">B913/B912-1</f>
        <v>1.5128606572093473E-2</v>
      </c>
      <c r="E913" s="81"/>
      <c r="F913" s="82"/>
      <c r="G913" s="81">
        <v>43260</v>
      </c>
      <c r="H913" s="82">
        <v>281.85000000000002</v>
      </c>
      <c r="I913" s="211">
        <f t="shared" si="29"/>
        <v>-1.0080078673784798E-2</v>
      </c>
    </row>
    <row r="914" spans="1:9" ht="16">
      <c r="A914" s="233">
        <v>43308</v>
      </c>
      <c r="B914">
        <v>81.395103000000006</v>
      </c>
      <c r="C914" s="47">
        <f t="shared" si="30"/>
        <v>1.2938806850566476E-2</v>
      </c>
      <c r="E914" s="81"/>
      <c r="F914" s="82"/>
      <c r="G914" s="81">
        <v>43263</v>
      </c>
      <c r="H914" s="82">
        <v>272.14</v>
      </c>
      <c r="I914" s="211">
        <f t="shared" si="29"/>
        <v>-3.4450949086393567E-2</v>
      </c>
    </row>
    <row r="915" spans="1:9" ht="16">
      <c r="A915" s="233">
        <v>43309</v>
      </c>
      <c r="B915">
        <v>81.710739000000004</v>
      </c>
      <c r="C915" s="47">
        <f t="shared" si="30"/>
        <v>3.8778254264264511E-3</v>
      </c>
      <c r="E915" s="81"/>
      <c r="F915" s="82"/>
      <c r="G915" s="81">
        <v>43264</v>
      </c>
      <c r="H915" s="82">
        <v>273.58999999999997</v>
      </c>
      <c r="I915" s="211">
        <f t="shared" si="29"/>
        <v>5.3281399279783148E-3</v>
      </c>
    </row>
    <row r="916" spans="1:9" ht="16">
      <c r="A916" s="233">
        <v>43312</v>
      </c>
      <c r="B916">
        <v>82.079787999999994</v>
      </c>
      <c r="C916" s="47">
        <f t="shared" si="30"/>
        <v>4.5165299508549417E-3</v>
      </c>
      <c r="E916" s="81"/>
      <c r="F916" s="82"/>
      <c r="G916" s="81">
        <v>43265</v>
      </c>
      <c r="H916" s="82">
        <v>274.91000000000003</v>
      </c>
      <c r="I916" s="211">
        <f t="shared" si="29"/>
        <v>4.8247377462629082E-3</v>
      </c>
    </row>
    <row r="917" spans="1:9" ht="16">
      <c r="A917" s="233">
        <v>43313</v>
      </c>
      <c r="B917">
        <v>80.886864000000003</v>
      </c>
      <c r="C917" s="47">
        <f t="shared" si="30"/>
        <v>-1.4533712002277488E-2</v>
      </c>
      <c r="E917" s="81"/>
      <c r="F917" s="82"/>
      <c r="G917" s="81">
        <v>43266</v>
      </c>
      <c r="H917" s="82">
        <v>270.70999999999998</v>
      </c>
      <c r="I917" s="211">
        <f t="shared" si="29"/>
        <v>-1.5277727256193141E-2</v>
      </c>
    </row>
    <row r="918" spans="1:9" ht="16">
      <c r="A918" s="233">
        <v>43314</v>
      </c>
      <c r="B918">
        <v>82.443268000000003</v>
      </c>
      <c r="C918" s="47">
        <f t="shared" si="30"/>
        <v>1.924173991959921E-2</v>
      </c>
      <c r="E918" s="81"/>
      <c r="F918" s="82"/>
      <c r="G918" s="81">
        <v>43267</v>
      </c>
      <c r="H918" s="82">
        <v>269.87</v>
      </c>
      <c r="I918" s="211">
        <f t="shared" si="29"/>
        <v>-3.1029514979128425E-3</v>
      </c>
    </row>
    <row r="919" spans="1:9" ht="16">
      <c r="A919" s="233">
        <v>43315</v>
      </c>
      <c r="B919">
        <v>82.620345999999998</v>
      </c>
      <c r="C919" s="47">
        <f t="shared" si="30"/>
        <v>2.1478770104066403E-3</v>
      </c>
      <c r="E919" s="81"/>
      <c r="F919" s="82"/>
      <c r="G919" s="81">
        <v>43270</v>
      </c>
      <c r="H919" s="82">
        <v>268.97000000000003</v>
      </c>
      <c r="I919" s="211">
        <f t="shared" si="29"/>
        <v>-3.3349390447251492E-3</v>
      </c>
    </row>
    <row r="920" spans="1:9" ht="16">
      <c r="A920" s="233">
        <v>43316</v>
      </c>
      <c r="B920">
        <v>82.452590999999998</v>
      </c>
      <c r="C920" s="47">
        <f t="shared" si="30"/>
        <v>-2.030432068149457E-3</v>
      </c>
      <c r="E920" s="81"/>
      <c r="F920" s="82"/>
      <c r="G920" s="81">
        <v>43271</v>
      </c>
      <c r="H920" s="82">
        <v>273.79000000000002</v>
      </c>
      <c r="I920" s="211">
        <f t="shared" si="29"/>
        <v>1.7920214150277003E-2</v>
      </c>
    </row>
    <row r="921" spans="1:9" ht="16">
      <c r="A921" s="233">
        <v>43319</v>
      </c>
      <c r="B921">
        <v>83.673500000000004</v>
      </c>
      <c r="C921" s="47">
        <f t="shared" si="30"/>
        <v>1.4807406112926191E-2</v>
      </c>
      <c r="E921" s="81"/>
      <c r="F921" s="82"/>
      <c r="G921" s="81">
        <v>43272</v>
      </c>
      <c r="H921" s="82">
        <v>268.32</v>
      </c>
      <c r="I921" s="211">
        <f t="shared" si="29"/>
        <v>-1.9978815880784651E-2</v>
      </c>
    </row>
    <row r="922" spans="1:9" ht="16">
      <c r="A922" s="233">
        <v>43320</v>
      </c>
      <c r="B922">
        <v>82.275527999999994</v>
      </c>
      <c r="C922" s="47">
        <f t="shared" si="30"/>
        <v>-1.6707464131415661E-2</v>
      </c>
      <c r="E922" s="81"/>
      <c r="F922" s="82"/>
      <c r="G922" s="81">
        <v>43273</v>
      </c>
      <c r="H922" s="82">
        <v>269.44</v>
      </c>
      <c r="I922" s="211">
        <f t="shared" si="29"/>
        <v>4.174120453190211E-3</v>
      </c>
    </row>
    <row r="923" spans="1:9" ht="16">
      <c r="A923" s="233">
        <v>43321</v>
      </c>
      <c r="B923">
        <v>83.748047</v>
      </c>
      <c r="C923" s="47">
        <f t="shared" si="30"/>
        <v>1.7897411730982915E-2</v>
      </c>
      <c r="E923" s="81"/>
      <c r="F923" s="82"/>
      <c r="G923" s="81">
        <v>43274</v>
      </c>
      <c r="H923" s="82">
        <v>273.14999999999998</v>
      </c>
      <c r="I923" s="211">
        <f t="shared" si="29"/>
        <v>1.3769299287410774E-2</v>
      </c>
    </row>
    <row r="924" spans="1:9" ht="16">
      <c r="A924" s="233">
        <v>43322</v>
      </c>
      <c r="B924">
        <v>83.403236000000007</v>
      </c>
      <c r="C924" s="47">
        <f t="shared" si="30"/>
        <v>-4.1172422802885356E-3</v>
      </c>
      <c r="E924" s="81"/>
      <c r="F924" s="82"/>
      <c r="G924" s="81">
        <v>43277</v>
      </c>
      <c r="H924" s="82">
        <v>276.75</v>
      </c>
      <c r="I924" s="211">
        <f t="shared" si="29"/>
        <v>1.3179571663920919E-2</v>
      </c>
    </row>
    <row r="925" spans="1:9" ht="16">
      <c r="A925" s="233">
        <v>43323</v>
      </c>
      <c r="B925">
        <v>84.03698</v>
      </c>
      <c r="C925" s="47">
        <f t="shared" si="30"/>
        <v>7.5985540896756909E-3</v>
      </c>
      <c r="E925" s="81"/>
      <c r="F925" s="82"/>
      <c r="G925" s="81">
        <v>43278</v>
      </c>
      <c r="H925" s="82">
        <v>276.66000000000003</v>
      </c>
      <c r="I925" s="211">
        <f t="shared" si="29"/>
        <v>-3.252032520324466E-4</v>
      </c>
    </row>
    <row r="926" spans="1:9" ht="16">
      <c r="A926" s="233">
        <v>43326</v>
      </c>
      <c r="B926">
        <v>83.878517000000002</v>
      </c>
      <c r="C926" s="47">
        <f t="shared" si="30"/>
        <v>-1.8856341577243585E-3</v>
      </c>
      <c r="E926" s="81"/>
      <c r="F926" s="82"/>
      <c r="G926" s="81">
        <v>43279</v>
      </c>
      <c r="H926" s="82">
        <v>273.39</v>
      </c>
      <c r="I926" s="211">
        <f t="shared" si="29"/>
        <v>-1.1819561917154719E-2</v>
      </c>
    </row>
    <row r="927" spans="1:9" ht="16">
      <c r="A927" s="233">
        <v>43327</v>
      </c>
      <c r="B927">
        <v>83.151572999999999</v>
      </c>
      <c r="C927" s="47">
        <f t="shared" si="30"/>
        <v>-8.6666291441467314E-3</v>
      </c>
      <c r="E927" s="81"/>
      <c r="F927" s="82"/>
      <c r="G927" s="81">
        <v>43280</v>
      </c>
      <c r="H927" s="82">
        <v>270.16000000000003</v>
      </c>
      <c r="I927" s="211">
        <f t="shared" si="29"/>
        <v>-1.1814623797505308E-2</v>
      </c>
    </row>
    <row r="928" spans="1:9" ht="16">
      <c r="A928" s="233">
        <v>43328</v>
      </c>
      <c r="B928">
        <v>82.238242999999997</v>
      </c>
      <c r="C928" s="47">
        <f t="shared" si="30"/>
        <v>-1.098391728560566E-2</v>
      </c>
      <c r="E928" s="81"/>
      <c r="F928" s="82"/>
      <c r="G928" s="81">
        <v>43281</v>
      </c>
      <c r="H928" s="82">
        <v>268.42</v>
      </c>
      <c r="I928" s="211">
        <f t="shared" si="29"/>
        <v>-6.4406277761327457E-3</v>
      </c>
    </row>
    <row r="929" spans="1:9" ht="16">
      <c r="A929" s="233">
        <v>43329</v>
      </c>
      <c r="B929">
        <v>82.145042000000004</v>
      </c>
      <c r="C929" s="47">
        <f t="shared" si="30"/>
        <v>-1.1333048542877533E-3</v>
      </c>
      <c r="E929" s="81"/>
      <c r="F929" s="82"/>
      <c r="G929" s="81">
        <v>43284</v>
      </c>
      <c r="H929" s="82">
        <v>268.43</v>
      </c>
      <c r="I929" s="211">
        <f t="shared" si="29"/>
        <v>3.7255048058959517E-5</v>
      </c>
    </row>
    <row r="930" spans="1:9" ht="16">
      <c r="A930" s="233">
        <v>43330</v>
      </c>
      <c r="B930">
        <v>80.896193999999994</v>
      </c>
      <c r="C930" s="47">
        <f t="shared" si="30"/>
        <v>-1.5202962584157098E-2</v>
      </c>
      <c r="E930" s="81"/>
      <c r="F930" s="82"/>
      <c r="G930" s="81">
        <v>43285</v>
      </c>
      <c r="H930" s="82">
        <v>267.56</v>
      </c>
      <c r="I930" s="211">
        <f t="shared" si="29"/>
        <v>-3.2410684349737373E-3</v>
      </c>
    </row>
    <row r="931" spans="1:9" ht="16">
      <c r="A931" s="233">
        <v>43333</v>
      </c>
      <c r="B931">
        <v>80.299728000000002</v>
      </c>
      <c r="C931" s="47">
        <f t="shared" si="30"/>
        <v>-7.3732269777734283E-3</v>
      </c>
      <c r="E931" s="81"/>
      <c r="F931" s="82"/>
      <c r="G931" s="81">
        <v>43286</v>
      </c>
      <c r="H931" s="82">
        <v>264.97000000000003</v>
      </c>
      <c r="I931" s="211">
        <f t="shared" si="29"/>
        <v>-9.6800717596052799E-3</v>
      </c>
    </row>
    <row r="932" spans="1:9" ht="16">
      <c r="A932" s="233">
        <v>43334</v>
      </c>
      <c r="B932">
        <v>81.147827000000007</v>
      </c>
      <c r="C932" s="47">
        <f t="shared" si="30"/>
        <v>1.0561667157826582E-2</v>
      </c>
      <c r="E932" s="81"/>
      <c r="F932" s="82"/>
      <c r="G932" s="81">
        <v>43287</v>
      </c>
      <c r="H932" s="82">
        <v>268.51</v>
      </c>
      <c r="I932" s="211">
        <f t="shared" si="29"/>
        <v>1.3360003019209588E-2</v>
      </c>
    </row>
    <row r="933" spans="1:9" ht="16">
      <c r="A933" s="233">
        <v>43335</v>
      </c>
      <c r="B933">
        <v>81.073265000000006</v>
      </c>
      <c r="C933" s="47">
        <f t="shared" si="30"/>
        <v>-9.1884160989297303E-4</v>
      </c>
      <c r="E933" s="81"/>
      <c r="F933" s="82"/>
      <c r="G933" s="81">
        <v>43288</v>
      </c>
      <c r="H933" s="82">
        <v>269.23</v>
      </c>
      <c r="I933" s="211">
        <f t="shared" si="29"/>
        <v>2.6814643774906166E-3</v>
      </c>
    </row>
    <row r="934" spans="1:9" ht="16">
      <c r="A934" s="233">
        <v>43336</v>
      </c>
      <c r="B934">
        <v>81.930687000000006</v>
      </c>
      <c r="C934" s="47">
        <f t="shared" si="30"/>
        <v>1.0575890831582946E-2</v>
      </c>
      <c r="E934" s="81"/>
      <c r="F934" s="82"/>
      <c r="G934" s="81">
        <v>43291</v>
      </c>
      <c r="H934" s="82">
        <v>264.19</v>
      </c>
      <c r="I934" s="211">
        <f t="shared" si="29"/>
        <v>-1.8720053485867139E-2</v>
      </c>
    </row>
    <row r="935" spans="1:9" ht="16">
      <c r="A935" s="233">
        <v>43337</v>
      </c>
      <c r="B935">
        <v>80.653862000000004</v>
      </c>
      <c r="C935" s="47">
        <f t="shared" si="30"/>
        <v>-1.558420961367013E-2</v>
      </c>
      <c r="E935" s="81"/>
      <c r="F935" s="82"/>
      <c r="G935" s="81">
        <v>43292</v>
      </c>
      <c r="H935" s="82">
        <v>261.17</v>
      </c>
      <c r="I935" s="211">
        <f t="shared" si="29"/>
        <v>-1.1431166963170369E-2</v>
      </c>
    </row>
    <row r="936" spans="1:9" ht="16">
      <c r="A936" s="233">
        <v>43340</v>
      </c>
      <c r="B936">
        <v>80.169228000000004</v>
      </c>
      <c r="C936" s="47">
        <f t="shared" si="30"/>
        <v>-6.0088133163418433E-3</v>
      </c>
      <c r="E936" s="81"/>
      <c r="F936" s="82"/>
      <c r="G936" s="81">
        <v>43293</v>
      </c>
      <c r="H936" s="82">
        <v>261.8</v>
      </c>
      <c r="I936" s="211">
        <f t="shared" si="29"/>
        <v>2.4122219244169241E-3</v>
      </c>
    </row>
    <row r="937" spans="1:9" ht="16">
      <c r="A937" s="233">
        <v>43341</v>
      </c>
      <c r="B937">
        <v>80.141289</v>
      </c>
      <c r="C937" s="47">
        <f t="shared" si="30"/>
        <v>-3.4850029989064168E-4</v>
      </c>
      <c r="E937" s="81"/>
      <c r="F937" s="82"/>
      <c r="G937" s="81">
        <v>43294</v>
      </c>
      <c r="H937" s="82">
        <v>259.8</v>
      </c>
      <c r="I937" s="211">
        <f t="shared" si="29"/>
        <v>-7.6394194041252694E-3</v>
      </c>
    </row>
    <row r="938" spans="1:9" ht="16">
      <c r="A938" s="233">
        <v>43342</v>
      </c>
      <c r="B938">
        <v>79.498206999999994</v>
      </c>
      <c r="C938" s="47">
        <f t="shared" si="30"/>
        <v>-8.0243530897039506E-3</v>
      </c>
      <c r="E938" s="81"/>
      <c r="F938" s="82"/>
      <c r="G938" s="81">
        <v>43295</v>
      </c>
      <c r="H938" s="82">
        <v>259.3</v>
      </c>
      <c r="I938" s="211">
        <f t="shared" si="29"/>
        <v>-1.9245573518090753E-3</v>
      </c>
    </row>
    <row r="939" spans="1:9" ht="16">
      <c r="A939" s="233">
        <v>43343</v>
      </c>
      <c r="B939">
        <v>79.303641999999996</v>
      </c>
      <c r="C939" s="47">
        <f t="shared" si="30"/>
        <v>-2.4474136882105535E-3</v>
      </c>
      <c r="E939" s="81"/>
      <c r="F939" s="82"/>
      <c r="G939" s="81">
        <v>43298</v>
      </c>
      <c r="H939" s="82">
        <v>263.72000000000003</v>
      </c>
      <c r="I939" s="211">
        <f t="shared" si="29"/>
        <v>1.7045892788276173E-2</v>
      </c>
    </row>
    <row r="940" spans="1:9" ht="16">
      <c r="A940" s="233">
        <v>43344</v>
      </c>
      <c r="B940">
        <v>79.584259000000003</v>
      </c>
      <c r="C940" s="47">
        <f t="shared" si="30"/>
        <v>3.5385134014400688E-3</v>
      </c>
      <c r="E940" s="81"/>
      <c r="F940" s="82"/>
      <c r="G940" s="81">
        <v>43299</v>
      </c>
      <c r="H940" s="82">
        <v>264.39999999999998</v>
      </c>
      <c r="I940" s="211">
        <f t="shared" si="29"/>
        <v>2.5784923403608939E-3</v>
      </c>
    </row>
    <row r="941" spans="1:9" ht="16">
      <c r="A941" s="233">
        <v>43348</v>
      </c>
      <c r="B941">
        <v>78.854652000000002</v>
      </c>
      <c r="C941" s="47">
        <f t="shared" si="30"/>
        <v>-9.1677300155549313E-3</v>
      </c>
      <c r="E941" s="81"/>
      <c r="F941" s="82"/>
      <c r="G941" s="81">
        <v>43300</v>
      </c>
      <c r="H941" s="82">
        <v>265.77999999999997</v>
      </c>
      <c r="I941" s="211">
        <f t="shared" si="29"/>
        <v>5.2193645990923354E-3</v>
      </c>
    </row>
    <row r="942" spans="1:9" ht="16">
      <c r="A942" s="233">
        <v>43349</v>
      </c>
      <c r="B942">
        <v>80.051948999999993</v>
      </c>
      <c r="C942" s="47">
        <f t="shared" si="30"/>
        <v>1.518359373394973E-2</v>
      </c>
      <c r="E942" s="81"/>
      <c r="F942" s="82"/>
      <c r="G942" s="81">
        <v>43301</v>
      </c>
      <c r="H942" s="82">
        <v>266.7</v>
      </c>
      <c r="I942" s="211">
        <f t="shared" si="29"/>
        <v>3.4615095191512513E-3</v>
      </c>
    </row>
    <row r="943" spans="1:9" ht="16">
      <c r="A943" s="233">
        <v>43350</v>
      </c>
      <c r="B943">
        <v>80.080032000000003</v>
      </c>
      <c r="C943" s="47">
        <f t="shared" si="30"/>
        <v>3.5080969733813916E-4</v>
      </c>
      <c r="E943" s="81"/>
      <c r="F943" s="82"/>
      <c r="G943" s="81">
        <v>43302</v>
      </c>
      <c r="H943" s="82">
        <v>266.48</v>
      </c>
      <c r="I943" s="211">
        <f t="shared" si="29"/>
        <v>-8.2489688788889293E-4</v>
      </c>
    </row>
    <row r="944" spans="1:9" ht="16">
      <c r="A944" s="233">
        <v>43351</v>
      </c>
      <c r="B944">
        <v>80.566436999999993</v>
      </c>
      <c r="C944" s="47">
        <f t="shared" si="30"/>
        <v>6.0739860843210813E-3</v>
      </c>
      <c r="E944" s="81"/>
      <c r="F944" s="82"/>
      <c r="G944" s="81">
        <v>43305</v>
      </c>
      <c r="H944" s="82">
        <v>265.98</v>
      </c>
      <c r="I944" s="211">
        <f t="shared" si="29"/>
        <v>-1.8763134193935382E-3</v>
      </c>
    </row>
    <row r="945" spans="1:9" ht="16">
      <c r="A945" s="233">
        <v>43354</v>
      </c>
      <c r="B945">
        <v>80.538368000000006</v>
      </c>
      <c r="C945" s="47">
        <f t="shared" si="30"/>
        <v>-3.4839569732969533E-4</v>
      </c>
      <c r="E945" s="81"/>
      <c r="F945" s="82"/>
      <c r="G945" s="81">
        <v>43306</v>
      </c>
      <c r="H945" s="82">
        <v>265.77999999999997</v>
      </c>
      <c r="I945" s="211">
        <f t="shared" si="29"/>
        <v>-7.5193623580738223E-4</v>
      </c>
    </row>
    <row r="946" spans="1:9" ht="16">
      <c r="A946" s="233">
        <v>43355</v>
      </c>
      <c r="B946">
        <v>79.303641999999996</v>
      </c>
      <c r="C946" s="47">
        <f t="shared" si="30"/>
        <v>-1.533090414744942E-2</v>
      </c>
      <c r="E946" s="81"/>
      <c r="F946" s="82"/>
      <c r="G946" s="81">
        <v>43307</v>
      </c>
      <c r="H946" s="82">
        <v>266.66000000000003</v>
      </c>
      <c r="I946" s="211">
        <f t="shared" si="29"/>
        <v>3.3110091052752644E-3</v>
      </c>
    </row>
    <row r="947" spans="1:9" ht="16">
      <c r="A947" s="233">
        <v>43356</v>
      </c>
      <c r="B947">
        <v>79.247519999999994</v>
      </c>
      <c r="C947" s="47">
        <f t="shared" si="30"/>
        <v>-7.0768502662210686E-4</v>
      </c>
      <c r="E947" s="81"/>
      <c r="F947" s="82"/>
      <c r="G947" s="81">
        <v>43308</v>
      </c>
      <c r="H947" s="82">
        <v>268.45</v>
      </c>
      <c r="I947" s="211">
        <f t="shared" si="29"/>
        <v>6.712667816695328E-3</v>
      </c>
    </row>
    <row r="948" spans="1:9" ht="16">
      <c r="A948" s="233">
        <v>43357</v>
      </c>
      <c r="B948">
        <v>79.191390999999996</v>
      </c>
      <c r="C948" s="47">
        <f t="shared" si="30"/>
        <v>-7.0827453023136755E-4</v>
      </c>
      <c r="E948" s="81"/>
      <c r="F948" s="82"/>
      <c r="G948" s="81">
        <v>43309</v>
      </c>
      <c r="H948" s="82">
        <v>267.32</v>
      </c>
      <c r="I948" s="211">
        <f t="shared" si="29"/>
        <v>-4.2093499720617933E-3</v>
      </c>
    </row>
    <row r="949" spans="1:9" ht="16">
      <c r="A949" s="233">
        <v>43358</v>
      </c>
      <c r="B949">
        <v>78.761093000000002</v>
      </c>
      <c r="C949" s="47">
        <f t="shared" si="30"/>
        <v>-5.433646190152075E-3</v>
      </c>
      <c r="E949" s="81"/>
      <c r="F949" s="82"/>
      <c r="G949" s="81">
        <v>43312</v>
      </c>
      <c r="H949" s="82">
        <v>268.36</v>
      </c>
      <c r="I949" s="211">
        <f t="shared" si="29"/>
        <v>3.8904683525362582E-3</v>
      </c>
    </row>
    <row r="950" spans="1:9" ht="16">
      <c r="A950" s="233">
        <v>43361</v>
      </c>
      <c r="B950">
        <v>79.041747999999998</v>
      </c>
      <c r="C950" s="47">
        <f t="shared" si="30"/>
        <v>3.5633710669809027E-3</v>
      </c>
      <c r="E950" s="81"/>
      <c r="F950" s="82"/>
      <c r="G950" s="81">
        <v>43313</v>
      </c>
      <c r="H950" s="82">
        <v>265.89</v>
      </c>
      <c r="I950" s="211">
        <f t="shared" si="29"/>
        <v>-9.2040542554777671E-3</v>
      </c>
    </row>
    <row r="951" spans="1:9" ht="16">
      <c r="A951" s="233">
        <v>43362</v>
      </c>
      <c r="B951">
        <v>78.312118999999996</v>
      </c>
      <c r="C951" s="47">
        <f t="shared" si="30"/>
        <v>-9.2309319879919638E-3</v>
      </c>
      <c r="E951" s="81"/>
      <c r="F951" s="82"/>
      <c r="G951" s="81">
        <v>43314</v>
      </c>
      <c r="H951" s="82">
        <v>265.88</v>
      </c>
      <c r="I951" s="211">
        <f t="shared" si="29"/>
        <v>-3.7609537778759972E-5</v>
      </c>
    </row>
    <row r="952" spans="1:9" ht="16">
      <c r="A952" s="233">
        <v>43363</v>
      </c>
      <c r="B952">
        <v>78.087638999999996</v>
      </c>
      <c r="C952" s="47">
        <f t="shared" si="30"/>
        <v>-2.8664784310076241E-3</v>
      </c>
      <c r="E952" s="81"/>
      <c r="F952" s="82"/>
      <c r="G952" s="81">
        <v>43315</v>
      </c>
      <c r="H952" s="82">
        <v>267.97000000000003</v>
      </c>
      <c r="I952" s="211">
        <f t="shared" si="29"/>
        <v>7.8606890326464729E-3</v>
      </c>
    </row>
    <row r="953" spans="1:9" ht="16">
      <c r="A953" s="233">
        <v>43364</v>
      </c>
      <c r="B953">
        <v>77.563789</v>
      </c>
      <c r="C953" s="47">
        <f t="shared" si="30"/>
        <v>-6.7084881385643946E-3</v>
      </c>
      <c r="E953" s="81"/>
      <c r="F953" s="82"/>
      <c r="G953" s="81">
        <v>43316</v>
      </c>
      <c r="H953" s="82">
        <v>269.67</v>
      </c>
      <c r="I953" s="211">
        <f t="shared" si="29"/>
        <v>6.3439937306415395E-3</v>
      </c>
    </row>
    <row r="954" spans="1:9" ht="16">
      <c r="A954" s="233">
        <v>43365</v>
      </c>
      <c r="B954">
        <v>76.628380000000007</v>
      </c>
      <c r="C954" s="47">
        <f t="shared" si="30"/>
        <v>-1.2059867266154267E-2</v>
      </c>
      <c r="E954" s="81"/>
      <c r="F954" s="82"/>
      <c r="G954" s="81">
        <v>43319</v>
      </c>
      <c r="H954" s="82">
        <v>269.98</v>
      </c>
      <c r="I954" s="211">
        <f t="shared" si="29"/>
        <v>1.1495531575629325E-3</v>
      </c>
    </row>
    <row r="955" spans="1:9" ht="16">
      <c r="A955" s="233">
        <v>43368</v>
      </c>
      <c r="B955">
        <v>74.823051000000007</v>
      </c>
      <c r="C955" s="47">
        <f t="shared" si="30"/>
        <v>-2.3559534992126929E-2</v>
      </c>
      <c r="E955" s="81"/>
      <c r="F955" s="82"/>
      <c r="G955" s="81">
        <v>43320</v>
      </c>
      <c r="H955" s="82">
        <v>269.94</v>
      </c>
      <c r="I955" s="211">
        <f t="shared" si="29"/>
        <v>-1.4815912289811717E-4</v>
      </c>
    </row>
    <row r="956" spans="1:9" ht="16">
      <c r="A956" s="233">
        <v>43369</v>
      </c>
      <c r="B956">
        <v>73.625725000000003</v>
      </c>
      <c r="C956" s="47">
        <f t="shared" si="30"/>
        <v>-1.6002100742991687E-2</v>
      </c>
      <c r="E956" s="81"/>
      <c r="F956" s="82"/>
      <c r="G956" s="81">
        <v>43321</v>
      </c>
      <c r="H956" s="82">
        <v>269.95999999999998</v>
      </c>
      <c r="I956" s="211">
        <f t="shared" si="29"/>
        <v>7.4090538638049708E-5</v>
      </c>
    </row>
    <row r="957" spans="1:9" ht="16">
      <c r="A957" s="233">
        <v>43370</v>
      </c>
      <c r="B957">
        <v>75.393646000000004</v>
      </c>
      <c r="C957" s="47">
        <f t="shared" si="30"/>
        <v>2.4012272884239794E-2</v>
      </c>
      <c r="E957" s="81"/>
      <c r="F957" s="82"/>
      <c r="G957" s="81">
        <v>43322</v>
      </c>
      <c r="H957" s="82">
        <v>273.68</v>
      </c>
      <c r="I957" s="211">
        <f t="shared" si="29"/>
        <v>1.3779819232478951E-2</v>
      </c>
    </row>
    <row r="958" spans="1:9" ht="16">
      <c r="A958" s="233">
        <v>43371</v>
      </c>
      <c r="B958">
        <v>74.439544999999995</v>
      </c>
      <c r="C958" s="47">
        <f t="shared" si="30"/>
        <v>-1.2654925854096666E-2</v>
      </c>
      <c r="E958" s="81"/>
      <c r="F958" s="82"/>
      <c r="G958" s="81">
        <v>43323</v>
      </c>
      <c r="H958" s="82">
        <v>274.43</v>
      </c>
      <c r="I958" s="211">
        <f t="shared" si="29"/>
        <v>2.7404267757964451E-3</v>
      </c>
    </row>
    <row r="959" spans="1:9" ht="16">
      <c r="A959" s="233">
        <v>43372</v>
      </c>
      <c r="B959">
        <v>74.271172000000007</v>
      </c>
      <c r="C959" s="47">
        <f t="shared" si="30"/>
        <v>-2.2618757274777135E-3</v>
      </c>
      <c r="E959" s="81"/>
      <c r="F959" s="82"/>
      <c r="G959" s="81">
        <v>43326</v>
      </c>
      <c r="H959" s="82">
        <v>274.16000000000003</v>
      </c>
      <c r="I959" s="211">
        <f t="shared" si="29"/>
        <v>-9.8385744998719105E-4</v>
      </c>
    </row>
    <row r="960" spans="1:9" ht="16">
      <c r="A960" s="233">
        <v>43375</v>
      </c>
      <c r="B960">
        <v>75.399863999999994</v>
      </c>
      <c r="C960" s="47">
        <f t="shared" si="30"/>
        <v>1.5196905738877886E-2</v>
      </c>
      <c r="E960" s="81"/>
      <c r="F960" s="82"/>
      <c r="G960" s="81">
        <v>43327</v>
      </c>
      <c r="H960" s="82">
        <v>274.02999999999997</v>
      </c>
      <c r="I960" s="211">
        <f t="shared" si="29"/>
        <v>-4.7417566384611032E-4</v>
      </c>
    </row>
    <row r="961" spans="1:9" ht="16">
      <c r="A961" s="233">
        <v>43376</v>
      </c>
      <c r="B961">
        <v>76.818939</v>
      </c>
      <c r="C961" s="47">
        <f t="shared" si="30"/>
        <v>1.882065728924931E-2</v>
      </c>
      <c r="E961" s="81"/>
      <c r="F961" s="82"/>
      <c r="G961" s="81">
        <v>43328</v>
      </c>
      <c r="H961" s="82">
        <v>274.42</v>
      </c>
      <c r="I961" s="211">
        <f t="shared" si="29"/>
        <v>1.4232018392148493E-3</v>
      </c>
    </row>
    <row r="962" spans="1:9" ht="16">
      <c r="A962" s="233">
        <v>43377</v>
      </c>
      <c r="B962">
        <v>75.728783000000007</v>
      </c>
      <c r="C962" s="47">
        <f t="shared" si="30"/>
        <v>-1.4191240001375061E-2</v>
      </c>
      <c r="E962" s="81"/>
      <c r="F962" s="82"/>
      <c r="G962" s="81">
        <v>43329</v>
      </c>
      <c r="H962" s="82">
        <v>273.38</v>
      </c>
      <c r="I962" s="211">
        <f t="shared" si="29"/>
        <v>-3.7898112382480642E-3</v>
      </c>
    </row>
    <row r="963" spans="1:9" ht="16">
      <c r="A963" s="233">
        <v>43378</v>
      </c>
      <c r="B963">
        <v>75.437447000000006</v>
      </c>
      <c r="C963" s="47">
        <f t="shared" si="30"/>
        <v>-3.8470973447440882E-3</v>
      </c>
      <c r="E963" s="81"/>
      <c r="F963" s="82"/>
      <c r="G963" s="81">
        <v>43330</v>
      </c>
      <c r="H963" s="82">
        <v>271.13</v>
      </c>
      <c r="I963" s="211">
        <f t="shared" si="29"/>
        <v>-8.2303021435364832E-3</v>
      </c>
    </row>
    <row r="964" spans="1:9" ht="16">
      <c r="A964" s="233">
        <v>43379</v>
      </c>
      <c r="B964">
        <v>74.422461999999996</v>
      </c>
      <c r="C964" s="47">
        <f t="shared" si="30"/>
        <v>-1.3454657340140508E-2</v>
      </c>
      <c r="E964" s="81"/>
      <c r="F964" s="82"/>
      <c r="G964" s="81">
        <v>43333</v>
      </c>
      <c r="H964" s="82">
        <v>269.26</v>
      </c>
      <c r="I964" s="211">
        <f t="shared" si="29"/>
        <v>-6.8970604507063715E-3</v>
      </c>
    </row>
    <row r="965" spans="1:9" ht="16">
      <c r="A965" s="233">
        <v>43382</v>
      </c>
      <c r="B965">
        <v>74.206314000000006</v>
      </c>
      <c r="C965" s="47">
        <f t="shared" si="30"/>
        <v>-2.9043382090744307E-3</v>
      </c>
      <c r="E965" s="81"/>
      <c r="F965" s="82"/>
      <c r="G965" s="81">
        <v>43334</v>
      </c>
      <c r="H965" s="82">
        <v>269.58</v>
      </c>
      <c r="I965" s="211">
        <f t="shared" si="29"/>
        <v>1.1884423976824543E-3</v>
      </c>
    </row>
    <row r="966" spans="1:9" ht="16">
      <c r="A966" s="233">
        <v>43383</v>
      </c>
      <c r="B966">
        <v>74.149940000000001</v>
      </c>
      <c r="C966" s="47">
        <f t="shared" si="30"/>
        <v>-7.5969276684473286E-4</v>
      </c>
      <c r="E966" s="81"/>
      <c r="F966" s="82"/>
      <c r="G966" s="81">
        <v>43335</v>
      </c>
      <c r="H966" s="82">
        <v>268.7</v>
      </c>
      <c r="I966" s="211">
        <f t="shared" si="29"/>
        <v>-3.2643371169968072E-3</v>
      </c>
    </row>
    <row r="967" spans="1:9" ht="16">
      <c r="A967" s="233">
        <v>43384</v>
      </c>
      <c r="B967">
        <v>73.886803</v>
      </c>
      <c r="C967" s="47">
        <f t="shared" si="30"/>
        <v>-3.5487149416438823E-3</v>
      </c>
      <c r="E967" s="81"/>
      <c r="F967" s="82"/>
      <c r="G967" s="81">
        <v>43336</v>
      </c>
      <c r="H967" s="82">
        <v>273.05</v>
      </c>
      <c r="I967" s="211">
        <f t="shared" si="29"/>
        <v>1.6189058429475267E-2</v>
      </c>
    </row>
    <row r="968" spans="1:9" ht="16">
      <c r="A968" s="233">
        <v>43385</v>
      </c>
      <c r="B968">
        <v>73.661216999999994</v>
      </c>
      <c r="C968" s="47">
        <f t="shared" si="30"/>
        <v>-3.0531297991064354E-3</v>
      </c>
      <c r="E968" s="81"/>
      <c r="F968" s="82"/>
      <c r="G968" s="81">
        <v>43337</v>
      </c>
      <c r="H968" s="82">
        <v>273.3</v>
      </c>
      <c r="I968" s="211">
        <f t="shared" si="29"/>
        <v>9.155832265153041E-4</v>
      </c>
    </row>
    <row r="969" spans="1:9" ht="16">
      <c r="A969" s="233">
        <v>43386</v>
      </c>
      <c r="B969">
        <v>73.116150000000005</v>
      </c>
      <c r="C969" s="47">
        <f t="shared" si="30"/>
        <v>-7.3996469539728826E-3</v>
      </c>
      <c r="E969" s="81"/>
      <c r="F969" s="82"/>
      <c r="G969" s="81">
        <v>43340</v>
      </c>
      <c r="H969" s="82">
        <v>270.16000000000003</v>
      </c>
      <c r="I969" s="211">
        <f t="shared" si="29"/>
        <v>-1.1489206000731778E-2</v>
      </c>
    </row>
    <row r="970" spans="1:9" ht="16">
      <c r="A970" s="233">
        <v>43389</v>
      </c>
      <c r="B970">
        <v>73.520256000000003</v>
      </c>
      <c r="C970" s="47">
        <f t="shared" si="30"/>
        <v>5.5269047946315819E-3</v>
      </c>
      <c r="E970" s="81"/>
      <c r="F970" s="82"/>
      <c r="G970" s="81">
        <v>43341</v>
      </c>
      <c r="H970" s="82">
        <v>270.04000000000002</v>
      </c>
      <c r="I970" s="211">
        <f t="shared" si="29"/>
        <v>-4.4418122594025444E-4</v>
      </c>
    </row>
    <row r="971" spans="1:9" ht="16">
      <c r="A971" s="233">
        <v>43390</v>
      </c>
      <c r="B971">
        <v>74.300301000000005</v>
      </c>
      <c r="C971" s="47">
        <f t="shared" si="30"/>
        <v>1.060993313189762E-2</v>
      </c>
      <c r="E971" s="81"/>
      <c r="F971" s="82"/>
      <c r="G971" s="81">
        <v>43342</v>
      </c>
      <c r="H971" s="82">
        <v>270.04000000000002</v>
      </c>
      <c r="I971" s="211">
        <f t="shared" si="29"/>
        <v>0</v>
      </c>
    </row>
    <row r="972" spans="1:9" ht="16">
      <c r="A972" s="233">
        <v>43391</v>
      </c>
      <c r="B972">
        <v>73.191329999999994</v>
      </c>
      <c r="C972" s="47">
        <f t="shared" si="30"/>
        <v>-1.4925524998882778E-2</v>
      </c>
      <c r="E972" s="81"/>
      <c r="F972" s="82"/>
      <c r="G972" s="81">
        <v>43343</v>
      </c>
      <c r="H972" s="82">
        <v>266.43</v>
      </c>
      <c r="I972" s="211">
        <f t="shared" si="29"/>
        <v>-1.3368389868167685E-2</v>
      </c>
    </row>
    <row r="973" spans="1:9" ht="16">
      <c r="A973" s="233">
        <v>43392</v>
      </c>
      <c r="B973">
        <v>72.448882999999995</v>
      </c>
      <c r="C973" s="47">
        <f t="shared" si="30"/>
        <v>-1.0143920051732924E-2</v>
      </c>
      <c r="E973" s="81"/>
      <c r="F973" s="82"/>
      <c r="G973" s="81">
        <v>43344</v>
      </c>
      <c r="H973" s="82">
        <v>265.77999999999997</v>
      </c>
      <c r="I973" s="211">
        <f t="shared" si="29"/>
        <v>-2.4396652028676469E-3</v>
      </c>
    </row>
    <row r="974" spans="1:9" ht="16">
      <c r="A974" s="233">
        <v>43393</v>
      </c>
      <c r="B974">
        <v>73.247719000000004</v>
      </c>
      <c r="C974" s="47">
        <f t="shared" si="30"/>
        <v>1.1026201742820652E-2</v>
      </c>
      <c r="E974" s="81"/>
      <c r="F974" s="82"/>
      <c r="G974" s="81">
        <v>43347</v>
      </c>
      <c r="H974" s="82">
        <v>265.18</v>
      </c>
      <c r="I974" s="211">
        <f t="shared" si="29"/>
        <v>-2.2575062081419128E-3</v>
      </c>
    </row>
    <row r="975" spans="1:9" ht="16">
      <c r="A975" s="233">
        <v>43396</v>
      </c>
      <c r="B975">
        <v>73.200744999999998</v>
      </c>
      <c r="C975" s="47">
        <f t="shared" si="30"/>
        <v>-6.4130324658995264E-4</v>
      </c>
      <c r="E975" s="81"/>
      <c r="F975" s="82"/>
      <c r="G975" s="81">
        <v>43348</v>
      </c>
      <c r="H975" s="82">
        <v>264.02</v>
      </c>
      <c r="I975" s="211">
        <f t="shared" si="29"/>
        <v>-4.374387208688546E-3</v>
      </c>
    </row>
    <row r="976" spans="1:9" ht="16">
      <c r="A976" s="233">
        <v>43397</v>
      </c>
      <c r="B976">
        <v>74.469443999999996</v>
      </c>
      <c r="C976" s="47">
        <f t="shared" si="30"/>
        <v>1.733177715609302E-2</v>
      </c>
      <c r="E976" s="81"/>
      <c r="F976" s="82"/>
      <c r="G976" s="81">
        <v>43349</v>
      </c>
      <c r="H976" s="82">
        <v>262.8</v>
      </c>
      <c r="I976" s="211">
        <f t="shared" ref="I976:I1039" si="31">H976/H975-1</f>
        <v>-4.6208620559047286E-3</v>
      </c>
    </row>
    <row r="977" spans="1:9" ht="16">
      <c r="A977" s="233">
        <v>43398</v>
      </c>
      <c r="B977">
        <v>74.958152999999996</v>
      </c>
      <c r="C977" s="47">
        <f t="shared" ref="C977:C1040" si="32">B977/B976-1</f>
        <v>6.5625439609835468E-3</v>
      </c>
      <c r="E977" s="81"/>
      <c r="F977" s="82"/>
      <c r="G977" s="81">
        <v>43350</v>
      </c>
      <c r="H977" s="82">
        <v>263.10000000000002</v>
      </c>
      <c r="I977" s="211">
        <f t="shared" si="31"/>
        <v>1.1415525114155667E-3</v>
      </c>
    </row>
    <row r="978" spans="1:9" ht="16">
      <c r="A978" s="233">
        <v>43399</v>
      </c>
      <c r="B978">
        <v>75.127335000000002</v>
      </c>
      <c r="C978" s="47">
        <f t="shared" si="32"/>
        <v>2.2570193265034622E-3</v>
      </c>
      <c r="E978" s="81"/>
      <c r="F978" s="82"/>
      <c r="G978" s="81">
        <v>43351</v>
      </c>
      <c r="H978" s="82">
        <v>266.70999999999998</v>
      </c>
      <c r="I978" s="211">
        <f t="shared" si="31"/>
        <v>1.3721018624097026E-2</v>
      </c>
    </row>
    <row r="979" spans="1:9" ht="16">
      <c r="A979" s="233">
        <v>43400</v>
      </c>
      <c r="B979">
        <v>75.315276999999995</v>
      </c>
      <c r="C979" s="47">
        <f t="shared" si="32"/>
        <v>2.5016460386888539E-3</v>
      </c>
      <c r="E979" s="81"/>
      <c r="F979" s="82"/>
      <c r="G979" s="81">
        <v>43354</v>
      </c>
      <c r="H979" s="82">
        <v>269.52</v>
      </c>
      <c r="I979" s="211">
        <f t="shared" si="31"/>
        <v>1.053578793446075E-2</v>
      </c>
    </row>
    <row r="980" spans="1:9" ht="16">
      <c r="A980" s="233">
        <v>43403</v>
      </c>
      <c r="B980">
        <v>74.149940000000001</v>
      </c>
      <c r="C980" s="47">
        <f t="shared" si="32"/>
        <v>-1.5472783828438863E-2</v>
      </c>
      <c r="E980" s="81"/>
      <c r="F980" s="82"/>
      <c r="G980" s="81">
        <v>43355</v>
      </c>
      <c r="H980" s="82">
        <v>267.82</v>
      </c>
      <c r="I980" s="211">
        <f t="shared" si="31"/>
        <v>-6.3075096467793967E-3</v>
      </c>
    </row>
    <row r="981" spans="1:9" ht="16">
      <c r="A981" s="233">
        <v>43404</v>
      </c>
      <c r="B981">
        <v>75.577811999999994</v>
      </c>
      <c r="C981" s="47">
        <f t="shared" si="32"/>
        <v>1.9256549634429909E-2</v>
      </c>
      <c r="E981" s="81"/>
      <c r="F981" s="82"/>
      <c r="G981" s="81">
        <v>43356</v>
      </c>
      <c r="H981" s="82">
        <v>264.52</v>
      </c>
      <c r="I981" s="211">
        <f t="shared" si="31"/>
        <v>-1.2321708610260718E-2</v>
      </c>
    </row>
    <row r="982" spans="1:9" ht="16">
      <c r="A982" s="233">
        <v>43405</v>
      </c>
      <c r="B982">
        <v>75.001739999999998</v>
      </c>
      <c r="C982" s="47">
        <f t="shared" si="32"/>
        <v>-7.6222370660848915E-3</v>
      </c>
      <c r="E982" s="81"/>
      <c r="F982" s="82"/>
      <c r="G982" s="81">
        <v>43357</v>
      </c>
      <c r="H982" s="82">
        <v>263.36</v>
      </c>
      <c r="I982" s="211">
        <f t="shared" si="31"/>
        <v>-4.3853016785119214E-3</v>
      </c>
    </row>
    <row r="983" spans="1:9" ht="16">
      <c r="A983" s="233">
        <v>43406</v>
      </c>
      <c r="B983">
        <v>74.737319999999997</v>
      </c>
      <c r="C983" s="47">
        <f t="shared" si="32"/>
        <v>-3.5255182079776404E-3</v>
      </c>
      <c r="E983" s="81"/>
      <c r="F983" s="82"/>
      <c r="G983" s="81">
        <v>43358</v>
      </c>
      <c r="H983" s="82">
        <v>258.70999999999998</v>
      </c>
      <c r="I983" s="211">
        <f t="shared" si="31"/>
        <v>-1.7656439854192074E-2</v>
      </c>
    </row>
    <row r="984" spans="1:9" ht="16">
      <c r="A984" s="233">
        <v>43407</v>
      </c>
      <c r="B984">
        <v>75.936684</v>
      </c>
      <c r="C984" s="47">
        <f t="shared" si="32"/>
        <v>1.6047725553980374E-2</v>
      </c>
      <c r="E984" s="81"/>
      <c r="F984" s="82"/>
      <c r="G984" s="81">
        <v>43361</v>
      </c>
      <c r="H984" s="82">
        <v>257.75</v>
      </c>
      <c r="I984" s="211">
        <f t="shared" si="31"/>
        <v>-3.7107185651887864E-3</v>
      </c>
    </row>
    <row r="985" spans="1:9" ht="16">
      <c r="A985" s="233">
        <v>43410</v>
      </c>
      <c r="B985">
        <v>75.908339999999995</v>
      </c>
      <c r="C985" s="47">
        <f t="shared" si="32"/>
        <v>-3.732583319019378E-4</v>
      </c>
      <c r="E985" s="81"/>
      <c r="F985" s="82"/>
      <c r="G985" s="81">
        <v>43362</v>
      </c>
      <c r="H985" s="82">
        <v>259.27</v>
      </c>
      <c r="I985" s="211">
        <f t="shared" si="31"/>
        <v>5.8971871968962475E-3</v>
      </c>
    </row>
    <row r="986" spans="1:9" ht="16">
      <c r="A986" s="233">
        <v>43411</v>
      </c>
      <c r="B986">
        <v>76.437172000000004</v>
      </c>
      <c r="C986" s="47">
        <f t="shared" si="32"/>
        <v>6.9667180180730259E-3</v>
      </c>
      <c r="E986" s="81"/>
      <c r="F986" s="82"/>
      <c r="G986" s="81">
        <v>43363</v>
      </c>
      <c r="H986" s="82">
        <v>255.58</v>
      </c>
      <c r="I986" s="211">
        <f t="shared" si="31"/>
        <v>-1.4232267520345454E-2</v>
      </c>
    </row>
    <row r="987" spans="1:9" ht="16">
      <c r="A987" s="233">
        <v>43412</v>
      </c>
      <c r="B987">
        <v>75.407829000000007</v>
      </c>
      <c r="C987" s="47">
        <f t="shared" si="32"/>
        <v>-1.3466523853080226E-2</v>
      </c>
      <c r="E987" s="81"/>
      <c r="F987" s="82"/>
      <c r="G987" s="81">
        <v>43364</v>
      </c>
      <c r="H987" s="82">
        <v>253.71</v>
      </c>
      <c r="I987" s="211">
        <f t="shared" si="31"/>
        <v>-7.3166914469050548E-3</v>
      </c>
    </row>
    <row r="988" spans="1:9" ht="16">
      <c r="A988" s="233">
        <v>43413</v>
      </c>
      <c r="B988">
        <v>78.873656999999994</v>
      </c>
      <c r="C988" s="47">
        <f t="shared" si="32"/>
        <v>4.5961116318572026E-2</v>
      </c>
      <c r="E988" s="81"/>
      <c r="F988" s="82"/>
      <c r="G988" s="81">
        <v>43365</v>
      </c>
      <c r="H988" s="82">
        <v>249.03</v>
      </c>
      <c r="I988" s="211">
        <f t="shared" si="31"/>
        <v>-1.8446257538134114E-2</v>
      </c>
    </row>
    <row r="989" spans="1:9" ht="16">
      <c r="A989" s="233">
        <v>43414</v>
      </c>
      <c r="B989">
        <v>78.854774000000006</v>
      </c>
      <c r="C989" s="47">
        <f t="shared" si="32"/>
        <v>-2.3940819683287984E-4</v>
      </c>
      <c r="E989" s="81"/>
      <c r="F989" s="82"/>
      <c r="G989" s="81">
        <v>43368</v>
      </c>
      <c r="H989" s="82">
        <v>244.28</v>
      </c>
      <c r="I989" s="211">
        <f t="shared" si="31"/>
        <v>-1.9074007147733218E-2</v>
      </c>
    </row>
    <row r="990" spans="1:9" ht="16">
      <c r="A990" s="233">
        <v>43417</v>
      </c>
      <c r="B990">
        <v>78.184264999999996</v>
      </c>
      <c r="C990" s="47">
        <f t="shared" si="32"/>
        <v>-8.5030869532389808E-3</v>
      </c>
      <c r="E990" s="81"/>
      <c r="F990" s="82"/>
      <c r="G990" s="81">
        <v>43369</v>
      </c>
      <c r="H990" s="82">
        <v>245.01</v>
      </c>
      <c r="I990" s="211">
        <f t="shared" si="31"/>
        <v>2.9883739970524292E-3</v>
      </c>
    </row>
    <row r="991" spans="1:9" ht="16">
      <c r="A991" s="233">
        <v>43418</v>
      </c>
      <c r="B991">
        <v>79.657486000000006</v>
      </c>
      <c r="C991" s="47">
        <f t="shared" si="32"/>
        <v>1.8842934700479708E-2</v>
      </c>
      <c r="E991" s="81"/>
      <c r="F991" s="82"/>
      <c r="G991" s="81">
        <v>43370</v>
      </c>
      <c r="H991" s="82">
        <v>241.76</v>
      </c>
      <c r="I991" s="211">
        <f t="shared" si="31"/>
        <v>-1.326476470348148E-2</v>
      </c>
    </row>
    <row r="992" spans="1:9" ht="16">
      <c r="A992" s="233">
        <v>43419</v>
      </c>
      <c r="B992">
        <v>79.657486000000006</v>
      </c>
      <c r="C992" s="47">
        <f t="shared" si="32"/>
        <v>0</v>
      </c>
      <c r="E992" s="81"/>
      <c r="F992" s="82"/>
      <c r="G992" s="81">
        <v>43371</v>
      </c>
      <c r="H992" s="82">
        <v>240.73</v>
      </c>
      <c r="I992" s="211">
        <f t="shared" si="31"/>
        <v>-4.2604235605558927E-3</v>
      </c>
    </row>
    <row r="993" spans="1:9" ht="16">
      <c r="A993" s="233">
        <v>43420</v>
      </c>
      <c r="B993">
        <v>78.939757999999998</v>
      </c>
      <c r="C993" s="47">
        <f t="shared" si="32"/>
        <v>-9.010176394469771E-3</v>
      </c>
      <c r="E993" s="81"/>
      <c r="F993" s="82"/>
      <c r="G993" s="81">
        <v>43372</v>
      </c>
      <c r="H993" s="82">
        <v>241.86</v>
      </c>
      <c r="I993" s="211">
        <f t="shared" si="31"/>
        <v>4.6940555809413809E-3</v>
      </c>
    </row>
    <row r="994" spans="1:9" ht="16">
      <c r="A994" s="233">
        <v>43421</v>
      </c>
      <c r="B994">
        <v>78.939757999999998</v>
      </c>
      <c r="C994" s="47">
        <f t="shared" si="32"/>
        <v>0</v>
      </c>
      <c r="E994" s="81"/>
      <c r="F994" s="82"/>
      <c r="G994" s="81">
        <v>43375</v>
      </c>
      <c r="H994" s="82">
        <v>242.13</v>
      </c>
      <c r="I994" s="211">
        <f t="shared" si="31"/>
        <v>1.1163483006697561E-3</v>
      </c>
    </row>
    <row r="995" spans="1:9" ht="16">
      <c r="A995" s="233">
        <v>43424</v>
      </c>
      <c r="B995">
        <v>78.949202999999997</v>
      </c>
      <c r="C995" s="47">
        <f t="shared" si="32"/>
        <v>1.1964820059362502E-4</v>
      </c>
      <c r="E995" s="81"/>
      <c r="F995" s="82"/>
      <c r="G995" s="81">
        <v>43376</v>
      </c>
      <c r="H995" s="82">
        <v>247.15</v>
      </c>
      <c r="I995" s="211">
        <f t="shared" si="31"/>
        <v>2.0732664271259305E-2</v>
      </c>
    </row>
    <row r="996" spans="1:9" ht="16">
      <c r="A996" s="233">
        <v>43425</v>
      </c>
      <c r="B996">
        <v>79.770804999999996</v>
      </c>
      <c r="C996" s="47">
        <f t="shared" si="32"/>
        <v>1.0406716835380747E-2</v>
      </c>
      <c r="E996" s="81"/>
      <c r="F996" s="82"/>
      <c r="G996" s="81">
        <v>43377</v>
      </c>
      <c r="H996" s="82">
        <v>249.7</v>
      </c>
      <c r="I996" s="211">
        <f t="shared" si="31"/>
        <v>1.0317620878009137E-2</v>
      </c>
    </row>
    <row r="997" spans="1:9" ht="16">
      <c r="A997" s="233">
        <v>43426</v>
      </c>
      <c r="B997">
        <v>80.290215000000003</v>
      </c>
      <c r="C997" s="47">
        <f t="shared" si="32"/>
        <v>6.5112794085506742E-3</v>
      </c>
      <c r="E997" s="81"/>
      <c r="F997" s="82"/>
      <c r="G997" s="81">
        <v>43378</v>
      </c>
      <c r="H997" s="82">
        <v>249.86</v>
      </c>
      <c r="I997" s="211">
        <f t="shared" si="31"/>
        <v>6.4076892270725772E-4</v>
      </c>
    </row>
    <row r="998" spans="1:9" ht="16">
      <c r="A998" s="233">
        <v>43428</v>
      </c>
      <c r="B998">
        <v>80.658507999999998</v>
      </c>
      <c r="C998" s="47">
        <f t="shared" si="32"/>
        <v>4.5870222168415964E-3</v>
      </c>
      <c r="E998" s="81"/>
      <c r="F998" s="82"/>
      <c r="G998" s="81">
        <v>43379</v>
      </c>
      <c r="H998" s="82">
        <v>246.52</v>
      </c>
      <c r="I998" s="211">
        <f t="shared" si="31"/>
        <v>-1.336748579204361E-2</v>
      </c>
    </row>
    <row r="999" spans="1:9" ht="16">
      <c r="A999" s="233">
        <v>43431</v>
      </c>
      <c r="B999">
        <v>80.337424999999996</v>
      </c>
      <c r="C999" s="47">
        <f t="shared" si="32"/>
        <v>-3.9807703856857835E-3</v>
      </c>
      <c r="E999" s="81"/>
      <c r="F999" s="82"/>
      <c r="G999" s="81">
        <v>43382</v>
      </c>
      <c r="H999" s="82">
        <v>242.76</v>
      </c>
      <c r="I999" s="211">
        <f t="shared" si="31"/>
        <v>-1.5252312185623951E-2</v>
      </c>
    </row>
    <row r="1000" spans="1:9" ht="16">
      <c r="A1000" s="233">
        <v>43432</v>
      </c>
      <c r="B1000">
        <v>80.705726999999996</v>
      </c>
      <c r="C1000" s="47">
        <f t="shared" si="32"/>
        <v>4.5844386971576334E-3</v>
      </c>
      <c r="E1000" s="81"/>
      <c r="F1000" s="82"/>
      <c r="G1000" s="81">
        <v>43383</v>
      </c>
      <c r="H1000" s="82">
        <v>238.05</v>
      </c>
      <c r="I1000" s="211">
        <f t="shared" si="31"/>
        <v>-1.9401878398418115E-2</v>
      </c>
    </row>
    <row r="1001" spans="1:9" ht="16">
      <c r="A1001" s="233">
        <v>43433</v>
      </c>
      <c r="B1001">
        <v>81.621764999999996</v>
      </c>
      <c r="C1001" s="47">
        <f t="shared" si="32"/>
        <v>1.135034692147685E-2</v>
      </c>
      <c r="E1001" s="81"/>
      <c r="F1001" s="82"/>
      <c r="G1001" s="81">
        <v>43384</v>
      </c>
      <c r="H1001" s="82">
        <v>238.2</v>
      </c>
      <c r="I1001" s="211">
        <f t="shared" si="31"/>
        <v>6.3011972274717998E-4</v>
      </c>
    </row>
    <row r="1002" spans="1:9" ht="16">
      <c r="A1002" s="233">
        <v>43434</v>
      </c>
      <c r="B1002">
        <v>83.242064999999997</v>
      </c>
      <c r="C1002" s="47">
        <f t="shared" si="32"/>
        <v>1.9851322744613542E-2</v>
      </c>
      <c r="E1002" s="81"/>
      <c r="F1002" s="82"/>
      <c r="G1002" s="81">
        <v>43385</v>
      </c>
      <c r="H1002" s="82">
        <v>235.74</v>
      </c>
      <c r="I1002" s="211">
        <f t="shared" si="31"/>
        <v>-1.0327455919395434E-2</v>
      </c>
    </row>
    <row r="1003" spans="1:9" ht="16">
      <c r="A1003" s="233">
        <v>43435</v>
      </c>
      <c r="B1003">
        <v>82.891266000000002</v>
      </c>
      <c r="C1003" s="47">
        <f t="shared" si="32"/>
        <v>-4.2142034799352857E-3</v>
      </c>
      <c r="E1003" s="81"/>
      <c r="F1003" s="82"/>
      <c r="G1003" s="81">
        <v>43386</v>
      </c>
      <c r="H1003" s="82">
        <v>237.27</v>
      </c>
      <c r="I1003" s="211">
        <f t="shared" si="31"/>
        <v>6.490201068974244E-3</v>
      </c>
    </row>
    <row r="1004" spans="1:9" ht="16">
      <c r="A1004" s="233">
        <v>43438</v>
      </c>
      <c r="B1004">
        <v>81.620804000000007</v>
      </c>
      <c r="C1004" s="47">
        <f t="shared" si="32"/>
        <v>-1.5326849996476044E-2</v>
      </c>
      <c r="E1004" s="81"/>
      <c r="F1004" s="82"/>
      <c r="G1004" s="81">
        <v>43389</v>
      </c>
      <c r="H1004" s="82">
        <v>238.83</v>
      </c>
      <c r="I1004" s="211">
        <f t="shared" si="31"/>
        <v>6.574788215956584E-3</v>
      </c>
    </row>
    <row r="1005" spans="1:9" ht="16">
      <c r="A1005" s="233">
        <v>43439</v>
      </c>
      <c r="B1005">
        <v>81.175224</v>
      </c>
      <c r="C1005" s="47">
        <f t="shared" si="32"/>
        <v>-5.4591474007044116E-3</v>
      </c>
      <c r="E1005" s="81"/>
      <c r="F1005" s="82"/>
      <c r="G1005" s="81">
        <v>43390</v>
      </c>
      <c r="H1005" s="82">
        <v>241.48</v>
      </c>
      <c r="I1005" s="211">
        <f t="shared" si="31"/>
        <v>1.1095758489301888E-2</v>
      </c>
    </row>
    <row r="1006" spans="1:9" ht="16">
      <c r="A1006" s="233">
        <v>43440</v>
      </c>
      <c r="B1006">
        <v>82.350830000000002</v>
      </c>
      <c r="C1006" s="47">
        <f t="shared" si="32"/>
        <v>1.448232529669391E-2</v>
      </c>
      <c r="E1006" s="81"/>
      <c r="F1006" s="82"/>
      <c r="G1006" s="81">
        <v>43391</v>
      </c>
      <c r="H1006" s="82">
        <v>237.94</v>
      </c>
      <c r="I1006" s="211">
        <f t="shared" si="31"/>
        <v>-1.4659599138645008E-2</v>
      </c>
    </row>
    <row r="1007" spans="1:9" ht="16">
      <c r="A1007" s="233">
        <v>43441</v>
      </c>
      <c r="B1007">
        <v>82.199141999999995</v>
      </c>
      <c r="C1007" s="47">
        <f t="shared" si="32"/>
        <v>-1.8419729345776625E-3</v>
      </c>
      <c r="E1007" s="81"/>
      <c r="F1007" s="82"/>
      <c r="G1007" s="81">
        <v>43392</v>
      </c>
      <c r="H1007" s="82">
        <v>238.47</v>
      </c>
      <c r="I1007" s="211">
        <f t="shared" si="31"/>
        <v>2.2274522988989798E-3</v>
      </c>
    </row>
    <row r="1008" spans="1:9" ht="16">
      <c r="A1008" s="233">
        <v>43442</v>
      </c>
      <c r="B1008">
        <v>81.630295000000004</v>
      </c>
      <c r="C1008" s="47">
        <f t="shared" si="32"/>
        <v>-6.9203520396842189E-3</v>
      </c>
      <c r="E1008" s="81"/>
      <c r="F1008" s="82"/>
      <c r="G1008" s="81">
        <v>43393</v>
      </c>
      <c r="H1008" s="82">
        <v>238.58</v>
      </c>
      <c r="I1008" s="211">
        <f t="shared" si="31"/>
        <v>4.6127395479511613E-4</v>
      </c>
    </row>
    <row r="1009" spans="1:9" ht="16">
      <c r="A1009" s="233">
        <v>43445</v>
      </c>
      <c r="B1009">
        <v>81.933684999999997</v>
      </c>
      <c r="C1009" s="47">
        <f t="shared" si="32"/>
        <v>3.716634859643575E-3</v>
      </c>
      <c r="E1009" s="81"/>
      <c r="F1009" s="82"/>
      <c r="G1009" s="81">
        <v>43396</v>
      </c>
      <c r="H1009" s="82">
        <v>232.55</v>
      </c>
      <c r="I1009" s="211">
        <f t="shared" si="31"/>
        <v>-2.5274541034453812E-2</v>
      </c>
    </row>
    <row r="1010" spans="1:9" ht="16">
      <c r="A1010" s="233">
        <v>43446</v>
      </c>
      <c r="B1010">
        <v>82.720612000000003</v>
      </c>
      <c r="C1010" s="47">
        <f t="shared" si="32"/>
        <v>9.6044380281443686E-3</v>
      </c>
      <c r="E1010" s="81"/>
      <c r="F1010" s="82"/>
      <c r="G1010" s="81">
        <v>43397</v>
      </c>
      <c r="H1010" s="82">
        <v>232.64</v>
      </c>
      <c r="I1010" s="211">
        <f t="shared" si="31"/>
        <v>3.8701354547399092E-4</v>
      </c>
    </row>
    <row r="1011" spans="1:9" ht="16">
      <c r="A1011" s="233">
        <v>43447</v>
      </c>
      <c r="B1011">
        <v>82.597351000000003</v>
      </c>
      <c r="C1011" s="47">
        <f t="shared" si="32"/>
        <v>-1.4900881052475334E-3</v>
      </c>
      <c r="E1011" s="81"/>
      <c r="F1011" s="82"/>
      <c r="G1011" s="81">
        <v>43398</v>
      </c>
      <c r="H1011" s="82">
        <v>235.08</v>
      </c>
      <c r="I1011" s="211">
        <f t="shared" si="31"/>
        <v>1.0488308115543354E-2</v>
      </c>
    </row>
    <row r="1012" spans="1:9" ht="16">
      <c r="A1012" s="233">
        <v>43448</v>
      </c>
      <c r="B1012">
        <v>82.159531000000001</v>
      </c>
      <c r="C1012" s="47">
        <f t="shared" si="32"/>
        <v>-5.3006542546383262E-3</v>
      </c>
      <c r="E1012" s="81"/>
      <c r="F1012" s="82"/>
      <c r="G1012" s="81">
        <v>43399</v>
      </c>
      <c r="H1012" s="82">
        <v>236.08</v>
      </c>
      <c r="I1012" s="211">
        <f t="shared" si="31"/>
        <v>4.2538710226305287E-3</v>
      </c>
    </row>
    <row r="1013" spans="1:9" ht="16">
      <c r="A1013" s="233">
        <v>43449</v>
      </c>
      <c r="B1013">
        <v>81.731216000000003</v>
      </c>
      <c r="C1013" s="47">
        <f t="shared" si="32"/>
        <v>-5.2132113558437387E-3</v>
      </c>
      <c r="E1013" s="81"/>
      <c r="F1013" s="82"/>
      <c r="G1013" s="81">
        <v>43400</v>
      </c>
      <c r="H1013" s="82">
        <v>232.7</v>
      </c>
      <c r="I1013" s="211">
        <f t="shared" si="31"/>
        <v>-1.4317180616740144E-2</v>
      </c>
    </row>
    <row r="1014" spans="1:9" ht="16">
      <c r="A1014" s="233">
        <v>43452</v>
      </c>
      <c r="B1014">
        <v>81.283882000000006</v>
      </c>
      <c r="C1014" s="47">
        <f t="shared" si="32"/>
        <v>-5.4732331401994294E-3</v>
      </c>
      <c r="E1014" s="81"/>
      <c r="F1014" s="82"/>
      <c r="G1014" s="81">
        <v>43403</v>
      </c>
      <c r="H1014" s="82">
        <v>233.14</v>
      </c>
      <c r="I1014" s="211">
        <f t="shared" si="31"/>
        <v>1.8908465835840715E-3</v>
      </c>
    </row>
    <row r="1015" spans="1:9" ht="16">
      <c r="A1015" s="233">
        <v>43453</v>
      </c>
      <c r="B1015">
        <v>80.874595999999997</v>
      </c>
      <c r="C1015" s="47">
        <f t="shared" si="32"/>
        <v>-5.0352664012774939E-3</v>
      </c>
      <c r="E1015" s="81"/>
      <c r="F1015" s="82"/>
      <c r="G1015" s="81">
        <v>43404</v>
      </c>
      <c r="H1015" s="82">
        <v>237.78</v>
      </c>
      <c r="I1015" s="211">
        <f t="shared" si="31"/>
        <v>1.9902204683881042E-2</v>
      </c>
    </row>
    <row r="1016" spans="1:9" ht="16">
      <c r="A1016" s="233">
        <v>43454</v>
      </c>
      <c r="B1016">
        <v>81.931099000000003</v>
      </c>
      <c r="C1016" s="47">
        <f t="shared" si="32"/>
        <v>1.3063471748285593E-2</v>
      </c>
      <c r="E1016" s="81"/>
      <c r="F1016" s="82"/>
      <c r="G1016" s="81">
        <v>43405</v>
      </c>
      <c r="H1016" s="82">
        <v>239.09</v>
      </c>
      <c r="I1016" s="211">
        <f t="shared" si="31"/>
        <v>5.5092943056607169E-3</v>
      </c>
    </row>
    <row r="1017" spans="1:9" ht="16">
      <c r="A1017" s="233">
        <v>43455</v>
      </c>
      <c r="B1017">
        <v>81.512282999999996</v>
      </c>
      <c r="C1017" s="47">
        <f t="shared" si="32"/>
        <v>-5.1118074224782983E-3</v>
      </c>
      <c r="E1017" s="81"/>
      <c r="F1017" s="82"/>
      <c r="G1017" s="81">
        <v>43406</v>
      </c>
      <c r="H1017" s="82">
        <v>237.17</v>
      </c>
      <c r="I1017" s="211">
        <f t="shared" si="31"/>
        <v>-8.030448784976385E-3</v>
      </c>
    </row>
    <row r="1018" spans="1:9" ht="16">
      <c r="A1018" s="233">
        <v>43456</v>
      </c>
      <c r="B1018">
        <v>81.074462999999994</v>
      </c>
      <c r="C1018" s="47">
        <f t="shared" si="32"/>
        <v>-5.3712150351622467E-3</v>
      </c>
      <c r="E1018" s="81"/>
      <c r="F1018" s="82"/>
      <c r="G1018" s="81">
        <v>43407</v>
      </c>
      <c r="H1018" s="82">
        <v>243.36</v>
      </c>
      <c r="I1018" s="211">
        <f t="shared" si="31"/>
        <v>2.6099422355272628E-2</v>
      </c>
    </row>
    <row r="1019" spans="1:9" ht="16">
      <c r="A1019" s="233">
        <v>43460</v>
      </c>
      <c r="B1019">
        <v>80.589043000000004</v>
      </c>
      <c r="C1019" s="47">
        <f t="shared" si="32"/>
        <v>-5.9873353709415378E-3</v>
      </c>
      <c r="E1019" s="81"/>
      <c r="F1019" s="82"/>
      <c r="G1019" s="81">
        <v>43410</v>
      </c>
      <c r="H1019" s="82">
        <v>245.9</v>
      </c>
      <c r="I1019" s="211">
        <f t="shared" si="31"/>
        <v>1.0437212360289161E-2</v>
      </c>
    </row>
    <row r="1020" spans="1:9" ht="16">
      <c r="A1020" s="233">
        <v>43461</v>
      </c>
      <c r="B1020">
        <v>80.293991000000005</v>
      </c>
      <c r="C1020" s="47">
        <f t="shared" si="32"/>
        <v>-3.6611925023107839E-3</v>
      </c>
      <c r="E1020" s="81"/>
      <c r="F1020" s="82"/>
      <c r="G1020" s="81">
        <v>43411</v>
      </c>
      <c r="H1020" s="82">
        <v>245.9</v>
      </c>
      <c r="I1020" s="211">
        <f t="shared" si="31"/>
        <v>0</v>
      </c>
    </row>
    <row r="1021" spans="1:9" ht="16">
      <c r="A1021" s="233">
        <v>43462</v>
      </c>
      <c r="B1021">
        <v>80.912659000000005</v>
      </c>
      <c r="C1021" s="47">
        <f t="shared" si="32"/>
        <v>7.7050348636924504E-3</v>
      </c>
      <c r="E1021" s="81"/>
      <c r="F1021" s="82"/>
      <c r="G1021" s="81">
        <v>43412</v>
      </c>
      <c r="H1021" s="82">
        <v>244.96</v>
      </c>
      <c r="I1021" s="211">
        <f t="shared" si="31"/>
        <v>-3.8226921512809486E-3</v>
      </c>
    </row>
    <row r="1022" spans="1:9" ht="16">
      <c r="A1022" s="233">
        <v>43463</v>
      </c>
      <c r="B1022">
        <v>80.512917000000002</v>
      </c>
      <c r="C1022" s="47">
        <f t="shared" si="32"/>
        <v>-4.9404135884349998E-3</v>
      </c>
      <c r="E1022" s="81"/>
      <c r="F1022" s="82"/>
      <c r="G1022" s="81">
        <v>43413</v>
      </c>
      <c r="H1022" s="82">
        <v>243.72</v>
      </c>
      <c r="I1022" s="211">
        <f t="shared" si="31"/>
        <v>-5.0620509470934438E-3</v>
      </c>
    </row>
    <row r="1023" spans="1:9" ht="16">
      <c r="A1023" s="233">
        <v>43467</v>
      </c>
      <c r="B1023">
        <v>80.865082000000001</v>
      </c>
      <c r="C1023" s="47">
        <f t="shared" si="32"/>
        <v>4.3740186434928496E-3</v>
      </c>
      <c r="E1023" s="81"/>
      <c r="F1023" s="82"/>
      <c r="G1023" s="81">
        <v>43414</v>
      </c>
      <c r="H1023" s="82">
        <v>252.99</v>
      </c>
      <c r="I1023" s="211">
        <f t="shared" si="31"/>
        <v>3.8035450516986646E-2</v>
      </c>
    </row>
    <row r="1024" spans="1:9" ht="16">
      <c r="A1024" s="233">
        <v>43468</v>
      </c>
      <c r="B1024">
        <v>81.854950000000002</v>
      </c>
      <c r="C1024" s="47">
        <f t="shared" si="32"/>
        <v>1.224098183688227E-2</v>
      </c>
      <c r="E1024" s="81"/>
      <c r="F1024" s="82"/>
      <c r="G1024" s="81">
        <v>43417</v>
      </c>
      <c r="H1024" s="82">
        <v>254.5</v>
      </c>
      <c r="I1024" s="211">
        <f t="shared" si="31"/>
        <v>5.9686153602909187E-3</v>
      </c>
    </row>
    <row r="1025" spans="1:9" ht="16">
      <c r="A1025" s="233">
        <v>43469</v>
      </c>
      <c r="B1025">
        <v>81.112533999999997</v>
      </c>
      <c r="C1025" s="47">
        <f t="shared" si="32"/>
        <v>-9.0698974222085393E-3</v>
      </c>
      <c r="E1025" s="81"/>
      <c r="F1025" s="82"/>
      <c r="G1025" s="81">
        <v>43418</v>
      </c>
      <c r="H1025" s="82">
        <v>259.58</v>
      </c>
      <c r="I1025" s="211">
        <f t="shared" si="31"/>
        <v>1.996070726915522E-2</v>
      </c>
    </row>
    <row r="1026" spans="1:9" ht="16">
      <c r="A1026" s="233">
        <v>43470</v>
      </c>
      <c r="B1026">
        <v>82.549773999999999</v>
      </c>
      <c r="C1026" s="47">
        <f t="shared" si="32"/>
        <v>1.7719086423807262E-2</v>
      </c>
      <c r="E1026" s="81"/>
      <c r="F1026" s="82"/>
      <c r="G1026" s="81">
        <v>43419</v>
      </c>
      <c r="H1026" s="82">
        <v>257.61</v>
      </c>
      <c r="I1026" s="211">
        <f t="shared" si="31"/>
        <v>-7.5891825256182432E-3</v>
      </c>
    </row>
    <row r="1027" spans="1:9" ht="16">
      <c r="A1027" s="233">
        <v>43473</v>
      </c>
      <c r="B1027">
        <v>82.387955000000005</v>
      </c>
      <c r="C1027" s="47">
        <f t="shared" si="32"/>
        <v>-1.9602597579491121E-3</v>
      </c>
      <c r="E1027" s="81"/>
      <c r="F1027" s="82"/>
      <c r="G1027" s="81">
        <v>43420</v>
      </c>
      <c r="H1027" s="82">
        <v>255.93</v>
      </c>
      <c r="I1027" s="211">
        <f t="shared" si="31"/>
        <v>-6.5214859671597347E-3</v>
      </c>
    </row>
    <row r="1028" spans="1:9" ht="16">
      <c r="A1028" s="233">
        <v>43474</v>
      </c>
      <c r="B1028">
        <v>81.87397</v>
      </c>
      <c r="C1028" s="47">
        <f t="shared" si="32"/>
        <v>-6.2385939789378897E-3</v>
      </c>
      <c r="E1028" s="81"/>
      <c r="F1028" s="82"/>
      <c r="G1028" s="81">
        <v>43421</v>
      </c>
      <c r="H1028" s="82">
        <v>255.38</v>
      </c>
      <c r="I1028" s="211">
        <f t="shared" si="31"/>
        <v>-2.1490251240574576E-3</v>
      </c>
    </row>
    <row r="1029" spans="1:9" ht="16">
      <c r="A1029" s="233">
        <v>43475</v>
      </c>
      <c r="B1029">
        <v>82.806763000000004</v>
      </c>
      <c r="C1029" s="47">
        <f t="shared" si="32"/>
        <v>1.1393034929172208E-2</v>
      </c>
      <c r="E1029" s="81"/>
      <c r="F1029" s="82"/>
      <c r="G1029" s="81">
        <v>43424</v>
      </c>
      <c r="H1029" s="82">
        <v>252.71</v>
      </c>
      <c r="I1029" s="211">
        <f t="shared" si="31"/>
        <v>-1.045500822304013E-2</v>
      </c>
    </row>
    <row r="1030" spans="1:9" ht="16">
      <c r="A1030" s="233">
        <v>43476</v>
      </c>
      <c r="B1030">
        <v>83.787102000000004</v>
      </c>
      <c r="C1030" s="47">
        <f t="shared" si="32"/>
        <v>1.1838876010646704E-2</v>
      </c>
      <c r="E1030" s="81"/>
      <c r="F1030" s="82"/>
      <c r="G1030" s="81">
        <v>43425</v>
      </c>
      <c r="H1030" s="82">
        <v>252.28</v>
      </c>
      <c r="I1030" s="211">
        <f t="shared" si="31"/>
        <v>-1.7015551422580044E-3</v>
      </c>
    </row>
    <row r="1031" spans="1:9" ht="16">
      <c r="A1031" s="233">
        <v>43477</v>
      </c>
      <c r="B1031">
        <v>83.587226999999999</v>
      </c>
      <c r="C1031" s="47">
        <f t="shared" si="32"/>
        <v>-2.3855103617261841E-3</v>
      </c>
      <c r="E1031" s="81"/>
      <c r="F1031" s="82"/>
      <c r="G1031" s="81">
        <v>43426</v>
      </c>
      <c r="H1031" s="82">
        <v>253.28</v>
      </c>
      <c r="I1031" s="211">
        <f t="shared" si="31"/>
        <v>3.963849690819643E-3</v>
      </c>
    </row>
    <row r="1032" spans="1:9" ht="16">
      <c r="A1032" s="233">
        <v>43481</v>
      </c>
      <c r="B1032">
        <v>83.672882000000001</v>
      </c>
      <c r="C1032" s="47">
        <f t="shared" si="32"/>
        <v>1.0247379064267648E-3</v>
      </c>
      <c r="E1032" s="81"/>
      <c r="F1032" s="82"/>
      <c r="G1032" s="81">
        <v>43427</v>
      </c>
      <c r="H1032" s="82">
        <v>256.19</v>
      </c>
      <c r="I1032" s="211">
        <f t="shared" si="31"/>
        <v>1.1489260897030951E-2</v>
      </c>
    </row>
    <row r="1033" spans="1:9" ht="16">
      <c r="A1033" s="233">
        <v>43482</v>
      </c>
      <c r="B1033">
        <v>84.662766000000005</v>
      </c>
      <c r="C1033" s="47">
        <f t="shared" si="32"/>
        <v>1.1830404025046093E-2</v>
      </c>
      <c r="E1033" s="81"/>
      <c r="F1033" s="82"/>
      <c r="G1033" s="81">
        <v>43428</v>
      </c>
      <c r="H1033" s="82">
        <v>254.73</v>
      </c>
      <c r="I1033" s="211">
        <f t="shared" si="31"/>
        <v>-5.6988953511066809E-3</v>
      </c>
    </row>
    <row r="1034" spans="1:9" ht="16">
      <c r="A1034" s="233">
        <v>43483</v>
      </c>
      <c r="B1034">
        <v>84.424805000000006</v>
      </c>
      <c r="C1034" s="47">
        <f t="shared" si="32"/>
        <v>-2.8106924831631241E-3</v>
      </c>
      <c r="E1034" s="81"/>
      <c r="F1034" s="82"/>
      <c r="G1034" s="81">
        <v>43431</v>
      </c>
      <c r="H1034" s="82">
        <v>253.35</v>
      </c>
      <c r="I1034" s="211">
        <f t="shared" si="31"/>
        <v>-5.4175008832881844E-3</v>
      </c>
    </row>
    <row r="1035" spans="1:9" ht="16">
      <c r="A1035" s="233">
        <v>43484</v>
      </c>
      <c r="B1035">
        <v>84.234459000000001</v>
      </c>
      <c r="C1035" s="47">
        <f t="shared" si="32"/>
        <v>-2.2546217311369965E-3</v>
      </c>
      <c r="E1035" s="81"/>
      <c r="F1035" s="82"/>
      <c r="G1035" s="81">
        <v>43432</v>
      </c>
      <c r="H1035" s="82">
        <v>258.19</v>
      </c>
      <c r="I1035" s="211">
        <f t="shared" si="31"/>
        <v>1.9104006315374011E-2</v>
      </c>
    </row>
    <row r="1036" spans="1:9" ht="16">
      <c r="A1036" s="233">
        <v>43487</v>
      </c>
      <c r="B1036">
        <v>84.186858999999998</v>
      </c>
      <c r="C1036" s="47">
        <f t="shared" si="32"/>
        <v>-5.6508940123900508E-4</v>
      </c>
      <c r="E1036" s="81"/>
      <c r="F1036" s="82"/>
      <c r="G1036" s="81">
        <v>43433</v>
      </c>
      <c r="H1036" s="82">
        <v>263.56</v>
      </c>
      <c r="I1036" s="211">
        <f t="shared" si="31"/>
        <v>2.0798636662922698E-2</v>
      </c>
    </row>
    <row r="1037" spans="1:9" ht="16">
      <c r="A1037" s="233">
        <v>43488</v>
      </c>
      <c r="B1037">
        <v>84.558059999999998</v>
      </c>
      <c r="C1037" s="47">
        <f t="shared" si="32"/>
        <v>4.4092510922637551E-3</v>
      </c>
      <c r="E1037" s="81"/>
      <c r="F1037" s="82"/>
      <c r="G1037" s="81">
        <v>43434</v>
      </c>
      <c r="H1037" s="82">
        <v>264.58</v>
      </c>
      <c r="I1037" s="211">
        <f t="shared" si="31"/>
        <v>3.8700865078160618E-3</v>
      </c>
    </row>
    <row r="1038" spans="1:9" ht="16">
      <c r="A1038" s="233">
        <v>43489</v>
      </c>
      <c r="B1038">
        <v>84.500953999999993</v>
      </c>
      <c r="C1038" s="47">
        <f t="shared" si="32"/>
        <v>-6.7534661982548982E-4</v>
      </c>
      <c r="E1038" s="81"/>
      <c r="F1038" s="82"/>
      <c r="G1038" s="81">
        <v>43435</v>
      </c>
      <c r="H1038" s="82">
        <v>264.83999999999997</v>
      </c>
      <c r="I1038" s="211">
        <f t="shared" si="31"/>
        <v>9.8268954569502576E-4</v>
      </c>
    </row>
    <row r="1039" spans="1:9" ht="16">
      <c r="A1039" s="233">
        <v>43490</v>
      </c>
      <c r="B1039">
        <v>84.500953999999993</v>
      </c>
      <c r="C1039" s="47">
        <f t="shared" si="32"/>
        <v>0</v>
      </c>
      <c r="E1039" s="81"/>
      <c r="F1039" s="82"/>
      <c r="G1039" s="81">
        <v>43438</v>
      </c>
      <c r="H1039" s="82">
        <v>266.39</v>
      </c>
      <c r="I1039" s="211">
        <f t="shared" si="31"/>
        <v>5.8525902431656451E-3</v>
      </c>
    </row>
    <row r="1040" spans="1:9" ht="16">
      <c r="A1040" s="233">
        <v>43491</v>
      </c>
      <c r="B1040">
        <v>84.339141999999995</v>
      </c>
      <c r="C1040" s="47">
        <f t="shared" si="32"/>
        <v>-1.9149132919847878E-3</v>
      </c>
      <c r="E1040" s="81"/>
      <c r="F1040" s="82"/>
      <c r="G1040" s="81">
        <v>43439</v>
      </c>
      <c r="H1040" s="82">
        <v>264.55</v>
      </c>
      <c r="I1040" s="211">
        <f t="shared" ref="I1040:I1103" si="33">H1040/H1039-1</f>
        <v>-6.9071661849167132E-3</v>
      </c>
    </row>
    <row r="1041" spans="1:9" ht="16">
      <c r="A1041" s="233">
        <v>43494</v>
      </c>
      <c r="B1041">
        <v>83.263617999999994</v>
      </c>
      <c r="C1041" s="47">
        <f t="shared" ref="C1041:C1104" si="34">B1041/B1040-1</f>
        <v>-1.2752370660825574E-2</v>
      </c>
      <c r="E1041" s="81"/>
      <c r="F1041" s="82"/>
      <c r="G1041" s="81">
        <v>43440</v>
      </c>
      <c r="H1041" s="82">
        <v>261.37</v>
      </c>
      <c r="I1041" s="211">
        <f t="shared" si="33"/>
        <v>-1.2020412020412041E-2</v>
      </c>
    </row>
    <row r="1042" spans="1:9" ht="16">
      <c r="A1042" s="233">
        <v>43495</v>
      </c>
      <c r="B1042">
        <v>83.672882000000001</v>
      </c>
      <c r="C1042" s="47">
        <f t="shared" si="34"/>
        <v>4.915280044641035E-3</v>
      </c>
      <c r="E1042" s="81"/>
      <c r="F1042" s="82"/>
      <c r="G1042" s="81">
        <v>43441</v>
      </c>
      <c r="H1042" s="82">
        <v>264.12</v>
      </c>
      <c r="I1042" s="211">
        <f t="shared" si="33"/>
        <v>1.0521482955197614E-2</v>
      </c>
    </row>
    <row r="1043" spans="1:9" ht="16">
      <c r="A1043" s="233">
        <v>43496</v>
      </c>
      <c r="B1043">
        <v>85.260422000000005</v>
      </c>
      <c r="C1043" s="47">
        <f t="shared" si="34"/>
        <v>1.897317221605932E-2</v>
      </c>
      <c r="E1043" s="81"/>
      <c r="F1043" s="82"/>
      <c r="G1043" s="81">
        <v>43442</v>
      </c>
      <c r="H1043" s="82">
        <v>265</v>
      </c>
      <c r="I1043" s="211">
        <f t="shared" si="33"/>
        <v>3.3318188702105012E-3</v>
      </c>
    </row>
    <row r="1044" spans="1:9" ht="16">
      <c r="A1044" s="233">
        <v>43497</v>
      </c>
      <c r="B1044">
        <v>85.537422000000007</v>
      </c>
      <c r="C1044" s="47">
        <f t="shared" si="34"/>
        <v>3.2488696807060347E-3</v>
      </c>
      <c r="E1044" s="81"/>
      <c r="F1044" s="82"/>
      <c r="G1044" s="81">
        <v>43445</v>
      </c>
      <c r="H1044" s="82">
        <v>261.68</v>
      </c>
      <c r="I1044" s="211">
        <f t="shared" si="33"/>
        <v>-1.2528301886792437E-2</v>
      </c>
    </row>
    <row r="1045" spans="1:9" ht="16">
      <c r="A1045" s="233">
        <v>43498</v>
      </c>
      <c r="B1045">
        <v>84.362540999999993</v>
      </c>
      <c r="C1045" s="47">
        <f t="shared" si="34"/>
        <v>-1.3735286527574053E-2</v>
      </c>
      <c r="E1045" s="81"/>
      <c r="F1045" s="82"/>
      <c r="G1045" s="81">
        <v>43446</v>
      </c>
      <c r="H1045" s="82">
        <v>262.49</v>
      </c>
      <c r="I1045" s="211">
        <f t="shared" si="33"/>
        <v>3.0953836747171781E-3</v>
      </c>
    </row>
    <row r="1046" spans="1:9" ht="16">
      <c r="A1046" s="233">
        <v>43501</v>
      </c>
      <c r="B1046">
        <v>83.168555999999995</v>
      </c>
      <c r="C1046" s="47">
        <f t="shared" si="34"/>
        <v>-1.4153023200190185E-2</v>
      </c>
      <c r="E1046" s="81"/>
      <c r="F1046" s="82"/>
      <c r="G1046" s="81">
        <v>43447</v>
      </c>
      <c r="H1046" s="82">
        <v>264.10000000000002</v>
      </c>
      <c r="I1046" s="211">
        <f t="shared" si="33"/>
        <v>6.1335669930282499E-3</v>
      </c>
    </row>
    <row r="1047" spans="1:9" ht="16">
      <c r="A1047" s="233">
        <v>43502</v>
      </c>
      <c r="B1047">
        <v>83.244964999999993</v>
      </c>
      <c r="C1047" s="47">
        <f t="shared" si="34"/>
        <v>9.1872461991515664E-4</v>
      </c>
      <c r="E1047" s="81"/>
      <c r="F1047" s="82"/>
      <c r="G1047" s="81">
        <v>43448</v>
      </c>
      <c r="H1047" s="82">
        <v>260.86</v>
      </c>
      <c r="I1047" s="211">
        <f t="shared" si="33"/>
        <v>-1.2268080272624049E-2</v>
      </c>
    </row>
    <row r="1048" spans="1:9" ht="16">
      <c r="A1048" s="233">
        <v>43503</v>
      </c>
      <c r="B1048">
        <v>83.197197000000003</v>
      </c>
      <c r="C1048" s="47">
        <f t="shared" si="34"/>
        <v>-5.7382449497089816E-4</v>
      </c>
      <c r="E1048" s="81"/>
      <c r="F1048" s="82"/>
      <c r="G1048" s="81">
        <v>43449</v>
      </c>
      <c r="H1048" s="82">
        <v>259.95</v>
      </c>
      <c r="I1048" s="211">
        <f t="shared" si="33"/>
        <v>-3.4884612435790441E-3</v>
      </c>
    </row>
    <row r="1049" spans="1:9" ht="16">
      <c r="A1049" s="233">
        <v>43504</v>
      </c>
      <c r="B1049">
        <v>82.652739999999994</v>
      </c>
      <c r="C1049" s="47">
        <f t="shared" si="34"/>
        <v>-6.5441747995429456E-3</v>
      </c>
      <c r="E1049" s="81"/>
      <c r="F1049" s="82"/>
      <c r="G1049" s="81">
        <v>43452</v>
      </c>
      <c r="H1049" s="82">
        <v>259.83</v>
      </c>
      <c r="I1049" s="211">
        <f t="shared" si="33"/>
        <v>-4.6162723600695621E-4</v>
      </c>
    </row>
    <row r="1050" spans="1:9" ht="16">
      <c r="A1050" s="233">
        <v>43505</v>
      </c>
      <c r="B1050">
        <v>82.012764000000004</v>
      </c>
      <c r="C1050" s="47">
        <f t="shared" si="34"/>
        <v>-7.7429495985249508E-3</v>
      </c>
      <c r="E1050" s="81"/>
      <c r="F1050" s="82"/>
      <c r="G1050" s="81">
        <v>43453</v>
      </c>
      <c r="H1050" s="82">
        <v>258.14999999999998</v>
      </c>
      <c r="I1050" s="211">
        <f t="shared" si="33"/>
        <v>-6.4657660778201231E-3</v>
      </c>
    </row>
    <row r="1051" spans="1:9" ht="16">
      <c r="A1051" s="233">
        <v>43508</v>
      </c>
      <c r="B1051">
        <v>82.241996999999998</v>
      </c>
      <c r="C1051" s="47">
        <f t="shared" si="34"/>
        <v>2.795089310732024E-3</v>
      </c>
      <c r="E1051" s="81"/>
      <c r="F1051" s="82"/>
      <c r="G1051" s="81">
        <v>43454</v>
      </c>
      <c r="H1051" s="82">
        <v>258.75</v>
      </c>
      <c r="I1051" s="211">
        <f t="shared" si="33"/>
        <v>2.3242300987798004E-3</v>
      </c>
    </row>
    <row r="1052" spans="1:9" ht="16">
      <c r="A1052" s="233">
        <v>43509</v>
      </c>
      <c r="B1052">
        <v>82.289764000000005</v>
      </c>
      <c r="C1052" s="47">
        <f t="shared" si="34"/>
        <v>5.8081031276513428E-4</v>
      </c>
      <c r="E1052" s="81"/>
      <c r="F1052" s="82"/>
      <c r="G1052" s="81">
        <v>43455</v>
      </c>
      <c r="H1052" s="82">
        <v>260.16000000000003</v>
      </c>
      <c r="I1052" s="211">
        <f t="shared" si="33"/>
        <v>5.4492753623189838E-3</v>
      </c>
    </row>
    <row r="1053" spans="1:9" ht="16">
      <c r="A1053" s="233">
        <v>43510</v>
      </c>
      <c r="B1053">
        <v>82.050972000000002</v>
      </c>
      <c r="C1053" s="47">
        <f t="shared" si="34"/>
        <v>-2.9018432960872254E-3</v>
      </c>
      <c r="E1053" s="81"/>
      <c r="F1053" s="82"/>
      <c r="G1053" s="81">
        <v>43456</v>
      </c>
      <c r="H1053" s="82">
        <v>258.07</v>
      </c>
      <c r="I1053" s="211">
        <f t="shared" si="33"/>
        <v>-8.033517835178472E-3</v>
      </c>
    </row>
    <row r="1054" spans="1:9" ht="16">
      <c r="A1054" s="233">
        <v>43511</v>
      </c>
      <c r="B1054">
        <v>81.516059999999996</v>
      </c>
      <c r="C1054" s="47">
        <f t="shared" si="34"/>
        <v>-6.5192646346713401E-3</v>
      </c>
      <c r="E1054" s="81"/>
      <c r="F1054" s="82"/>
      <c r="G1054" s="81">
        <v>43459</v>
      </c>
      <c r="H1054" s="82">
        <v>258.76</v>
      </c>
      <c r="I1054" s="211">
        <f t="shared" si="33"/>
        <v>2.6736931840198874E-3</v>
      </c>
    </row>
    <row r="1055" spans="1:9" ht="16">
      <c r="A1055" s="233">
        <v>43512</v>
      </c>
      <c r="B1055">
        <v>81.544715999999994</v>
      </c>
      <c r="C1055" s="47">
        <f t="shared" si="34"/>
        <v>3.5153808954935251E-4</v>
      </c>
      <c r="E1055" s="81"/>
      <c r="F1055" s="82"/>
      <c r="G1055" s="81">
        <v>43460</v>
      </c>
      <c r="H1055" s="82">
        <v>259.57</v>
      </c>
      <c r="I1055" s="211">
        <f t="shared" si="33"/>
        <v>3.1303138042975132E-3</v>
      </c>
    </row>
    <row r="1056" spans="1:9" ht="16">
      <c r="A1056" s="233">
        <v>43516</v>
      </c>
      <c r="B1056">
        <v>80.312515000000005</v>
      </c>
      <c r="C1056" s="47">
        <f t="shared" si="34"/>
        <v>-1.5110739977314935E-2</v>
      </c>
      <c r="E1056" s="81"/>
      <c r="F1056" s="82"/>
      <c r="G1056" s="81">
        <v>43461</v>
      </c>
      <c r="H1056" s="82">
        <v>259.97000000000003</v>
      </c>
      <c r="I1056" s="211">
        <f t="shared" si="33"/>
        <v>1.5410101321418068E-3</v>
      </c>
    </row>
    <row r="1057" spans="1:9" ht="16">
      <c r="A1057" s="233">
        <v>43517</v>
      </c>
      <c r="B1057">
        <v>80.627739000000005</v>
      </c>
      <c r="C1057" s="47">
        <f t="shared" si="34"/>
        <v>3.924967360317444E-3</v>
      </c>
      <c r="E1057" s="81"/>
      <c r="F1057" s="82"/>
      <c r="G1057" s="81">
        <v>43462</v>
      </c>
      <c r="H1057" s="82">
        <v>260.64</v>
      </c>
      <c r="I1057" s="211">
        <f t="shared" si="33"/>
        <v>2.5772204485130512E-3</v>
      </c>
    </row>
    <row r="1058" spans="1:9" ht="16">
      <c r="A1058" s="233">
        <v>43518</v>
      </c>
      <c r="B1058">
        <v>81.917243999999997</v>
      </c>
      <c r="C1058" s="47">
        <f t="shared" si="34"/>
        <v>1.5993317138658592E-2</v>
      </c>
      <c r="E1058" s="81"/>
      <c r="F1058" s="82"/>
      <c r="G1058" s="81">
        <v>43463</v>
      </c>
      <c r="H1058" s="82">
        <v>260.42</v>
      </c>
      <c r="I1058" s="211">
        <f t="shared" si="33"/>
        <v>-8.4407612031911494E-4</v>
      </c>
    </row>
    <row r="1059" spans="1:9" ht="16">
      <c r="A1059" s="233">
        <v>43519</v>
      </c>
      <c r="B1059">
        <v>81.353675999999993</v>
      </c>
      <c r="C1059" s="47">
        <f t="shared" si="34"/>
        <v>-6.8797236391400229E-3</v>
      </c>
      <c r="E1059" s="81"/>
      <c r="F1059" s="82"/>
      <c r="G1059" s="81">
        <v>43466</v>
      </c>
      <c r="H1059" s="82">
        <v>260.49</v>
      </c>
      <c r="I1059" s="211">
        <f t="shared" si="33"/>
        <v>2.6879655940392766E-4</v>
      </c>
    </row>
    <row r="1060" spans="1:9" ht="16">
      <c r="A1060" s="233">
        <v>43522</v>
      </c>
      <c r="B1060">
        <v>81.764420000000001</v>
      </c>
      <c r="C1060" s="47">
        <f t="shared" si="34"/>
        <v>5.0488683510749865E-3</v>
      </c>
      <c r="E1060" s="81"/>
      <c r="F1060" s="82"/>
      <c r="G1060" s="81">
        <v>43467</v>
      </c>
      <c r="H1060" s="82">
        <v>262.48</v>
      </c>
      <c r="I1060" s="211">
        <f t="shared" si="33"/>
        <v>7.6394487312372306E-3</v>
      </c>
    </row>
    <row r="1061" spans="1:9" ht="16">
      <c r="A1061" s="233">
        <v>43523</v>
      </c>
      <c r="B1061">
        <v>81.420546999999999</v>
      </c>
      <c r="C1061" s="47">
        <f t="shared" si="34"/>
        <v>-4.2056557118610449E-3</v>
      </c>
      <c r="E1061" s="81"/>
      <c r="F1061" s="82"/>
      <c r="G1061" s="81">
        <v>43468</v>
      </c>
      <c r="H1061" s="82">
        <v>265.35000000000002</v>
      </c>
      <c r="I1061" s="211">
        <f t="shared" si="33"/>
        <v>1.0934166412678969E-2</v>
      </c>
    </row>
    <row r="1062" spans="1:9" ht="16">
      <c r="A1062" s="233">
        <v>43524</v>
      </c>
      <c r="B1062">
        <v>80.882277999999999</v>
      </c>
      <c r="C1062" s="47">
        <f t="shared" si="34"/>
        <v>-6.6109725349794424E-3</v>
      </c>
      <c r="E1062" s="81"/>
      <c r="F1062" s="82"/>
      <c r="G1062" s="81">
        <v>43469</v>
      </c>
      <c r="H1062" s="82">
        <v>267.16000000000003</v>
      </c>
      <c r="I1062" s="211">
        <f t="shared" si="33"/>
        <v>6.8211795741472958E-3</v>
      </c>
    </row>
    <row r="1063" spans="1:9" ht="16">
      <c r="A1063" s="233">
        <v>43525</v>
      </c>
      <c r="B1063">
        <v>80.584854000000007</v>
      </c>
      <c r="C1063" s="47">
        <f t="shared" si="34"/>
        <v>-3.6772455889533262E-3</v>
      </c>
      <c r="E1063" s="81"/>
      <c r="F1063" s="82"/>
      <c r="G1063" s="81">
        <v>43470</v>
      </c>
      <c r="H1063" s="82">
        <v>268.10000000000002</v>
      </c>
      <c r="I1063" s="211">
        <f t="shared" si="33"/>
        <v>3.5184907920347008E-3</v>
      </c>
    </row>
    <row r="1064" spans="1:9" ht="16">
      <c r="A1064" s="233">
        <v>43526</v>
      </c>
      <c r="B1064">
        <v>81.822563000000002</v>
      </c>
      <c r="C1064" s="47">
        <f t="shared" si="34"/>
        <v>1.5359077277722566E-2</v>
      </c>
      <c r="E1064" s="81"/>
      <c r="F1064" s="82"/>
      <c r="G1064" s="81">
        <v>43473</v>
      </c>
      <c r="H1064" s="82">
        <v>272.95999999999998</v>
      </c>
      <c r="I1064" s="211">
        <f t="shared" si="33"/>
        <v>1.8127564341663405E-2</v>
      </c>
    </row>
    <row r="1065" spans="1:9" ht="16">
      <c r="A1065" s="233">
        <v>43529</v>
      </c>
      <c r="B1065">
        <v>81.496346000000003</v>
      </c>
      <c r="C1065" s="47">
        <f t="shared" si="34"/>
        <v>-3.9868831779322766E-3</v>
      </c>
      <c r="E1065" s="81"/>
      <c r="F1065" s="82"/>
      <c r="G1065" s="81">
        <v>43474</v>
      </c>
      <c r="H1065" s="82">
        <v>273.58</v>
      </c>
      <c r="I1065" s="211">
        <f t="shared" si="33"/>
        <v>2.2713950762016655E-3</v>
      </c>
    </row>
    <row r="1066" spans="1:9" ht="16">
      <c r="A1066" s="233">
        <v>43530</v>
      </c>
      <c r="B1066">
        <v>81.160522</v>
      </c>
      <c r="C1066" s="47">
        <f t="shared" si="34"/>
        <v>-4.1207246273348153E-3</v>
      </c>
      <c r="E1066" s="81"/>
      <c r="F1066" s="82"/>
      <c r="G1066" s="81">
        <v>43475</v>
      </c>
      <c r="H1066" s="82">
        <v>274.13</v>
      </c>
      <c r="I1066" s="211">
        <f t="shared" si="33"/>
        <v>2.0103808757949704E-3</v>
      </c>
    </row>
    <row r="1067" spans="1:9" ht="16">
      <c r="A1067" s="233">
        <v>43531</v>
      </c>
      <c r="B1067">
        <v>80.776748999999995</v>
      </c>
      <c r="C1067" s="47">
        <f t="shared" si="34"/>
        <v>-4.7285674185290061E-3</v>
      </c>
      <c r="E1067" s="81"/>
      <c r="F1067" s="82"/>
      <c r="G1067" s="81">
        <v>43476</v>
      </c>
      <c r="H1067" s="82">
        <v>274.58999999999997</v>
      </c>
      <c r="I1067" s="211">
        <f t="shared" si="33"/>
        <v>1.6780359683361556E-3</v>
      </c>
    </row>
    <row r="1068" spans="1:9" ht="16">
      <c r="A1068" s="233">
        <v>43532</v>
      </c>
      <c r="B1068">
        <v>80.795944000000006</v>
      </c>
      <c r="C1068" s="47">
        <f t="shared" si="34"/>
        <v>2.3763026164891343E-4</v>
      </c>
      <c r="E1068" s="81"/>
      <c r="F1068" s="82"/>
      <c r="G1068" s="81">
        <v>43477</v>
      </c>
      <c r="H1068" s="82">
        <v>277.44</v>
      </c>
      <c r="I1068" s="211">
        <f t="shared" si="33"/>
        <v>1.0379110674096026E-2</v>
      </c>
    </row>
    <row r="1069" spans="1:9" ht="16">
      <c r="A1069" s="233">
        <v>43533</v>
      </c>
      <c r="B1069">
        <v>81.553909000000004</v>
      </c>
      <c r="C1069" s="47">
        <f t="shared" si="34"/>
        <v>9.3812258694569994E-3</v>
      </c>
      <c r="E1069" s="81"/>
      <c r="F1069" s="82"/>
      <c r="G1069" s="81">
        <v>43480</v>
      </c>
      <c r="H1069" s="82">
        <v>277.58999999999997</v>
      </c>
      <c r="I1069" s="211">
        <f t="shared" si="33"/>
        <v>5.4065743944620159E-4</v>
      </c>
    </row>
    <row r="1070" spans="1:9" ht="16">
      <c r="A1070" s="233">
        <v>43536</v>
      </c>
      <c r="B1070">
        <v>81.419594000000004</v>
      </c>
      <c r="C1070" s="47">
        <f t="shared" si="34"/>
        <v>-1.646947419773559E-3</v>
      </c>
      <c r="E1070" s="81"/>
      <c r="F1070" s="82"/>
      <c r="G1070" s="81">
        <v>43481</v>
      </c>
      <c r="H1070" s="82">
        <v>276.54000000000002</v>
      </c>
      <c r="I1070" s="211">
        <f t="shared" si="33"/>
        <v>-3.7825570085375793E-3</v>
      </c>
    </row>
    <row r="1071" spans="1:9" ht="16">
      <c r="A1071" s="233">
        <v>43537</v>
      </c>
      <c r="B1071">
        <v>81.198905999999994</v>
      </c>
      <c r="C1071" s="47">
        <f t="shared" si="34"/>
        <v>-2.7105023392772765E-3</v>
      </c>
      <c r="E1071" s="81"/>
      <c r="F1071" s="82"/>
      <c r="G1071" s="81">
        <v>43482</v>
      </c>
      <c r="H1071" s="82">
        <v>277.35000000000002</v>
      </c>
      <c r="I1071" s="211">
        <f t="shared" si="33"/>
        <v>2.9290518550662004E-3</v>
      </c>
    </row>
    <row r="1072" spans="1:9" ht="16">
      <c r="A1072" s="233">
        <v>43538</v>
      </c>
      <c r="B1072">
        <v>81.496346000000003</v>
      </c>
      <c r="C1072" s="47">
        <f t="shared" si="34"/>
        <v>3.6631035398433376E-3</v>
      </c>
      <c r="E1072" s="81"/>
      <c r="F1072" s="82"/>
      <c r="G1072" s="81">
        <v>43483</v>
      </c>
      <c r="H1072" s="82">
        <v>277.02999999999997</v>
      </c>
      <c r="I1072" s="211">
        <f t="shared" si="33"/>
        <v>-1.1537768162972473E-3</v>
      </c>
    </row>
    <row r="1073" spans="1:9" ht="16">
      <c r="A1073" s="233">
        <v>43539</v>
      </c>
      <c r="B1073">
        <v>81.150940000000006</v>
      </c>
      <c r="C1073" s="47">
        <f t="shared" si="34"/>
        <v>-4.2383004509183309E-3</v>
      </c>
      <c r="E1073" s="81"/>
      <c r="F1073" s="82"/>
      <c r="G1073" s="81">
        <v>43484</v>
      </c>
      <c r="H1073" s="82">
        <v>279.04000000000002</v>
      </c>
      <c r="I1073" s="211">
        <f t="shared" si="33"/>
        <v>7.2555318918530176E-3</v>
      </c>
    </row>
    <row r="1074" spans="1:9" ht="16">
      <c r="A1074" s="233">
        <v>43540</v>
      </c>
      <c r="B1074">
        <v>80.786345999999995</v>
      </c>
      <c r="C1074" s="47">
        <f t="shared" si="34"/>
        <v>-4.4927883768198784E-3</v>
      </c>
      <c r="E1074" s="81"/>
      <c r="F1074" s="82"/>
      <c r="G1074" s="81">
        <v>43487</v>
      </c>
      <c r="H1074" s="82">
        <v>279.8</v>
      </c>
      <c r="I1074" s="211">
        <f t="shared" si="33"/>
        <v>2.7236238532108992E-3</v>
      </c>
    </row>
    <row r="1075" spans="1:9" ht="16">
      <c r="A1075" s="233">
        <v>43543</v>
      </c>
      <c r="B1075">
        <v>80.795944000000006</v>
      </c>
      <c r="C1075" s="47">
        <f t="shared" si="34"/>
        <v>1.1880720536616707E-4</v>
      </c>
      <c r="E1075" s="81"/>
      <c r="F1075" s="82"/>
      <c r="G1075" s="81">
        <v>43488</v>
      </c>
      <c r="H1075" s="82">
        <v>279.85000000000002</v>
      </c>
      <c r="I1075" s="211">
        <f t="shared" si="33"/>
        <v>1.7869907076484282E-4</v>
      </c>
    </row>
    <row r="1076" spans="1:9" ht="16">
      <c r="A1076" s="233">
        <v>43544</v>
      </c>
      <c r="B1076">
        <v>81.371612999999996</v>
      </c>
      <c r="C1076" s="47">
        <f t="shared" si="34"/>
        <v>7.1249739962193637E-3</v>
      </c>
      <c r="E1076" s="81"/>
      <c r="F1076" s="82"/>
      <c r="G1076" s="81">
        <v>43489</v>
      </c>
      <c r="H1076" s="82">
        <v>279.63</v>
      </c>
      <c r="I1076" s="211">
        <f t="shared" si="33"/>
        <v>-7.8613542969452332E-4</v>
      </c>
    </row>
    <row r="1077" spans="1:9" ht="16">
      <c r="A1077" s="233">
        <v>43545</v>
      </c>
      <c r="B1077">
        <v>82.081619000000003</v>
      </c>
      <c r="C1077" s="47">
        <f t="shared" si="34"/>
        <v>8.7254753079555325E-3</v>
      </c>
      <c r="E1077" s="81"/>
      <c r="F1077" s="82"/>
      <c r="G1077" s="81">
        <v>43490</v>
      </c>
      <c r="H1077" s="82">
        <v>281.95999999999998</v>
      </c>
      <c r="I1077" s="211">
        <f t="shared" si="33"/>
        <v>8.3324392947823345E-3</v>
      </c>
    </row>
    <row r="1078" spans="1:9" ht="16">
      <c r="A1078" s="233">
        <v>43546</v>
      </c>
      <c r="B1078">
        <v>82.379043999999993</v>
      </c>
      <c r="C1078" s="47">
        <f t="shared" si="34"/>
        <v>3.6235274550322494E-3</v>
      </c>
      <c r="E1078" s="81"/>
      <c r="F1078" s="82"/>
      <c r="G1078" s="81">
        <v>43491</v>
      </c>
      <c r="H1078" s="82">
        <v>280.89</v>
      </c>
      <c r="I1078" s="211">
        <f t="shared" si="33"/>
        <v>-3.7948645197900532E-3</v>
      </c>
    </row>
    <row r="1079" spans="1:9" ht="16">
      <c r="A1079" s="233">
        <v>43547</v>
      </c>
      <c r="B1079">
        <v>81.928084999999996</v>
      </c>
      <c r="C1079" s="47">
        <f t="shared" si="34"/>
        <v>-5.4741955976085332E-3</v>
      </c>
      <c r="E1079" s="81"/>
      <c r="F1079" s="82"/>
      <c r="G1079" s="81">
        <v>43494</v>
      </c>
      <c r="H1079" s="82">
        <v>279.37</v>
      </c>
      <c r="I1079" s="211">
        <f t="shared" si="33"/>
        <v>-5.4113709993235393E-3</v>
      </c>
    </row>
    <row r="1080" spans="1:9" ht="16">
      <c r="A1080" s="233">
        <v>43550</v>
      </c>
      <c r="B1080">
        <v>81.582687000000007</v>
      </c>
      <c r="C1080" s="47">
        <f t="shared" si="34"/>
        <v>-4.2158680994434095E-3</v>
      </c>
      <c r="E1080" s="81"/>
      <c r="F1080" s="82"/>
      <c r="G1080" s="81">
        <v>43495</v>
      </c>
      <c r="H1080" s="82">
        <v>277.64999999999998</v>
      </c>
      <c r="I1080" s="211">
        <f t="shared" si="33"/>
        <v>-6.1567097397717818E-3</v>
      </c>
    </row>
    <row r="1081" spans="1:9" ht="16">
      <c r="A1081" s="233">
        <v>43551</v>
      </c>
      <c r="B1081">
        <v>81.294860999999997</v>
      </c>
      <c r="C1081" s="47">
        <f t="shared" si="34"/>
        <v>-3.5280279503421275E-3</v>
      </c>
      <c r="E1081" s="81"/>
      <c r="F1081" s="82"/>
      <c r="G1081" s="81">
        <v>43496</v>
      </c>
      <c r="H1081" s="82">
        <v>280.16000000000003</v>
      </c>
      <c r="I1081" s="211">
        <f t="shared" si="33"/>
        <v>9.0401584728976303E-3</v>
      </c>
    </row>
    <row r="1082" spans="1:9" ht="16">
      <c r="A1082" s="233">
        <v>43552</v>
      </c>
      <c r="B1082">
        <v>81.688231999999999</v>
      </c>
      <c r="C1082" s="47">
        <f t="shared" si="34"/>
        <v>4.8388175483811136E-3</v>
      </c>
      <c r="E1082" s="81"/>
      <c r="F1082" s="82"/>
      <c r="G1082" s="81">
        <v>43497</v>
      </c>
      <c r="H1082" s="82">
        <v>280.39</v>
      </c>
      <c r="I1082" s="211">
        <f t="shared" si="33"/>
        <v>8.2095945174165408E-4</v>
      </c>
    </row>
    <row r="1083" spans="1:9" ht="16">
      <c r="A1083" s="233">
        <v>43553</v>
      </c>
      <c r="B1083">
        <v>82.254326000000006</v>
      </c>
      <c r="C1083" s="47">
        <f t="shared" si="34"/>
        <v>6.9299333103451932E-3</v>
      </c>
      <c r="E1083" s="81"/>
      <c r="F1083" s="82"/>
      <c r="G1083" s="81">
        <v>43498</v>
      </c>
      <c r="H1083" s="82">
        <v>278.47000000000003</v>
      </c>
      <c r="I1083" s="211">
        <f t="shared" si="33"/>
        <v>-6.8476051214378941E-3</v>
      </c>
    </row>
    <row r="1084" spans="1:9" ht="16">
      <c r="A1084" s="233">
        <v>43554</v>
      </c>
      <c r="B1084">
        <v>82.782021</v>
      </c>
      <c r="C1084" s="47">
        <f t="shared" si="34"/>
        <v>6.4154072577289334E-3</v>
      </c>
      <c r="E1084" s="81"/>
      <c r="F1084" s="82"/>
      <c r="G1084" s="81">
        <v>43501</v>
      </c>
      <c r="H1084" s="82">
        <v>273.5</v>
      </c>
      <c r="I1084" s="211">
        <f t="shared" si="33"/>
        <v>-1.7847523970266232E-2</v>
      </c>
    </row>
    <row r="1085" spans="1:9" ht="16">
      <c r="A1085" s="233">
        <v>43557</v>
      </c>
      <c r="B1085">
        <v>83.092277999999993</v>
      </c>
      <c r="C1085" s="47">
        <f t="shared" si="34"/>
        <v>3.7478790231515458E-3</v>
      </c>
      <c r="E1085" s="81"/>
      <c r="F1085" s="82"/>
      <c r="G1085" s="81">
        <v>43502</v>
      </c>
      <c r="H1085" s="82">
        <v>273.51</v>
      </c>
      <c r="I1085" s="211">
        <f t="shared" si="33"/>
        <v>3.6563071297956995E-5</v>
      </c>
    </row>
    <row r="1086" spans="1:9" ht="16">
      <c r="A1086" s="233">
        <v>43558</v>
      </c>
      <c r="B1086">
        <v>83.207886000000002</v>
      </c>
      <c r="C1086" s="47">
        <f t="shared" si="34"/>
        <v>1.3913206230788955E-3</v>
      </c>
      <c r="E1086" s="81"/>
      <c r="F1086" s="82"/>
      <c r="G1086" s="81">
        <v>43503</v>
      </c>
      <c r="H1086" s="82">
        <v>274.32</v>
      </c>
      <c r="I1086" s="211">
        <f t="shared" si="33"/>
        <v>2.9615004935834577E-3</v>
      </c>
    </row>
    <row r="1087" spans="1:9" ht="16">
      <c r="A1087" s="233">
        <v>43559</v>
      </c>
      <c r="B1087">
        <v>83.034462000000005</v>
      </c>
      <c r="C1087" s="47">
        <f t="shared" si="34"/>
        <v>-2.0842255264121867E-3</v>
      </c>
      <c r="E1087" s="81"/>
      <c r="F1087" s="82"/>
      <c r="G1087" s="81">
        <v>43504</v>
      </c>
      <c r="H1087" s="82">
        <v>275.18</v>
      </c>
      <c r="I1087" s="211">
        <f t="shared" si="33"/>
        <v>3.135024788568197E-3</v>
      </c>
    </row>
    <row r="1088" spans="1:9" ht="16">
      <c r="A1088" s="233">
        <v>43560</v>
      </c>
      <c r="B1088">
        <v>82.947738999999999</v>
      </c>
      <c r="C1088" s="47">
        <f t="shared" si="34"/>
        <v>-1.0444217727334504E-3</v>
      </c>
      <c r="E1088" s="81"/>
      <c r="F1088" s="82"/>
      <c r="G1088" s="81">
        <v>43505</v>
      </c>
      <c r="H1088" s="82">
        <v>272.36</v>
      </c>
      <c r="I1088" s="211">
        <f t="shared" si="33"/>
        <v>-1.0247837778908364E-2</v>
      </c>
    </row>
    <row r="1089" spans="1:9" ht="16">
      <c r="A1089" s="233">
        <v>43564</v>
      </c>
      <c r="B1089">
        <v>82.514167999999998</v>
      </c>
      <c r="C1089" s="47">
        <f t="shared" si="34"/>
        <v>-5.227038195700584E-3</v>
      </c>
      <c r="E1089" s="81"/>
      <c r="F1089" s="82"/>
      <c r="G1089" s="81">
        <v>43508</v>
      </c>
      <c r="H1089" s="82">
        <v>273.02</v>
      </c>
      <c r="I1089" s="211">
        <f t="shared" si="33"/>
        <v>2.4232633279481774E-3</v>
      </c>
    </row>
    <row r="1090" spans="1:9" ht="16">
      <c r="A1090" s="233">
        <v>43565</v>
      </c>
      <c r="B1090">
        <v>82.600891000000004</v>
      </c>
      <c r="C1090" s="47">
        <f t="shared" si="34"/>
        <v>1.05100738578634E-3</v>
      </c>
      <c r="E1090" s="81"/>
      <c r="F1090" s="82"/>
      <c r="G1090" s="81">
        <v>43509</v>
      </c>
      <c r="H1090" s="82">
        <v>273</v>
      </c>
      <c r="I1090" s="211">
        <f t="shared" si="33"/>
        <v>-7.3254706614789278E-5</v>
      </c>
    </row>
    <row r="1091" spans="1:9" ht="16">
      <c r="A1091" s="233">
        <v>43566</v>
      </c>
      <c r="B1091">
        <v>82.841766000000007</v>
      </c>
      <c r="C1091" s="47">
        <f t="shared" si="34"/>
        <v>2.9161307715190876E-3</v>
      </c>
      <c r="E1091" s="81"/>
      <c r="F1091" s="82"/>
      <c r="G1091" s="81">
        <v>43510</v>
      </c>
      <c r="H1091" s="82">
        <v>271.49</v>
      </c>
      <c r="I1091" s="211">
        <f t="shared" si="33"/>
        <v>-5.5311355311354893E-3</v>
      </c>
    </row>
    <row r="1092" spans="1:9" ht="16">
      <c r="A1092" s="233">
        <v>43567</v>
      </c>
      <c r="B1092">
        <v>82.928466999999998</v>
      </c>
      <c r="C1092" s="47">
        <f t="shared" si="34"/>
        <v>1.0465856075543289E-3</v>
      </c>
      <c r="E1092" s="81"/>
      <c r="F1092" s="82"/>
      <c r="G1092" s="81">
        <v>43511</v>
      </c>
      <c r="H1092" s="82">
        <v>272.37</v>
      </c>
      <c r="I1092" s="211">
        <f t="shared" si="33"/>
        <v>3.2413716895649536E-3</v>
      </c>
    </row>
    <row r="1093" spans="1:9" ht="16">
      <c r="A1093" s="233">
        <v>43568</v>
      </c>
      <c r="B1093">
        <v>82.755050999999995</v>
      </c>
      <c r="C1093" s="47">
        <f t="shared" si="34"/>
        <v>-2.091151642776734E-3</v>
      </c>
      <c r="E1093" s="81"/>
      <c r="F1093" s="82"/>
      <c r="G1093" s="81">
        <v>43512</v>
      </c>
      <c r="H1093" s="82">
        <v>269.87</v>
      </c>
      <c r="I1093" s="211">
        <f t="shared" si="33"/>
        <v>-9.1786907515511995E-3</v>
      </c>
    </row>
    <row r="1094" spans="1:9" ht="16">
      <c r="A1094" s="233">
        <v>43571</v>
      </c>
      <c r="B1094">
        <v>82.225121000000001</v>
      </c>
      <c r="C1094" s="47">
        <f t="shared" si="34"/>
        <v>-6.4035970444872303E-3</v>
      </c>
      <c r="E1094" s="81"/>
      <c r="F1094" s="82"/>
      <c r="G1094" s="81">
        <v>43515</v>
      </c>
      <c r="H1094" s="82">
        <v>271.38</v>
      </c>
      <c r="I1094" s="211">
        <f t="shared" si="33"/>
        <v>5.5952866194834971E-3</v>
      </c>
    </row>
    <row r="1095" spans="1:9" ht="16">
      <c r="A1095" s="233">
        <v>43572</v>
      </c>
      <c r="B1095">
        <v>82.205841000000007</v>
      </c>
      <c r="C1095" s="47">
        <f t="shared" si="34"/>
        <v>-2.3447821986177786E-4</v>
      </c>
      <c r="E1095" s="81"/>
      <c r="F1095" s="82"/>
      <c r="G1095" s="81">
        <v>43516</v>
      </c>
      <c r="H1095" s="82">
        <v>268.89999999999998</v>
      </c>
      <c r="I1095" s="211">
        <f t="shared" si="33"/>
        <v>-9.1384774117474477E-3</v>
      </c>
    </row>
    <row r="1096" spans="1:9" ht="16">
      <c r="A1096" s="233">
        <v>43573</v>
      </c>
      <c r="B1096">
        <v>81.810805999999999</v>
      </c>
      <c r="C1096" s="47">
        <f t="shared" si="34"/>
        <v>-4.8054371221627479E-3</v>
      </c>
      <c r="E1096" s="81"/>
      <c r="F1096" s="82"/>
      <c r="G1096" s="81">
        <v>43517</v>
      </c>
      <c r="H1096" s="82">
        <v>266.10000000000002</v>
      </c>
      <c r="I1096" s="211">
        <f t="shared" si="33"/>
        <v>-1.0412792859799014E-2</v>
      </c>
    </row>
    <row r="1097" spans="1:9" ht="16">
      <c r="A1097" s="233">
        <v>43574</v>
      </c>
      <c r="B1097">
        <v>81.714455000000001</v>
      </c>
      <c r="C1097" s="47">
        <f t="shared" si="34"/>
        <v>-1.1777295043395863E-3</v>
      </c>
      <c r="E1097" s="81"/>
      <c r="F1097" s="82"/>
      <c r="G1097" s="81">
        <v>43518</v>
      </c>
      <c r="H1097" s="82">
        <v>266.82</v>
      </c>
      <c r="I1097" s="211">
        <f t="shared" si="33"/>
        <v>2.7057497181508516E-3</v>
      </c>
    </row>
    <row r="1098" spans="1:9" ht="16">
      <c r="A1098" s="233">
        <v>43575</v>
      </c>
      <c r="B1098">
        <v>81.724091000000001</v>
      </c>
      <c r="C1098" s="47">
        <f t="shared" si="34"/>
        <v>1.1792283262490599E-4</v>
      </c>
      <c r="E1098" s="81"/>
      <c r="F1098" s="82"/>
      <c r="G1098" s="81">
        <v>43519</v>
      </c>
      <c r="H1098" s="82">
        <v>263.04000000000002</v>
      </c>
      <c r="I1098" s="211">
        <f t="shared" si="33"/>
        <v>-1.4166854058916045E-2</v>
      </c>
    </row>
    <row r="1099" spans="1:9" ht="16">
      <c r="A1099" s="233">
        <v>43578</v>
      </c>
      <c r="B1099">
        <v>81.945701999999997</v>
      </c>
      <c r="C1099" s="47">
        <f t="shared" si="34"/>
        <v>2.7116973378142895E-3</v>
      </c>
      <c r="E1099" s="81"/>
      <c r="F1099" s="82"/>
      <c r="G1099" s="81">
        <v>43522</v>
      </c>
      <c r="H1099" s="82">
        <v>262.44</v>
      </c>
      <c r="I1099" s="211">
        <f t="shared" si="33"/>
        <v>-2.2810218978103203E-3</v>
      </c>
    </row>
    <row r="1100" spans="1:9" ht="16">
      <c r="A1100" s="233">
        <v>43579</v>
      </c>
      <c r="B1100">
        <v>82.446715999999995</v>
      </c>
      <c r="C1100" s="47">
        <f t="shared" si="34"/>
        <v>6.11397532478275E-3</v>
      </c>
      <c r="E1100" s="81"/>
      <c r="F1100" s="82"/>
      <c r="G1100" s="81">
        <v>43523</v>
      </c>
      <c r="H1100" s="82">
        <v>261.95999999999998</v>
      </c>
      <c r="I1100" s="211">
        <f t="shared" si="33"/>
        <v>-1.8289894833105613E-3</v>
      </c>
    </row>
    <row r="1101" spans="1:9" ht="16">
      <c r="A1101" s="233">
        <v>43580</v>
      </c>
      <c r="B1101">
        <v>82.225121000000001</v>
      </c>
      <c r="C1101" s="47">
        <f t="shared" si="34"/>
        <v>-2.6877359190388139E-3</v>
      </c>
      <c r="E1101" s="81"/>
      <c r="F1101" s="82"/>
      <c r="G1101" s="81">
        <v>43524</v>
      </c>
      <c r="H1101" s="82">
        <v>266.91000000000003</v>
      </c>
      <c r="I1101" s="211">
        <f t="shared" si="33"/>
        <v>1.8896014658726701E-2</v>
      </c>
    </row>
    <row r="1102" spans="1:9" ht="16">
      <c r="A1102" s="233">
        <v>43581</v>
      </c>
      <c r="B1102">
        <v>82.244384999999994</v>
      </c>
      <c r="C1102" s="47">
        <f t="shared" si="34"/>
        <v>2.3428363212740777E-4</v>
      </c>
      <c r="E1102" s="81"/>
      <c r="F1102" s="82"/>
      <c r="G1102" s="81">
        <v>43525</v>
      </c>
      <c r="H1102" s="82">
        <v>266.11</v>
      </c>
      <c r="I1102" s="211">
        <f t="shared" si="33"/>
        <v>-2.9972649956915287E-3</v>
      </c>
    </row>
    <row r="1103" spans="1:9" ht="16">
      <c r="A1103" s="233">
        <v>43582</v>
      </c>
      <c r="B1103">
        <v>83.005554000000004</v>
      </c>
      <c r="C1103" s="47">
        <f t="shared" si="34"/>
        <v>9.2549661596958988E-3</v>
      </c>
      <c r="E1103" s="81"/>
      <c r="F1103" s="82"/>
      <c r="G1103" s="81">
        <v>43526</v>
      </c>
      <c r="H1103" s="82">
        <v>268.01</v>
      </c>
      <c r="I1103" s="211">
        <f t="shared" si="33"/>
        <v>7.1399045507496428E-3</v>
      </c>
    </row>
    <row r="1104" spans="1:9" ht="16">
      <c r="A1104" s="233">
        <v>43585</v>
      </c>
      <c r="B1104">
        <v>82.183228</v>
      </c>
      <c r="C1104" s="47">
        <f t="shared" si="34"/>
        <v>-9.9068792432853714E-3</v>
      </c>
      <c r="E1104" s="81"/>
      <c r="F1104" s="82"/>
      <c r="G1104" s="81">
        <v>43529</v>
      </c>
      <c r="H1104" s="82">
        <v>269.11</v>
      </c>
      <c r="I1104" s="211">
        <f t="shared" ref="I1104:I1167" si="35">H1104/H1103-1</f>
        <v>4.104324465505016E-3</v>
      </c>
    </row>
    <row r="1105" spans="1:9" ht="16">
      <c r="A1105" s="233">
        <v>43586</v>
      </c>
      <c r="B1105">
        <v>82.531502000000003</v>
      </c>
      <c r="C1105" s="47">
        <f t="shared" ref="C1105:C1168" si="36">B1105/B1104-1</f>
        <v>4.2377746466712995E-3</v>
      </c>
      <c r="E1105" s="81"/>
      <c r="F1105" s="82"/>
      <c r="G1105" s="81">
        <v>43530</v>
      </c>
      <c r="H1105" s="82">
        <v>267.35000000000002</v>
      </c>
      <c r="I1105" s="211">
        <f t="shared" si="35"/>
        <v>-6.5400765486232082E-3</v>
      </c>
    </row>
    <row r="1106" spans="1:9" ht="16">
      <c r="A1106" s="233">
        <v>43587</v>
      </c>
      <c r="B1106">
        <v>82.792709000000002</v>
      </c>
      <c r="C1106" s="47">
        <f t="shared" si="36"/>
        <v>3.1649369473489841E-3</v>
      </c>
      <c r="E1106" s="81"/>
      <c r="F1106" s="82"/>
      <c r="G1106" s="81">
        <v>43531</v>
      </c>
      <c r="H1106" s="82">
        <v>266.02999999999997</v>
      </c>
      <c r="I1106" s="211">
        <f t="shared" si="35"/>
        <v>-4.937348045633283E-3</v>
      </c>
    </row>
    <row r="1107" spans="1:9" ht="16">
      <c r="A1107" s="233">
        <v>43588</v>
      </c>
      <c r="B1107">
        <v>82.376716999999999</v>
      </c>
      <c r="C1107" s="47">
        <f t="shared" si="36"/>
        <v>-5.0245004061891807E-3</v>
      </c>
      <c r="E1107" s="81"/>
      <c r="F1107" s="82"/>
      <c r="G1107" s="81">
        <v>43532</v>
      </c>
      <c r="H1107" s="82">
        <v>263.08999999999997</v>
      </c>
      <c r="I1107" s="211">
        <f t="shared" si="35"/>
        <v>-1.1051385182122342E-2</v>
      </c>
    </row>
    <row r="1108" spans="1:9" ht="16">
      <c r="A1108" s="233">
        <v>43589</v>
      </c>
      <c r="B1108">
        <v>82.608886999999996</v>
      </c>
      <c r="C1108" s="47">
        <f t="shared" si="36"/>
        <v>2.8183934545484846E-3</v>
      </c>
      <c r="E1108" s="81"/>
      <c r="F1108" s="82"/>
      <c r="G1108" s="81">
        <v>43533</v>
      </c>
      <c r="H1108" s="82">
        <v>260.02999999999997</v>
      </c>
      <c r="I1108" s="211">
        <f t="shared" si="35"/>
        <v>-1.1631000798205893E-2</v>
      </c>
    </row>
    <row r="1109" spans="1:9" ht="16">
      <c r="A1109" s="233">
        <v>43592</v>
      </c>
      <c r="B1109">
        <v>82.279976000000005</v>
      </c>
      <c r="C1109" s="47">
        <f t="shared" si="36"/>
        <v>-3.9815449880107323E-3</v>
      </c>
      <c r="E1109" s="81"/>
      <c r="F1109" s="82"/>
      <c r="G1109" s="81">
        <v>43536</v>
      </c>
      <c r="H1109" s="82">
        <v>260.31</v>
      </c>
      <c r="I1109" s="211">
        <f t="shared" si="35"/>
        <v>1.0767988309041687E-3</v>
      </c>
    </row>
    <row r="1110" spans="1:9" ht="16">
      <c r="A1110" s="233">
        <v>43593</v>
      </c>
      <c r="B1110">
        <v>82.241280000000003</v>
      </c>
      <c r="C1110" s="47">
        <f t="shared" si="36"/>
        <v>-4.70296685550875E-4</v>
      </c>
      <c r="E1110" s="81"/>
      <c r="F1110" s="82"/>
      <c r="G1110" s="81">
        <v>43537</v>
      </c>
      <c r="H1110" s="82">
        <v>257.08</v>
      </c>
      <c r="I1110" s="211">
        <f t="shared" si="35"/>
        <v>-1.2408282432484374E-2</v>
      </c>
    </row>
    <row r="1111" spans="1:9" ht="16">
      <c r="A1111" s="233">
        <v>43594</v>
      </c>
      <c r="B1111">
        <v>82.695960999999997</v>
      </c>
      <c r="C1111" s="47">
        <f t="shared" si="36"/>
        <v>5.5286226089865664E-3</v>
      </c>
      <c r="E1111" s="81"/>
      <c r="F1111" s="82"/>
      <c r="G1111" s="81">
        <v>43538</v>
      </c>
      <c r="H1111" s="82">
        <v>256.33999999999997</v>
      </c>
      <c r="I1111" s="211">
        <f t="shared" si="35"/>
        <v>-2.8784814065661024E-3</v>
      </c>
    </row>
    <row r="1112" spans="1:9" ht="16">
      <c r="A1112" s="233">
        <v>43595</v>
      </c>
      <c r="B1112">
        <v>82.957176000000004</v>
      </c>
      <c r="C1112" s="47">
        <f t="shared" si="36"/>
        <v>3.1587395181247313E-3</v>
      </c>
      <c r="E1112" s="81"/>
      <c r="F1112" s="82"/>
      <c r="G1112" s="81">
        <v>43539</v>
      </c>
      <c r="H1112" s="82">
        <v>255.29</v>
      </c>
      <c r="I1112" s="211">
        <f t="shared" si="35"/>
        <v>-4.0961223375204359E-3</v>
      </c>
    </row>
    <row r="1113" spans="1:9" ht="16">
      <c r="A1113" s="233">
        <v>43596</v>
      </c>
      <c r="B1113">
        <v>82.434760999999995</v>
      </c>
      <c r="C1113" s="47">
        <f t="shared" si="36"/>
        <v>-6.2974057844014109E-3</v>
      </c>
      <c r="E1113" s="81"/>
      <c r="F1113" s="82"/>
      <c r="G1113" s="81">
        <v>43540</v>
      </c>
      <c r="H1113" s="82">
        <v>257.3</v>
      </c>
      <c r="I1113" s="211">
        <f t="shared" si="35"/>
        <v>7.8733988797055066E-3</v>
      </c>
    </row>
    <row r="1114" spans="1:9" ht="16">
      <c r="A1114" s="233">
        <v>43599</v>
      </c>
      <c r="B1114">
        <v>82.076804999999993</v>
      </c>
      <c r="C1114" s="47">
        <f t="shared" si="36"/>
        <v>-4.3422943871942454E-3</v>
      </c>
      <c r="E1114" s="81"/>
      <c r="F1114" s="82"/>
      <c r="G1114" s="81">
        <v>43543</v>
      </c>
      <c r="H1114" s="82">
        <v>255.27</v>
      </c>
      <c r="I1114" s="211">
        <f t="shared" si="35"/>
        <v>-7.8896230081616503E-3</v>
      </c>
    </row>
    <row r="1115" spans="1:9" ht="16">
      <c r="A1115" s="233">
        <v>43600</v>
      </c>
      <c r="B1115">
        <v>81.757560999999995</v>
      </c>
      <c r="C1115" s="47">
        <f t="shared" si="36"/>
        <v>-3.8895763547326379E-3</v>
      </c>
      <c r="E1115" s="81"/>
      <c r="F1115" s="82"/>
      <c r="G1115" s="81">
        <v>43544</v>
      </c>
      <c r="H1115" s="82">
        <v>257.87</v>
      </c>
      <c r="I1115" s="211">
        <f t="shared" si="35"/>
        <v>1.0185294002428735E-2</v>
      </c>
    </row>
    <row r="1116" spans="1:9" ht="16">
      <c r="A1116" s="233">
        <v>43601</v>
      </c>
      <c r="B1116">
        <v>81.767219999999995</v>
      </c>
      <c r="C1116" s="47">
        <f t="shared" si="36"/>
        <v>1.1814197833026618E-4</v>
      </c>
      <c r="E1116" s="81"/>
      <c r="F1116" s="82"/>
      <c r="G1116" s="81">
        <v>43545</v>
      </c>
      <c r="H1116" s="82">
        <v>259.75</v>
      </c>
      <c r="I1116" s="211">
        <f t="shared" si="35"/>
        <v>7.29049521076508E-3</v>
      </c>
    </row>
    <row r="1117" spans="1:9" ht="16">
      <c r="A1117" s="233">
        <v>43602</v>
      </c>
      <c r="B1117">
        <v>81.438300999999996</v>
      </c>
      <c r="C1117" s="47">
        <f t="shared" si="36"/>
        <v>-4.022626671177032E-3</v>
      </c>
      <c r="E1117" s="81"/>
      <c r="F1117" s="82"/>
      <c r="G1117" s="81">
        <v>43546</v>
      </c>
      <c r="H1117" s="82">
        <v>263.10000000000002</v>
      </c>
      <c r="I1117" s="211">
        <f t="shared" si="35"/>
        <v>1.2897016361886449E-2</v>
      </c>
    </row>
    <row r="1118" spans="1:9" ht="16">
      <c r="A1118" s="233">
        <v>43603</v>
      </c>
      <c r="B1118">
        <v>81.428635</v>
      </c>
      <c r="C1118" s="47">
        <f t="shared" si="36"/>
        <v>-1.1869108123951921E-4</v>
      </c>
      <c r="E1118" s="81"/>
      <c r="F1118" s="82"/>
      <c r="G1118" s="81">
        <v>43547</v>
      </c>
      <c r="H1118" s="82">
        <v>262.02</v>
      </c>
      <c r="I1118" s="211">
        <f t="shared" si="35"/>
        <v>-4.104903078677502E-3</v>
      </c>
    </row>
    <row r="1119" spans="1:9" ht="16">
      <c r="A1119" s="233">
        <v>43606</v>
      </c>
      <c r="B1119">
        <v>81.418968000000007</v>
      </c>
      <c r="C1119" s="47">
        <f t="shared" si="36"/>
        <v>-1.1871745117664201E-4</v>
      </c>
      <c r="E1119" s="81"/>
      <c r="F1119" s="82"/>
      <c r="G1119" s="81">
        <v>43550</v>
      </c>
      <c r="H1119" s="82">
        <v>260.29000000000002</v>
      </c>
      <c r="I1119" s="211">
        <f t="shared" si="35"/>
        <v>-6.6025494237079707E-3</v>
      </c>
    </row>
    <row r="1120" spans="1:9" ht="16">
      <c r="A1120" s="233">
        <v>43607</v>
      </c>
      <c r="B1120">
        <v>81.515709000000001</v>
      </c>
      <c r="C1120" s="47">
        <f t="shared" si="36"/>
        <v>1.1881874995025576E-3</v>
      </c>
      <c r="E1120" s="81"/>
      <c r="F1120" s="82"/>
      <c r="G1120" s="81">
        <v>43551</v>
      </c>
      <c r="H1120" s="82">
        <v>261.61</v>
      </c>
      <c r="I1120" s="211">
        <f t="shared" si="35"/>
        <v>5.0712666641052895E-3</v>
      </c>
    </row>
    <row r="1121" spans="1:9" ht="16">
      <c r="A1121" s="233">
        <v>43608</v>
      </c>
      <c r="B1121">
        <v>81.380263999999997</v>
      </c>
      <c r="C1121" s="47">
        <f t="shared" si="36"/>
        <v>-1.6615815731910732E-3</v>
      </c>
      <c r="E1121" s="81"/>
      <c r="F1121" s="82"/>
      <c r="G1121" s="81">
        <v>43552</v>
      </c>
      <c r="H1121" s="82">
        <v>264.2</v>
      </c>
      <c r="I1121" s="211">
        <f t="shared" si="35"/>
        <v>9.9002331715147829E-3</v>
      </c>
    </row>
    <row r="1122" spans="1:9" ht="16">
      <c r="A1122" s="233">
        <v>43609</v>
      </c>
      <c r="B1122">
        <v>81.167427000000004</v>
      </c>
      <c r="C1122" s="47">
        <f t="shared" si="36"/>
        <v>-2.6153392670241749E-3</v>
      </c>
      <c r="E1122" s="81"/>
      <c r="F1122" s="82"/>
      <c r="G1122" s="81">
        <v>43553</v>
      </c>
      <c r="H1122" s="82">
        <v>265.64999999999998</v>
      </c>
      <c r="I1122" s="211">
        <f t="shared" si="35"/>
        <v>5.488266464799274E-3</v>
      </c>
    </row>
    <row r="1123" spans="1:9" ht="16">
      <c r="A1123" s="233">
        <v>43610</v>
      </c>
      <c r="B1123">
        <v>81.506027000000003</v>
      </c>
      <c r="C1123" s="47">
        <f t="shared" si="36"/>
        <v>4.171624166428245E-3</v>
      </c>
      <c r="E1123" s="81"/>
      <c r="F1123" s="82"/>
      <c r="G1123" s="81">
        <v>43554</v>
      </c>
      <c r="H1123" s="82">
        <v>266.8</v>
      </c>
      <c r="I1123" s="211">
        <f t="shared" si="35"/>
        <v>4.3290043290045155E-3</v>
      </c>
    </row>
    <row r="1124" spans="1:9" ht="16">
      <c r="A1124" s="233">
        <v>43614</v>
      </c>
      <c r="B1124">
        <v>82.125183000000007</v>
      </c>
      <c r="C1124" s="47">
        <f t="shared" si="36"/>
        <v>7.5964443709175544E-3</v>
      </c>
      <c r="E1124" s="81"/>
      <c r="F1124" s="82"/>
      <c r="G1124" s="81">
        <v>43557</v>
      </c>
      <c r="H1124" s="82">
        <v>267.08</v>
      </c>
      <c r="I1124" s="211">
        <f t="shared" si="35"/>
        <v>1.0494752623686487E-3</v>
      </c>
    </row>
    <row r="1125" spans="1:9" ht="16">
      <c r="A1125" s="233">
        <v>43615</v>
      </c>
      <c r="B1125">
        <v>82.018744999999996</v>
      </c>
      <c r="C1125" s="47">
        <f t="shared" si="36"/>
        <v>-1.2960458182481593E-3</v>
      </c>
      <c r="E1125" s="81"/>
      <c r="F1125" s="82"/>
      <c r="G1125" s="81">
        <v>43558</v>
      </c>
      <c r="H1125" s="82">
        <v>266.64999999999998</v>
      </c>
      <c r="I1125" s="211">
        <f t="shared" si="35"/>
        <v>-1.6100044930358326E-3</v>
      </c>
    </row>
    <row r="1126" spans="1:9" ht="16">
      <c r="A1126" s="233">
        <v>43616</v>
      </c>
      <c r="B1126">
        <v>82.565703999999997</v>
      </c>
      <c r="C1126" s="47">
        <f t="shared" si="36"/>
        <v>6.6687072571032235E-3</v>
      </c>
      <c r="E1126" s="81"/>
      <c r="F1126" s="82"/>
      <c r="G1126" s="81">
        <v>43559</v>
      </c>
      <c r="H1126" s="82">
        <v>266.48</v>
      </c>
      <c r="I1126" s="211">
        <f t="shared" si="35"/>
        <v>-6.3753984624026483E-4</v>
      </c>
    </row>
    <row r="1127" spans="1:9" ht="16">
      <c r="A1127" s="233">
        <v>43617</v>
      </c>
      <c r="B1127">
        <v>82.439423000000005</v>
      </c>
      <c r="C1127" s="47">
        <f t="shared" si="36"/>
        <v>-1.529460706832797E-3</v>
      </c>
      <c r="E1127" s="81"/>
      <c r="F1127" s="82"/>
      <c r="G1127" s="81">
        <v>43560</v>
      </c>
      <c r="H1127" s="82">
        <v>266.43</v>
      </c>
      <c r="I1127" s="211">
        <f t="shared" si="35"/>
        <v>-1.8763134193944264E-4</v>
      </c>
    </row>
    <row r="1128" spans="1:9" ht="16">
      <c r="A1128" s="233">
        <v>43620</v>
      </c>
      <c r="B1128">
        <v>82.711433</v>
      </c>
      <c r="C1128" s="47">
        <f t="shared" si="36"/>
        <v>3.2995136319668994E-3</v>
      </c>
      <c r="E1128" s="81"/>
      <c r="F1128" s="82"/>
      <c r="G1128" s="81">
        <v>43561</v>
      </c>
      <c r="H1128" s="82">
        <v>266.52999999999997</v>
      </c>
      <c r="I1128" s="211">
        <f t="shared" si="35"/>
        <v>3.7533310813331333E-4</v>
      </c>
    </row>
    <row r="1129" spans="1:9" ht="16">
      <c r="A1129" s="233">
        <v>43621</v>
      </c>
      <c r="B1129">
        <v>82.857146999999998</v>
      </c>
      <c r="C1129" s="47">
        <f t="shared" si="36"/>
        <v>1.7617153362583515E-3</v>
      </c>
      <c r="E1129" s="81"/>
      <c r="F1129" s="82"/>
      <c r="G1129" s="81">
        <v>43564</v>
      </c>
      <c r="H1129" s="82">
        <v>266.7</v>
      </c>
      <c r="I1129" s="211">
        <f t="shared" si="35"/>
        <v>6.3782688627922468E-4</v>
      </c>
    </row>
    <row r="1130" spans="1:9" ht="16">
      <c r="A1130" s="233">
        <v>43622</v>
      </c>
      <c r="B1130">
        <v>82.371421999999995</v>
      </c>
      <c r="C1130" s="47">
        <f t="shared" si="36"/>
        <v>-5.8621979827522264E-3</v>
      </c>
      <c r="E1130" s="81"/>
      <c r="F1130" s="82"/>
      <c r="G1130" s="81">
        <v>43565</v>
      </c>
      <c r="H1130" s="82">
        <v>268.79000000000002</v>
      </c>
      <c r="I1130" s="211">
        <f t="shared" si="35"/>
        <v>7.8365204349457596E-3</v>
      </c>
    </row>
    <row r="1131" spans="1:9" ht="16">
      <c r="A1131" s="233">
        <v>43623</v>
      </c>
      <c r="B1131">
        <v>82.837729999999993</v>
      </c>
      <c r="C1131" s="47">
        <f t="shared" si="36"/>
        <v>5.6610410343529427E-3</v>
      </c>
      <c r="E1131" s="81"/>
      <c r="F1131" s="82"/>
      <c r="G1131" s="81">
        <v>43566</v>
      </c>
      <c r="H1131" s="82">
        <v>268.49</v>
      </c>
      <c r="I1131" s="211">
        <f t="shared" si="35"/>
        <v>-1.1161129506306322E-3</v>
      </c>
    </row>
    <row r="1132" spans="1:9" ht="16">
      <c r="A1132" s="233">
        <v>43624</v>
      </c>
      <c r="B1132">
        <v>82.740584999999996</v>
      </c>
      <c r="C1132" s="47">
        <f t="shared" si="36"/>
        <v>-1.1727144140719625E-3</v>
      </c>
      <c r="E1132" s="81"/>
      <c r="F1132" s="82"/>
      <c r="G1132" s="81">
        <v>43567</v>
      </c>
      <c r="H1132" s="82">
        <v>269.14</v>
      </c>
      <c r="I1132" s="211">
        <f t="shared" si="35"/>
        <v>2.420946776416244E-3</v>
      </c>
    </row>
    <row r="1133" spans="1:9" ht="16">
      <c r="A1133" s="233">
        <v>43627</v>
      </c>
      <c r="B1133">
        <v>83.197165999999996</v>
      </c>
      <c r="C1133" s="47">
        <f t="shared" si="36"/>
        <v>5.518223009904899E-3</v>
      </c>
      <c r="E1133" s="81"/>
      <c r="F1133" s="82"/>
      <c r="G1133" s="81">
        <v>43568</v>
      </c>
      <c r="H1133" s="82">
        <v>269.76</v>
      </c>
      <c r="I1133" s="211">
        <f t="shared" si="35"/>
        <v>2.3036337965371967E-3</v>
      </c>
    </row>
    <row r="1134" spans="1:9" ht="16">
      <c r="A1134" s="233">
        <v>43628</v>
      </c>
      <c r="B1134">
        <v>83.070876999999996</v>
      </c>
      <c r="C1134" s="47">
        <f t="shared" si="36"/>
        <v>-1.5179483397307347E-3</v>
      </c>
      <c r="E1134" s="81"/>
      <c r="F1134" s="82"/>
      <c r="G1134" s="81">
        <v>43571</v>
      </c>
      <c r="H1134" s="82">
        <v>270.72000000000003</v>
      </c>
      <c r="I1134" s="211">
        <f t="shared" si="35"/>
        <v>3.558718861210064E-3</v>
      </c>
    </row>
    <row r="1135" spans="1:9" ht="16">
      <c r="A1135" s="233">
        <v>43629</v>
      </c>
      <c r="B1135">
        <v>83.245734999999996</v>
      </c>
      <c r="C1135" s="47">
        <f t="shared" si="36"/>
        <v>2.1049254120670824E-3</v>
      </c>
      <c r="E1135" s="81"/>
      <c r="F1135" s="82"/>
      <c r="G1135" s="81">
        <v>43572</v>
      </c>
      <c r="H1135" s="82">
        <v>270.08</v>
      </c>
      <c r="I1135" s="211">
        <f t="shared" si="35"/>
        <v>-2.3640661938535423E-3</v>
      </c>
    </row>
    <row r="1136" spans="1:9" ht="16">
      <c r="A1136" s="233">
        <v>43630</v>
      </c>
      <c r="B1136">
        <v>83.673186999999999</v>
      </c>
      <c r="C1136" s="47">
        <f t="shared" si="36"/>
        <v>5.1348216217923515E-3</v>
      </c>
      <c r="E1136" s="81"/>
      <c r="F1136" s="82"/>
      <c r="G1136" s="81">
        <v>43573</v>
      </c>
      <c r="H1136" s="82">
        <v>267.45999999999998</v>
      </c>
      <c r="I1136" s="211">
        <f t="shared" si="35"/>
        <v>-9.700829383886278E-3</v>
      </c>
    </row>
    <row r="1137" spans="1:9" ht="16">
      <c r="A1137" s="233">
        <v>43631</v>
      </c>
      <c r="B1137">
        <v>83.342895999999996</v>
      </c>
      <c r="C1137" s="47">
        <f t="shared" si="36"/>
        <v>-3.9473935658743686E-3</v>
      </c>
      <c r="E1137" s="81"/>
      <c r="F1137" s="82"/>
      <c r="G1137" s="81">
        <v>43574</v>
      </c>
      <c r="H1137" s="82">
        <v>267.20999999999998</v>
      </c>
      <c r="I1137" s="211">
        <f t="shared" si="35"/>
        <v>-9.3471921034926631E-4</v>
      </c>
    </row>
    <row r="1138" spans="1:9" ht="16">
      <c r="A1138" s="233">
        <v>43635</v>
      </c>
      <c r="B1138">
        <v>83.381752000000006</v>
      </c>
      <c r="C1138" s="47">
        <f t="shared" si="36"/>
        <v>4.6621850049466396E-4</v>
      </c>
      <c r="E1138" s="81"/>
      <c r="F1138" s="82"/>
      <c r="G1138" s="81">
        <v>43575</v>
      </c>
      <c r="H1138" s="82">
        <v>264.67</v>
      </c>
      <c r="I1138" s="211">
        <f t="shared" si="35"/>
        <v>-9.5056322742410604E-3</v>
      </c>
    </row>
    <row r="1139" spans="1:9" ht="16">
      <c r="A1139" s="233">
        <v>43636</v>
      </c>
      <c r="B1139">
        <v>83.818916000000002</v>
      </c>
      <c r="C1139" s="47">
        <f t="shared" si="36"/>
        <v>5.2429217366407599E-3</v>
      </c>
      <c r="E1139" s="81"/>
      <c r="F1139" s="82"/>
      <c r="G1139" s="81">
        <v>43578</v>
      </c>
      <c r="H1139" s="82">
        <v>264.33</v>
      </c>
      <c r="I1139" s="211">
        <f t="shared" si="35"/>
        <v>-1.2846185816300926E-3</v>
      </c>
    </row>
    <row r="1140" spans="1:9" ht="16">
      <c r="A1140" s="233">
        <v>43637</v>
      </c>
      <c r="B1140">
        <v>83.498328999999998</v>
      </c>
      <c r="C1140" s="47">
        <f t="shared" si="36"/>
        <v>-3.824757170565185E-3</v>
      </c>
      <c r="E1140" s="81"/>
      <c r="F1140" s="82"/>
      <c r="G1140" s="81">
        <v>43579</v>
      </c>
      <c r="H1140" s="82">
        <v>261.2</v>
      </c>
      <c r="I1140" s="211">
        <f t="shared" si="35"/>
        <v>-1.184125903227029E-2</v>
      </c>
    </row>
    <row r="1141" spans="1:9" ht="16">
      <c r="A1141" s="233">
        <v>43638</v>
      </c>
      <c r="B1141">
        <v>83.595466999999999</v>
      </c>
      <c r="C1141" s="47">
        <f t="shared" si="36"/>
        <v>1.1633526223022717E-3</v>
      </c>
      <c r="E1141" s="81"/>
      <c r="F1141" s="82"/>
      <c r="G1141" s="81">
        <v>43580</v>
      </c>
      <c r="H1141" s="82">
        <v>262.14</v>
      </c>
      <c r="I1141" s="211">
        <f t="shared" si="35"/>
        <v>3.5987748851453727E-3</v>
      </c>
    </row>
    <row r="1142" spans="1:9" ht="16">
      <c r="A1142" s="233">
        <v>43641</v>
      </c>
      <c r="B1142">
        <v>83.857772999999995</v>
      </c>
      <c r="C1142" s="47">
        <f t="shared" si="36"/>
        <v>3.1378017183634199E-3</v>
      </c>
      <c r="E1142" s="81"/>
      <c r="F1142" s="82"/>
      <c r="G1142" s="81">
        <v>43581</v>
      </c>
      <c r="H1142" s="82">
        <v>263.25</v>
      </c>
      <c r="I1142" s="211">
        <f t="shared" si="35"/>
        <v>4.234378576333242E-3</v>
      </c>
    </row>
    <row r="1143" spans="1:9" ht="16">
      <c r="A1143" s="233">
        <v>43642</v>
      </c>
      <c r="B1143">
        <v>83.857772999999995</v>
      </c>
      <c r="C1143" s="47">
        <f t="shared" si="36"/>
        <v>0</v>
      </c>
      <c r="E1143" s="81"/>
      <c r="F1143" s="82"/>
      <c r="G1143" s="81">
        <v>43582</v>
      </c>
      <c r="H1143" s="82">
        <v>264.77</v>
      </c>
      <c r="I1143" s="211">
        <f t="shared" si="35"/>
        <v>5.7739791073123659E-3</v>
      </c>
    </row>
    <row r="1144" spans="1:9" ht="16">
      <c r="A1144" s="233">
        <v>43643</v>
      </c>
      <c r="B1144">
        <v>83.916060999999999</v>
      </c>
      <c r="C1144" s="47">
        <f t="shared" si="36"/>
        <v>6.9508165927567589E-4</v>
      </c>
      <c r="E1144" s="81"/>
      <c r="F1144" s="82"/>
      <c r="G1144" s="81">
        <v>43585</v>
      </c>
      <c r="H1144" s="82">
        <v>264.69</v>
      </c>
      <c r="I1144" s="211">
        <f t="shared" si="35"/>
        <v>-3.021490350114675E-4</v>
      </c>
    </row>
    <row r="1145" spans="1:9" ht="16">
      <c r="A1145" s="233">
        <v>43644</v>
      </c>
      <c r="B1145">
        <v>83.469184999999996</v>
      </c>
      <c r="C1145" s="47">
        <f t="shared" si="36"/>
        <v>-5.3252737875768563E-3</v>
      </c>
      <c r="E1145" s="81"/>
      <c r="F1145" s="82"/>
      <c r="G1145" s="81">
        <v>43586</v>
      </c>
      <c r="H1145" s="82">
        <v>263.89999999999998</v>
      </c>
      <c r="I1145" s="211">
        <f t="shared" si="35"/>
        <v>-2.9846235218558004E-3</v>
      </c>
    </row>
    <row r="1146" spans="1:9" ht="16">
      <c r="A1146" s="233">
        <v>43645</v>
      </c>
      <c r="B1146">
        <v>84.071494999999999</v>
      </c>
      <c r="C1146" s="47">
        <f t="shared" si="36"/>
        <v>7.2159564035518819E-3</v>
      </c>
      <c r="E1146" s="81"/>
      <c r="F1146" s="82"/>
      <c r="G1146" s="81">
        <v>43587</v>
      </c>
      <c r="H1146" s="82">
        <v>263.07</v>
      </c>
      <c r="I1146" s="211">
        <f t="shared" si="35"/>
        <v>-3.1451307313375976E-3</v>
      </c>
    </row>
    <row r="1147" spans="1:9" ht="16">
      <c r="A1147" s="233">
        <v>43648</v>
      </c>
      <c r="B1147">
        <v>84.233413999999996</v>
      </c>
      <c r="C1147" s="47">
        <f t="shared" si="36"/>
        <v>1.92596789197097E-3</v>
      </c>
      <c r="E1147" s="81"/>
      <c r="F1147" s="82"/>
      <c r="G1147" s="81">
        <v>43588</v>
      </c>
      <c r="H1147" s="82">
        <v>264.75</v>
      </c>
      <c r="I1147" s="211">
        <f t="shared" si="35"/>
        <v>6.3861329684113954E-3</v>
      </c>
    </row>
    <row r="1148" spans="1:9" ht="16">
      <c r="A1148" s="233">
        <v>43650</v>
      </c>
      <c r="B1148">
        <v>83.804244999999995</v>
      </c>
      <c r="C1148" s="47">
        <f t="shared" si="36"/>
        <v>-5.0949970993696692E-3</v>
      </c>
      <c r="E1148" s="81"/>
      <c r="F1148" s="82"/>
      <c r="G1148" s="81">
        <v>43589</v>
      </c>
      <c r="H1148" s="82">
        <v>265.83999999999997</v>
      </c>
      <c r="I1148" s="211">
        <f t="shared" si="35"/>
        <v>4.1170915958450571E-3</v>
      </c>
    </row>
    <row r="1149" spans="1:9" ht="16">
      <c r="A1149" s="233">
        <v>43651</v>
      </c>
      <c r="B1149">
        <v>82.604538000000005</v>
      </c>
      <c r="C1149" s="47">
        <f t="shared" si="36"/>
        <v>-1.4315587474118874E-2</v>
      </c>
      <c r="E1149" s="81"/>
      <c r="F1149" s="82"/>
      <c r="G1149" s="81">
        <v>43592</v>
      </c>
      <c r="H1149" s="82">
        <v>267.91000000000003</v>
      </c>
      <c r="I1149" s="211">
        <f t="shared" si="35"/>
        <v>7.7866385795970494E-3</v>
      </c>
    </row>
    <row r="1150" spans="1:9" ht="16">
      <c r="A1150" s="233">
        <v>43652</v>
      </c>
      <c r="B1150">
        <v>82.506989000000004</v>
      </c>
      <c r="C1150" s="47">
        <f t="shared" si="36"/>
        <v>-1.1809157506577073E-3</v>
      </c>
      <c r="E1150" s="81"/>
      <c r="F1150" s="82"/>
      <c r="G1150" s="81">
        <v>43593</v>
      </c>
      <c r="H1150" s="82">
        <v>265.77999999999997</v>
      </c>
      <c r="I1150" s="211">
        <f t="shared" si="35"/>
        <v>-7.9504311149268814E-3</v>
      </c>
    </row>
    <row r="1151" spans="1:9" ht="16">
      <c r="A1151" s="233">
        <v>43655</v>
      </c>
      <c r="B1151">
        <v>82.858124000000004</v>
      </c>
      <c r="C1151" s="47">
        <f t="shared" si="36"/>
        <v>4.2558212856367295E-3</v>
      </c>
      <c r="E1151" s="81"/>
      <c r="F1151" s="82"/>
      <c r="G1151" s="81">
        <v>43594</v>
      </c>
      <c r="H1151" s="82">
        <v>265.52999999999997</v>
      </c>
      <c r="I1151" s="211">
        <f t="shared" si="35"/>
        <v>-9.4062758672586178E-4</v>
      </c>
    </row>
    <row r="1152" spans="1:9" ht="16">
      <c r="A1152" s="233">
        <v>43656</v>
      </c>
      <c r="B1152">
        <v>83.384827000000001</v>
      </c>
      <c r="C1152" s="47">
        <f t="shared" si="36"/>
        <v>6.3566850729084301E-3</v>
      </c>
      <c r="E1152" s="81"/>
      <c r="F1152" s="82"/>
      <c r="G1152" s="81">
        <v>43595</v>
      </c>
      <c r="H1152" s="82">
        <v>265.05</v>
      </c>
      <c r="I1152" s="211">
        <f t="shared" si="35"/>
        <v>-1.8077053440287427E-3</v>
      </c>
    </row>
    <row r="1153" spans="1:9" ht="16">
      <c r="A1153" s="233">
        <v>43657</v>
      </c>
      <c r="B1153">
        <v>84.379722999999998</v>
      </c>
      <c r="C1153" s="47">
        <f t="shared" si="36"/>
        <v>1.1931379314368495E-2</v>
      </c>
      <c r="E1153" s="81"/>
      <c r="F1153" s="82"/>
      <c r="G1153" s="81">
        <v>43596</v>
      </c>
      <c r="H1153" s="82">
        <v>264.02999999999997</v>
      </c>
      <c r="I1153" s="211">
        <f t="shared" si="35"/>
        <v>-3.8483305036787208E-3</v>
      </c>
    </row>
    <row r="1154" spans="1:9" ht="16">
      <c r="A1154" s="233">
        <v>43658</v>
      </c>
      <c r="B1154">
        <v>85.296570000000003</v>
      </c>
      <c r="C1154" s="47">
        <f t="shared" si="36"/>
        <v>1.0865726591683611E-2</v>
      </c>
      <c r="E1154" s="81"/>
      <c r="F1154" s="82"/>
      <c r="G1154" s="81">
        <v>43599</v>
      </c>
      <c r="H1154" s="82">
        <v>265.19</v>
      </c>
      <c r="I1154" s="211">
        <f t="shared" si="35"/>
        <v>4.3934401393781464E-3</v>
      </c>
    </row>
    <row r="1155" spans="1:9" ht="16">
      <c r="A1155" s="233">
        <v>43659</v>
      </c>
      <c r="B1155">
        <v>84.799118000000007</v>
      </c>
      <c r="C1155" s="47">
        <f t="shared" si="36"/>
        <v>-5.8320281812034303E-3</v>
      </c>
      <c r="E1155" s="81"/>
      <c r="F1155" s="82"/>
      <c r="G1155" s="81">
        <v>43600</v>
      </c>
      <c r="H1155" s="82">
        <v>265.33999999999997</v>
      </c>
      <c r="I1155" s="211">
        <f t="shared" si="35"/>
        <v>5.6563218824234873E-4</v>
      </c>
    </row>
    <row r="1156" spans="1:9" ht="16">
      <c r="A1156" s="233">
        <v>43662</v>
      </c>
      <c r="B1156">
        <v>84.925933999999998</v>
      </c>
      <c r="C1156" s="47">
        <f t="shared" si="36"/>
        <v>1.4954872525914098E-3</v>
      </c>
      <c r="E1156" s="81"/>
      <c r="F1156" s="82"/>
      <c r="G1156" s="81">
        <v>43601</v>
      </c>
      <c r="H1156" s="82">
        <v>264.23</v>
      </c>
      <c r="I1156" s="211">
        <f t="shared" si="35"/>
        <v>-4.1833119770858795E-3</v>
      </c>
    </row>
    <row r="1157" spans="1:9" ht="16">
      <c r="A1157" s="233">
        <v>43663</v>
      </c>
      <c r="B1157">
        <v>85.345344999999995</v>
      </c>
      <c r="C1157" s="47">
        <f t="shared" si="36"/>
        <v>4.9385503372856299E-3</v>
      </c>
      <c r="E1157" s="81"/>
      <c r="F1157" s="82"/>
      <c r="G1157" s="81">
        <v>43602</v>
      </c>
      <c r="H1157" s="82">
        <v>264.45</v>
      </c>
      <c r="I1157" s="211">
        <f t="shared" si="35"/>
        <v>8.3260795519035646E-4</v>
      </c>
    </row>
    <row r="1158" spans="1:9" ht="16">
      <c r="A1158" s="233">
        <v>43664</v>
      </c>
      <c r="B1158">
        <v>85.111259000000004</v>
      </c>
      <c r="C1158" s="47">
        <f t="shared" si="36"/>
        <v>-2.7428092299585094E-3</v>
      </c>
      <c r="E1158" s="81"/>
      <c r="F1158" s="82"/>
      <c r="G1158" s="81">
        <v>43603</v>
      </c>
      <c r="H1158" s="82">
        <v>263.67</v>
      </c>
      <c r="I1158" s="211">
        <f t="shared" si="35"/>
        <v>-2.9495178672716005E-3</v>
      </c>
    </row>
    <row r="1159" spans="1:9" ht="16">
      <c r="A1159" s="233">
        <v>43665</v>
      </c>
      <c r="B1159">
        <v>84.594299000000007</v>
      </c>
      <c r="C1159" s="47">
        <f t="shared" si="36"/>
        <v>-6.0739320046951928E-3</v>
      </c>
      <c r="E1159" s="81"/>
      <c r="F1159" s="82"/>
      <c r="G1159" s="81">
        <v>43606</v>
      </c>
      <c r="H1159" s="82">
        <v>264.95</v>
      </c>
      <c r="I1159" s="211">
        <f t="shared" si="35"/>
        <v>4.8545530397845482E-3</v>
      </c>
    </row>
    <row r="1160" spans="1:9" ht="16">
      <c r="A1160" s="233">
        <v>43666</v>
      </c>
      <c r="B1160">
        <v>84.857642999999996</v>
      </c>
      <c r="C1160" s="47">
        <f t="shared" si="36"/>
        <v>3.1130230182532248E-3</v>
      </c>
      <c r="E1160" s="81"/>
      <c r="F1160" s="82"/>
      <c r="G1160" s="81">
        <v>43607</v>
      </c>
      <c r="H1160" s="82">
        <v>263.52</v>
      </c>
      <c r="I1160" s="211">
        <f t="shared" si="35"/>
        <v>-5.397244763162834E-3</v>
      </c>
    </row>
    <row r="1161" spans="1:9" ht="16">
      <c r="A1161" s="233">
        <v>43669</v>
      </c>
      <c r="B1161">
        <v>85.023467999999994</v>
      </c>
      <c r="C1161" s="47">
        <f t="shared" si="36"/>
        <v>1.9541551489945519E-3</v>
      </c>
      <c r="E1161" s="81"/>
      <c r="F1161" s="82"/>
      <c r="G1161" s="81">
        <v>43608</v>
      </c>
      <c r="H1161" s="82">
        <v>261.58999999999997</v>
      </c>
      <c r="I1161" s="211">
        <f t="shared" si="35"/>
        <v>-7.3239222829386552E-3</v>
      </c>
    </row>
    <row r="1162" spans="1:9" ht="16">
      <c r="A1162" s="233">
        <v>43670</v>
      </c>
      <c r="B1162">
        <v>84.916167999999999</v>
      </c>
      <c r="C1162" s="47">
        <f t="shared" si="36"/>
        <v>-1.2620045091550347E-3</v>
      </c>
      <c r="E1162" s="81"/>
      <c r="F1162" s="82"/>
      <c r="G1162" s="81">
        <v>43609</v>
      </c>
      <c r="H1162" s="82">
        <v>259.92</v>
      </c>
      <c r="I1162" s="211">
        <f t="shared" si="35"/>
        <v>-6.3840360870062174E-3</v>
      </c>
    </row>
    <row r="1163" spans="1:9" ht="16">
      <c r="A1163" s="233">
        <v>43671</v>
      </c>
      <c r="B1163">
        <v>85.189278000000002</v>
      </c>
      <c r="C1163" s="47">
        <f t="shared" si="36"/>
        <v>3.2162308595933276E-3</v>
      </c>
      <c r="E1163" s="81"/>
      <c r="F1163" s="82"/>
      <c r="G1163" s="81">
        <v>43610</v>
      </c>
      <c r="H1163" s="82">
        <v>261.86</v>
      </c>
      <c r="I1163" s="211">
        <f t="shared" si="35"/>
        <v>7.4638350261619912E-3</v>
      </c>
    </row>
    <row r="1164" spans="1:9" ht="16">
      <c r="A1164" s="233">
        <v>43672</v>
      </c>
      <c r="B1164">
        <v>84.379722999999998</v>
      </c>
      <c r="C1164" s="47">
        <f t="shared" si="36"/>
        <v>-9.5030151564379217E-3</v>
      </c>
      <c r="E1164" s="81"/>
      <c r="F1164" s="82"/>
      <c r="G1164" s="81">
        <v>43613</v>
      </c>
      <c r="H1164" s="82">
        <v>261.94</v>
      </c>
      <c r="I1164" s="211">
        <f t="shared" si="35"/>
        <v>3.0550675933693761E-4</v>
      </c>
    </row>
    <row r="1165" spans="1:9" ht="16">
      <c r="A1165" s="233">
        <v>43673</v>
      </c>
      <c r="B1165">
        <v>85.403853999999995</v>
      </c>
      <c r="C1165" s="47">
        <f t="shared" si="36"/>
        <v>1.2137169495092914E-2</v>
      </c>
      <c r="E1165" s="81"/>
      <c r="F1165" s="82"/>
      <c r="G1165" s="81">
        <v>43614</v>
      </c>
      <c r="H1165" s="82">
        <v>261.22000000000003</v>
      </c>
      <c r="I1165" s="211">
        <f t="shared" si="35"/>
        <v>-2.7487210811635299E-3</v>
      </c>
    </row>
    <row r="1166" spans="1:9" ht="16">
      <c r="A1166" s="233">
        <v>43676</v>
      </c>
      <c r="B1166">
        <v>85.520904999999999</v>
      </c>
      <c r="C1166" s="47">
        <f t="shared" si="36"/>
        <v>1.3705587572196976E-3</v>
      </c>
      <c r="E1166" s="81"/>
      <c r="F1166" s="82"/>
      <c r="G1166" s="81">
        <v>43615</v>
      </c>
      <c r="H1166" s="82">
        <v>258.61</v>
      </c>
      <c r="I1166" s="211">
        <f t="shared" si="35"/>
        <v>-9.9915779802466353E-3</v>
      </c>
    </row>
    <row r="1167" spans="1:9" ht="16">
      <c r="A1167" s="233">
        <v>43677</v>
      </c>
      <c r="B1167">
        <v>84.666984999999997</v>
      </c>
      <c r="C1167" s="47">
        <f t="shared" si="36"/>
        <v>-9.9849270771865672E-3</v>
      </c>
      <c r="E1167" s="81"/>
      <c r="F1167" s="82"/>
      <c r="G1167" s="81">
        <v>43616</v>
      </c>
      <c r="H1167" s="82">
        <v>259.74</v>
      </c>
      <c r="I1167" s="211">
        <f t="shared" si="35"/>
        <v>4.3695139399095861E-3</v>
      </c>
    </row>
    <row r="1168" spans="1:9" ht="16">
      <c r="A1168" s="233">
        <v>43678</v>
      </c>
      <c r="B1168">
        <v>84.059837000000002</v>
      </c>
      <c r="C1168" s="47">
        <f t="shared" si="36"/>
        <v>-7.1710124082012827E-3</v>
      </c>
      <c r="E1168" s="81"/>
      <c r="F1168" s="82"/>
      <c r="G1168" s="81">
        <v>43617</v>
      </c>
      <c r="H1168" s="82">
        <v>264.87</v>
      </c>
      <c r="I1168" s="211">
        <f t="shared" ref="I1168:I1231" si="37">H1168/H1167-1</f>
        <v>1.9750519750519668E-2</v>
      </c>
    </row>
    <row r="1169" spans="1:9" ht="16">
      <c r="A1169" s="233">
        <v>43679</v>
      </c>
      <c r="B1169">
        <v>83.344977999999998</v>
      </c>
      <c r="C1169" s="47">
        <f t="shared" ref="C1169:C1232" si="38">B1169/B1168-1</f>
        <v>-8.5041682866932033E-3</v>
      </c>
      <c r="E1169" s="81"/>
      <c r="F1169" s="82"/>
      <c r="G1169" s="81">
        <v>43620</v>
      </c>
      <c r="H1169" s="82">
        <v>265.62</v>
      </c>
      <c r="I1169" s="211">
        <f t="shared" si="37"/>
        <v>2.8315777551251031E-3</v>
      </c>
    </row>
    <row r="1170" spans="1:9" ht="16">
      <c r="A1170" s="233">
        <v>43680</v>
      </c>
      <c r="B1170">
        <v>84.451545999999993</v>
      </c>
      <c r="C1170" s="47">
        <f t="shared" si="38"/>
        <v>1.327696073061535E-2</v>
      </c>
      <c r="E1170" s="81"/>
      <c r="F1170" s="82"/>
      <c r="G1170" s="81">
        <v>43621</v>
      </c>
      <c r="H1170" s="82">
        <v>265.95999999999998</v>
      </c>
      <c r="I1170" s="211">
        <f t="shared" si="37"/>
        <v>1.2800240945711749E-3</v>
      </c>
    </row>
    <row r="1171" spans="1:9" ht="16">
      <c r="A1171" s="233">
        <v>43683</v>
      </c>
      <c r="B1171">
        <v>84.177361000000005</v>
      </c>
      <c r="C1171" s="47">
        <f t="shared" si="38"/>
        <v>-3.2466545964711102E-3</v>
      </c>
      <c r="E1171" s="81"/>
      <c r="F1171" s="82"/>
      <c r="G1171" s="81">
        <v>43622</v>
      </c>
      <c r="H1171" s="82">
        <v>267.89999999999998</v>
      </c>
      <c r="I1171" s="211">
        <f t="shared" si="37"/>
        <v>7.2943299744321344E-3</v>
      </c>
    </row>
    <row r="1172" spans="1:9" ht="16">
      <c r="A1172" s="233">
        <v>43684</v>
      </c>
      <c r="B1172">
        <v>84.392798999999997</v>
      </c>
      <c r="C1172" s="47">
        <f t="shared" si="38"/>
        <v>2.5593342133878316E-3</v>
      </c>
      <c r="E1172" s="81"/>
      <c r="F1172" s="82"/>
      <c r="G1172" s="81">
        <v>43623</v>
      </c>
      <c r="H1172" s="82">
        <v>267.49</v>
      </c>
      <c r="I1172" s="211">
        <f t="shared" si="37"/>
        <v>-1.5304217991787272E-3</v>
      </c>
    </row>
    <row r="1173" spans="1:9" ht="16">
      <c r="A1173" s="233">
        <v>43685</v>
      </c>
      <c r="B1173">
        <v>84.569068999999999</v>
      </c>
      <c r="C1173" s="47">
        <f t="shared" si="38"/>
        <v>2.0886853154378215E-3</v>
      </c>
      <c r="E1173" s="81"/>
      <c r="F1173" s="82"/>
      <c r="G1173" s="81">
        <v>43624</v>
      </c>
      <c r="H1173" s="82">
        <v>269.10000000000002</v>
      </c>
      <c r="I1173" s="211">
        <f t="shared" si="37"/>
        <v>6.0189165950128576E-3</v>
      </c>
    </row>
    <row r="1174" spans="1:9" ht="16">
      <c r="A1174" s="233">
        <v>43686</v>
      </c>
      <c r="B1174">
        <v>84.245902999999998</v>
      </c>
      <c r="C1174" s="47">
        <f t="shared" si="38"/>
        <v>-3.8213262108868218E-3</v>
      </c>
      <c r="E1174" s="81"/>
      <c r="F1174" s="82"/>
      <c r="G1174" s="81">
        <v>43627</v>
      </c>
      <c r="H1174" s="82">
        <v>269.38</v>
      </c>
      <c r="I1174" s="211">
        <f t="shared" si="37"/>
        <v>1.0405053883313364E-3</v>
      </c>
    </row>
    <row r="1175" spans="1:9" ht="16">
      <c r="A1175" s="233">
        <v>43687</v>
      </c>
      <c r="B1175">
        <v>84.050049000000001</v>
      </c>
      <c r="C1175" s="47">
        <f t="shared" si="38"/>
        <v>-2.3247896102436272E-3</v>
      </c>
      <c r="E1175" s="81"/>
      <c r="F1175" s="82"/>
      <c r="G1175" s="81">
        <v>43628</v>
      </c>
      <c r="H1175" s="82">
        <v>271.41000000000003</v>
      </c>
      <c r="I1175" s="211">
        <f t="shared" si="37"/>
        <v>7.5358230009652249E-3</v>
      </c>
    </row>
    <row r="1176" spans="1:9" ht="16">
      <c r="A1176" s="233">
        <v>43690</v>
      </c>
      <c r="B1176">
        <v>83.374358999999998</v>
      </c>
      <c r="C1176" s="47">
        <f t="shared" si="38"/>
        <v>-8.0391386803355669E-3</v>
      </c>
      <c r="E1176" s="81"/>
      <c r="F1176" s="82"/>
      <c r="G1176" s="81">
        <v>43629</v>
      </c>
      <c r="H1176" s="82">
        <v>272.49</v>
      </c>
      <c r="I1176" s="211">
        <f t="shared" si="37"/>
        <v>3.9792196308168215E-3</v>
      </c>
    </row>
    <row r="1177" spans="1:9" ht="16">
      <c r="A1177" s="233">
        <v>43691</v>
      </c>
      <c r="B1177">
        <v>82.669296000000003</v>
      </c>
      <c r="C1177" s="47">
        <f t="shared" si="38"/>
        <v>-8.4565927517354922E-3</v>
      </c>
      <c r="E1177" s="81"/>
      <c r="F1177" s="82"/>
      <c r="G1177" s="81">
        <v>43630</v>
      </c>
      <c r="H1177" s="82">
        <v>274.97000000000003</v>
      </c>
      <c r="I1177" s="211">
        <f t="shared" si="37"/>
        <v>9.1012514220705221E-3</v>
      </c>
    </row>
    <row r="1178" spans="1:9" ht="16">
      <c r="A1178" s="233">
        <v>43692</v>
      </c>
      <c r="B1178">
        <v>82.512603999999996</v>
      </c>
      <c r="C1178" s="47">
        <f t="shared" si="38"/>
        <v>-1.8954074557500089E-3</v>
      </c>
      <c r="E1178" s="81"/>
      <c r="F1178" s="82"/>
      <c r="G1178" s="81">
        <v>43631</v>
      </c>
      <c r="H1178" s="82">
        <v>276.52</v>
      </c>
      <c r="I1178" s="211">
        <f t="shared" si="37"/>
        <v>5.6369785794812E-3</v>
      </c>
    </row>
    <row r="1179" spans="1:9" ht="16">
      <c r="A1179" s="233">
        <v>43693</v>
      </c>
      <c r="B1179">
        <v>82.444068999999999</v>
      </c>
      <c r="C1179" s="47">
        <f t="shared" si="38"/>
        <v>-8.3060037712534562E-4</v>
      </c>
      <c r="E1179" s="81"/>
      <c r="F1179" s="82"/>
      <c r="G1179" s="81">
        <v>43634</v>
      </c>
      <c r="H1179" s="82">
        <v>275.3</v>
      </c>
      <c r="I1179" s="211">
        <f t="shared" si="37"/>
        <v>-4.4119774338202689E-3</v>
      </c>
    </row>
    <row r="1180" spans="1:9" ht="16">
      <c r="A1180" s="233">
        <v>43694</v>
      </c>
      <c r="B1180">
        <v>82.424476999999996</v>
      </c>
      <c r="C1180" s="47">
        <f t="shared" si="38"/>
        <v>-2.376398962065096E-4</v>
      </c>
      <c r="E1180" s="81"/>
      <c r="F1180" s="82"/>
      <c r="G1180" s="81">
        <v>43635</v>
      </c>
      <c r="H1180" s="82">
        <v>272.67</v>
      </c>
      <c r="I1180" s="211">
        <f t="shared" si="37"/>
        <v>-9.5532146749001123E-3</v>
      </c>
    </row>
    <row r="1181" spans="1:9" ht="16">
      <c r="A1181" s="233">
        <v>43697</v>
      </c>
      <c r="B1181">
        <v>82.013191000000006</v>
      </c>
      <c r="C1181" s="47">
        <f t="shared" si="38"/>
        <v>-4.9898527108639401E-3</v>
      </c>
      <c r="E1181" s="81"/>
      <c r="F1181" s="82"/>
      <c r="G1181" s="81">
        <v>43636</v>
      </c>
      <c r="H1181" s="82">
        <v>271.08</v>
      </c>
      <c r="I1181" s="211">
        <f t="shared" si="37"/>
        <v>-5.831224557157122E-3</v>
      </c>
    </row>
    <row r="1182" spans="1:9" ht="16">
      <c r="A1182" s="233">
        <v>43698</v>
      </c>
      <c r="B1182">
        <v>82.238418999999993</v>
      </c>
      <c r="C1182" s="47">
        <f t="shared" si="38"/>
        <v>2.7462411504020068E-3</v>
      </c>
      <c r="E1182" s="81"/>
      <c r="F1182" s="82"/>
      <c r="G1182" s="81">
        <v>43637</v>
      </c>
      <c r="H1182" s="82">
        <v>270</v>
      </c>
      <c r="I1182" s="211">
        <f t="shared" si="37"/>
        <v>-3.9840637450199168E-3</v>
      </c>
    </row>
    <row r="1183" spans="1:9" ht="16">
      <c r="A1183" s="233">
        <v>43699</v>
      </c>
      <c r="B1183">
        <v>83.560424999999995</v>
      </c>
      <c r="C1183" s="47">
        <f t="shared" si="38"/>
        <v>1.6075284715772575E-2</v>
      </c>
      <c r="E1183" s="81"/>
      <c r="F1183" s="82"/>
      <c r="G1183" s="81">
        <v>43638</v>
      </c>
      <c r="H1183" s="82">
        <v>267.77</v>
      </c>
      <c r="I1183" s="211">
        <f t="shared" si="37"/>
        <v>-8.2592592592592995E-3</v>
      </c>
    </row>
    <row r="1184" spans="1:9" ht="16">
      <c r="A1184" s="233">
        <v>43700</v>
      </c>
      <c r="B1184">
        <v>82.992455000000007</v>
      </c>
      <c r="C1184" s="47">
        <f t="shared" si="38"/>
        <v>-6.7971171759836357E-3</v>
      </c>
      <c r="E1184" s="81"/>
      <c r="F1184" s="82"/>
      <c r="G1184" s="81">
        <v>43641</v>
      </c>
      <c r="H1184" s="82">
        <v>266.77999999999997</v>
      </c>
      <c r="I1184" s="211">
        <f t="shared" si="37"/>
        <v>-3.697202823318535E-3</v>
      </c>
    </row>
    <row r="1185" spans="1:9" ht="16">
      <c r="A1185" s="233">
        <v>43701</v>
      </c>
      <c r="B1185">
        <v>83.119759000000002</v>
      </c>
      <c r="C1185" s="47">
        <f t="shared" si="38"/>
        <v>1.5339225716362037E-3</v>
      </c>
      <c r="E1185" s="81"/>
      <c r="F1185" s="82"/>
      <c r="G1185" s="81">
        <v>43642</v>
      </c>
      <c r="H1185" s="82">
        <v>268.27</v>
      </c>
      <c r="I1185" s="211">
        <f t="shared" si="37"/>
        <v>5.5851263213135827E-3</v>
      </c>
    </row>
    <row r="1186" spans="1:9" ht="16">
      <c r="A1186" s="233">
        <v>43704</v>
      </c>
      <c r="B1186">
        <v>83.384163000000001</v>
      </c>
      <c r="C1186" s="47">
        <f t="shared" si="38"/>
        <v>3.1810005608894354E-3</v>
      </c>
      <c r="E1186" s="81"/>
      <c r="F1186" s="82"/>
      <c r="G1186" s="81">
        <v>43643</v>
      </c>
      <c r="H1186" s="82">
        <v>267.87</v>
      </c>
      <c r="I1186" s="211">
        <f t="shared" si="37"/>
        <v>-1.4910351511535636E-3</v>
      </c>
    </row>
    <row r="1187" spans="1:9" ht="16">
      <c r="A1187" s="233">
        <v>43705</v>
      </c>
      <c r="B1187">
        <v>84.245902999999998</v>
      </c>
      <c r="C1187" s="47">
        <f t="shared" si="38"/>
        <v>1.0334576363139725E-2</v>
      </c>
      <c r="E1187" s="81"/>
      <c r="F1187" s="82"/>
      <c r="G1187" s="81">
        <v>43644</v>
      </c>
      <c r="H1187" s="82">
        <v>267.24</v>
      </c>
      <c r="I1187" s="211">
        <f t="shared" si="37"/>
        <v>-2.3518871094186933E-3</v>
      </c>
    </row>
    <row r="1188" spans="1:9" ht="16">
      <c r="A1188" s="233">
        <v>43706</v>
      </c>
      <c r="B1188">
        <v>84.020675999999995</v>
      </c>
      <c r="C1188" s="47">
        <f t="shared" si="38"/>
        <v>-2.6734475147118797E-3</v>
      </c>
      <c r="E1188" s="81"/>
      <c r="F1188" s="82"/>
      <c r="G1188" s="81">
        <v>43645</v>
      </c>
      <c r="H1188" s="82">
        <v>268.13</v>
      </c>
      <c r="I1188" s="211">
        <f t="shared" si="37"/>
        <v>3.3303397694954828E-3</v>
      </c>
    </row>
    <row r="1189" spans="1:9" ht="16">
      <c r="A1189" s="233">
        <v>43707</v>
      </c>
      <c r="B1189">
        <v>83.942336999999995</v>
      </c>
      <c r="C1189" s="47">
        <f t="shared" si="38"/>
        <v>-9.3237764475972984E-4</v>
      </c>
      <c r="E1189" s="81"/>
      <c r="F1189" s="82"/>
      <c r="G1189" s="81">
        <v>43648</v>
      </c>
      <c r="H1189" s="82">
        <v>271.83</v>
      </c>
      <c r="I1189" s="211">
        <f t="shared" si="37"/>
        <v>1.3799276470368715E-2</v>
      </c>
    </row>
    <row r="1190" spans="1:9" ht="16">
      <c r="A1190" s="233">
        <v>43708</v>
      </c>
      <c r="B1190">
        <v>83.734848</v>
      </c>
      <c r="C1190" s="47">
        <f t="shared" si="38"/>
        <v>-2.4718039479886267E-3</v>
      </c>
      <c r="E1190" s="81"/>
      <c r="F1190" s="82"/>
      <c r="G1190" s="81">
        <v>43649</v>
      </c>
      <c r="H1190" s="82">
        <v>272.62</v>
      </c>
      <c r="I1190" s="211">
        <f t="shared" si="37"/>
        <v>2.9062281573042359E-3</v>
      </c>
    </row>
    <row r="1191" spans="1:9" ht="16">
      <c r="A1191" s="233">
        <v>43712</v>
      </c>
      <c r="B1191">
        <v>82.918633</v>
      </c>
      <c r="C1191" s="47">
        <f t="shared" si="38"/>
        <v>-9.7476142788245346E-3</v>
      </c>
      <c r="E1191" s="81"/>
      <c r="F1191" s="82"/>
      <c r="G1191" s="81">
        <v>43650</v>
      </c>
      <c r="H1191" s="82">
        <v>270.79000000000002</v>
      </c>
      <c r="I1191" s="211">
        <f t="shared" si="37"/>
        <v>-6.7126403051867012E-3</v>
      </c>
    </row>
    <row r="1192" spans="1:9" ht="16">
      <c r="A1192" s="233">
        <v>43713</v>
      </c>
      <c r="B1192">
        <v>82.790801999999999</v>
      </c>
      <c r="C1192" s="47">
        <f t="shared" si="38"/>
        <v>-1.5416438425848167E-3</v>
      </c>
      <c r="E1192" s="81"/>
      <c r="F1192" s="82"/>
      <c r="G1192" s="81">
        <v>43651</v>
      </c>
      <c r="H1192" s="82">
        <v>266.88</v>
      </c>
      <c r="I1192" s="211">
        <f t="shared" si="37"/>
        <v>-1.4439233354259895E-2</v>
      </c>
    </row>
    <row r="1193" spans="1:9" ht="16">
      <c r="A1193" s="233">
        <v>43714</v>
      </c>
      <c r="B1193">
        <v>83.233322000000001</v>
      </c>
      <c r="C1193" s="47">
        <f t="shared" si="38"/>
        <v>5.345038208471431E-3</v>
      </c>
      <c r="E1193" s="81"/>
      <c r="F1193" s="82"/>
      <c r="G1193" s="81">
        <v>43652</v>
      </c>
      <c r="H1193" s="82">
        <v>266.27</v>
      </c>
      <c r="I1193" s="211">
        <f t="shared" si="37"/>
        <v>-2.2856714628297636E-3</v>
      </c>
    </row>
    <row r="1194" spans="1:9" ht="16">
      <c r="A1194" s="233">
        <v>43715</v>
      </c>
      <c r="B1194">
        <v>83.302147000000005</v>
      </c>
      <c r="C1194" s="47">
        <f t="shared" si="38"/>
        <v>8.2689238331745685E-4</v>
      </c>
      <c r="E1194" s="81"/>
      <c r="F1194" s="82"/>
      <c r="G1194" s="81">
        <v>43655</v>
      </c>
      <c r="H1194" s="82">
        <v>266.64999999999998</v>
      </c>
      <c r="I1194" s="211">
        <f t="shared" si="37"/>
        <v>1.4271228452322759E-3</v>
      </c>
    </row>
    <row r="1195" spans="1:9" ht="16">
      <c r="A1195" s="233">
        <v>43718</v>
      </c>
      <c r="B1195">
        <v>83.174316000000005</v>
      </c>
      <c r="C1195" s="47">
        <f t="shared" si="38"/>
        <v>-1.5345462824625233E-3</v>
      </c>
      <c r="E1195" s="81"/>
      <c r="F1195" s="82"/>
      <c r="G1195" s="81">
        <v>43656</v>
      </c>
      <c r="H1195" s="82">
        <v>269.35000000000002</v>
      </c>
      <c r="I1195" s="211">
        <f t="shared" si="37"/>
        <v>1.0125632852053368E-2</v>
      </c>
    </row>
    <row r="1196" spans="1:9" ht="16">
      <c r="A1196" s="233">
        <v>43719</v>
      </c>
      <c r="B1196">
        <v>83.233322000000001</v>
      </c>
      <c r="C1196" s="47">
        <f t="shared" si="38"/>
        <v>7.0942573185694968E-4</v>
      </c>
      <c r="E1196" s="81"/>
      <c r="F1196" s="82"/>
      <c r="G1196" s="81">
        <v>43657</v>
      </c>
      <c r="H1196" s="82">
        <v>271.79000000000002</v>
      </c>
      <c r="I1196" s="211">
        <f t="shared" si="37"/>
        <v>9.0588453684796733E-3</v>
      </c>
    </row>
    <row r="1197" spans="1:9" ht="16">
      <c r="A1197" s="233">
        <v>43720</v>
      </c>
      <c r="B1197">
        <v>83.282486000000006</v>
      </c>
      <c r="C1197" s="47">
        <f t="shared" si="38"/>
        <v>5.9067689260317024E-4</v>
      </c>
      <c r="E1197" s="81"/>
      <c r="F1197" s="82"/>
      <c r="G1197" s="81">
        <v>43658</v>
      </c>
      <c r="H1197" s="82">
        <v>275.27</v>
      </c>
      <c r="I1197" s="211">
        <f t="shared" si="37"/>
        <v>1.2804003090621352E-2</v>
      </c>
    </row>
    <row r="1198" spans="1:9" ht="16">
      <c r="A1198" s="233">
        <v>43721</v>
      </c>
      <c r="B1198">
        <v>83.311988999999997</v>
      </c>
      <c r="C1198" s="47">
        <f t="shared" si="38"/>
        <v>3.5425215332773874E-4</v>
      </c>
      <c r="E1198" s="81"/>
      <c r="F1198" s="82"/>
      <c r="G1198" s="81">
        <v>43659</v>
      </c>
      <c r="H1198" s="82">
        <v>276.8</v>
      </c>
      <c r="I1198" s="211">
        <f t="shared" si="37"/>
        <v>5.5581792421985909E-3</v>
      </c>
    </row>
    <row r="1199" spans="1:9" ht="16">
      <c r="A1199" s="233">
        <v>43722</v>
      </c>
      <c r="B1199">
        <v>83.036652000000004</v>
      </c>
      <c r="C1199" s="47">
        <f t="shared" si="38"/>
        <v>-3.3048904882104768E-3</v>
      </c>
      <c r="E1199" s="81"/>
      <c r="F1199" s="82"/>
      <c r="G1199" s="81">
        <v>43662</v>
      </c>
      <c r="H1199" s="82">
        <v>277.06</v>
      </c>
      <c r="I1199" s="211">
        <f t="shared" si="37"/>
        <v>9.3930635838157528E-4</v>
      </c>
    </row>
    <row r="1200" spans="1:9" ht="16">
      <c r="A1200" s="233">
        <v>43725</v>
      </c>
      <c r="B1200">
        <v>83.085808</v>
      </c>
      <c r="C1200" s="47">
        <f t="shared" si="38"/>
        <v>5.9197955139134173E-4</v>
      </c>
      <c r="E1200" s="81"/>
      <c r="F1200" s="82"/>
      <c r="G1200" s="81">
        <v>43663</v>
      </c>
      <c r="H1200" s="82">
        <v>275.45</v>
      </c>
      <c r="I1200" s="211">
        <f t="shared" si="37"/>
        <v>-5.8110156644770594E-3</v>
      </c>
    </row>
    <row r="1201" spans="1:9" ht="16">
      <c r="A1201" s="233">
        <v>43726</v>
      </c>
      <c r="B1201">
        <v>82.987472999999994</v>
      </c>
      <c r="C1201" s="47">
        <f t="shared" si="38"/>
        <v>-1.1835354601114068E-3</v>
      </c>
      <c r="E1201" s="81"/>
      <c r="F1201" s="82"/>
      <c r="G1201" s="81">
        <v>43664</v>
      </c>
      <c r="H1201" s="82">
        <v>274.85000000000002</v>
      </c>
      <c r="I1201" s="211">
        <f t="shared" si="37"/>
        <v>-2.1782537665636648E-3</v>
      </c>
    </row>
    <row r="1202" spans="1:9" ht="16">
      <c r="A1202" s="233">
        <v>43727</v>
      </c>
      <c r="B1202">
        <v>82.918633</v>
      </c>
      <c r="C1202" s="47">
        <f t="shared" si="38"/>
        <v>-8.2952278833692272E-4</v>
      </c>
      <c r="E1202" s="81"/>
      <c r="F1202" s="82"/>
      <c r="G1202" s="81">
        <v>43665</v>
      </c>
      <c r="H1202" s="82">
        <v>274.93</v>
      </c>
      <c r="I1202" s="211">
        <f t="shared" si="37"/>
        <v>2.9106785519372735E-4</v>
      </c>
    </row>
    <row r="1203" spans="1:9" ht="16">
      <c r="A1203" s="233">
        <v>43728</v>
      </c>
      <c r="B1203">
        <v>82.082763999999997</v>
      </c>
      <c r="C1203" s="47">
        <f t="shared" si="38"/>
        <v>-1.0080593103844349E-2</v>
      </c>
      <c r="E1203" s="81"/>
      <c r="F1203" s="82"/>
      <c r="G1203" s="81">
        <v>43666</v>
      </c>
      <c r="H1203" s="82">
        <v>274.45999999999998</v>
      </c>
      <c r="I1203" s="211">
        <f t="shared" si="37"/>
        <v>-1.7095260611793561E-3</v>
      </c>
    </row>
    <row r="1204" spans="1:9" ht="16">
      <c r="A1204" s="233">
        <v>43729</v>
      </c>
      <c r="B1204">
        <v>82.417107000000001</v>
      </c>
      <c r="C1204" s="47">
        <f t="shared" si="38"/>
        <v>4.0732424653731059E-3</v>
      </c>
      <c r="E1204" s="81"/>
      <c r="F1204" s="82"/>
      <c r="G1204" s="81">
        <v>43669</v>
      </c>
      <c r="H1204" s="82">
        <v>273.87</v>
      </c>
      <c r="I1204" s="211">
        <f t="shared" si="37"/>
        <v>-2.149675726881739E-3</v>
      </c>
    </row>
    <row r="1205" spans="1:9" ht="16">
      <c r="A1205" s="233">
        <v>43732</v>
      </c>
      <c r="B1205">
        <v>81.945083999999994</v>
      </c>
      <c r="C1205" s="47">
        <f t="shared" si="38"/>
        <v>-5.7272454370426162E-3</v>
      </c>
      <c r="E1205" s="81"/>
      <c r="F1205" s="82"/>
      <c r="G1205" s="81">
        <v>43670</v>
      </c>
      <c r="H1205" s="82">
        <v>278.67</v>
      </c>
      <c r="I1205" s="211">
        <f t="shared" si="37"/>
        <v>1.7526563698105013E-2</v>
      </c>
    </row>
    <row r="1206" spans="1:9" ht="16">
      <c r="A1206" s="233">
        <v>43733</v>
      </c>
      <c r="B1206">
        <v>81.404228000000003</v>
      </c>
      <c r="C1206" s="47">
        <f t="shared" si="38"/>
        <v>-6.6002250970905729E-3</v>
      </c>
      <c r="E1206" s="81"/>
      <c r="F1206" s="82"/>
      <c r="G1206" s="81">
        <v>43671</v>
      </c>
      <c r="H1206" s="82">
        <v>278.95999999999998</v>
      </c>
      <c r="I1206" s="211">
        <f t="shared" si="37"/>
        <v>1.0406574084040887E-3</v>
      </c>
    </row>
    <row r="1207" spans="1:9" ht="16">
      <c r="A1207" s="233">
        <v>43734</v>
      </c>
      <c r="B1207">
        <v>81.050208999999995</v>
      </c>
      <c r="C1207" s="47">
        <f t="shared" si="38"/>
        <v>-4.3489018776765587E-3</v>
      </c>
      <c r="E1207" s="81"/>
      <c r="F1207" s="82"/>
      <c r="G1207" s="81">
        <v>43672</v>
      </c>
      <c r="H1207" s="82">
        <v>279.7</v>
      </c>
      <c r="I1207" s="211">
        <f t="shared" si="37"/>
        <v>2.6527100659592406E-3</v>
      </c>
    </row>
    <row r="1208" spans="1:9" ht="16">
      <c r="A1208" s="233">
        <v>43735</v>
      </c>
      <c r="B1208">
        <v>81.237053000000003</v>
      </c>
      <c r="C1208" s="47">
        <f t="shared" si="38"/>
        <v>2.3052870844542106E-3</v>
      </c>
      <c r="E1208" s="81"/>
      <c r="F1208" s="82"/>
      <c r="G1208" s="81">
        <v>43673</v>
      </c>
      <c r="H1208" s="82">
        <v>281.95999999999998</v>
      </c>
      <c r="I1208" s="211">
        <f t="shared" si="37"/>
        <v>8.0800858062208825E-3</v>
      </c>
    </row>
    <row r="1209" spans="1:9" ht="16">
      <c r="A1209" s="233">
        <v>43736</v>
      </c>
      <c r="B1209">
        <v>81.148544000000001</v>
      </c>
      <c r="C1209" s="47">
        <f t="shared" si="38"/>
        <v>-1.0895151501865152E-3</v>
      </c>
      <c r="E1209" s="81"/>
      <c r="F1209" s="82"/>
      <c r="G1209" s="81">
        <v>43676</v>
      </c>
      <c r="H1209" s="82">
        <v>283.04000000000002</v>
      </c>
      <c r="I1209" s="211">
        <f t="shared" si="37"/>
        <v>3.8303305433395884E-3</v>
      </c>
    </row>
    <row r="1210" spans="1:9" ht="16">
      <c r="A1210" s="233">
        <v>43739</v>
      </c>
      <c r="B1210">
        <v>80.262664999999998</v>
      </c>
      <c r="C1210" s="47">
        <f t="shared" si="38"/>
        <v>-1.0916757791735621E-2</v>
      </c>
      <c r="E1210" s="81"/>
      <c r="F1210" s="82"/>
      <c r="G1210" s="81">
        <v>43677</v>
      </c>
      <c r="H1210" s="82">
        <v>281.66000000000003</v>
      </c>
      <c r="I1210" s="211">
        <f t="shared" si="37"/>
        <v>-4.8756359525155002E-3</v>
      </c>
    </row>
    <row r="1211" spans="1:9" ht="16">
      <c r="A1211" s="233">
        <v>43740</v>
      </c>
      <c r="B1211">
        <v>79.363952999999995</v>
      </c>
      <c r="C1211" s="47">
        <f t="shared" si="38"/>
        <v>-1.1197136302414146E-2</v>
      </c>
      <c r="E1211" s="81"/>
      <c r="F1211" s="82"/>
      <c r="G1211" s="81">
        <v>43678</v>
      </c>
      <c r="H1211" s="82">
        <v>276.19</v>
      </c>
      <c r="I1211" s="211">
        <f t="shared" si="37"/>
        <v>-1.9420578001846267E-2</v>
      </c>
    </row>
    <row r="1212" spans="1:9" ht="16">
      <c r="A1212" s="233">
        <v>43741</v>
      </c>
      <c r="B1212">
        <v>79.739234999999994</v>
      </c>
      <c r="C1212" s="47">
        <f t="shared" si="38"/>
        <v>4.7286203095251444E-3</v>
      </c>
      <c r="E1212" s="81"/>
      <c r="F1212" s="82"/>
      <c r="G1212" s="81">
        <v>43679</v>
      </c>
      <c r="H1212" s="82">
        <v>275.31</v>
      </c>
      <c r="I1212" s="211">
        <f t="shared" si="37"/>
        <v>-3.1862123900213701E-3</v>
      </c>
    </row>
    <row r="1213" spans="1:9" ht="16">
      <c r="A1213" s="233">
        <v>43742</v>
      </c>
      <c r="B1213">
        <v>79.709609999999998</v>
      </c>
      <c r="C1213" s="47">
        <f t="shared" si="38"/>
        <v>-3.7152350408176105E-4</v>
      </c>
      <c r="E1213" s="81"/>
      <c r="F1213" s="82"/>
      <c r="G1213" s="81">
        <v>43680</v>
      </c>
      <c r="H1213" s="82">
        <v>276.54000000000002</v>
      </c>
      <c r="I1213" s="211">
        <f t="shared" si="37"/>
        <v>4.4676909665468667E-3</v>
      </c>
    </row>
    <row r="1214" spans="1:9" ht="16">
      <c r="A1214" s="233">
        <v>43743</v>
      </c>
      <c r="B1214">
        <v>79.739234999999994</v>
      </c>
      <c r="C1214" s="47">
        <f t="shared" si="38"/>
        <v>3.7166158509616132E-4</v>
      </c>
      <c r="E1214" s="81"/>
      <c r="F1214" s="82"/>
      <c r="G1214" s="81">
        <v>43683</v>
      </c>
      <c r="H1214" s="82">
        <v>276.24</v>
      </c>
      <c r="I1214" s="211">
        <f t="shared" si="37"/>
        <v>-1.0848340203949425E-3</v>
      </c>
    </row>
    <row r="1215" spans="1:9" ht="16">
      <c r="A1215" s="233">
        <v>43746</v>
      </c>
      <c r="B1215">
        <v>80.134276999999997</v>
      </c>
      <c r="C1215" s="47">
        <f t="shared" si="38"/>
        <v>4.9541734379570102E-3</v>
      </c>
      <c r="E1215" s="81"/>
      <c r="F1215" s="82"/>
      <c r="G1215" s="81">
        <v>43684</v>
      </c>
      <c r="H1215" s="82">
        <v>273.3</v>
      </c>
      <c r="I1215" s="211">
        <f t="shared" si="37"/>
        <v>-1.0642919200695045E-2</v>
      </c>
    </row>
    <row r="1216" spans="1:9" ht="16">
      <c r="A1216" s="233">
        <v>43747</v>
      </c>
      <c r="B1216">
        <v>80.262664999999998</v>
      </c>
      <c r="C1216" s="47">
        <f t="shared" si="38"/>
        <v>1.6021608331227011E-3</v>
      </c>
      <c r="E1216" s="81"/>
      <c r="F1216" s="82"/>
      <c r="G1216" s="81">
        <v>43685</v>
      </c>
      <c r="H1216" s="82">
        <v>274.14</v>
      </c>
      <c r="I1216" s="211">
        <f t="shared" si="37"/>
        <v>3.0735455543358103E-3</v>
      </c>
    </row>
    <row r="1217" spans="1:9" ht="16">
      <c r="A1217" s="233">
        <v>43748</v>
      </c>
      <c r="B1217">
        <v>80.914490000000001</v>
      </c>
      <c r="C1217" s="47">
        <f t="shared" si="38"/>
        <v>8.12114823249388E-3</v>
      </c>
      <c r="E1217" s="81"/>
      <c r="F1217" s="82"/>
      <c r="G1217" s="81">
        <v>43686</v>
      </c>
      <c r="H1217" s="82">
        <v>274.06</v>
      </c>
      <c r="I1217" s="211">
        <f t="shared" si="37"/>
        <v>-2.9182169694308424E-4</v>
      </c>
    </row>
    <row r="1218" spans="1:9" ht="16">
      <c r="A1218" s="233">
        <v>43749</v>
      </c>
      <c r="B1218">
        <v>80.065146999999996</v>
      </c>
      <c r="C1218" s="47">
        <f t="shared" si="38"/>
        <v>-1.0496797297987137E-2</v>
      </c>
      <c r="E1218" s="81"/>
      <c r="F1218" s="82"/>
      <c r="G1218" s="81">
        <v>43687</v>
      </c>
      <c r="H1218" s="82">
        <v>271.55</v>
      </c>
      <c r="I1218" s="211">
        <f t="shared" si="37"/>
        <v>-9.158578413486107E-3</v>
      </c>
    </row>
    <row r="1219" spans="1:9" ht="16">
      <c r="A1219" s="233">
        <v>43750</v>
      </c>
      <c r="B1219">
        <v>80.292304999999999</v>
      </c>
      <c r="C1219" s="47">
        <f t="shared" si="38"/>
        <v>2.8371645904803344E-3</v>
      </c>
      <c r="E1219" s="81"/>
      <c r="F1219" s="82"/>
      <c r="G1219" s="81">
        <v>43690</v>
      </c>
      <c r="H1219" s="82">
        <v>268.61</v>
      </c>
      <c r="I1219" s="211">
        <f t="shared" si="37"/>
        <v>-1.0826735407843846E-2</v>
      </c>
    </row>
    <row r="1220" spans="1:9" ht="16">
      <c r="A1220" s="233">
        <v>43753</v>
      </c>
      <c r="B1220">
        <v>80.203406999999999</v>
      </c>
      <c r="C1220" s="47">
        <f t="shared" si="38"/>
        <v>-1.1071795734348688E-3</v>
      </c>
      <c r="E1220" s="81"/>
      <c r="F1220" s="82"/>
      <c r="G1220" s="81">
        <v>43691</v>
      </c>
      <c r="H1220" s="82">
        <v>267.47000000000003</v>
      </c>
      <c r="I1220" s="211">
        <f t="shared" si="37"/>
        <v>-4.2440713301812316E-3</v>
      </c>
    </row>
    <row r="1221" spans="1:9" ht="16">
      <c r="A1221" s="233">
        <v>43754</v>
      </c>
      <c r="B1221">
        <v>79.818245000000005</v>
      </c>
      <c r="C1221" s="47">
        <f t="shared" si="38"/>
        <v>-4.8023146946861717E-3</v>
      </c>
      <c r="E1221" s="81"/>
      <c r="F1221" s="82"/>
      <c r="G1221" s="81">
        <v>43692</v>
      </c>
      <c r="H1221" s="82">
        <v>266.51</v>
      </c>
      <c r="I1221" s="211">
        <f t="shared" si="37"/>
        <v>-3.5891875724382016E-3</v>
      </c>
    </row>
    <row r="1222" spans="1:9" ht="16">
      <c r="A1222" s="233">
        <v>43755</v>
      </c>
      <c r="B1222">
        <v>79.304694999999995</v>
      </c>
      <c r="C1222" s="47">
        <f t="shared" si="38"/>
        <v>-6.4339926291289151E-3</v>
      </c>
      <c r="E1222" s="81"/>
      <c r="F1222" s="82"/>
      <c r="G1222" s="81">
        <v>43693</v>
      </c>
      <c r="H1222" s="82">
        <v>266.16000000000003</v>
      </c>
      <c r="I1222" s="211">
        <f t="shared" si="37"/>
        <v>-1.3132715470337564E-3</v>
      </c>
    </row>
    <row r="1223" spans="1:9" ht="16">
      <c r="A1223" s="233">
        <v>43756</v>
      </c>
      <c r="B1223">
        <v>78.722008000000002</v>
      </c>
      <c r="C1223" s="47">
        <f t="shared" si="38"/>
        <v>-7.3474464532017336E-3</v>
      </c>
      <c r="E1223" s="81"/>
      <c r="F1223" s="82"/>
      <c r="G1223" s="81">
        <v>43694</v>
      </c>
      <c r="H1223" s="82">
        <v>263.7</v>
      </c>
      <c r="I1223" s="211">
        <f t="shared" si="37"/>
        <v>-9.2425608656448999E-3</v>
      </c>
    </row>
    <row r="1224" spans="1:9" ht="16">
      <c r="A1224" s="233">
        <v>43757</v>
      </c>
      <c r="B1224">
        <v>79.156554999999997</v>
      </c>
      <c r="C1224" s="47">
        <f t="shared" si="38"/>
        <v>5.520019255606412E-3</v>
      </c>
      <c r="E1224" s="81"/>
      <c r="F1224" s="82"/>
      <c r="G1224" s="81">
        <v>43697</v>
      </c>
      <c r="H1224" s="82">
        <v>262.63</v>
      </c>
      <c r="I1224" s="211">
        <f t="shared" si="37"/>
        <v>-4.0576412590064281E-3</v>
      </c>
    </row>
    <row r="1225" spans="1:9" ht="16">
      <c r="A1225" s="233">
        <v>43760</v>
      </c>
      <c r="B1225">
        <v>79.610855000000001</v>
      </c>
      <c r="C1225" s="47">
        <f t="shared" si="38"/>
        <v>5.7392593702443317E-3</v>
      </c>
      <c r="E1225" s="81"/>
      <c r="F1225" s="82"/>
      <c r="G1225" s="81">
        <v>43698</v>
      </c>
      <c r="H1225" s="82">
        <v>264.44</v>
      </c>
      <c r="I1225" s="211">
        <f t="shared" si="37"/>
        <v>6.8918250009519788E-3</v>
      </c>
    </row>
    <row r="1226" spans="1:9" ht="16">
      <c r="A1226" s="233">
        <v>43761</v>
      </c>
      <c r="B1226">
        <v>80.242919999999998</v>
      </c>
      <c r="C1226" s="47">
        <f t="shared" si="38"/>
        <v>7.9394323801698086E-3</v>
      </c>
      <c r="E1226" s="81"/>
      <c r="F1226" s="82"/>
      <c r="G1226" s="81">
        <v>43699</v>
      </c>
      <c r="H1226" s="82">
        <v>265.56</v>
      </c>
      <c r="I1226" s="211">
        <f t="shared" si="37"/>
        <v>4.2353653002571434E-3</v>
      </c>
    </row>
    <row r="1227" spans="1:9" ht="16">
      <c r="A1227" s="233">
        <v>43762</v>
      </c>
      <c r="B1227">
        <v>79.640479999999997</v>
      </c>
      <c r="C1227" s="47">
        <f t="shared" si="38"/>
        <v>-7.5077028602648088E-3</v>
      </c>
      <c r="E1227" s="81"/>
      <c r="F1227" s="82"/>
      <c r="G1227" s="81">
        <v>43700</v>
      </c>
      <c r="H1227" s="82">
        <v>267.77999999999997</v>
      </c>
      <c r="I1227" s="211">
        <f t="shared" si="37"/>
        <v>8.3596927248077435E-3</v>
      </c>
    </row>
    <row r="1228" spans="1:9" ht="16">
      <c r="A1228" s="233">
        <v>43763</v>
      </c>
      <c r="B1228">
        <v>79.956505000000007</v>
      </c>
      <c r="C1228" s="47">
        <f t="shared" si="38"/>
        <v>3.9681453451814175E-3</v>
      </c>
      <c r="E1228" s="81"/>
      <c r="F1228" s="82"/>
      <c r="G1228" s="81">
        <v>43701</v>
      </c>
      <c r="H1228" s="82">
        <v>265.19</v>
      </c>
      <c r="I1228" s="211">
        <f t="shared" si="37"/>
        <v>-9.6721189035774424E-3</v>
      </c>
    </row>
    <row r="1229" spans="1:9" ht="16">
      <c r="A1229" s="233">
        <v>43764</v>
      </c>
      <c r="B1229">
        <v>79.996016999999995</v>
      </c>
      <c r="C1229" s="47">
        <f t="shared" si="38"/>
        <v>4.9416867333040848E-4</v>
      </c>
      <c r="E1229" s="81"/>
      <c r="F1229" s="82"/>
      <c r="G1229" s="81">
        <v>43704</v>
      </c>
      <c r="H1229" s="82">
        <v>266.92</v>
      </c>
      <c r="I1229" s="211">
        <f t="shared" si="37"/>
        <v>6.5236245710622587E-3</v>
      </c>
    </row>
    <row r="1230" spans="1:9" ht="16">
      <c r="A1230" s="233">
        <v>43767</v>
      </c>
      <c r="B1230">
        <v>80.203406999999999</v>
      </c>
      <c r="C1230" s="47">
        <f t="shared" si="38"/>
        <v>2.5925040742966754E-3</v>
      </c>
      <c r="E1230" s="81"/>
      <c r="F1230" s="82"/>
      <c r="G1230" s="81">
        <v>43705</v>
      </c>
      <c r="H1230" s="82">
        <v>269.68</v>
      </c>
      <c r="I1230" s="211">
        <f t="shared" si="37"/>
        <v>1.0340176832009496E-2</v>
      </c>
    </row>
    <row r="1231" spans="1:9" ht="16">
      <c r="A1231" s="233">
        <v>43768</v>
      </c>
      <c r="B1231">
        <v>80.183661999999998</v>
      </c>
      <c r="C1231" s="47">
        <f t="shared" si="38"/>
        <v>-2.4618654915742333E-4</v>
      </c>
      <c r="E1231" s="81"/>
      <c r="F1231" s="82"/>
      <c r="G1231" s="81">
        <v>43706</v>
      </c>
      <c r="H1231" s="82">
        <v>269.99</v>
      </c>
      <c r="I1231" s="211">
        <f t="shared" si="37"/>
        <v>1.1495105309997644E-3</v>
      </c>
    </row>
    <row r="1232" spans="1:9" ht="16">
      <c r="A1232" s="233">
        <v>43769</v>
      </c>
      <c r="B1232">
        <v>81.237189999999998</v>
      </c>
      <c r="C1232" s="47">
        <f t="shared" si="38"/>
        <v>1.3138935959297937E-2</v>
      </c>
      <c r="E1232" s="81"/>
      <c r="F1232" s="82"/>
      <c r="G1232" s="81">
        <v>43707</v>
      </c>
      <c r="H1232" s="82">
        <v>267.94</v>
      </c>
      <c r="I1232" s="211">
        <f t="shared" ref="I1232:I1295" si="39">H1232/H1231-1</f>
        <v>-7.5928738101411763E-3</v>
      </c>
    </row>
    <row r="1233" spans="1:9" ht="16">
      <c r="A1233" s="233">
        <v>43770</v>
      </c>
      <c r="B1233">
        <v>82.050651999999999</v>
      </c>
      <c r="C1233" s="47">
        <f t="shared" ref="C1233:C1272" si="40">B1233/B1232-1</f>
        <v>1.0013418731002366E-2</v>
      </c>
      <c r="E1233" s="81"/>
      <c r="F1233" s="82"/>
      <c r="G1233" s="81">
        <v>43708</v>
      </c>
      <c r="H1233" s="82">
        <v>269.08</v>
      </c>
      <c r="I1233" s="211">
        <f t="shared" si="39"/>
        <v>4.2546838844517154E-3</v>
      </c>
    </row>
    <row r="1234" spans="1:9" ht="16">
      <c r="A1234" s="233">
        <v>43771</v>
      </c>
      <c r="B1234">
        <v>82.854195000000004</v>
      </c>
      <c r="C1234" s="47">
        <f t="shared" si="40"/>
        <v>9.7932555124609078E-3</v>
      </c>
      <c r="E1234" s="81"/>
      <c r="F1234" s="82"/>
      <c r="G1234" s="81">
        <v>43711</v>
      </c>
      <c r="H1234" s="82">
        <v>271.70999999999998</v>
      </c>
      <c r="I1234" s="211">
        <f t="shared" si="39"/>
        <v>9.7740448937118085E-3</v>
      </c>
    </row>
    <row r="1235" spans="1:9" ht="16">
      <c r="A1235" s="233">
        <v>43774</v>
      </c>
      <c r="B1235">
        <v>82.169708</v>
      </c>
      <c r="C1235" s="47">
        <f t="shared" si="40"/>
        <v>-8.2613439186755011E-3</v>
      </c>
      <c r="E1235" s="81"/>
      <c r="F1235" s="82"/>
      <c r="G1235" s="81">
        <v>43712</v>
      </c>
      <c r="H1235" s="82">
        <v>269.5</v>
      </c>
      <c r="I1235" s="211">
        <f t="shared" si="39"/>
        <v>-8.1336719296307702E-3</v>
      </c>
    </row>
    <row r="1236" spans="1:9" ht="16">
      <c r="A1236" s="233">
        <v>43775</v>
      </c>
      <c r="B1236">
        <v>82.447472000000005</v>
      </c>
      <c r="C1236" s="47">
        <f t="shared" si="40"/>
        <v>3.3803698073260335E-3</v>
      </c>
      <c r="E1236" s="81"/>
      <c r="F1236" s="82"/>
      <c r="G1236" s="81">
        <v>43713</v>
      </c>
      <c r="H1236" s="82">
        <v>268.58999999999997</v>
      </c>
      <c r="I1236" s="211">
        <f t="shared" si="39"/>
        <v>-3.3766233766234777E-3</v>
      </c>
    </row>
    <row r="1237" spans="1:9" ht="16">
      <c r="A1237" s="233">
        <v>43776</v>
      </c>
      <c r="B1237">
        <v>82.606194000000002</v>
      </c>
      <c r="C1237" s="47">
        <f t="shared" si="40"/>
        <v>1.9251287656218974E-3</v>
      </c>
      <c r="E1237" s="81"/>
      <c r="F1237" s="82"/>
      <c r="G1237" s="81">
        <v>43714</v>
      </c>
      <c r="H1237" s="82">
        <v>266.77</v>
      </c>
      <c r="I1237" s="211">
        <f t="shared" si="39"/>
        <v>-6.7761271826948244E-3</v>
      </c>
    </row>
    <row r="1238" spans="1:9" ht="16">
      <c r="A1238" s="233">
        <v>43777</v>
      </c>
      <c r="B1238">
        <v>81.762962000000002</v>
      </c>
      <c r="C1238" s="47">
        <f t="shared" si="40"/>
        <v>-1.0207854389224114E-2</v>
      </c>
      <c r="E1238" s="81"/>
      <c r="F1238" s="82"/>
      <c r="G1238" s="81">
        <v>43715</v>
      </c>
      <c r="H1238" s="82">
        <v>267.02</v>
      </c>
      <c r="I1238" s="211">
        <f t="shared" si="39"/>
        <v>9.3713685946705816E-4</v>
      </c>
    </row>
    <row r="1239" spans="1:9" ht="16">
      <c r="A1239" s="233">
        <v>43778</v>
      </c>
      <c r="B1239">
        <v>82.120102000000003</v>
      </c>
      <c r="C1239" s="47">
        <f t="shared" si="40"/>
        <v>4.3679924413697613E-3</v>
      </c>
      <c r="E1239" s="81"/>
      <c r="F1239" s="82"/>
      <c r="G1239" s="81">
        <v>43718</v>
      </c>
      <c r="H1239" s="82">
        <v>268.08999999999997</v>
      </c>
      <c r="I1239" s="211">
        <f t="shared" si="39"/>
        <v>4.0071904726237673E-3</v>
      </c>
    </row>
    <row r="1240" spans="1:9" ht="16">
      <c r="A1240" s="233">
        <v>43781</v>
      </c>
      <c r="B1240">
        <v>81.683600999999996</v>
      </c>
      <c r="C1240" s="47">
        <f t="shared" si="40"/>
        <v>-5.3153976842358341E-3</v>
      </c>
      <c r="E1240" s="81"/>
      <c r="F1240" s="82"/>
      <c r="G1240" s="81">
        <v>43719</v>
      </c>
      <c r="H1240" s="82">
        <v>267.32</v>
      </c>
      <c r="I1240" s="211">
        <f t="shared" si="39"/>
        <v>-2.8721697937259538E-3</v>
      </c>
    </row>
    <row r="1241" spans="1:9" ht="16">
      <c r="A1241" s="233">
        <v>43782</v>
      </c>
      <c r="B1241">
        <v>83.102203000000003</v>
      </c>
      <c r="C1241" s="47">
        <f t="shared" si="40"/>
        <v>1.7367035520385654E-2</v>
      </c>
      <c r="E1241" s="81"/>
      <c r="F1241" s="82"/>
      <c r="G1241" s="81">
        <v>43720</v>
      </c>
      <c r="H1241" s="82">
        <v>267.22000000000003</v>
      </c>
      <c r="I1241" s="211">
        <f t="shared" si="39"/>
        <v>-3.7408349543610608E-4</v>
      </c>
    </row>
    <row r="1242" spans="1:9" ht="16">
      <c r="A1242" s="233">
        <v>43783</v>
      </c>
      <c r="B1242">
        <v>82.586357000000007</v>
      </c>
      <c r="C1242" s="47">
        <f t="shared" si="40"/>
        <v>-6.2073685339003593E-3</v>
      </c>
      <c r="E1242" s="81"/>
      <c r="F1242" s="82"/>
      <c r="G1242" s="81">
        <v>43721</v>
      </c>
      <c r="H1242" s="82">
        <v>268.83</v>
      </c>
      <c r="I1242" s="211">
        <f t="shared" si="39"/>
        <v>6.0249981288824639E-3</v>
      </c>
    </row>
    <row r="1243" spans="1:9" ht="16">
      <c r="A1243" s="233">
        <v>43784</v>
      </c>
      <c r="B1243">
        <v>83.270850999999993</v>
      </c>
      <c r="C1243" s="47">
        <f t="shared" si="40"/>
        <v>8.2882212615333906E-3</v>
      </c>
      <c r="E1243" s="81"/>
      <c r="F1243" s="82"/>
      <c r="G1243" s="81">
        <v>43722</v>
      </c>
      <c r="H1243" s="82">
        <v>269.11</v>
      </c>
      <c r="I1243" s="211">
        <f t="shared" si="39"/>
        <v>1.0415504222001104E-3</v>
      </c>
    </row>
    <row r="1244" spans="1:9" ht="16">
      <c r="A1244" s="233">
        <v>43785</v>
      </c>
      <c r="B1244">
        <v>83.538696000000002</v>
      </c>
      <c r="C1244" s="47">
        <f t="shared" si="40"/>
        <v>3.2165517318900605E-3</v>
      </c>
      <c r="E1244" s="81"/>
      <c r="F1244" s="82"/>
      <c r="G1244" s="81">
        <v>43725</v>
      </c>
      <c r="H1244" s="82">
        <v>267.07</v>
      </c>
      <c r="I1244" s="211">
        <f t="shared" si="39"/>
        <v>-7.5805432722678701E-3</v>
      </c>
    </row>
    <row r="1245" spans="1:9" ht="16">
      <c r="A1245" s="233">
        <v>43788</v>
      </c>
      <c r="B1245">
        <v>84.064475999999999</v>
      </c>
      <c r="C1245" s="47">
        <f t="shared" si="40"/>
        <v>6.2938497388085324E-3</v>
      </c>
      <c r="E1245" s="81"/>
      <c r="F1245" s="82"/>
      <c r="G1245" s="81">
        <v>43726</v>
      </c>
      <c r="H1245" s="82">
        <v>266.76</v>
      </c>
      <c r="I1245" s="211">
        <f t="shared" si="39"/>
        <v>-1.1607443741341594E-3</v>
      </c>
    </row>
    <row r="1246" spans="1:9" ht="16">
      <c r="A1246" s="233">
        <v>43789</v>
      </c>
      <c r="B1246">
        <v>84.064475999999999</v>
      </c>
      <c r="C1246" s="47">
        <f t="shared" si="40"/>
        <v>0</v>
      </c>
      <c r="E1246" s="81"/>
      <c r="F1246" s="82"/>
      <c r="G1246" s="81">
        <v>43727</v>
      </c>
      <c r="H1246" s="82">
        <v>265.62</v>
      </c>
      <c r="I1246" s="211">
        <f t="shared" si="39"/>
        <v>-4.2735042735042583E-3</v>
      </c>
    </row>
    <row r="1247" spans="1:9" ht="16">
      <c r="A1247" s="233">
        <v>43790</v>
      </c>
      <c r="B1247">
        <v>84.481133</v>
      </c>
      <c r="C1247" s="47">
        <f t="shared" si="40"/>
        <v>4.9563979914655221E-3</v>
      </c>
      <c r="E1247" s="81"/>
      <c r="F1247" s="82"/>
      <c r="G1247" s="81">
        <v>43728</v>
      </c>
      <c r="H1247" s="82">
        <v>262.12</v>
      </c>
      <c r="I1247" s="211">
        <f t="shared" si="39"/>
        <v>-1.3176718620585781E-2</v>
      </c>
    </row>
    <row r="1248" spans="1:9" ht="16">
      <c r="A1248" s="233">
        <v>43792</v>
      </c>
      <c r="B1248">
        <v>84.312477000000001</v>
      </c>
      <c r="C1248" s="47">
        <f t="shared" si="40"/>
        <v>-1.9963747408547894E-3</v>
      </c>
      <c r="E1248" s="81"/>
      <c r="F1248" s="82"/>
      <c r="G1248" s="81">
        <v>43729</v>
      </c>
      <c r="H1248" s="82">
        <v>264.29000000000002</v>
      </c>
      <c r="I1248" s="211">
        <f t="shared" si="39"/>
        <v>8.2786509995422808E-3</v>
      </c>
    </row>
    <row r="1249" spans="1:9" ht="16">
      <c r="A1249" s="233">
        <v>43795</v>
      </c>
      <c r="B1249">
        <v>84.679526999999993</v>
      </c>
      <c r="C1249" s="47">
        <f t="shared" si="40"/>
        <v>4.3534481853735318E-3</v>
      </c>
      <c r="E1249" s="81"/>
      <c r="F1249" s="82"/>
      <c r="G1249" s="81">
        <v>43732</v>
      </c>
      <c r="H1249" s="82">
        <v>262.67</v>
      </c>
      <c r="I1249" s="211">
        <f t="shared" si="39"/>
        <v>-6.1296303303189914E-3</v>
      </c>
    </row>
    <row r="1250" spans="1:9" ht="16">
      <c r="A1250" s="233">
        <v>43796</v>
      </c>
      <c r="B1250">
        <v>85.116028</v>
      </c>
      <c r="C1250" s="47">
        <f t="shared" si="40"/>
        <v>5.1547406494134584E-3</v>
      </c>
      <c r="E1250" s="81"/>
      <c r="F1250" s="82"/>
      <c r="G1250" s="81">
        <v>43733</v>
      </c>
      <c r="H1250" s="82">
        <v>260.52</v>
      </c>
      <c r="I1250" s="211">
        <f t="shared" si="39"/>
        <v>-8.1851753150341544E-3</v>
      </c>
    </row>
    <row r="1251" spans="1:9" ht="16">
      <c r="A1251" s="233">
        <v>43797</v>
      </c>
      <c r="B1251">
        <v>85.790610999999998</v>
      </c>
      <c r="C1251" s="47">
        <f t="shared" si="40"/>
        <v>7.9254520664426842E-3</v>
      </c>
      <c r="E1251" s="81"/>
      <c r="F1251" s="82"/>
      <c r="G1251" s="81">
        <v>43734</v>
      </c>
      <c r="H1251" s="82">
        <v>260.95999999999998</v>
      </c>
      <c r="I1251" s="211">
        <f t="shared" si="39"/>
        <v>1.6889298326423496E-3</v>
      </c>
    </row>
    <row r="1252" spans="1:9" ht="16">
      <c r="A1252" s="233">
        <v>43798</v>
      </c>
      <c r="B1252">
        <v>85.185471000000007</v>
      </c>
      <c r="C1252" s="47">
        <f t="shared" si="40"/>
        <v>-7.0536856300043027E-3</v>
      </c>
      <c r="E1252" s="81"/>
      <c r="F1252" s="82"/>
      <c r="G1252" s="81">
        <v>43735</v>
      </c>
      <c r="H1252" s="82">
        <v>260.06</v>
      </c>
      <c r="I1252" s="211">
        <f t="shared" si="39"/>
        <v>-3.4488044144695973E-3</v>
      </c>
    </row>
    <row r="1253" spans="1:9" ht="16">
      <c r="A1253" s="233">
        <v>43799</v>
      </c>
      <c r="B1253">
        <v>86.492058</v>
      </c>
      <c r="C1253" s="47">
        <f t="shared" si="40"/>
        <v>1.5338143754584532E-2</v>
      </c>
      <c r="E1253" s="81"/>
      <c r="F1253" s="82"/>
      <c r="G1253" s="81">
        <v>43736</v>
      </c>
      <c r="H1253" s="82">
        <v>262.39999999999998</v>
      </c>
      <c r="I1253" s="211">
        <f t="shared" si="39"/>
        <v>8.9979235561024051E-3</v>
      </c>
    </row>
    <row r="1254" spans="1:9" ht="16">
      <c r="A1254" s="233">
        <v>43802</v>
      </c>
      <c r="B1254">
        <v>85.894531000000001</v>
      </c>
      <c r="C1254" s="47">
        <f t="shared" si="40"/>
        <v>-6.9084608901316402E-3</v>
      </c>
      <c r="E1254" s="81"/>
      <c r="F1254" s="82"/>
      <c r="G1254" s="81">
        <v>43739</v>
      </c>
      <c r="H1254" s="82">
        <v>262</v>
      </c>
      <c r="I1254" s="211">
        <f t="shared" si="39"/>
        <v>-1.5243902439023849E-3</v>
      </c>
    </row>
    <row r="1255" spans="1:9" ht="16">
      <c r="A1255" s="233">
        <v>43803</v>
      </c>
      <c r="B1255">
        <v>86.392471</v>
      </c>
      <c r="C1255" s="47">
        <f t="shared" si="40"/>
        <v>5.7971094806956724E-3</v>
      </c>
      <c r="E1255" s="81"/>
      <c r="F1255" s="82"/>
      <c r="G1255" s="81">
        <v>43740</v>
      </c>
      <c r="H1255" s="82">
        <v>258.64</v>
      </c>
      <c r="I1255" s="211">
        <f t="shared" si="39"/>
        <v>-1.2824427480916056E-2</v>
      </c>
    </row>
    <row r="1256" spans="1:9" ht="16">
      <c r="A1256" s="233">
        <v>43804</v>
      </c>
      <c r="B1256">
        <v>86.870498999999995</v>
      </c>
      <c r="C1256" s="47">
        <f t="shared" si="40"/>
        <v>5.533213652379354E-3</v>
      </c>
      <c r="E1256" s="81"/>
      <c r="F1256" s="82"/>
      <c r="G1256" s="81">
        <v>43741</v>
      </c>
      <c r="H1256" s="82">
        <v>256.56</v>
      </c>
      <c r="I1256" s="211">
        <f t="shared" si="39"/>
        <v>-8.0420661923908954E-3</v>
      </c>
    </row>
    <row r="1257" spans="1:9" ht="16">
      <c r="A1257" s="233">
        <v>43805</v>
      </c>
      <c r="B1257">
        <v>86.780861000000002</v>
      </c>
      <c r="C1257" s="47">
        <f t="shared" si="40"/>
        <v>-1.0318577771724069E-3</v>
      </c>
      <c r="E1257" s="81"/>
      <c r="F1257" s="82"/>
      <c r="G1257" s="81">
        <v>43742</v>
      </c>
      <c r="H1257" s="82">
        <v>257.05</v>
      </c>
      <c r="I1257" s="211">
        <f t="shared" si="39"/>
        <v>1.9098846273777337E-3</v>
      </c>
    </row>
    <row r="1258" spans="1:9" ht="16">
      <c r="A1258" s="233">
        <v>43806</v>
      </c>
      <c r="B1258">
        <v>86.482094000000004</v>
      </c>
      <c r="C1258" s="47">
        <f t="shared" si="40"/>
        <v>-3.4427752451084981E-3</v>
      </c>
      <c r="E1258" s="81"/>
      <c r="F1258" s="82"/>
      <c r="G1258" s="81">
        <v>43743</v>
      </c>
      <c r="H1258" s="82">
        <v>258.93</v>
      </c>
      <c r="I1258" s="211">
        <f t="shared" si="39"/>
        <v>7.3137521882902234E-3</v>
      </c>
    </row>
    <row r="1259" spans="1:9" ht="16">
      <c r="A1259" s="233">
        <v>43809</v>
      </c>
      <c r="B1259">
        <v>86.342674000000002</v>
      </c>
      <c r="C1259" s="47">
        <f t="shared" si="40"/>
        <v>-1.6121256268378792E-3</v>
      </c>
      <c r="E1259" s="81"/>
      <c r="F1259" s="82"/>
      <c r="G1259" s="81">
        <v>43746</v>
      </c>
      <c r="H1259" s="82">
        <v>258.01</v>
      </c>
      <c r="I1259" s="211">
        <f t="shared" si="39"/>
        <v>-3.5530838450547053E-3</v>
      </c>
    </row>
    <row r="1260" spans="1:9" ht="16">
      <c r="A1260" s="233">
        <v>43810</v>
      </c>
      <c r="B1260">
        <v>86.521934999999999</v>
      </c>
      <c r="C1260" s="47">
        <f t="shared" si="40"/>
        <v>2.0761576135572835E-3</v>
      </c>
      <c r="E1260" s="81"/>
      <c r="F1260" s="82"/>
      <c r="G1260" s="81">
        <v>43747</v>
      </c>
      <c r="H1260" s="82">
        <v>260.68</v>
      </c>
      <c r="I1260" s="211">
        <f t="shared" si="39"/>
        <v>1.0348436107127768E-2</v>
      </c>
    </row>
    <row r="1261" spans="1:9" ht="16">
      <c r="A1261" s="233">
        <v>43811</v>
      </c>
      <c r="B1261">
        <v>87.956001000000001</v>
      </c>
      <c r="C1261" s="47">
        <f t="shared" si="40"/>
        <v>1.6574594638920193E-2</v>
      </c>
      <c r="E1261" s="81"/>
      <c r="F1261" s="82"/>
      <c r="G1261" s="81">
        <v>43748</v>
      </c>
      <c r="H1261" s="82">
        <v>263.04000000000002</v>
      </c>
      <c r="I1261" s="211">
        <f t="shared" si="39"/>
        <v>9.0532453582936601E-3</v>
      </c>
    </row>
    <row r="1262" spans="1:9" ht="16">
      <c r="A1262" s="233">
        <v>43812</v>
      </c>
      <c r="B1262">
        <v>88.870002999999997</v>
      </c>
      <c r="C1262" s="47">
        <f t="shared" si="40"/>
        <v>1.0391582036568536E-2</v>
      </c>
      <c r="E1262" s="81"/>
      <c r="F1262" s="82"/>
      <c r="G1262" s="81">
        <v>43749</v>
      </c>
      <c r="H1262" s="82">
        <v>264.26</v>
      </c>
      <c r="I1262" s="211">
        <f t="shared" si="39"/>
        <v>4.638077858880596E-3</v>
      </c>
    </row>
    <row r="1263" spans="1:9" ht="16">
      <c r="A1263" s="233">
        <v>43813</v>
      </c>
      <c r="B1263">
        <v>88.75</v>
      </c>
      <c r="C1263" s="47">
        <f t="shared" si="40"/>
        <v>-1.3503206475642404E-3</v>
      </c>
      <c r="E1263" s="81"/>
      <c r="F1263" s="82"/>
      <c r="G1263" s="81">
        <v>43750</v>
      </c>
      <c r="H1263" s="82">
        <v>261.7</v>
      </c>
      <c r="I1263" s="211">
        <f t="shared" si="39"/>
        <v>-9.6874290471505864E-3</v>
      </c>
    </row>
    <row r="1264" spans="1:9" ht="16">
      <c r="A1264" s="233">
        <v>43816</v>
      </c>
      <c r="B1264">
        <v>88.769997000000004</v>
      </c>
      <c r="C1264" s="47">
        <f t="shared" si="40"/>
        <v>2.2531830985927925E-4</v>
      </c>
      <c r="E1264" s="81"/>
      <c r="F1264" s="82"/>
      <c r="G1264" s="81">
        <v>43753</v>
      </c>
      <c r="H1264" s="82">
        <v>260.54000000000002</v>
      </c>
      <c r="I1264" s="211">
        <f t="shared" si="39"/>
        <v>-4.432556362246709E-3</v>
      </c>
    </row>
    <row r="1265" spans="1:9" ht="16">
      <c r="A1265" s="233">
        <v>43817</v>
      </c>
      <c r="B1265">
        <v>88.989998</v>
      </c>
      <c r="C1265" s="47">
        <f t="shared" si="40"/>
        <v>2.4783260947951469E-3</v>
      </c>
      <c r="E1265" s="81"/>
      <c r="F1265" s="82"/>
      <c r="G1265" s="81">
        <v>43754</v>
      </c>
      <c r="H1265" s="82">
        <v>261.52</v>
      </c>
      <c r="I1265" s="211">
        <f t="shared" si="39"/>
        <v>3.7614185921546195E-3</v>
      </c>
    </row>
    <row r="1266" spans="1:9" ht="16">
      <c r="A1266" s="233">
        <v>43818</v>
      </c>
      <c r="B1266">
        <v>89</v>
      </c>
      <c r="C1266" s="47">
        <f t="shared" si="40"/>
        <v>1.1239465361034817E-4</v>
      </c>
      <c r="E1266" s="81"/>
      <c r="F1266" s="82"/>
      <c r="G1266" s="81">
        <v>43755</v>
      </c>
      <c r="H1266" s="82">
        <v>258.58999999999997</v>
      </c>
      <c r="I1266" s="211">
        <f t="shared" si="39"/>
        <v>-1.1203732028143176E-2</v>
      </c>
    </row>
    <row r="1267" spans="1:9" ht="16">
      <c r="A1267" s="233">
        <v>43819</v>
      </c>
      <c r="B1267">
        <v>89.160004000000001</v>
      </c>
      <c r="C1267" s="47">
        <f t="shared" si="40"/>
        <v>1.7977977528089717E-3</v>
      </c>
      <c r="E1267" s="81"/>
      <c r="F1267" s="82"/>
      <c r="G1267" s="81">
        <v>43756</v>
      </c>
      <c r="H1267" s="82">
        <v>256.02</v>
      </c>
      <c r="I1267" s="211">
        <f t="shared" si="39"/>
        <v>-9.9385127035074294E-3</v>
      </c>
    </row>
    <row r="1268" spans="1:9" ht="16">
      <c r="A1268" s="233">
        <v>43820</v>
      </c>
      <c r="B1268">
        <v>89.040001000000004</v>
      </c>
      <c r="C1268" s="47">
        <f t="shared" si="40"/>
        <v>-1.3459286071813015E-3</v>
      </c>
      <c r="E1268" s="81"/>
      <c r="F1268" s="82"/>
      <c r="G1268" s="81">
        <v>43757</v>
      </c>
      <c r="H1268" s="82">
        <v>254.71</v>
      </c>
      <c r="I1268" s="211">
        <f t="shared" si="39"/>
        <v>-5.1167877509568083E-3</v>
      </c>
    </row>
    <row r="1269" spans="1:9" ht="16">
      <c r="A1269" s="233">
        <v>43824</v>
      </c>
      <c r="B1269">
        <v>89.360000999999997</v>
      </c>
      <c r="C1269" s="47">
        <f t="shared" si="40"/>
        <v>3.593890345980455E-3</v>
      </c>
      <c r="E1269" s="81"/>
      <c r="F1269" s="82"/>
      <c r="G1269" s="81">
        <v>43760</v>
      </c>
      <c r="H1269" s="82">
        <v>252.58</v>
      </c>
      <c r="I1269" s="211">
        <f t="shared" si="39"/>
        <v>-8.3624514153350926E-3</v>
      </c>
    </row>
    <row r="1270" spans="1:9" ht="16">
      <c r="A1270" s="233">
        <v>43825</v>
      </c>
      <c r="B1270">
        <v>89.68</v>
      </c>
      <c r="C1270" s="47">
        <f t="shared" si="40"/>
        <v>3.5810093601051918E-3</v>
      </c>
      <c r="E1270" s="81"/>
      <c r="F1270" s="82"/>
      <c r="G1270" s="81">
        <v>43761</v>
      </c>
      <c r="H1270" s="82">
        <v>252.8</v>
      </c>
      <c r="I1270" s="211">
        <f t="shared" si="39"/>
        <v>8.7101116477938945E-4</v>
      </c>
    </row>
    <row r="1271" spans="1:9" ht="16">
      <c r="A1271" s="233">
        <v>43826</v>
      </c>
      <c r="B1271">
        <v>89.43</v>
      </c>
      <c r="C1271" s="47">
        <f t="shared" si="40"/>
        <v>-2.7876895628903275E-3</v>
      </c>
      <c r="E1271" s="81"/>
      <c r="F1271" s="82"/>
      <c r="G1271" s="81">
        <v>43762</v>
      </c>
      <c r="H1271" s="82">
        <v>253.1</v>
      </c>
      <c r="I1271" s="211">
        <f t="shared" si="39"/>
        <v>1.1867088607593335E-3</v>
      </c>
    </row>
    <row r="1272" spans="1:9" ht="16">
      <c r="A1272" s="233">
        <v>43827</v>
      </c>
      <c r="B1272">
        <v>89.059997999999993</v>
      </c>
      <c r="C1272" s="47">
        <f t="shared" si="40"/>
        <v>-4.1373364642738331E-3</v>
      </c>
      <c r="E1272" s="81"/>
      <c r="F1272" s="82"/>
      <c r="G1272" s="81">
        <v>43763</v>
      </c>
      <c r="H1272" s="82">
        <v>251.36</v>
      </c>
      <c r="I1272" s="211">
        <f t="shared" si="39"/>
        <v>-6.8747530620307806E-3</v>
      </c>
    </row>
    <row r="1273" spans="1:9" ht="16">
      <c r="E1273" s="81"/>
      <c r="F1273" s="82"/>
      <c r="G1273" s="81">
        <v>43764</v>
      </c>
      <c r="H1273" s="82">
        <v>253.85</v>
      </c>
      <c r="I1273" s="211">
        <f>H1273/H1272-1</f>
        <v>9.9061107574791585E-3</v>
      </c>
    </row>
    <row r="1274" spans="1:9" ht="16">
      <c r="E1274" s="81"/>
      <c r="F1274" s="82"/>
      <c r="G1274" s="81">
        <v>43767</v>
      </c>
      <c r="H1274" s="82">
        <v>254.42</v>
      </c>
      <c r="I1274" s="211">
        <f t="shared" si="39"/>
        <v>2.2454205239315073E-3</v>
      </c>
    </row>
    <row r="1275" spans="1:9" ht="16">
      <c r="E1275" s="81"/>
      <c r="F1275" s="82"/>
      <c r="G1275" s="81">
        <v>43768</v>
      </c>
      <c r="H1275" s="82">
        <v>252.89</v>
      </c>
      <c r="I1275" s="211">
        <f t="shared" si="39"/>
        <v>-6.0136781699552389E-3</v>
      </c>
    </row>
    <row r="1276" spans="1:9" ht="16">
      <c r="E1276" s="81"/>
      <c r="F1276" s="82"/>
      <c r="G1276" s="81">
        <v>43769</v>
      </c>
      <c r="H1276" s="82">
        <v>252.89</v>
      </c>
      <c r="I1276" s="211">
        <f t="shared" si="39"/>
        <v>0</v>
      </c>
    </row>
    <row r="1277" spans="1:9" ht="16">
      <c r="E1277" s="81"/>
      <c r="F1277" s="82"/>
      <c r="G1277" s="81">
        <v>43770</v>
      </c>
      <c r="H1277" s="82">
        <v>256.14999999999998</v>
      </c>
      <c r="I1277" s="211">
        <f t="shared" si="39"/>
        <v>1.289098026810076E-2</v>
      </c>
    </row>
    <row r="1278" spans="1:9" ht="16">
      <c r="E1278" s="81"/>
      <c r="F1278" s="82"/>
      <c r="G1278" s="81">
        <v>43771</v>
      </c>
      <c r="H1278" s="82">
        <v>260.38</v>
      </c>
      <c r="I1278" s="211">
        <f t="shared" si="39"/>
        <v>1.6513761467890076E-2</v>
      </c>
    </row>
    <row r="1279" spans="1:9" ht="16">
      <c r="E1279" s="81"/>
      <c r="F1279" s="82"/>
      <c r="G1279" s="81">
        <v>43774</v>
      </c>
      <c r="H1279" s="82">
        <v>264.01</v>
      </c>
      <c r="I1279" s="211">
        <f t="shared" si="39"/>
        <v>1.3941162915738436E-2</v>
      </c>
    </row>
    <row r="1280" spans="1:9" ht="16">
      <c r="E1280" s="81"/>
      <c r="F1280" s="82"/>
      <c r="G1280" s="81">
        <v>43775</v>
      </c>
      <c r="H1280" s="82">
        <v>262.93</v>
      </c>
      <c r="I1280" s="211">
        <f t="shared" si="39"/>
        <v>-4.0907541381007828E-3</v>
      </c>
    </row>
    <row r="1281" spans="5:9" ht="16">
      <c r="E1281" s="81"/>
      <c r="F1281" s="82"/>
      <c r="G1281" s="81">
        <v>43776</v>
      </c>
      <c r="H1281" s="82">
        <v>262.82</v>
      </c>
      <c r="I1281" s="211">
        <f t="shared" si="39"/>
        <v>-4.183623017534055E-4</v>
      </c>
    </row>
    <row r="1282" spans="5:9" ht="16">
      <c r="E1282" s="81"/>
      <c r="F1282" s="82"/>
      <c r="G1282" s="81">
        <v>43777</v>
      </c>
      <c r="H1282" s="82">
        <v>262.14</v>
      </c>
      <c r="I1282" s="211">
        <f t="shared" si="39"/>
        <v>-2.5873221216041742E-3</v>
      </c>
    </row>
    <row r="1283" spans="5:9" ht="16">
      <c r="E1283" s="81"/>
      <c r="F1283" s="82"/>
      <c r="G1283" s="81">
        <v>43778</v>
      </c>
      <c r="H1283" s="82">
        <v>260.39</v>
      </c>
      <c r="I1283" s="211">
        <f t="shared" si="39"/>
        <v>-6.6758220798046608E-3</v>
      </c>
    </row>
    <row r="1284" spans="5:9" ht="16">
      <c r="E1284" s="81"/>
      <c r="F1284" s="82"/>
      <c r="G1284" s="81">
        <v>43781</v>
      </c>
      <c r="H1284" s="82">
        <v>261.82</v>
      </c>
      <c r="I1284" s="211">
        <f t="shared" si="39"/>
        <v>5.4917623564654239E-3</v>
      </c>
    </row>
    <row r="1285" spans="5:9" ht="16">
      <c r="E1285" s="81"/>
      <c r="F1285" s="82"/>
      <c r="G1285" s="81">
        <v>43782</v>
      </c>
      <c r="H1285" s="82">
        <v>263.62</v>
      </c>
      <c r="I1285" s="211">
        <f t="shared" si="39"/>
        <v>6.874952257275968E-3</v>
      </c>
    </row>
    <row r="1286" spans="5:9" ht="16">
      <c r="E1286" s="81"/>
      <c r="F1286" s="82"/>
      <c r="G1286" s="81">
        <v>43783</v>
      </c>
      <c r="H1286" s="82">
        <v>268.76</v>
      </c>
      <c r="I1286" s="211">
        <f t="shared" si="39"/>
        <v>1.9497761930050705E-2</v>
      </c>
    </row>
    <row r="1287" spans="5:9" ht="16">
      <c r="E1287" s="81"/>
      <c r="F1287" s="82"/>
      <c r="G1287" s="81">
        <v>43784</v>
      </c>
      <c r="H1287" s="82">
        <v>268.39</v>
      </c>
      <c r="I1287" s="211">
        <f t="shared" si="39"/>
        <v>-1.3766929602619937E-3</v>
      </c>
    </row>
    <row r="1288" spans="5:9" ht="16">
      <c r="E1288" s="81"/>
      <c r="F1288" s="82"/>
      <c r="G1288" s="81">
        <v>43785</v>
      </c>
      <c r="H1288" s="82">
        <v>267.7</v>
      </c>
      <c r="I1288" s="211">
        <f t="shared" si="39"/>
        <v>-2.5708856514773393E-3</v>
      </c>
    </row>
    <row r="1289" spans="5:9" ht="16">
      <c r="E1289" s="81"/>
      <c r="F1289" s="82"/>
      <c r="G1289" s="81">
        <v>43788</v>
      </c>
      <c r="H1289" s="82">
        <v>269.95</v>
      </c>
      <c r="I1289" s="211">
        <f t="shared" si="39"/>
        <v>8.4049308927904853E-3</v>
      </c>
    </row>
    <row r="1290" spans="5:9" ht="16">
      <c r="E1290" s="81"/>
      <c r="F1290" s="82"/>
      <c r="G1290" s="81">
        <v>43789</v>
      </c>
      <c r="H1290" s="82">
        <v>270.63</v>
      </c>
      <c r="I1290" s="211">
        <f t="shared" si="39"/>
        <v>2.518984997221807E-3</v>
      </c>
    </row>
    <row r="1291" spans="5:9" ht="16">
      <c r="E1291" s="81"/>
      <c r="F1291" s="82"/>
      <c r="G1291" s="81">
        <v>43790</v>
      </c>
      <c r="H1291" s="82">
        <v>269.36</v>
      </c>
      <c r="I1291" s="211">
        <f t="shared" si="39"/>
        <v>-4.6927539444997501E-3</v>
      </c>
    </row>
    <row r="1292" spans="5:9" ht="16">
      <c r="E1292" s="81"/>
      <c r="F1292" s="82"/>
      <c r="G1292" s="81">
        <v>43791</v>
      </c>
      <c r="H1292" s="82">
        <v>270.63</v>
      </c>
      <c r="I1292" s="211">
        <f t="shared" si="39"/>
        <v>4.7148797148797161E-3</v>
      </c>
    </row>
    <row r="1293" spans="5:9" ht="16">
      <c r="E1293" s="81"/>
      <c r="F1293" s="82"/>
      <c r="G1293" s="81">
        <v>43792</v>
      </c>
      <c r="H1293" s="82">
        <v>269.23</v>
      </c>
      <c r="I1293" s="211">
        <f t="shared" si="39"/>
        <v>-5.1731145844879922E-3</v>
      </c>
    </row>
    <row r="1294" spans="5:9" ht="16">
      <c r="E1294" s="81"/>
      <c r="F1294" s="82"/>
      <c r="G1294" s="81">
        <v>43795</v>
      </c>
      <c r="H1294" s="82">
        <v>268.42</v>
      </c>
      <c r="I1294" s="211">
        <f t="shared" si="39"/>
        <v>-3.0085800245143179E-3</v>
      </c>
    </row>
    <row r="1295" spans="5:9" ht="16">
      <c r="E1295" s="81"/>
      <c r="F1295" s="82"/>
      <c r="G1295" s="81">
        <v>43796</v>
      </c>
      <c r="H1295" s="82">
        <v>270.3</v>
      </c>
      <c r="I1295" s="211">
        <f t="shared" si="39"/>
        <v>7.0039490350941591E-3</v>
      </c>
    </row>
    <row r="1296" spans="5:9" ht="16">
      <c r="E1296" s="81"/>
      <c r="F1296" s="82"/>
      <c r="G1296" s="81">
        <v>43797</v>
      </c>
      <c r="H1296" s="82">
        <v>269.83999999999997</v>
      </c>
      <c r="I1296" s="211">
        <f t="shared" ref="I1296:I1318" si="41">H1296/H1295-1</f>
        <v>-1.7018128005921174E-3</v>
      </c>
    </row>
    <row r="1297" spans="5:9" ht="16">
      <c r="E1297" s="81"/>
      <c r="F1297" s="82"/>
      <c r="G1297" s="81">
        <v>43798</v>
      </c>
      <c r="H1297" s="82">
        <v>270.67</v>
      </c>
      <c r="I1297" s="211">
        <f t="shared" si="41"/>
        <v>3.0758968277500021E-3</v>
      </c>
    </row>
    <row r="1298" spans="5:9" ht="16">
      <c r="E1298" s="81"/>
      <c r="F1298" s="82"/>
      <c r="G1298" s="81">
        <v>43799</v>
      </c>
      <c r="H1298" s="82">
        <v>270.45</v>
      </c>
      <c r="I1298" s="211">
        <f t="shared" si="41"/>
        <v>-8.1279787194754594E-4</v>
      </c>
    </row>
    <row r="1299" spans="5:9" ht="16">
      <c r="E1299" s="81"/>
      <c r="F1299" s="82"/>
      <c r="G1299" s="81">
        <v>43802</v>
      </c>
      <c r="H1299" s="82">
        <v>270</v>
      </c>
      <c r="I1299" s="211">
        <f t="shared" si="41"/>
        <v>-1.6638935108153063E-3</v>
      </c>
    </row>
    <row r="1300" spans="5:9" ht="16">
      <c r="E1300" s="81"/>
      <c r="F1300" s="82"/>
      <c r="G1300" s="81">
        <v>43803</v>
      </c>
      <c r="H1300" s="82">
        <v>268.32</v>
      </c>
      <c r="I1300" s="211">
        <f t="shared" si="41"/>
        <v>-6.2222222222222401E-3</v>
      </c>
    </row>
    <row r="1301" spans="5:9" ht="16">
      <c r="E1301" s="81"/>
      <c r="F1301" s="82"/>
      <c r="G1301" s="81">
        <v>43804</v>
      </c>
      <c r="H1301" s="82">
        <v>269.23</v>
      </c>
      <c r="I1301" s="211">
        <f t="shared" si="41"/>
        <v>3.3914728682171713E-3</v>
      </c>
    </row>
    <row r="1302" spans="5:9" ht="16">
      <c r="E1302" s="81"/>
      <c r="F1302" s="82"/>
      <c r="G1302" s="81">
        <v>43805</v>
      </c>
      <c r="H1302" s="82">
        <v>268.43</v>
      </c>
      <c r="I1302" s="211">
        <f t="shared" si="41"/>
        <v>-2.971437061248805E-3</v>
      </c>
    </row>
    <row r="1303" spans="5:9" ht="16">
      <c r="E1303" s="81"/>
      <c r="F1303" s="82"/>
      <c r="G1303" s="81">
        <v>43806</v>
      </c>
      <c r="H1303" s="82">
        <v>268.77999999999997</v>
      </c>
      <c r="I1303" s="211">
        <f t="shared" si="41"/>
        <v>1.3038781060237259E-3</v>
      </c>
    </row>
    <row r="1304" spans="5:9" ht="16">
      <c r="E1304" s="81"/>
      <c r="F1304" s="82"/>
      <c r="G1304" s="81">
        <v>43809</v>
      </c>
      <c r="H1304" s="82">
        <v>268.39999999999998</v>
      </c>
      <c r="I1304" s="211">
        <f t="shared" si="41"/>
        <v>-1.4137956693206499E-3</v>
      </c>
    </row>
    <row r="1305" spans="5:9" ht="16">
      <c r="E1305" s="81"/>
      <c r="F1305" s="82"/>
      <c r="G1305" s="81">
        <v>43810</v>
      </c>
      <c r="H1305" s="82">
        <v>268.92</v>
      </c>
      <c r="I1305" s="211">
        <f t="shared" si="41"/>
        <v>1.9374068554398605E-3</v>
      </c>
    </row>
    <row r="1306" spans="5:9" ht="16">
      <c r="E1306" s="81"/>
      <c r="F1306" s="82"/>
      <c r="G1306" s="81">
        <v>43811</v>
      </c>
      <c r="H1306" s="82">
        <v>268.64</v>
      </c>
      <c r="I1306" s="211">
        <f t="shared" si="41"/>
        <v>-1.0412018444148075E-3</v>
      </c>
    </row>
    <row r="1307" spans="5:9" ht="16">
      <c r="E1307" s="81"/>
      <c r="F1307" s="82"/>
      <c r="G1307" s="81">
        <v>43812</v>
      </c>
      <c r="H1307" s="82">
        <v>273.18</v>
      </c>
      <c r="I1307" s="211">
        <f t="shared" si="41"/>
        <v>1.6899940440738614E-2</v>
      </c>
    </row>
    <row r="1308" spans="5:9" ht="16">
      <c r="E1308" s="81"/>
      <c r="F1308" s="82"/>
      <c r="G1308" s="81">
        <v>43813</v>
      </c>
      <c r="H1308" s="82">
        <v>275.06</v>
      </c>
      <c r="I1308" s="211">
        <f t="shared" si="41"/>
        <v>6.8819093637895179E-3</v>
      </c>
    </row>
    <row r="1309" spans="5:9" ht="16">
      <c r="E1309" s="81"/>
      <c r="F1309" s="82"/>
      <c r="G1309" s="81">
        <v>43816</v>
      </c>
      <c r="H1309" s="82">
        <v>274.08999999999997</v>
      </c>
      <c r="I1309" s="211">
        <f t="shared" si="41"/>
        <v>-3.5265033083692332E-3</v>
      </c>
    </row>
    <row r="1310" spans="5:9" ht="16">
      <c r="E1310" s="81"/>
      <c r="F1310" s="82"/>
      <c r="G1310" s="81">
        <v>43817</v>
      </c>
      <c r="H1310" s="82">
        <v>274.45999999999998</v>
      </c>
      <c r="I1310" s="211">
        <f t="shared" si="41"/>
        <v>1.3499215586121327E-3</v>
      </c>
    </row>
    <row r="1311" spans="5:9" ht="16">
      <c r="E1311" s="81"/>
      <c r="F1311" s="82"/>
      <c r="G1311" s="81">
        <v>43818</v>
      </c>
      <c r="H1311" s="82">
        <v>272.72000000000003</v>
      </c>
      <c r="I1311" s="211">
        <f t="shared" si="41"/>
        <v>-6.3397216352107932E-3</v>
      </c>
    </row>
    <row r="1312" spans="5:9" ht="16">
      <c r="E1312" s="81"/>
      <c r="F1312" s="82"/>
      <c r="G1312" s="81">
        <v>43819</v>
      </c>
      <c r="H1312" s="82">
        <v>273.62</v>
      </c>
      <c r="I1312" s="211">
        <f t="shared" si="41"/>
        <v>3.3000880023466017E-3</v>
      </c>
    </row>
    <row r="1313" spans="5:9" ht="16">
      <c r="E1313" s="81"/>
      <c r="F1313" s="82"/>
      <c r="G1313" s="81">
        <v>43820</v>
      </c>
      <c r="H1313" s="82">
        <v>272.38</v>
      </c>
      <c r="I1313" s="211">
        <f t="shared" si="41"/>
        <v>-4.5318324683868427E-3</v>
      </c>
    </row>
    <row r="1314" spans="5:9" ht="16">
      <c r="E1314" s="81"/>
      <c r="F1314" s="82"/>
      <c r="G1314" s="81">
        <v>43823</v>
      </c>
      <c r="H1314" s="82">
        <v>272.5</v>
      </c>
      <c r="I1314" s="211">
        <f t="shared" si="41"/>
        <v>4.405609809825517E-4</v>
      </c>
    </row>
    <row r="1315" spans="5:9" ht="16">
      <c r="E1315" s="81"/>
      <c r="F1315" s="82"/>
      <c r="G1315" s="81">
        <v>43824</v>
      </c>
      <c r="H1315" s="82">
        <v>273.88</v>
      </c>
      <c r="I1315" s="211">
        <f t="shared" si="41"/>
        <v>5.0642201834862899E-3</v>
      </c>
    </row>
    <row r="1316" spans="5:9" ht="16">
      <c r="G1316" s="81">
        <v>43825</v>
      </c>
      <c r="H1316" s="82">
        <v>276.49</v>
      </c>
      <c r="I1316" s="211">
        <f t="shared" si="41"/>
        <v>9.5297210457134796E-3</v>
      </c>
    </row>
    <row r="1317" spans="5:9" ht="16">
      <c r="G1317" s="81">
        <v>43826</v>
      </c>
      <c r="H1317" s="82">
        <v>279.58</v>
      </c>
      <c r="I1317" s="211">
        <f t="shared" si="41"/>
        <v>1.117581106007437E-2</v>
      </c>
    </row>
    <row r="1318" spans="5:9" ht="16">
      <c r="G1318" s="81">
        <v>43827</v>
      </c>
      <c r="H1318" s="82">
        <v>280.08999999999997</v>
      </c>
      <c r="I1318" s="211">
        <f t="shared" si="41"/>
        <v>1.8241648186565484E-3</v>
      </c>
    </row>
    <row r="1319" spans="5:9" ht="16">
      <c r="G1319" s="81"/>
      <c r="H1319" s="82"/>
      <c r="I1319" s="211"/>
    </row>
    <row r="1320" spans="5:9" ht="16">
      <c r="G1320" s="81"/>
      <c r="H1320" s="82"/>
      <c r="I1320" s="211"/>
    </row>
    <row r="1321" spans="5:9" ht="16">
      <c r="G1321" s="81"/>
      <c r="H1321" s="82"/>
      <c r="I1321" s="211"/>
    </row>
    <row r="1322" spans="5:9" ht="16">
      <c r="G1322" s="81"/>
      <c r="H1322" s="82"/>
      <c r="I1322" s="211"/>
    </row>
    <row r="1323" spans="5:9" ht="16">
      <c r="G1323" s="81"/>
      <c r="H1323" s="82"/>
      <c r="I1323" s="211"/>
    </row>
    <row r="1324" spans="5:9" ht="16">
      <c r="G1324" s="81"/>
      <c r="H1324" s="82"/>
      <c r="I1324" s="211"/>
    </row>
    <row r="1325" spans="5:9" ht="16">
      <c r="G1325" s="81"/>
      <c r="H1325" s="82"/>
      <c r="I1325" s="211"/>
    </row>
  </sheetData>
  <mergeCells count="1">
    <mergeCell ref="J1:S7"/>
  </mergeCells>
  <hyperlinks>
    <hyperlink ref="H11" r:id="rId1" location="overview" xr:uid="{82A33D8C-0A76-2C42-BE3C-9D4206013352}"/>
    <hyperlink ref="B11" r:id="rId2" xr:uid="{DA542E30-C119-0747-9490-247A210036E6}"/>
  </hyperlink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D10" sqref="D10"/>
    </sheetView>
  </sheetViews>
  <sheetFormatPr baseColWidth="10" defaultRowHeight="13"/>
  <cols>
    <col min="1" max="1" width="22" bestFit="1" customWidth="1"/>
    <col min="2" max="2" width="23.5" bestFit="1" customWidth="1"/>
    <col min="3" max="3" width="25.1640625" bestFit="1" customWidth="1"/>
    <col min="4" max="4" width="24" bestFit="1" customWidth="1"/>
    <col min="5" max="5" width="23.5" bestFit="1" customWidth="1"/>
  </cols>
  <sheetData>
    <row r="3" spans="1:5">
      <c r="B3" s="22" t="s">
        <v>173</v>
      </c>
    </row>
    <row r="4" spans="1:5">
      <c r="A4" s="22" t="s">
        <v>170</v>
      </c>
      <c r="B4" t="s">
        <v>172</v>
      </c>
      <c r="C4" t="s">
        <v>174</v>
      </c>
      <c r="D4" t="s">
        <v>457</v>
      </c>
      <c r="E4" t="s">
        <v>459</v>
      </c>
    </row>
    <row r="5" spans="1:5">
      <c r="A5" s="19" t="s">
        <v>128</v>
      </c>
      <c r="B5" s="23">
        <v>6.9767274223765038E-2</v>
      </c>
      <c r="C5" s="23">
        <v>9.3658350788221434E-2</v>
      </c>
      <c r="D5" s="23">
        <v>0.13965835078822147</v>
      </c>
      <c r="E5" s="23">
        <v>0.26819333333333339</v>
      </c>
    </row>
    <row r="6" spans="1:5">
      <c r="A6" s="19" t="s">
        <v>129</v>
      </c>
      <c r="B6" s="23">
        <v>4.216566757223917E-2</v>
      </c>
      <c r="C6" s="23">
        <v>5.6604861357118834E-2</v>
      </c>
      <c r="D6" s="23">
        <v>0.10260486135711887</v>
      </c>
      <c r="E6" s="23">
        <v>0.2450869565217392</v>
      </c>
    </row>
    <row r="7" spans="1:5">
      <c r="A7" s="19" t="s">
        <v>53</v>
      </c>
      <c r="B7" s="23">
        <v>1.6347036600821003E-2</v>
      </c>
      <c r="C7" s="23">
        <v>2.1944909061476097E-2</v>
      </c>
      <c r="D7" s="23">
        <v>6.79449090614761E-2</v>
      </c>
      <c r="E7" s="23">
        <v>0.29246666666666665</v>
      </c>
    </row>
    <row r="8" spans="1:5">
      <c r="A8" s="19" t="s">
        <v>54</v>
      </c>
      <c r="B8" s="23">
        <v>4.0983441444393288E-2</v>
      </c>
      <c r="C8" s="23">
        <v>5.5017794202428784E-2</v>
      </c>
      <c r="D8" s="23">
        <v>0.10101779420242882</v>
      </c>
      <c r="E8" s="23">
        <v>0.17758571428571426</v>
      </c>
    </row>
    <row r="9" spans="1:5">
      <c r="A9" s="19" t="s">
        <v>51</v>
      </c>
      <c r="B9" s="23">
        <v>6.2012105991795755E-2</v>
      </c>
      <c r="C9" s="23">
        <v>8.3247505950542033E-2</v>
      </c>
      <c r="D9" s="23">
        <v>0.12924750595054202</v>
      </c>
      <c r="E9" s="23">
        <v>0.28369999999999995</v>
      </c>
    </row>
    <row r="10" spans="1:5">
      <c r="A10" s="19" t="s">
        <v>125</v>
      </c>
      <c r="B10" s="23">
        <v>4.1407700284382239E-2</v>
      </c>
      <c r="C10" s="23">
        <v>5.5588093851056668E-2</v>
      </c>
      <c r="D10" s="23">
        <v>0.10158809385105666</v>
      </c>
      <c r="E10" s="23">
        <v>0.16111111111111109</v>
      </c>
    </row>
    <row r="11" spans="1:5">
      <c r="A11" s="19" t="s">
        <v>127</v>
      </c>
      <c r="B11" s="23">
        <v>3.6430782900048961E-2</v>
      </c>
      <c r="C11" s="23">
        <v>4.8906125146853871E-2</v>
      </c>
      <c r="D11" s="23">
        <v>9.4906125146853898E-2</v>
      </c>
      <c r="E11" s="23">
        <v>0.13461538461538461</v>
      </c>
    </row>
    <row r="12" spans="1:5">
      <c r="A12" s="19" t="s">
        <v>130</v>
      </c>
      <c r="B12" s="23">
        <v>0</v>
      </c>
      <c r="C12" s="23">
        <v>0</v>
      </c>
      <c r="D12" s="23">
        <v>4.5999999999999999E-2</v>
      </c>
      <c r="E12" s="23">
        <v>0.25750000000000001</v>
      </c>
    </row>
    <row r="13" spans="1:5">
      <c r="A13" s="19" t="s">
        <v>126</v>
      </c>
      <c r="B13" s="23">
        <v>1.0263273029557431E-2</v>
      </c>
      <c r="C13" s="23">
        <v>1.3777824006060311E-2</v>
      </c>
      <c r="D13" s="23">
        <v>5.9777824006060319E-2</v>
      </c>
      <c r="E13" s="23">
        <v>0.1951615384615385</v>
      </c>
    </row>
    <row r="14" spans="1:5">
      <c r="A14" s="19" t="s">
        <v>171</v>
      </c>
      <c r="B14" s="23">
        <v>4.2817331648980869E-2</v>
      </c>
      <c r="C14" s="23">
        <v>5.7479811331110256E-2</v>
      </c>
      <c r="D14" s="23">
        <v>0.10347981133111024</v>
      </c>
      <c r="E14" s="23">
        <v>0.21736242038216561</v>
      </c>
    </row>
  </sheetData>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8"/>
  <sheetViews>
    <sheetView topLeftCell="A150" zoomScaleNormal="100" workbookViewId="0">
      <selection activeCell="D192" sqref="D192"/>
    </sheetView>
  </sheetViews>
  <sheetFormatPr baseColWidth="10" defaultRowHeight="13"/>
  <cols>
    <col min="1" max="1" width="24.6640625" bestFit="1" customWidth="1"/>
    <col min="2" max="2" width="20.83203125" style="25" bestFit="1" customWidth="1"/>
    <col min="3" max="6" width="20.83203125" style="25" customWidth="1"/>
    <col min="7" max="7" width="26.1640625" style="25" customWidth="1"/>
    <col min="8" max="8" width="37" customWidth="1"/>
    <col min="9" max="9" width="20.83203125" customWidth="1"/>
    <col min="10" max="10" width="25.1640625" bestFit="1" customWidth="1"/>
    <col min="11" max="11" width="23.6640625" bestFit="1" customWidth="1"/>
    <col min="12" max="13" width="20.33203125" bestFit="1" customWidth="1"/>
  </cols>
  <sheetData>
    <row r="1" spans="1:13" s="59" customFormat="1" ht="16">
      <c r="A1" s="51" t="s">
        <v>75</v>
      </c>
      <c r="B1" s="125" t="s">
        <v>515</v>
      </c>
      <c r="C1" s="9" t="s">
        <v>270</v>
      </c>
      <c r="D1" s="51" t="s">
        <v>36</v>
      </c>
      <c r="E1" s="51" t="s">
        <v>448</v>
      </c>
      <c r="F1" s="52" t="s">
        <v>37</v>
      </c>
      <c r="G1" s="52" t="s">
        <v>357</v>
      </c>
      <c r="H1" s="51" t="s">
        <v>52</v>
      </c>
      <c r="I1" s="59" t="s">
        <v>294</v>
      </c>
      <c r="J1" s="59" t="s">
        <v>300</v>
      </c>
      <c r="K1" s="59" t="s">
        <v>295</v>
      </c>
      <c r="L1" s="59" t="s">
        <v>296</v>
      </c>
      <c r="M1" s="59" t="s">
        <v>358</v>
      </c>
    </row>
    <row r="2" spans="1:13" s="38" customFormat="1" ht="16">
      <c r="A2" s="8" t="str">
        <f>'Sovereign Ratings (Moody''s,S&amp;P)'!A5</f>
        <v>Angola</v>
      </c>
      <c r="B2" s="125">
        <f>'Country GDP'!B5</f>
        <v>106782.77071461857</v>
      </c>
      <c r="C2" s="9" t="str">
        <f>'Sovereign Ratings (Moody''s,S&amp;P)'!C5</f>
        <v>B3</v>
      </c>
      <c r="D2" s="21">
        <f>'ERPs by country'!D11</f>
        <v>7.0808704231754685E-2</v>
      </c>
      <c r="E2" s="10">
        <f>'ERPs by country'!E11</f>
        <v>0.14105640765793431</v>
      </c>
      <c r="F2" s="14">
        <f>'ERPs by country'!F11</f>
        <v>9.5056407657934314E-2</v>
      </c>
      <c r="G2" s="14">
        <f>'Country Tax Rates'!B5</f>
        <v>0.25</v>
      </c>
      <c r="H2" s="15" t="str">
        <f>VLOOKUP(A2,'Regional lookup table'!$A$2:$B$161,2)</f>
        <v>Africa</v>
      </c>
      <c r="I2" s="60">
        <f t="shared" ref="I2:I29" si="0">B2/$B$32</f>
        <v>4.2573116317685684E-2</v>
      </c>
      <c r="J2" s="60">
        <f t="shared" ref="J2:J29" si="1">I2*D2</f>
        <v>3.0145472015630946E-3</v>
      </c>
      <c r="K2" s="60">
        <f t="shared" ref="K2:K29" si="2">I2*E2</f>
        <v>6.0052108505761273E-3</v>
      </c>
      <c r="L2" s="60">
        <f t="shared" ref="L2:L29" si="3">I2*F2</f>
        <v>4.0468474999625862E-3</v>
      </c>
      <c r="M2" s="60">
        <f>I2*G2</f>
        <v>1.0643279079421421E-2</v>
      </c>
    </row>
    <row r="3" spans="1:13" s="38" customFormat="1" ht="16">
      <c r="A3" s="8" t="str">
        <f>'Sovereign Ratings (Moody''s,S&amp;P)'!A19</f>
        <v>Benin</v>
      </c>
      <c r="B3" s="125">
        <f>'Country GDP'!B19</f>
        <v>17396.7926995489</v>
      </c>
      <c r="C3" s="9" t="str">
        <f>'Sovereign Ratings (Moody''s,S&amp;P)'!C19</f>
        <v>B1</v>
      </c>
      <c r="D3" s="21">
        <f>'ERPs by country'!D25</f>
        <v>4.9041109802463012E-2</v>
      </c>
      <c r="E3" s="10">
        <f>'ERPs by country'!E25</f>
        <v>0.11183472718442829</v>
      </c>
      <c r="F3" s="14">
        <f>'ERPs by country'!F25</f>
        <v>6.5834727184428288E-2</v>
      </c>
      <c r="G3" s="14">
        <f>'Country Tax Rates'!B19</f>
        <v>0.3</v>
      </c>
      <c r="H3" s="15" t="str">
        <f>VLOOKUP(A3,'Regional lookup table'!$A$2:$B$161,2)</f>
        <v>Africa</v>
      </c>
      <c r="I3" s="60">
        <f>B3/$B$32</f>
        <v>6.9359099243822796E-3</v>
      </c>
      <c r="J3" s="60">
        <f>I3*D3</f>
        <v>3.4014472018162431E-4</v>
      </c>
      <c r="K3" s="60">
        <f>I3*E3</f>
        <v>7.7567559416906082E-4</v>
      </c>
      <c r="L3" s="60">
        <f>I3*F3</f>
        <v>4.56623737647476E-4</v>
      </c>
      <c r="M3" s="60">
        <f>I3*G3</f>
        <v>2.0807729773146839E-3</v>
      </c>
    </row>
    <row r="4" spans="1:13" s="38" customFormat="1" ht="16">
      <c r="A4" s="8" t="str">
        <f>'Sovereign Ratings (Moody''s,S&amp;P)'!A23</f>
        <v>Botswana</v>
      </c>
      <c r="B4" s="125">
        <f>'Country GDP'!B23</f>
        <v>20355.541962851221</v>
      </c>
      <c r="C4" s="9" t="str">
        <f>'Sovereign Ratings (Moody''s,S&amp;P)'!C23</f>
        <v>A3</v>
      </c>
      <c r="D4" s="21">
        <f>'ERPs by country'!D29</f>
        <v>1.3060556657575006E-2</v>
      </c>
      <c r="E4" s="10">
        <f>'ERPs by country'!E29</f>
        <v>6.3533008284103618E-2</v>
      </c>
      <c r="F4" s="14">
        <f>'ERPs by country'!F29</f>
        <v>1.7533008284103618E-2</v>
      </c>
      <c r="G4" s="14">
        <f>'Country Tax Rates'!B23</f>
        <v>0.22</v>
      </c>
      <c r="H4" s="15" t="str">
        <f>VLOOKUP(A4,'Regional lookup table'!$A$2:$B$161,2)</f>
        <v>Africa</v>
      </c>
      <c r="I4" s="60">
        <f t="shared" si="0"/>
        <v>8.1155307161865902E-3</v>
      </c>
      <c r="J4" s="60">
        <f t="shared" si="1"/>
        <v>1.0599334872504523E-4</v>
      </c>
      <c r="K4" s="60">
        <f t="shared" si="2"/>
        <v>5.1560408022138001E-4</v>
      </c>
      <c r="L4" s="60">
        <f t="shared" si="3"/>
        <v>1.4228966727679687E-4</v>
      </c>
      <c r="M4" s="60">
        <f t="shared" ref="M4:M76" si="4">I4*G4</f>
        <v>1.7854167575610499E-3</v>
      </c>
    </row>
    <row r="5" spans="1:13" s="38" customFormat="1" ht="16">
      <c r="A5" s="8" t="str">
        <f>'Sovereign Ratings (Moody''s,S&amp;P)'!A26</f>
        <v>Burkina Faso</v>
      </c>
      <c r="B5" s="125">
        <f>'Country GDP'!B26</f>
        <v>18820.064797837909</v>
      </c>
      <c r="C5" s="9" t="str">
        <f>'Sovereign Ratings (Moody''s,S&amp;P)'!C26</f>
        <v>Caa1</v>
      </c>
      <c r="D5" s="21">
        <f>'ERPs by country'!D32</f>
        <v>8.1692501446400528E-2</v>
      </c>
      <c r="E5" s="10">
        <f>'ERPs by country'!E32</f>
        <v>0.15566724789468733</v>
      </c>
      <c r="F5" s="14">
        <f>'ERPs by country'!F32</f>
        <v>0.10966724789468733</v>
      </c>
      <c r="G5" s="14">
        <f>'Country Tax Rates'!B26</f>
        <v>0.28000000000000003</v>
      </c>
      <c r="H5" s="15" t="str">
        <f>VLOOKUP(A5,'Regional lookup table'!$A$2:$B$161,2)</f>
        <v>Africa</v>
      </c>
      <c r="I5" s="60">
        <f t="shared" si="0"/>
        <v>7.5033528572324886E-3</v>
      </c>
      <c r="J5" s="60">
        <f t="shared" si="1"/>
        <v>6.1296766414231858E-4</v>
      </c>
      <c r="K5" s="60">
        <f t="shared" si="2"/>
        <v>1.1680262892681203E-3</v>
      </c>
      <c r="L5" s="60">
        <f t="shared" si="3"/>
        <v>8.2287205783542578E-4</v>
      </c>
      <c r="M5" s="60">
        <f t="shared" si="4"/>
        <v>2.1009388000250971E-3</v>
      </c>
    </row>
    <row r="6" spans="1:13" s="38" customFormat="1" ht="16">
      <c r="A6" s="8" t="str">
        <f>'Sovereign Ratings (Moody''s,S&amp;P)'!A28</f>
        <v>Cameroon</v>
      </c>
      <c r="B6" s="125">
        <f>'Country GDP'!B28</f>
        <v>43644.068310851013</v>
      </c>
      <c r="C6" s="9" t="str">
        <f>'Sovereign Ratings (Moody''s,S&amp;P)'!C28</f>
        <v>Caa1</v>
      </c>
      <c r="D6" s="21">
        <f>'ERPs by country'!D34</f>
        <v>8.1692501446400528E-2</v>
      </c>
      <c r="E6" s="10">
        <f>'ERPs by country'!E34</f>
        <v>0.15566724789468733</v>
      </c>
      <c r="F6" s="14">
        <f>'ERPs by country'!F34</f>
        <v>0.10966724789468733</v>
      </c>
      <c r="G6" s="14">
        <f>'Country Tax Rates'!B28</f>
        <v>0.33</v>
      </c>
      <c r="H6" s="15" t="str">
        <f>VLOOKUP(A6,'Regional lookup table'!$A$2:$B$161,2)</f>
        <v>Africa</v>
      </c>
      <c r="I6" s="60">
        <f t="shared" si="0"/>
        <v>1.7400410050612318E-2</v>
      </c>
      <c r="J6" s="60">
        <f t="shared" si="1"/>
        <v>1.4214830232276092E-3</v>
      </c>
      <c r="K6" s="60">
        <f t="shared" si="2"/>
        <v>2.7086739448178767E-3</v>
      </c>
      <c r="L6" s="60">
        <f t="shared" si="3"/>
        <v>1.9082550824897101E-3</v>
      </c>
      <c r="M6" s="60">
        <f t="shared" si="4"/>
        <v>5.7421353167020654E-3</v>
      </c>
    </row>
    <row r="7" spans="1:13" s="38" customFormat="1" ht="16">
      <c r="A7" s="8" t="str">
        <f>'Sovereign Ratings (Moody''s,S&amp;P)'!A30</f>
        <v>Cape Verde</v>
      </c>
      <c r="B7" s="125">
        <f>'Country GDP'!B30</f>
        <v>1936</v>
      </c>
      <c r="C7" s="9" t="str">
        <f>'Sovereign Ratings (Moody''s,S&amp;P)'!C30</f>
        <v>B3</v>
      </c>
      <c r="D7" s="21">
        <f>'ERPs by country'!D36</f>
        <v>7.0808704231754685E-2</v>
      </c>
      <c r="E7" s="10">
        <f>'ERPs by country'!E36</f>
        <v>0.14105640765793431</v>
      </c>
      <c r="F7" s="14">
        <f>'ERPs by country'!F36</f>
        <v>9.5056407657934314E-2</v>
      </c>
      <c r="G7" s="14">
        <f>'Country Tax Rates'!B30</f>
        <v>0</v>
      </c>
      <c r="H7" s="15" t="str">
        <f>VLOOKUP(A7,'Regional lookup table'!$A$2:$B$161,2)</f>
        <v>Africa</v>
      </c>
      <c r="I7" s="60">
        <f t="shared" si="0"/>
        <v>7.718619084282289E-4</v>
      </c>
      <c r="J7" s="60">
        <f t="shared" si="1"/>
        <v>5.4654541581652181E-5</v>
      </c>
      <c r="K7" s="60">
        <f t="shared" si="2"/>
        <v>1.0887606801088342E-4</v>
      </c>
      <c r="L7" s="60">
        <f t="shared" si="3"/>
        <v>7.3370420223184887E-5</v>
      </c>
      <c r="M7" s="60">
        <f t="shared" si="4"/>
        <v>0</v>
      </c>
    </row>
    <row r="8" spans="1:13" s="38" customFormat="1" ht="16">
      <c r="A8" s="8" t="str">
        <f>'Sovereign Ratings (Moody''s,S&amp;P)'!A35</f>
        <v>Congo (Democratic Republic of)</v>
      </c>
      <c r="B8" s="125">
        <f>'Country GDP'!B35</f>
        <v>64718.641221216043</v>
      </c>
      <c r="C8" s="9" t="str">
        <f>'Sovereign Ratings (Moody''s,S&amp;P)'!C35</f>
        <v>B3</v>
      </c>
      <c r="D8" s="21">
        <f>'ERPs by country'!D41</f>
        <v>7.0808704231754685E-2</v>
      </c>
      <c r="E8" s="10">
        <f>'ERPs by country'!E41</f>
        <v>0.14105640765793431</v>
      </c>
      <c r="F8" s="14">
        <f>'ERPs by country'!F41</f>
        <v>9.5056407657934314E-2</v>
      </c>
      <c r="G8" s="14">
        <f>'Country Tax Rates'!B35</f>
        <v>0.3</v>
      </c>
      <c r="H8" s="15" t="str">
        <f>VLOOKUP(A8,'Regional lookup table'!$A$2:$B$161,2)</f>
        <v>Africa</v>
      </c>
      <c r="I8" s="60">
        <f t="shared" si="0"/>
        <v>2.5802610497876889E-2</v>
      </c>
      <c r="J8" s="60">
        <f t="shared" si="1"/>
        <v>1.8270494151513331E-3</v>
      </c>
      <c r="K8" s="60">
        <f t="shared" si="2"/>
        <v>3.639623545027418E-3</v>
      </c>
      <c r="L8" s="60">
        <f t="shared" si="3"/>
        <v>2.4527034621250809E-3</v>
      </c>
      <c r="M8" s="60">
        <f t="shared" si="4"/>
        <v>7.7407831493630664E-3</v>
      </c>
    </row>
    <row r="9" spans="1:13" s="38" customFormat="1" ht="16">
      <c r="A9" s="8" t="str">
        <f>'Sovereign Ratings (Moody''s,S&amp;P)'!A36</f>
        <v>Congo (Republic of)</v>
      </c>
      <c r="B9" s="125">
        <f>'Country GDP'!B36</f>
        <v>14616</v>
      </c>
      <c r="C9" s="9" t="str">
        <f>'Sovereign Ratings (Moody''s,S&amp;P)'!C36</f>
        <v>Caa2</v>
      </c>
      <c r="D9" s="21">
        <f>'ERPs by country'!D42</f>
        <v>9.8082219604926024E-2</v>
      </c>
      <c r="E9" s="10">
        <f>'ERPs by country'!E42</f>
        <v>0.17766945436885656</v>
      </c>
      <c r="F9" s="14">
        <f>'ERPs by country'!F42</f>
        <v>0.13166945436885658</v>
      </c>
      <c r="G9" s="14">
        <f>'Country Tax Rates'!B36</f>
        <v>0.28000000000000003</v>
      </c>
      <c r="H9" s="15" t="str">
        <f>VLOOKUP(A9,'Regional lookup table'!$A$2:$B$161,2)</f>
        <v>Africa</v>
      </c>
      <c r="I9" s="60">
        <f t="shared" si="0"/>
        <v>5.8272384574312979E-3</v>
      </c>
      <c r="J9" s="60">
        <f t="shared" si="1"/>
        <v>5.7154848207204695E-4</v>
      </c>
      <c r="K9" s="60">
        <f t="shared" si="2"/>
        <v>1.0353222772090361E-3</v>
      </c>
      <c r="L9" s="60">
        <f t="shared" si="3"/>
        <v>7.6726930816719641E-4</v>
      </c>
      <c r="M9" s="60">
        <f t="shared" si="4"/>
        <v>1.6316267680807637E-3</v>
      </c>
    </row>
    <row r="10" spans="1:13" s="38" customFormat="1" ht="16">
      <c r="A10" s="8" t="str">
        <f>'Sovereign Ratings (Moody''s,S&amp;P)'!A39</f>
        <v>Côte d'Ivoire</v>
      </c>
      <c r="B10" s="125">
        <f>'Country GDP'!B39</f>
        <v>70019</v>
      </c>
      <c r="C10" s="9" t="str">
        <f>'Sovereign Ratings (Moody''s,S&amp;P)'!C39</f>
        <v>Ba3</v>
      </c>
      <c r="D10" s="21">
        <f>'ERPs by country'!D45</f>
        <v>3.9181669972725021E-2</v>
      </c>
      <c r="E10" s="10">
        <f>'ERPs by country'!E45</f>
        <v>9.8599024852310854E-2</v>
      </c>
      <c r="F10" s="14">
        <f>'ERPs by country'!F45</f>
        <v>5.2599024852310855E-2</v>
      </c>
      <c r="G10" s="14">
        <f>'Country Tax Rates'!B39</f>
        <v>0.25</v>
      </c>
      <c r="H10" s="15" t="str">
        <f>VLOOKUP(A10,'Regional lookup table'!$A$2:$B$161,2)</f>
        <v>Africa</v>
      </c>
      <c r="I10" s="60">
        <f t="shared" si="0"/>
        <v>2.791580525115504E-2</v>
      </c>
      <c r="J10" s="60">
        <f t="shared" si="1"/>
        <v>1.0937878683736208E-3</v>
      </c>
      <c r="K10" s="60">
        <f t="shared" si="2"/>
        <v>2.7524711757309058E-3</v>
      </c>
      <c r="L10" s="60">
        <f t="shared" si="3"/>
        <v>1.4683441341777738E-3</v>
      </c>
      <c r="M10" s="60">
        <f t="shared" si="4"/>
        <v>6.9789513127887599E-3</v>
      </c>
    </row>
    <row r="11" spans="1:13" s="38" customFormat="1" ht="16">
      <c r="A11" s="8" t="str">
        <f>'Sovereign Ratings (Moody''s,S&amp;P)'!A48</f>
        <v>Egypt</v>
      </c>
      <c r="B11" s="125">
        <f>'Country GDP'!B48</f>
        <v>476747.72036474163</v>
      </c>
      <c r="C11" s="9" t="str">
        <f>'Sovereign Ratings (Moody''s,S&amp;P)'!C48</f>
        <v>Caa1</v>
      </c>
      <c r="D11" s="21">
        <f>'ERPs by country'!D54</f>
        <v>8.1692501446400528E-2</v>
      </c>
      <c r="E11" s="10">
        <f>'ERPs by country'!E54</f>
        <v>0.15566724789468733</v>
      </c>
      <c r="F11" s="14">
        <f>'ERPs by country'!F54</f>
        <v>0.10966724789468733</v>
      </c>
      <c r="G11" s="14">
        <f>'Country Tax Rates'!B48</f>
        <v>0.22500000000000001</v>
      </c>
      <c r="H11" s="15" t="str">
        <f>VLOOKUP(A11,'Regional lookup table'!$A$2:$B$161,2)</f>
        <v>Africa</v>
      </c>
      <c r="I11" s="60">
        <f t="shared" si="0"/>
        <v>0.19007407297496751</v>
      </c>
      <c r="J11" s="60">
        <f t="shared" si="1"/>
        <v>1.5527626481430773E-2</v>
      </c>
      <c r="K11" s="60">
        <f t="shared" si="2"/>
        <v>2.9588307836147156E-2</v>
      </c>
      <c r="L11" s="60">
        <f t="shared" si="3"/>
        <v>2.0844900479298652E-2</v>
      </c>
      <c r="M11" s="60">
        <f t="shared" si="4"/>
        <v>4.2766666419367688E-2</v>
      </c>
    </row>
    <row r="12" spans="1:13" s="38" customFormat="1" ht="16">
      <c r="A12" s="8" t="str">
        <f>'Sovereign Ratings (Moody''s,S&amp;P)'!A51</f>
        <v>Ethiopia</v>
      </c>
      <c r="B12" s="125">
        <f>'Country GDP'!B51</f>
        <v>126783.47159767149</v>
      </c>
      <c r="C12" s="9" t="str">
        <f>'Sovereign Ratings (Moody''s,S&amp;P)'!C51</f>
        <v>Caa2</v>
      </c>
      <c r="D12" s="21">
        <f>'ERPs by country'!D57</f>
        <v>9.8082219604926024E-2</v>
      </c>
      <c r="E12" s="10">
        <f>'ERPs by country'!E57</f>
        <v>0.17766945436885656</v>
      </c>
      <c r="F12" s="14">
        <f>'ERPs by country'!F57</f>
        <v>0.13166945436885658</v>
      </c>
      <c r="G12" s="14">
        <f>'Country Tax Rates'!B51</f>
        <v>0.3</v>
      </c>
      <c r="H12" s="15" t="str">
        <f>VLOOKUP(A12,'Regional lookup table'!$A$2:$B$161,2)</f>
        <v>Africa</v>
      </c>
      <c r="I12" s="60">
        <f t="shared" si="0"/>
        <v>5.0547175797796939E-2</v>
      </c>
      <c r="J12" s="60">
        <f t="shared" si="1"/>
        <v>4.9577791970083209E-3</v>
      </c>
      <c r="K12" s="60">
        <f t="shared" si="2"/>
        <v>8.9806891438812542E-3</v>
      </c>
      <c r="L12" s="60">
        <f t="shared" si="3"/>
        <v>6.6555190571825958E-3</v>
      </c>
      <c r="M12" s="60">
        <f t="shared" si="4"/>
        <v>1.5164152739339081E-2</v>
      </c>
    </row>
    <row r="13" spans="1:13" s="38" customFormat="1" ht="16">
      <c r="A13" s="8" t="str">
        <f>'Sovereign Ratings (Moody''s,S&amp;P)'!A55</f>
        <v>Gabon</v>
      </c>
      <c r="B13" s="125">
        <f>'Country GDP'!B55</f>
        <v>21071.73922489183</v>
      </c>
      <c r="C13" s="9" t="str">
        <f>'Sovereign Ratings (Moody''s,S&amp;P)'!C55</f>
        <v>Caa1</v>
      </c>
      <c r="D13" s="21">
        <f>'ERPs by country'!D61</f>
        <v>8.1692501446400528E-2</v>
      </c>
      <c r="E13" s="10">
        <f>'ERPs by country'!E61</f>
        <v>0.15566724789468733</v>
      </c>
      <c r="F13" s="14">
        <f>'ERPs by country'!F61</f>
        <v>0.10966724789468733</v>
      </c>
      <c r="G13" s="14">
        <f>'Country Tax Rates'!B55</f>
        <v>0.3</v>
      </c>
      <c r="H13" s="15" t="str">
        <f>VLOOKUP(A13,'Regional lookup table'!$A$2:$B$161,2)</f>
        <v>Africa</v>
      </c>
      <c r="I13" s="60">
        <f t="shared" si="0"/>
        <v>8.4010706880304625E-3</v>
      </c>
      <c r="J13" s="60">
        <f t="shared" si="1"/>
        <v>6.863044793332416E-4</v>
      </c>
      <c r="K13" s="60">
        <f t="shared" si="2"/>
        <v>1.3077715533744295E-3</v>
      </c>
      <c r="L13" s="60">
        <f t="shared" si="3"/>
        <v>9.2132230172502824E-4</v>
      </c>
      <c r="M13" s="60">
        <f t="shared" si="4"/>
        <v>2.5203212064091388E-3</v>
      </c>
    </row>
    <row r="14" spans="1:13" s="38" customFormat="1" ht="16">
      <c r="A14" s="8" t="str">
        <f>'Sovereign Ratings (Moody''s,S&amp;P)'!A58</f>
        <v>Ghana</v>
      </c>
      <c r="B14" s="125">
        <f>'Country GDP'!B58</f>
        <v>73766.052451525553</v>
      </c>
      <c r="C14" s="9" t="str">
        <f>'Sovereign Ratings (Moody''s,S&amp;P)'!C58</f>
        <v>Caa3</v>
      </c>
      <c r="D14" s="21">
        <f>'ERPs by country'!D64</f>
        <v>0.10896601681957188</v>
      </c>
      <c r="E14" s="10">
        <f>'ERPs by country'!E64</f>
        <v>0.19228029460560964</v>
      </c>
      <c r="F14" s="14">
        <f>'ERPs by country'!F64</f>
        <v>0.14628029460560962</v>
      </c>
      <c r="G14" s="14">
        <f>'Country Tax Rates'!B58</f>
        <v>0.25</v>
      </c>
      <c r="H14" s="15" t="str">
        <f>VLOOKUP(A14,'Regional lookup table'!$A$2:$B$161,2)</f>
        <v>Africa</v>
      </c>
      <c r="I14" s="60">
        <f t="shared" si="0"/>
        <v>2.9409713854571976E-2</v>
      </c>
      <c r="J14" s="60">
        <f t="shared" si="1"/>
        <v>3.2046593745360861E-3</v>
      </c>
      <c r="K14" s="60">
        <f t="shared" si="2"/>
        <v>5.6549084442237786E-3</v>
      </c>
      <c r="L14" s="60">
        <f t="shared" si="3"/>
        <v>4.3020616069134677E-3</v>
      </c>
      <c r="M14" s="60">
        <f t="shared" si="4"/>
        <v>7.3524284636429941E-3</v>
      </c>
    </row>
    <row r="15" spans="1:13" s="38" customFormat="1" ht="16">
      <c r="A15" s="8" t="str">
        <f>'Sovereign Ratings (Moody''s,S&amp;P)'!A78</f>
        <v>Kenya</v>
      </c>
      <c r="B15" s="125">
        <f>'Country GDP'!B78</f>
        <v>113420.00817879318</v>
      </c>
      <c r="C15" s="9" t="str">
        <f>'Sovereign Ratings (Moody''s,S&amp;P)'!C78</f>
        <v>B3</v>
      </c>
      <c r="D15" s="21">
        <f>'ERPs by country'!D84</f>
        <v>7.0808704231754685E-2</v>
      </c>
      <c r="E15" s="10">
        <f>'ERPs by country'!E84</f>
        <v>0.14105640765793431</v>
      </c>
      <c r="F15" s="14">
        <f>'ERPs by country'!F84</f>
        <v>9.5056407657934314E-2</v>
      </c>
      <c r="G15" s="14">
        <f>'Country Tax Rates'!B78</f>
        <v>0.3</v>
      </c>
      <c r="H15" s="15" t="str">
        <f>VLOOKUP(A15,'Regional lookup table'!$A$2:$B$161,2)</f>
        <v>Africa</v>
      </c>
      <c r="I15" s="60">
        <f t="shared" si="0"/>
        <v>4.5219309900221404E-2</v>
      </c>
      <c r="J15" s="60">
        <f t="shared" si="1"/>
        <v>3.2019207402888337E-3</v>
      </c>
      <c r="K15" s="60">
        <f t="shared" si="2"/>
        <v>6.3784734112960952E-3</v>
      </c>
      <c r="L15" s="60">
        <f t="shared" si="3"/>
        <v>4.298385155885911E-3</v>
      </c>
      <c r="M15" s="60">
        <f t="shared" si="4"/>
        <v>1.3565792970066421E-2</v>
      </c>
    </row>
    <row r="16" spans="1:13" s="38" customFormat="1" ht="16">
      <c r="A16" s="8" t="str">
        <f>'Sovereign Ratings (Moody''s,S&amp;P)'!A92</f>
        <v>Mali</v>
      </c>
      <c r="B16" s="125">
        <f>'Country GDP'!B92</f>
        <v>18827.176529698252</v>
      </c>
      <c r="C16" s="9" t="str">
        <f>'Sovereign Ratings (Moody''s,S&amp;P)'!C92</f>
        <v>Caa2</v>
      </c>
      <c r="D16" s="21">
        <f>'ERPs by country'!D98</f>
        <v>9.8082219604926024E-2</v>
      </c>
      <c r="E16" s="10">
        <f>'ERPs by country'!E98</f>
        <v>0.17766945436885656</v>
      </c>
      <c r="F16" s="14">
        <f>'ERPs by country'!F98</f>
        <v>0.13166945436885658</v>
      </c>
      <c r="G16" s="14">
        <f>'Country Tax Rates'!B92</f>
        <v>0.26860000000000001</v>
      </c>
      <c r="H16" s="15" t="str">
        <f>VLOOKUP(A16,'Regional lookup table'!$A$2:$B$161,2)</f>
        <v>Africa</v>
      </c>
      <c r="I16" s="60">
        <f t="shared" si="0"/>
        <v>7.5061882265124238E-3</v>
      </c>
      <c r="J16" s="60">
        <f t="shared" si="1"/>
        <v>7.3622360202870178E-4</v>
      </c>
      <c r="K16" s="60">
        <f t="shared" si="2"/>
        <v>1.3336203665943974E-3</v>
      </c>
      <c r="L16" s="60">
        <f t="shared" si="3"/>
        <v>9.8833570817482598E-4</v>
      </c>
      <c r="M16" s="60">
        <f t="shared" si="4"/>
        <v>2.016162157641237E-3</v>
      </c>
    </row>
    <row r="17" spans="1:13" s="38" customFormat="1" ht="16">
      <c r="A17" s="8" t="str">
        <f>'Sovereign Ratings (Moody''s,S&amp;P)'!A94</f>
        <v>Mauritius</v>
      </c>
      <c r="B17" s="125">
        <f>'Country GDP'!B94</f>
        <v>12948.726653810985</v>
      </c>
      <c r="C17" s="9" t="str">
        <f>'Sovereign Ratings (Moody''s,S&amp;P)'!C94</f>
        <v>Baa3</v>
      </c>
      <c r="D17" s="21">
        <f>'ERPs by country'!D100</f>
        <v>2.3944353872220846E-2</v>
      </c>
      <c r="E17" s="10">
        <f>'ERPs by country'!E100</f>
        <v>7.8143848520856624E-2</v>
      </c>
      <c r="F17" s="14">
        <f>'ERPs by country'!F100</f>
        <v>3.2143848520856631E-2</v>
      </c>
      <c r="G17" s="14">
        <f>'Country Tax Rates'!B94</f>
        <v>0.15</v>
      </c>
      <c r="H17" s="15" t="str">
        <f>VLOOKUP(A17,'Regional lookup table'!$A$2:$B$161,2)</f>
        <v>Africa</v>
      </c>
      <c r="I17" s="60">
        <f>B17/$B$32</f>
        <v>5.1625149104989783E-3</v>
      </c>
      <c r="J17" s="60">
        <f t="shared" si="1"/>
        <v>1.2361308388760407E-4</v>
      </c>
      <c r="K17" s="60">
        <f t="shared" si="2"/>
        <v>4.0341878315269586E-4</v>
      </c>
      <c r="L17" s="60">
        <f t="shared" si="3"/>
        <v>1.659430972697429E-4</v>
      </c>
      <c r="M17" s="60">
        <f>I17*G17</f>
        <v>7.7437723657484676E-4</v>
      </c>
    </row>
    <row r="18" spans="1:13" s="38" customFormat="1" ht="16">
      <c r="A18" s="8" t="str">
        <f>'Sovereign Ratings (Moody''s,S&amp;P)'!A100</f>
        <v>Morocco</v>
      </c>
      <c r="B18" s="125">
        <f>'Country GDP'!B100</f>
        <v>130912.55882983979</v>
      </c>
      <c r="C18" s="9" t="str">
        <f>'Sovereign Ratings (Moody''s,S&amp;P)'!C100</f>
        <v>Ba1</v>
      </c>
      <c r="D18" s="21">
        <f>'ERPs by country'!D106</f>
        <v>2.7273515373171343E-2</v>
      </c>
      <c r="E18" s="10">
        <f>'ERPs by country'!E106</f>
        <v>8.2613046710922261E-2</v>
      </c>
      <c r="F18" s="14">
        <f>'ERPs by country'!F106</f>
        <v>3.6613046710922269E-2</v>
      </c>
      <c r="G18" s="14">
        <f>'Country Tax Rates'!B100</f>
        <v>0.32</v>
      </c>
      <c r="H18" s="15" t="str">
        <f>VLOOKUP(A18,'Regional lookup table'!$A$2:$B$161,2)</f>
        <v>Africa</v>
      </c>
      <c r="I18" s="60">
        <f t="shared" si="0"/>
        <v>5.2193397466747379E-2</v>
      </c>
      <c r="J18" s="60">
        <f t="shared" si="1"/>
        <v>1.423497428187377E-3</v>
      </c>
      <c r="K18" s="60">
        <f t="shared" si="2"/>
        <v>4.3118555829221332E-3</v>
      </c>
      <c r="L18" s="60">
        <f t="shared" si="3"/>
        <v>1.9109592994517538E-3</v>
      </c>
      <c r="M18" s="60">
        <f t="shared" si="4"/>
        <v>1.6701887189359162E-2</v>
      </c>
    </row>
    <row r="19" spans="1:13" s="38" customFormat="1" ht="16">
      <c r="A19" s="8" t="str">
        <f>'Sovereign Ratings (Moody''s,S&amp;P)'!A101</f>
        <v>Mozambique</v>
      </c>
      <c r="B19" s="125">
        <f>'Country GDP'!B101</f>
        <v>18406.835954669532</v>
      </c>
      <c r="C19" s="9" t="str">
        <f>'Sovereign Ratings (Moody''s,S&amp;P)'!C101</f>
        <v>Caa2</v>
      </c>
      <c r="D19" s="21">
        <f>'ERPs by country'!D107</f>
        <v>9.8082219604926024E-2</v>
      </c>
      <c r="E19" s="10">
        <f>'ERPs by country'!E107</f>
        <v>0.17766945436885656</v>
      </c>
      <c r="F19" s="14">
        <f>'ERPs by country'!F107</f>
        <v>0.13166945436885658</v>
      </c>
      <c r="G19" s="14">
        <f>'Country Tax Rates'!B101</f>
        <v>0.32</v>
      </c>
      <c r="H19" s="15" t="str">
        <f>VLOOKUP(A19,'Regional lookup table'!$A$2:$B$161,2)</f>
        <v>Africa</v>
      </c>
      <c r="I19" s="60">
        <f t="shared" si="0"/>
        <v>7.3386030620333498E-3</v>
      </c>
      <c r="J19" s="60">
        <f t="shared" si="1"/>
        <v>7.1978647712373758E-4</v>
      </c>
      <c r="K19" s="60">
        <f t="shared" si="2"/>
        <v>1.3038456018610854E-3</v>
      </c>
      <c r="L19" s="60">
        <f t="shared" si="3"/>
        <v>9.6626986100755124E-4</v>
      </c>
      <c r="M19" s="60">
        <f t="shared" si="4"/>
        <v>2.3483529798506721E-3</v>
      </c>
    </row>
    <row r="20" spans="1:13" s="38" customFormat="1" ht="16">
      <c r="A20" s="8" t="str">
        <f>'Sovereign Ratings (Moody''s,S&amp;P)'!A102</f>
        <v>Namibia</v>
      </c>
      <c r="B20" s="125">
        <f>'Country GDP'!B102</f>
        <v>12914.932655685012</v>
      </c>
      <c r="C20" s="9" t="str">
        <f>'Sovereign Ratings (Moody''s,S&amp;P)'!C102</f>
        <v>B1</v>
      </c>
      <c r="D20" s="21">
        <f>'ERPs by country'!D108</f>
        <v>4.9041109802463012E-2</v>
      </c>
      <c r="E20" s="10">
        <f>'ERPs by country'!E108</f>
        <v>0.11183472718442829</v>
      </c>
      <c r="F20" s="14">
        <f>'ERPs by country'!F108</f>
        <v>6.5834727184428288E-2</v>
      </c>
      <c r="G20" s="14">
        <f>'Country Tax Rates'!B102</f>
        <v>0.32</v>
      </c>
      <c r="H20" s="15" t="str">
        <f>VLOOKUP(A20,'Regional lookup table'!$A$2:$B$161,2)</f>
        <v>Africa</v>
      </c>
      <c r="I20" s="60">
        <f t="shared" si="0"/>
        <v>5.1490416151028342E-3</v>
      </c>
      <c r="J20" s="60">
        <f t="shared" si="1"/>
        <v>2.5251471522370959E-4</v>
      </c>
      <c r="K20" s="60">
        <f t="shared" si="2"/>
        <v>5.7584166428629351E-4</v>
      </c>
      <c r="L20" s="60">
        <f t="shared" si="3"/>
        <v>3.3898574999156308E-4</v>
      </c>
      <c r="M20" s="60">
        <f t="shared" si="4"/>
        <v>1.6476933168329069E-3</v>
      </c>
    </row>
    <row r="21" spans="1:13" s="38" customFormat="1" ht="16">
      <c r="A21" s="8" t="str">
        <f>'Sovereign Ratings (Moody''s,S&amp;P)'!A106</f>
        <v>Niger</v>
      </c>
      <c r="B21" s="125">
        <f>'Country GDP'!B106</f>
        <v>15342.278919400891</v>
      </c>
      <c r="C21" s="9" t="str">
        <f>'Sovereign Ratings (Moody''s,S&amp;P)'!C106</f>
        <v>Caa2</v>
      </c>
      <c r="D21" s="21">
        <f>'ERPs by country'!D112</f>
        <v>9.8082219604926024E-2</v>
      </c>
      <c r="E21" s="10">
        <f>'ERPs by country'!E112</f>
        <v>0.17766945436885656</v>
      </c>
      <c r="F21" s="14">
        <f>'ERPs by country'!F112</f>
        <v>0.13166945436885658</v>
      </c>
      <c r="G21" s="14">
        <f>'Country Tax Rates'!B106</f>
        <v>0.26860000000000001</v>
      </c>
      <c r="H21" s="15" t="str">
        <f>VLOOKUP(A21,'Regional lookup table'!$A$2:$B$161,2)</f>
        <v>Africa</v>
      </c>
      <c r="I21" s="60">
        <f>B21/$B$32</f>
        <v>6.1167978751895434E-3</v>
      </c>
      <c r="J21" s="60">
        <f>I21*D21</f>
        <v>5.9994911247328569E-4</v>
      </c>
      <c r="K21" s="60">
        <f>I21*E21</f>
        <v>1.0867681409695074E-3</v>
      </c>
      <c r="L21" s="60">
        <f>I21*F21</f>
        <v>8.0539543871078849E-4</v>
      </c>
      <c r="M21" s="60">
        <f>I21*G21</f>
        <v>1.6429719092759113E-3</v>
      </c>
    </row>
    <row r="22" spans="1:13" s="38" customFormat="1" ht="16">
      <c r="A22" s="8" t="str">
        <f>'Sovereign Ratings (Moody''s,S&amp;P)'!A107</f>
        <v>Nigeria</v>
      </c>
      <c r="B22" s="125">
        <f>'Country GDP'!B107</f>
        <v>472624.59740289778</v>
      </c>
      <c r="C22" s="9" t="str">
        <f>'Sovereign Ratings (Moody''s,S&amp;P)'!C107</f>
        <v>Caa1</v>
      </c>
      <c r="D22" s="21">
        <f>'ERPs by country'!D113</f>
        <v>8.1692501446400528E-2</v>
      </c>
      <c r="E22" s="10">
        <f>'ERPs by country'!E113</f>
        <v>0.15566724789468733</v>
      </c>
      <c r="F22" s="14">
        <f>'ERPs by country'!F113</f>
        <v>0.10966724789468733</v>
      </c>
      <c r="G22" s="14">
        <f>'Country Tax Rates'!B107</f>
        <v>0.3</v>
      </c>
      <c r="H22" s="15" t="str">
        <f>VLOOKUP(A22,'Regional lookup table'!$A$2:$B$161,2)</f>
        <v>Africa</v>
      </c>
      <c r="I22" s="60">
        <f t="shared" si="0"/>
        <v>0.18843022919500207</v>
      </c>
      <c r="J22" s="60">
        <f t="shared" si="1"/>
        <v>1.5393336771058291E-2</v>
      </c>
      <c r="K22" s="60">
        <f t="shared" si="2"/>
        <v>2.9332415198951137E-2</v>
      </c>
      <c r="L22" s="60">
        <f t="shared" si="3"/>
        <v>2.0664624655981043E-2</v>
      </c>
      <c r="M22" s="60">
        <f t="shared" si="4"/>
        <v>5.6529068758500618E-2</v>
      </c>
    </row>
    <row r="23" spans="1:13" s="38" customFormat="1" ht="16">
      <c r="A23" s="8" t="str">
        <f>'Sovereign Ratings (Moody''s,S&amp;P)'!A122</f>
        <v>Rwanda</v>
      </c>
      <c r="B23" s="125">
        <f>'Country GDP'!B122</f>
        <v>13311.487445068627</v>
      </c>
      <c r="C23" s="9" t="str">
        <f>'Sovereign Ratings (Moody''s,S&amp;P)'!C122</f>
        <v>B2</v>
      </c>
      <c r="D23" s="21">
        <f>'ERPs by country'!D127</f>
        <v>5.9924907017108855E-2</v>
      </c>
      <c r="E23" s="10">
        <f>'ERPs by country'!E127</f>
        <v>0.12644556742118129</v>
      </c>
      <c r="F23" s="14">
        <f>'ERPs by country'!F127</f>
        <v>8.0445567421181308E-2</v>
      </c>
      <c r="G23" s="14">
        <f>'Country Tax Rates'!B122</f>
        <v>0.3</v>
      </c>
      <c r="H23" s="15" t="str">
        <f>VLOOKUP(A23,'Regional lookup table'!$A$2:$B$161,2)</f>
        <v>Africa</v>
      </c>
      <c r="I23" s="60">
        <f t="shared" si="0"/>
        <v>5.3071436484344418E-3</v>
      </c>
      <c r="J23" s="60">
        <f t="shared" si="1"/>
        <v>3.1803008965887377E-4</v>
      </c>
      <c r="K23" s="60">
        <f t="shared" si="2"/>
        <v>6.7106479001201129E-4</v>
      </c>
      <c r="L23" s="60">
        <f t="shared" si="3"/>
        <v>4.2693618218402703E-4</v>
      </c>
      <c r="M23" s="60">
        <f t="shared" si="4"/>
        <v>1.5921430945303324E-3</v>
      </c>
    </row>
    <row r="24" spans="1:13" s="38" customFormat="1" ht="16">
      <c r="A24" s="8" t="str">
        <f>'Sovereign Ratings (Moody''s,S&amp;P)'!A124</f>
        <v>Senegal</v>
      </c>
      <c r="B24" s="125">
        <f>'Country GDP'!B124</f>
        <v>27684.264748232432</v>
      </c>
      <c r="C24" s="9" t="str">
        <f>'Sovereign Ratings (Moody''s,S&amp;P)'!C124</f>
        <v>Ba3</v>
      </c>
      <c r="D24" s="21">
        <f>'ERPs by country'!D129</f>
        <v>3.9181669972725021E-2</v>
      </c>
      <c r="E24" s="10">
        <f>'ERPs by country'!E129</f>
        <v>9.8599024852310854E-2</v>
      </c>
      <c r="F24" s="14">
        <f>'ERPs by country'!F129</f>
        <v>5.2599024852310855E-2</v>
      </c>
      <c r="G24" s="14">
        <f>'Country Tax Rates'!B124</f>
        <v>0.3</v>
      </c>
      <c r="H24" s="15" t="str">
        <f>VLOOKUP(A24,'Regional lookup table'!$A$2:$B$161,2)</f>
        <v>Africa</v>
      </c>
      <c r="I24" s="60">
        <f t="shared" si="0"/>
        <v>1.1037411891530489E-2</v>
      </c>
      <c r="J24" s="60">
        <f t="shared" si="1"/>
        <v>4.3246423008697825E-4</v>
      </c>
      <c r="K24" s="60">
        <f t="shared" si="2"/>
        <v>1.088278049398206E-3</v>
      </c>
      <c r="L24" s="60">
        <f t="shared" si="3"/>
        <v>5.8055710238780352E-4</v>
      </c>
      <c r="M24" s="60">
        <f t="shared" si="4"/>
        <v>3.3112235674591464E-3</v>
      </c>
    </row>
    <row r="25" spans="1:13" s="38" customFormat="1" ht="16">
      <c r="A25" s="8" t="str">
        <f>'Sovereign Ratings (Moody''s,S&amp;P)'!A131</f>
        <v>South Africa</v>
      </c>
      <c r="B25" s="125">
        <f>'Country GDP'!B131</f>
        <v>405270.85009938711</v>
      </c>
      <c r="C25" s="9" t="str">
        <f>'Sovereign Ratings (Moody''s,S&amp;P)'!C131</f>
        <v>Ba2</v>
      </c>
      <c r="D25" s="21">
        <f>'ERPs by country'!D136</f>
        <v>3.2779436317050999E-2</v>
      </c>
      <c r="E25" s="10">
        <f>'ERPs by country'!E136</f>
        <v>9.0004412948338497E-2</v>
      </c>
      <c r="F25" s="14">
        <f>'ERPs by country'!F136</f>
        <v>4.4004412948338498E-2</v>
      </c>
      <c r="G25" s="14">
        <f>'Country Tax Rates'!B131</f>
        <v>0.27</v>
      </c>
      <c r="H25" s="15" t="str">
        <f>VLOOKUP(A25,'Regional lookup table'!$A$2:$B$161,2)</f>
        <v>Africa</v>
      </c>
      <c r="I25" s="60">
        <f t="shared" si="0"/>
        <v>0.16157703088225392</v>
      </c>
      <c r="J25" s="60">
        <f t="shared" si="1"/>
        <v>5.2964039941030246E-3</v>
      </c>
      <c r="K25" s="60">
        <f t="shared" si="2"/>
        <v>1.4542645810492824E-2</v>
      </c>
      <c r="L25" s="60">
        <f t="shared" si="3"/>
        <v>7.1101023899091433E-3</v>
      </c>
      <c r="M25" s="60">
        <f t="shared" si="4"/>
        <v>4.3625798338208559E-2</v>
      </c>
    </row>
    <row r="26" spans="1:13" ht="16">
      <c r="A26" s="8" t="str">
        <f>'Sovereign Ratings (Moody''s,S&amp;P)'!A137</f>
        <v>Swaziland</v>
      </c>
      <c r="B26" s="125">
        <f>'Country GDP'!B137</f>
        <v>4790.9220656100979</v>
      </c>
      <c r="C26" s="9" t="str">
        <f>'Sovereign Ratings (Moody''s,S&amp;P)'!C137</f>
        <v>B3</v>
      </c>
      <c r="D26" s="21">
        <f>'ERPs by country'!D142</f>
        <v>7.0808704231754685E-2</v>
      </c>
      <c r="E26" s="10">
        <f>'ERPs by country'!E142</f>
        <v>0.14105640765793431</v>
      </c>
      <c r="F26" s="14">
        <f>'ERPs by country'!F142</f>
        <v>9.5056407657934314E-2</v>
      </c>
      <c r="G26" s="14">
        <f>'Country Tax Rates'!B137</f>
        <v>0.27500000000000002</v>
      </c>
      <c r="H26" s="15" t="str">
        <f>VLOOKUP(A26,'Regional lookup table'!$A$2:$B$161,2)</f>
        <v>Africa</v>
      </c>
      <c r="I26" s="60">
        <f>B26/$B$32</f>
        <v>1.9100879383743402E-3</v>
      </c>
      <c r="J26" s="60">
        <f>I26*D26</f>
        <v>1.3525085188499073E-4</v>
      </c>
      <c r="K26" s="60">
        <f>I26*E26</f>
        <v>2.6943014289783427E-4</v>
      </c>
      <c r="L26" s="60">
        <f>I26*F26</f>
        <v>1.8156609773261459E-4</v>
      </c>
      <c r="M26" s="60">
        <f>I26*G26</f>
        <v>5.2527418305294362E-4</v>
      </c>
    </row>
    <row r="27" spans="1:13" s="38" customFormat="1" ht="16">
      <c r="A27" s="8" t="str">
        <f>'Sovereign Ratings (Moody''s,S&amp;P)'!A142</f>
        <v>Tanzania</v>
      </c>
      <c r="B27" s="125">
        <f>'Country GDP'!B142</f>
        <v>75732.311666039022</v>
      </c>
      <c r="C27" s="9" t="str">
        <f>'Sovereign Ratings (Moody''s,S&amp;P)'!C142</f>
        <v>B2</v>
      </c>
      <c r="D27" s="21">
        <f>'ERPs by country'!D147</f>
        <v>5.9924907017108855E-2</v>
      </c>
      <c r="E27" s="10">
        <f>'ERPs by country'!E147</f>
        <v>0.12644556742118129</v>
      </c>
      <c r="F27" s="14">
        <f>'ERPs by country'!F147</f>
        <v>8.0445567421181308E-2</v>
      </c>
      <c r="G27" s="14">
        <f>'Country Tax Rates'!B142</f>
        <v>0.3</v>
      </c>
      <c r="H27" s="15" t="str">
        <f>VLOOKUP(A27,'Regional lookup table'!$A$2:$B$161,2)</f>
        <v>Africa</v>
      </c>
      <c r="I27" s="60">
        <f t="shared" si="0"/>
        <v>3.0193639779044577E-2</v>
      </c>
      <c r="J27" s="60">
        <f t="shared" si="1"/>
        <v>1.8093510562673255E-3</v>
      </c>
      <c r="K27" s="60">
        <f t="shared" si="2"/>
        <v>3.8178519143720426E-3</v>
      </c>
      <c r="L27" s="60">
        <f t="shared" si="3"/>
        <v>2.4289444845359922E-3</v>
      </c>
      <c r="M27" s="60">
        <f t="shared" si="4"/>
        <v>9.058091933713373E-3</v>
      </c>
    </row>
    <row r="28" spans="1:13" s="38" customFormat="1" ht="16">
      <c r="A28" s="8" t="str">
        <f>'Sovereign Ratings (Moody''s,S&amp;P)'!A144</f>
        <v>Togo</v>
      </c>
      <c r="B28" s="125">
        <f>'Country GDP'!B144</f>
        <v>8341.2252414569357</v>
      </c>
      <c r="C28" s="9" t="str">
        <f>'Sovereign Ratings (Moody''s,S&amp;P)'!C144</f>
        <v>B3</v>
      </c>
      <c r="D28" s="21">
        <f>'ERPs by country'!D149</f>
        <v>7.0808704231754685E-2</v>
      </c>
      <c r="E28" s="10">
        <f>'ERPs by country'!E149</f>
        <v>0.14105640765793431</v>
      </c>
      <c r="F28" s="14">
        <f>'ERPs by country'!F149</f>
        <v>9.5056407657934314E-2</v>
      </c>
      <c r="G28" s="14">
        <f>'Country Tax Rates'!B144</f>
        <v>0.26860000000000001</v>
      </c>
      <c r="H28" s="15" t="str">
        <f>VLOOKUP(A28,'Regional lookup table'!$A$2:$B$161,2)</f>
        <v>Africa</v>
      </c>
      <c r="I28" s="60">
        <f>B28/$B$32</f>
        <v>3.3255547693701779E-3</v>
      </c>
      <c r="J28" s="60">
        <f>I28*D28</f>
        <v>2.3547822407083408E-4</v>
      </c>
      <c r="K28" s="60">
        <f>I28*E28</f>
        <v>4.6909080923706752E-4</v>
      </c>
      <c r="L28" s="60">
        <f>I28*F28</f>
        <v>3.1611528984603937E-4</v>
      </c>
      <c r="M28" s="60">
        <f>I28*G28</f>
        <v>8.9324401105282984E-4</v>
      </c>
    </row>
    <row r="29" spans="1:13" s="38" customFormat="1" ht="16">
      <c r="A29" s="8" t="str">
        <f>'Sovereign Ratings (Moody''s,S&amp;P)'!A146</f>
        <v>Tunisia</v>
      </c>
      <c r="B29" s="125">
        <f>'Country GDP'!B146</f>
        <v>46303.55244935424</v>
      </c>
      <c r="C29" s="9" t="str">
        <f>'Sovereign Ratings (Moody''s,S&amp;P)'!C146</f>
        <v>Caa2</v>
      </c>
      <c r="D29" s="21">
        <f>'ERPs by country'!D151</f>
        <v>9.8082219604926024E-2</v>
      </c>
      <c r="E29" s="10">
        <f>'ERPs by country'!E151</f>
        <v>0.17766945436885656</v>
      </c>
      <c r="F29" s="14">
        <f>'ERPs by country'!F151</f>
        <v>0.13166945436885658</v>
      </c>
      <c r="G29" s="14">
        <f>'Country Tax Rates'!B146</f>
        <v>0.15</v>
      </c>
      <c r="H29" s="15" t="str">
        <f>VLOOKUP(A29,'Regional lookup table'!$A$2:$B$161,2)</f>
        <v>Africa</v>
      </c>
      <c r="I29" s="60">
        <f t="shared" si="0"/>
        <v>1.8460717128391091E-2</v>
      </c>
      <c r="J29" s="60">
        <f t="shared" si="1"/>
        <v>1.8106681114512743E-3</v>
      </c>
      <c r="K29" s="60">
        <f t="shared" si="2"/>
        <v>3.2799055394590495E-3</v>
      </c>
      <c r="L29" s="60">
        <f t="shared" si="3"/>
        <v>2.4307125515530595E-3</v>
      </c>
      <c r="M29" s="60">
        <f t="shared" si="4"/>
        <v>2.7691075692586635E-3</v>
      </c>
    </row>
    <row r="30" spans="1:13" s="38" customFormat="1" ht="16">
      <c r="A30" s="8" t="str">
        <f>'Sovereign Ratings (Moody''s,S&amp;P)'!A149</f>
        <v>Uganda</v>
      </c>
      <c r="B30" s="125">
        <f>'Country GDP'!B149</f>
        <v>45567.30460847645</v>
      </c>
      <c r="C30" s="9" t="str">
        <f>'Sovereign Ratings (Moody''s,S&amp;P)'!C149</f>
        <v>B2</v>
      </c>
      <c r="D30" s="21">
        <f>'ERPs by country'!D154</f>
        <v>5.9924907017108855E-2</v>
      </c>
      <c r="E30" s="10">
        <f>'ERPs by country'!E154</f>
        <v>0.12644556742118129</v>
      </c>
      <c r="F30" s="14">
        <f>'ERPs by country'!F154</f>
        <v>8.0445567421181308E-2</v>
      </c>
      <c r="G30" s="14">
        <f>'Country Tax Rates'!B149</f>
        <v>0.3</v>
      </c>
      <c r="H30" s="15" t="str">
        <f>VLOOKUP(A30,'Regional lookup table'!$A$2:$B$161,2)</f>
        <v>Africa</v>
      </c>
      <c r="I30" s="60">
        <f>B30/$B$32</f>
        <v>1.8167183211275341E-2</v>
      </c>
      <c r="J30" s="60">
        <f>I30*D30</f>
        <v>1.0886667646984559E-3</v>
      </c>
      <c r="K30" s="60">
        <f>I30*E30</f>
        <v>2.2971597895942689E-3</v>
      </c>
      <c r="L30" s="60">
        <f>I30*F30</f>
        <v>1.4614693618756037E-3</v>
      </c>
      <c r="M30" s="60">
        <f>I30*G30</f>
        <v>5.4501549633826024E-3</v>
      </c>
    </row>
    <row r="31" spans="1:13" s="38" customFormat="1" ht="16">
      <c r="A31" s="8" t="str">
        <f>'Sovereign Ratings (Moody''s,S&amp;P)'!A158</f>
        <v>Zambia</v>
      </c>
      <c r="B31" s="125">
        <f>'Country GDP'!B158</f>
        <v>29163.782138341488</v>
      </c>
      <c r="C31" s="9" t="str">
        <f>'Sovereign Ratings (Moody''s,S&amp;P)'!C158</f>
        <v>Caa3</v>
      </c>
      <c r="D31" s="21">
        <f>'ERPs by country'!D163</f>
        <v>0.10896601681957188</v>
      </c>
      <c r="E31" s="10">
        <f>'ERPs by country'!E163</f>
        <v>0.19228029460560964</v>
      </c>
      <c r="F31" s="14">
        <f>'ERPs by country'!F163</f>
        <v>0.14628029460560962</v>
      </c>
      <c r="G31" s="14">
        <f>'Country Tax Rates'!B158</f>
        <v>0.35</v>
      </c>
      <c r="H31" s="15" t="str">
        <f>VLOOKUP(A31,'Regional lookup table'!$A$2:$B$161,2)</f>
        <v>Africa</v>
      </c>
      <c r="I31" s="60">
        <f>B31/$B$32</f>
        <v>1.1627279203659791E-2</v>
      </c>
      <c r="J31" s="60">
        <f>I31*D31</f>
        <v>1.2669783012718512E-3</v>
      </c>
      <c r="K31" s="60">
        <f>I31*E31</f>
        <v>2.2356966707413827E-3</v>
      </c>
      <c r="L31" s="60">
        <f>I31*F31</f>
        <v>1.7008418273730323E-3</v>
      </c>
      <c r="M31" s="60">
        <f>I31*G31</f>
        <v>4.0695477212809271E-3</v>
      </c>
    </row>
    <row r="32" spans="1:13" s="32" customFormat="1" ht="16">
      <c r="A32" s="58" t="s">
        <v>128</v>
      </c>
      <c r="B32" s="153">
        <f>SUM(B2:B31)</f>
        <v>2508220.6789325164</v>
      </c>
      <c r="C32" s="53"/>
      <c r="D32" s="54">
        <f>SUM(J2:J31)</f>
        <v>6.8262679351091926E-2</v>
      </c>
      <c r="E32" s="54">
        <f>SUM(K2:K31)</f>
        <v>0.13763852306889549</v>
      </c>
      <c r="F32" s="54">
        <f>SUM(L2:L31)</f>
        <v>9.1638523068895444E-2</v>
      </c>
      <c r="G32" s="54">
        <f>SUM(M2:M31)</f>
        <v>0.27302836489005694</v>
      </c>
      <c r="H32" s="58"/>
      <c r="I32" s="61">
        <f>SUM(I2:I31)</f>
        <v>0.99999999999999978</v>
      </c>
    </row>
    <row r="33" spans="1:13" s="38" customFormat="1" ht="16">
      <c r="A33" s="8" t="s">
        <v>132</v>
      </c>
      <c r="B33" s="125">
        <v>460201.26552797732</v>
      </c>
      <c r="C33" s="9" t="s">
        <v>48</v>
      </c>
      <c r="D33" s="21">
        <v>4.9041109802463012E-2</v>
      </c>
      <c r="E33" s="10">
        <v>0.11183472718442829</v>
      </c>
      <c r="F33" s="14">
        <v>6.5834727184428288E-2</v>
      </c>
      <c r="G33" s="14">
        <v>0.3</v>
      </c>
      <c r="H33" s="15" t="s">
        <v>129</v>
      </c>
      <c r="I33" s="60">
        <f t="shared" ref="I33:I50" si="5">B33/$B$56</f>
        <v>1.3967214848117828E-2</v>
      </c>
      <c r="J33" s="60">
        <f t="shared" ref="J33:J55" si="6">I33*D33</f>
        <v>6.8496771700113813E-4</v>
      </c>
      <c r="K33" s="60">
        <f t="shared" ref="K33:K55" si="7">I33*E33</f>
        <v>1.5620196620655532E-3</v>
      </c>
      <c r="L33" s="60">
        <f t="shared" ref="L33:L55" si="8">I33*F33</f>
        <v>9.195277790521332E-4</v>
      </c>
      <c r="M33" s="60">
        <f t="shared" si="4"/>
        <v>4.1901644544353484E-3</v>
      </c>
    </row>
    <row r="34" spans="1:13" s="38" customFormat="1" ht="16">
      <c r="A34" s="8" t="s">
        <v>6</v>
      </c>
      <c r="B34" s="125">
        <v>29504.829319316876</v>
      </c>
      <c r="C34" s="9" t="s">
        <v>49</v>
      </c>
      <c r="D34" s="21">
        <v>5.9924907017108855E-2</v>
      </c>
      <c r="E34" s="10">
        <v>0.12644556742118129</v>
      </c>
      <c r="F34" s="14">
        <v>8.0445567421181308E-2</v>
      </c>
      <c r="G34" s="14">
        <v>0.2</v>
      </c>
      <c r="H34" s="15" t="s">
        <v>129</v>
      </c>
      <c r="I34" s="60">
        <f t="shared" si="5"/>
        <v>8.9547839397432474E-4</v>
      </c>
      <c r="J34" s="60">
        <f t="shared" si="6"/>
        <v>5.3661459494741383E-5</v>
      </c>
      <c r="K34" s="60">
        <f t="shared" si="7"/>
        <v>1.1322927363949162E-4</v>
      </c>
      <c r="L34" s="60">
        <f t="shared" si="8"/>
        <v>7.2037267516672702E-5</v>
      </c>
      <c r="M34" s="60">
        <f t="shared" si="4"/>
        <v>1.7909567879486495E-4</v>
      </c>
    </row>
    <row r="35" spans="1:13" s="38" customFormat="1" ht="16">
      <c r="A35" s="8" t="s">
        <v>97</v>
      </c>
      <c r="B35" s="125">
        <v>17963171.479205329</v>
      </c>
      <c r="C35" s="9" t="s">
        <v>41</v>
      </c>
      <c r="D35" s="21">
        <v>7.6826803868088279E-3</v>
      </c>
      <c r="E35" s="10">
        <v>5.6313534284766834E-2</v>
      </c>
      <c r="F35" s="14">
        <v>1.0313534284766834E-2</v>
      </c>
      <c r="G35" s="14">
        <v>0.25</v>
      </c>
      <c r="H35" s="15" t="s">
        <v>129</v>
      </c>
      <c r="I35" s="60">
        <f t="shared" si="5"/>
        <v>0.54518640907212046</v>
      </c>
      <c r="J35" s="60">
        <f t="shared" si="6"/>
        <v>4.188492932133114E-3</v>
      </c>
      <c r="K35" s="60">
        <f t="shared" si="7"/>
        <v>3.0701373538871771E-2</v>
      </c>
      <c r="L35" s="60">
        <f t="shared" si="8"/>
        <v>5.6227987215542305E-3</v>
      </c>
      <c r="M35" s="60">
        <f t="shared" si="4"/>
        <v>0.13629660226803011</v>
      </c>
    </row>
    <row r="36" spans="1:13" s="38" customFormat="1" ht="16">
      <c r="A36" s="8" t="s">
        <v>218</v>
      </c>
      <c r="B36" s="125">
        <v>4979.9795460122996</v>
      </c>
      <c r="C36" s="9" t="s">
        <v>48</v>
      </c>
      <c r="D36" s="21">
        <v>4.9041109802463012E-2</v>
      </c>
      <c r="E36" s="10">
        <v>0.11183472718442829</v>
      </c>
      <c r="F36" s="14">
        <v>6.5834727184428288E-2</v>
      </c>
      <c r="G36" s="14">
        <v>0.2</v>
      </c>
      <c r="H36" s="15" t="s">
        <v>129</v>
      </c>
      <c r="I36" s="60">
        <f t="shared" si="5"/>
        <v>1.5114353103437409E-4</v>
      </c>
      <c r="J36" s="60">
        <f t="shared" si="6"/>
        <v>7.4122465013887161E-6</v>
      </c>
      <c r="K36" s="60">
        <f t="shared" si="7"/>
        <v>1.6903095558920396E-5</v>
      </c>
      <c r="L36" s="60">
        <f t="shared" si="8"/>
        <v>9.9504931313391889E-6</v>
      </c>
      <c r="M36" s="60">
        <f t="shared" si="4"/>
        <v>3.0228706206874821E-5</v>
      </c>
    </row>
    <row r="37" spans="1:13" s="38" customFormat="1" ht="16">
      <c r="A37" s="8" t="s">
        <v>59</v>
      </c>
      <c r="B37" s="125">
        <v>359838.58349006315</v>
      </c>
      <c r="C37" s="9" t="s">
        <v>46</v>
      </c>
      <c r="D37" s="21">
        <v>6.5302783287875029E-3</v>
      </c>
      <c r="E37" s="10">
        <v>5.4766504142051808E-2</v>
      </c>
      <c r="F37" s="14">
        <v>8.7665041420518092E-3</v>
      </c>
      <c r="G37" s="14">
        <v>0.16500000000000001</v>
      </c>
      <c r="H37" s="15" t="s">
        <v>129</v>
      </c>
      <c r="I37" s="60">
        <f t="shared" si="5"/>
        <v>1.092118423551478E-2</v>
      </c>
      <c r="J37" s="60">
        <f t="shared" si="6"/>
        <v>7.1318372737877886E-5</v>
      </c>
      <c r="K37" s="60">
        <f t="shared" si="7"/>
        <v>5.9811508167043113E-4</v>
      </c>
      <c r="L37" s="60">
        <f t="shared" si="8"/>
        <v>9.5740606836751234E-5</v>
      </c>
      <c r="M37" s="60">
        <f t="shared" si="4"/>
        <v>1.8019953988599388E-3</v>
      </c>
    </row>
    <row r="38" spans="1:13" s="38" customFormat="1" ht="16">
      <c r="A38" s="8" t="s">
        <v>111</v>
      </c>
      <c r="B38" s="125">
        <v>3416645.8260528739</v>
      </c>
      <c r="C38" s="9" t="s">
        <v>124</v>
      </c>
      <c r="D38" s="21">
        <v>2.3944353872220846E-2</v>
      </c>
      <c r="E38" s="10">
        <v>7.8143848520856624E-2</v>
      </c>
      <c r="F38" s="14">
        <v>3.2143848520856631E-2</v>
      </c>
      <c r="G38" s="14">
        <v>0.3</v>
      </c>
      <c r="H38" s="15" t="s">
        <v>129</v>
      </c>
      <c r="I38" s="60">
        <f t="shared" si="5"/>
        <v>0.10369599105221142</v>
      </c>
      <c r="J38" s="60">
        <f t="shared" si="6"/>
        <v>2.4829335048847964E-3</v>
      </c>
      <c r="K38" s="60">
        <f t="shared" si="7"/>
        <v>8.1032038170041135E-3</v>
      </c>
      <c r="L38" s="60">
        <f t="shared" si="8"/>
        <v>3.3331882286023883E-3</v>
      </c>
      <c r="M38" s="60">
        <f t="shared" si="4"/>
        <v>3.1108797315663423E-2</v>
      </c>
    </row>
    <row r="39" spans="1:13" s="38" customFormat="1" ht="16">
      <c r="A39" s="8" t="s">
        <v>112</v>
      </c>
      <c r="B39" s="125">
        <v>1319100.2204077167</v>
      </c>
      <c r="C39" s="9" t="s">
        <v>83</v>
      </c>
      <c r="D39" s="21">
        <v>2.0743237044383835E-2</v>
      </c>
      <c r="E39" s="10">
        <v>7.3846542568870452E-2</v>
      </c>
      <c r="F39" s="14">
        <v>2.7846542568870453E-2</v>
      </c>
      <c r="G39" s="14">
        <v>0.22</v>
      </c>
      <c r="H39" s="15" t="s">
        <v>129</v>
      </c>
      <c r="I39" s="60">
        <f t="shared" si="5"/>
        <v>4.0034996782324341E-2</v>
      </c>
      <c r="J39" s="60">
        <f t="shared" si="6"/>
        <v>8.3045542832689784E-4</v>
      </c>
      <c r="K39" s="60">
        <f t="shared" si="7"/>
        <v>2.9564460941305061E-3</v>
      </c>
      <c r="L39" s="60">
        <f t="shared" si="8"/>
        <v>1.1148362421435863E-3</v>
      </c>
      <c r="M39" s="60">
        <f t="shared" si="4"/>
        <v>8.8076992921113546E-3</v>
      </c>
    </row>
    <row r="40" spans="1:13" s="38" customFormat="1" ht="16">
      <c r="A40" s="8" t="s">
        <v>116</v>
      </c>
      <c r="B40" s="125">
        <v>4232173.9160866737</v>
      </c>
      <c r="C40" s="9" t="s">
        <v>41</v>
      </c>
      <c r="D40" s="21">
        <v>7.6826803868088279E-3</v>
      </c>
      <c r="E40" s="10">
        <v>5.6313534284766834E-2</v>
      </c>
      <c r="F40" s="14">
        <v>1.0313534284766834E-2</v>
      </c>
      <c r="G40" s="14">
        <v>0.30620000000000003</v>
      </c>
      <c r="H40" s="15" t="s">
        <v>129</v>
      </c>
      <c r="I40" s="60">
        <f t="shared" si="5"/>
        <v>0.12844745720715353</v>
      </c>
      <c r="J40" s="60">
        <f t="shared" si="6"/>
        <v>9.8682076022086457E-4</v>
      </c>
      <c r="K40" s="60">
        <f t="shared" si="7"/>
        <v>7.2333302852261609E-3</v>
      </c>
      <c r="L40" s="60">
        <f t="shared" si="8"/>
        <v>1.3247472536970987E-3</v>
      </c>
      <c r="M40" s="60">
        <f t="shared" si="4"/>
        <v>3.9330611396830417E-2</v>
      </c>
    </row>
    <row r="41" spans="1:13" s="38" customFormat="1" ht="16">
      <c r="A41" s="8" t="s">
        <v>119</v>
      </c>
      <c r="B41" s="125">
        <v>1673916.4690265576</v>
      </c>
      <c r="C41" s="9" t="s">
        <v>45</v>
      </c>
      <c r="D41" s="21">
        <v>5.3778762707661788E-3</v>
      </c>
      <c r="E41" s="10">
        <v>5.3219473999336783E-2</v>
      </c>
      <c r="F41" s="14">
        <v>7.2194739993367832E-3</v>
      </c>
      <c r="G41" s="14">
        <v>0.25</v>
      </c>
      <c r="H41" s="15" t="s">
        <v>129</v>
      </c>
      <c r="I41" s="60">
        <f t="shared" si="5"/>
        <v>5.0803751992888321E-2</v>
      </c>
      <c r="J41" s="60">
        <f t="shared" si="6"/>
        <v>2.7321629230844406E-4</v>
      </c>
      <c r="K41" s="60">
        <f t="shared" si="7"/>
        <v>2.7037489582542743E-3</v>
      </c>
      <c r="L41" s="60">
        <f t="shared" si="8"/>
        <v>3.6677636658141152E-4</v>
      </c>
      <c r="M41" s="60">
        <f t="shared" si="4"/>
        <v>1.270093799822208E-2</v>
      </c>
    </row>
    <row r="42" spans="1:13" s="38" customFormat="1" ht="16">
      <c r="A42" s="8" t="s">
        <v>342</v>
      </c>
      <c r="B42" s="125">
        <v>15468.785203753174</v>
      </c>
      <c r="C42" s="9" t="s">
        <v>62</v>
      </c>
      <c r="D42" s="21">
        <v>0.10896601681957188</v>
      </c>
      <c r="E42" s="10">
        <v>0.19228029460560964</v>
      </c>
      <c r="F42" s="14">
        <v>0.14628029460560962</v>
      </c>
      <c r="G42" s="14">
        <v>0.26860000000000001</v>
      </c>
      <c r="H42" s="15" t="s">
        <v>129</v>
      </c>
      <c r="I42" s="60">
        <f t="shared" si="5"/>
        <v>4.6948120868883591E-4</v>
      </c>
      <c r="J42" s="60">
        <f>I42*D42</f>
        <v>5.115749728246063E-5</v>
      </c>
      <c r="K42" s="60">
        <f>I42*E42</f>
        <v>9.0271985118487073E-5</v>
      </c>
      <c r="L42" s="60">
        <f>I42*F42</f>
        <v>6.8675849518800604E-5</v>
      </c>
      <c r="M42" s="60">
        <f>I42*G42</f>
        <v>1.2610265265382132E-4</v>
      </c>
    </row>
    <row r="43" spans="1:13" s="38" customFormat="1" ht="16">
      <c r="A43" s="8" t="s">
        <v>32</v>
      </c>
      <c r="B43" s="125">
        <v>24042.287326572936</v>
      </c>
      <c r="C43" s="9" t="s">
        <v>46</v>
      </c>
      <c r="D43" s="21">
        <v>6.5302783287875029E-3</v>
      </c>
      <c r="E43" s="10">
        <v>5.4766504142051808E-2</v>
      </c>
      <c r="F43" s="14">
        <v>8.7665041420518092E-3</v>
      </c>
      <c r="G43" s="14">
        <v>0.26860000000000001</v>
      </c>
      <c r="H43" s="15" t="s">
        <v>129</v>
      </c>
      <c r="I43" s="60">
        <f t="shared" si="5"/>
        <v>7.2968898107041353E-4</v>
      </c>
      <c r="J43" s="60">
        <f t="shared" si="6"/>
        <v>4.7650721398391557E-6</v>
      </c>
      <c r="K43" s="60">
        <f t="shared" si="7"/>
        <v>3.9962514604202364E-5</v>
      </c>
      <c r="L43" s="60">
        <f t="shared" si="8"/>
        <v>6.3968214749633442E-6</v>
      </c>
      <c r="M43" s="60">
        <f t="shared" si="4"/>
        <v>1.9599446031551309E-4</v>
      </c>
    </row>
    <row r="44" spans="1:13" s="38" customFormat="1" ht="16">
      <c r="A44" s="8" t="s">
        <v>14</v>
      </c>
      <c r="B44" s="125">
        <v>407027.45171461598</v>
      </c>
      <c r="C44" s="9" t="s">
        <v>43</v>
      </c>
      <c r="D44" s="21">
        <v>1.3060556657575006E-2</v>
      </c>
      <c r="E44" s="10">
        <v>6.3533008284103618E-2</v>
      </c>
      <c r="F44" s="14">
        <v>1.7533008284103618E-2</v>
      </c>
      <c r="G44" s="14">
        <v>0.24</v>
      </c>
      <c r="H44" s="15" t="s">
        <v>129</v>
      </c>
      <c r="I44" s="60">
        <f t="shared" si="5"/>
        <v>1.2353377300381049E-2</v>
      </c>
      <c r="J44" s="60">
        <f t="shared" si="6"/>
        <v>1.6134198414402765E-4</v>
      </c>
      <c r="K44" s="60">
        <f t="shared" si="7"/>
        <v>7.8484722236176678E-4</v>
      </c>
      <c r="L44" s="60">
        <f t="shared" si="8"/>
        <v>2.1659186654423852E-4</v>
      </c>
      <c r="M44" s="60">
        <f t="shared" si="4"/>
        <v>2.9648105520914516E-3</v>
      </c>
    </row>
    <row r="45" spans="1:13" s="38" customFormat="1" ht="16">
      <c r="A45" s="8" t="s">
        <v>392</v>
      </c>
      <c r="B45" s="125">
        <v>6170.6387469650035</v>
      </c>
      <c r="C45" s="9" t="s">
        <v>100</v>
      </c>
      <c r="D45" s="21">
        <v>8.1692501446400528E-2</v>
      </c>
      <c r="E45" s="10">
        <v>0.15566724789468733</v>
      </c>
      <c r="F45" s="14">
        <v>0.10966724789468733</v>
      </c>
      <c r="G45" s="14">
        <v>0.26860000000000001</v>
      </c>
      <c r="H45" s="15" t="s">
        <v>129</v>
      </c>
      <c r="I45" s="60">
        <f t="shared" si="5"/>
        <v>1.8728031316928481E-4</v>
      </c>
      <c r="J45" s="60">
        <f>I45*D45</f>
        <v>1.5299397254464144E-5</v>
      </c>
      <c r="K45" s="60">
        <f>I45*E45</f>
        <v>2.9153410935917737E-5</v>
      </c>
      <c r="L45" s="60">
        <f>I45*F45</f>
        <v>2.0538516530130634E-5</v>
      </c>
      <c r="M45" s="60">
        <f>I45*G45</f>
        <v>5.0303492117269904E-5</v>
      </c>
    </row>
    <row r="46" spans="1:13" s="38" customFormat="1" ht="16">
      <c r="A46" s="8" t="s">
        <v>63</v>
      </c>
      <c r="B46" s="125">
        <v>17146.471626396327</v>
      </c>
      <c r="C46" s="9" t="s">
        <v>78</v>
      </c>
      <c r="D46" s="21">
        <v>7.0808704231754685E-2</v>
      </c>
      <c r="E46" s="10">
        <v>0.14105640765793431</v>
      </c>
      <c r="F46" s="14">
        <v>9.5056407657934314E-2</v>
      </c>
      <c r="G46" s="14">
        <v>0.25</v>
      </c>
      <c r="H46" s="15" t="s">
        <v>129</v>
      </c>
      <c r="I46" s="60">
        <f t="shared" si="5"/>
        <v>5.2039937964593551E-4</v>
      </c>
      <c r="J46" s="60">
        <f t="shared" si="6"/>
        <v>3.6848805755737668E-5</v>
      </c>
      <c r="K46" s="60">
        <f t="shared" si="7"/>
        <v>7.3405667040273202E-5</v>
      </c>
      <c r="L46" s="60">
        <f t="shared" si="8"/>
        <v>4.9467295576560168E-5</v>
      </c>
      <c r="M46" s="60">
        <f t="shared" si="4"/>
        <v>1.3009984491148388E-4</v>
      </c>
    </row>
    <row r="47" spans="1:13" s="38" customFormat="1" ht="16">
      <c r="A47" s="8" t="s">
        <v>25</v>
      </c>
      <c r="B47" s="125">
        <v>374697.36635924398</v>
      </c>
      <c r="C47" s="9" t="s">
        <v>62</v>
      </c>
      <c r="D47" s="21">
        <v>0.10896601681957188</v>
      </c>
      <c r="E47" s="10">
        <v>0.19228029460560964</v>
      </c>
      <c r="F47" s="14">
        <v>0.14628029460560962</v>
      </c>
      <c r="G47" s="14">
        <v>0.28999999999999998</v>
      </c>
      <c r="H47" s="15" t="s">
        <v>129</v>
      </c>
      <c r="I47" s="60">
        <f t="shared" si="5"/>
        <v>1.1372151732262709E-2</v>
      </c>
      <c r="J47" s="60">
        <f t="shared" si="6"/>
        <v>1.239178076932462E-3</v>
      </c>
      <c r="K47" s="60">
        <f t="shared" si="7"/>
        <v>2.1866406853791676E-3</v>
      </c>
      <c r="L47" s="60">
        <f t="shared" si="8"/>
        <v>1.6635217056950829E-3</v>
      </c>
      <c r="M47" s="60">
        <f t="shared" si="4"/>
        <v>3.2979240023561854E-3</v>
      </c>
    </row>
    <row r="48" spans="1:13" s="38" customFormat="1" ht="16">
      <c r="A48" s="8" t="s">
        <v>9</v>
      </c>
      <c r="B48" s="125">
        <v>31603.619041790265</v>
      </c>
      <c r="C48" s="9" t="s">
        <v>49</v>
      </c>
      <c r="D48" s="21">
        <v>5.9924907017108855E-2</v>
      </c>
      <c r="E48" s="10">
        <v>0.12644556742118129</v>
      </c>
      <c r="F48" s="14">
        <v>8.0445567421181308E-2</v>
      </c>
      <c r="G48" s="14">
        <v>0.3</v>
      </c>
      <c r="H48" s="15" t="s">
        <v>129</v>
      </c>
      <c r="I48" s="60">
        <f t="shared" si="5"/>
        <v>9.5917714747769886E-4</v>
      </c>
      <c r="J48" s="60">
        <f t="shared" si="6"/>
        <v>5.7478601375536812E-5</v>
      </c>
      <c r="K48" s="60">
        <f t="shared" si="7"/>
        <v>1.2128369867024773E-4</v>
      </c>
      <c r="L48" s="60">
        <f t="shared" si="8"/>
        <v>7.7161549886273589E-5</v>
      </c>
      <c r="M48" s="60">
        <f t="shared" si="4"/>
        <v>2.8775314424330965E-4</v>
      </c>
    </row>
    <row r="49" spans="1:13" s="38" customFormat="1" ht="16">
      <c r="A49" s="8" t="s">
        <v>29</v>
      </c>
      <c r="B49" s="125">
        <v>404284.32611046272</v>
      </c>
      <c r="C49" s="9" t="s">
        <v>83</v>
      </c>
      <c r="D49" s="21">
        <v>2.0743237044383835E-2</v>
      </c>
      <c r="E49" s="10">
        <v>7.3846542568870452E-2</v>
      </c>
      <c r="F49" s="14">
        <v>2.7846542568870453E-2</v>
      </c>
      <c r="G49" s="14">
        <v>0.25</v>
      </c>
      <c r="H49" s="15" t="s">
        <v>129</v>
      </c>
      <c r="I49" s="60">
        <f t="shared" si="5"/>
        <v>1.2270122803841096E-2</v>
      </c>
      <c r="J49" s="60">
        <f t="shared" si="6"/>
        <v>2.5452206588377546E-4</v>
      </c>
      <c r="K49" s="60">
        <f t="shared" si="7"/>
        <v>9.0610614595911952E-4</v>
      </c>
      <c r="L49" s="60">
        <f t="shared" si="8"/>
        <v>3.4168049698242914E-4</v>
      </c>
      <c r="M49" s="60">
        <f t="shared" si="4"/>
        <v>3.0675307009602739E-3</v>
      </c>
    </row>
    <row r="50" spans="1:13" s="38" customFormat="1" ht="16">
      <c r="A50" s="8" t="s">
        <v>3</v>
      </c>
      <c r="B50" s="125">
        <v>466788.42679196643</v>
      </c>
      <c r="C50" s="9" t="s">
        <v>47</v>
      </c>
      <c r="D50" s="21">
        <v>0</v>
      </c>
      <c r="E50" s="10">
        <v>4.5999999999999999E-2</v>
      </c>
      <c r="F50" s="14">
        <v>0</v>
      </c>
      <c r="G50" s="14">
        <v>0.17</v>
      </c>
      <c r="H50" s="15" t="s">
        <v>129</v>
      </c>
      <c r="I50" s="60">
        <f t="shared" si="5"/>
        <v>1.4167136716015738E-2</v>
      </c>
      <c r="J50" s="60">
        <f t="shared" si="6"/>
        <v>0</v>
      </c>
      <c r="K50" s="60">
        <f t="shared" si="7"/>
        <v>6.5168828893672392E-4</v>
      </c>
      <c r="L50" s="60">
        <f t="shared" si="8"/>
        <v>0</v>
      </c>
      <c r="M50" s="60">
        <f t="shared" si="4"/>
        <v>2.4084132417226756E-3</v>
      </c>
    </row>
    <row r="51" spans="1:13" s="38" customFormat="1" ht="16">
      <c r="A51" s="8" t="s">
        <v>404</v>
      </c>
      <c r="B51" s="125">
        <v>1597.2043406290234</v>
      </c>
      <c r="C51" s="9" t="s">
        <v>100</v>
      </c>
      <c r="D51" s="21">
        <v>8.1692501446400528E-2</v>
      </c>
      <c r="E51" s="10">
        <v>0.15566724789468733</v>
      </c>
      <c r="F51" s="14">
        <v>0.10966724789468733</v>
      </c>
      <c r="G51" s="14">
        <v>0.3</v>
      </c>
      <c r="H51" s="15" t="s">
        <v>129</v>
      </c>
      <c r="I51" s="60">
        <f>B51/$B$56</f>
        <v>4.8475521153376157E-5</v>
      </c>
      <c r="J51" s="60">
        <f>I51*D51</f>
        <v>3.9600865819372012E-6</v>
      </c>
      <c r="K51" s="60">
        <f>I51*E51</f>
        <v>7.5460509682067655E-6</v>
      </c>
      <c r="L51" s="60">
        <f>I51*F51</f>
        <v>5.3161769951514627E-6</v>
      </c>
      <c r="M51" s="60">
        <f>I51*G51</f>
        <v>1.4542656346012846E-5</v>
      </c>
    </row>
    <row r="52" spans="1:13" s="38" customFormat="1" ht="16">
      <c r="A52" s="8" t="s">
        <v>134</v>
      </c>
      <c r="B52" s="125">
        <v>74403.578363435474</v>
      </c>
      <c r="C52" s="9" t="s">
        <v>345</v>
      </c>
      <c r="D52" s="21">
        <v>0.13073361124886354</v>
      </c>
      <c r="E52" s="10">
        <v>0.22150197507911562</v>
      </c>
      <c r="F52" s="14">
        <v>0.17550197507911564</v>
      </c>
      <c r="G52" s="14">
        <v>0.24</v>
      </c>
      <c r="H52" s="15" t="s">
        <v>129</v>
      </c>
      <c r="I52" s="60">
        <f>B52/$B$56</f>
        <v>2.258165812035771E-3</v>
      </c>
      <c r="J52" s="60">
        <f t="shared" si="6"/>
        <v>2.9521817140615872E-4</v>
      </c>
      <c r="K52" s="60">
        <f t="shared" si="7"/>
        <v>5.0018818742205828E-4</v>
      </c>
      <c r="L52" s="60">
        <f t="shared" si="8"/>
        <v>3.9631256006841283E-4</v>
      </c>
      <c r="M52" s="60">
        <f t="shared" si="4"/>
        <v>5.4195979488858503E-4</v>
      </c>
    </row>
    <row r="53" spans="1:13" s="38" customFormat="1" ht="16">
      <c r="A53" s="8" t="s">
        <v>64</v>
      </c>
      <c r="B53" s="125">
        <v>761690</v>
      </c>
      <c r="C53" s="9" t="s">
        <v>46</v>
      </c>
      <c r="D53" s="21">
        <v>6.5302783287875029E-3</v>
      </c>
      <c r="E53" s="10">
        <v>5.4766504142051808E-2</v>
      </c>
      <c r="F53" s="14">
        <v>8.7665041420518092E-3</v>
      </c>
      <c r="G53" s="14">
        <v>0.2</v>
      </c>
      <c r="H53" s="15" t="s">
        <v>129</v>
      </c>
      <c r="I53" s="60">
        <f>B53/$B$56</f>
        <v>2.3117467670275463E-2</v>
      </c>
      <c r="J53" s="60">
        <f t="shared" si="6"/>
        <v>1.5096349814364558E-4</v>
      </c>
      <c r="K53" s="60">
        <f t="shared" si="7"/>
        <v>1.2660628889178899E-3</v>
      </c>
      <c r="L53" s="60">
        <f t="shared" si="8"/>
        <v>2.0265937608521863E-4</v>
      </c>
      <c r="M53" s="60">
        <f t="shared" si="4"/>
        <v>4.6234935340550929E-3</v>
      </c>
    </row>
    <row r="54" spans="1:13" s="38" customFormat="1" ht="16">
      <c r="A54" s="8" t="s">
        <v>65</v>
      </c>
      <c r="B54" s="125">
        <v>495423.3430496215</v>
      </c>
      <c r="C54" s="9" t="s">
        <v>82</v>
      </c>
      <c r="D54" s="21">
        <v>1.7414075543433341E-2</v>
      </c>
      <c r="E54" s="10">
        <v>6.9377344378804828E-2</v>
      </c>
      <c r="F54" s="14">
        <v>2.3377344378804822E-2</v>
      </c>
      <c r="G54" s="14">
        <v>0.2</v>
      </c>
      <c r="H54" s="15" t="s">
        <v>129</v>
      </c>
      <c r="I54" s="60">
        <f>B54/$B$56</f>
        <v>1.5036213047367583E-2</v>
      </c>
      <c r="J54" s="60">
        <f t="shared" si="6"/>
        <v>2.6184174989401712E-4</v>
      </c>
      <c r="K54" s="60">
        <f t="shared" si="7"/>
        <v>1.0431725307402991E-3</v>
      </c>
      <c r="L54" s="60">
        <f t="shared" si="8"/>
        <v>3.5150673056139032E-4</v>
      </c>
      <c r="M54" s="60">
        <f t="shared" si="4"/>
        <v>3.007242609473517E-3</v>
      </c>
    </row>
    <row r="55" spans="1:13" s="38" customFormat="1" ht="16">
      <c r="A55" s="8" t="s">
        <v>71</v>
      </c>
      <c r="B55" s="125">
        <v>408802</v>
      </c>
      <c r="C55" s="9" t="s">
        <v>80</v>
      </c>
      <c r="D55" s="21">
        <v>3.2779436317050999E-2</v>
      </c>
      <c r="E55" s="10">
        <v>9.0004412948338497E-2</v>
      </c>
      <c r="F55" s="14">
        <v>4.4004412948338498E-2</v>
      </c>
      <c r="G55" s="14">
        <v>0.2</v>
      </c>
      <c r="H55" s="15" t="s">
        <v>129</v>
      </c>
      <c r="I55" s="60">
        <f>B55/$B$56</f>
        <v>1.2407235251275387E-2</v>
      </c>
      <c r="J55" s="60">
        <f t="shared" si="6"/>
        <v>4.0670217778985179E-4</v>
      </c>
      <c r="K55" s="60">
        <f t="shared" si="7"/>
        <v>1.1167059251029723E-3</v>
      </c>
      <c r="L55" s="60">
        <f t="shared" si="8"/>
        <v>5.4597310354430448E-4</v>
      </c>
      <c r="M55" s="60">
        <f t="shared" si="4"/>
        <v>2.4814470502550773E-3</v>
      </c>
    </row>
    <row r="56" spans="1:13" s="32" customFormat="1" ht="16">
      <c r="A56" s="58" t="s">
        <v>129</v>
      </c>
      <c r="B56" s="53">
        <f>SUM(B33:B55)</f>
        <v>32948678.067337982</v>
      </c>
      <c r="C56" s="53"/>
      <c r="D56" s="54">
        <f>SUM(J33:J55)</f>
        <v>1.2518555898193178E-2</v>
      </c>
      <c r="E56" s="54">
        <f>SUM(K33:K55)</f>
        <v>6.2805405008578549E-2</v>
      </c>
      <c r="F56" s="55">
        <f>SUM(L33:L55)</f>
        <v>1.6805405008578567E-2</v>
      </c>
      <c r="G56" s="55">
        <f>SUM(M33:M55)</f>
        <v>0.2576437502455447</v>
      </c>
      <c r="H56" s="58"/>
      <c r="I56" s="61">
        <f>SUM(I33:I55)</f>
        <v>0.99999999999999978</v>
      </c>
    </row>
    <row r="57" spans="1:13" s="38" customFormat="1" ht="16">
      <c r="A57" s="8" t="s">
        <v>85</v>
      </c>
      <c r="B57" s="125">
        <v>1692956.6468557017</v>
      </c>
      <c r="C57" s="9" t="s">
        <v>47</v>
      </c>
      <c r="D57" s="21">
        <v>0</v>
      </c>
      <c r="E57" s="10">
        <v>4.5999999999999999E-2</v>
      </c>
      <c r="F57" s="14">
        <v>0</v>
      </c>
      <c r="G57" s="14">
        <v>0.3</v>
      </c>
      <c r="H57" s="15" t="s">
        <v>53</v>
      </c>
      <c r="I57" s="60">
        <f>B57/$B$60</f>
        <v>0.87154735806999506</v>
      </c>
      <c r="J57" s="60">
        <f>I57*D57</f>
        <v>0</v>
      </c>
      <c r="K57" s="60">
        <f>I57*E57</f>
        <v>4.009117847121977E-2</v>
      </c>
      <c r="L57" s="60">
        <f>I57*F57</f>
        <v>0</v>
      </c>
      <c r="M57" s="60">
        <f t="shared" si="4"/>
        <v>0.26146420742099852</v>
      </c>
    </row>
    <row r="58" spans="1:13" s="38" customFormat="1" ht="16">
      <c r="A58" s="8" t="s">
        <v>213</v>
      </c>
      <c r="B58" s="125">
        <v>1414</v>
      </c>
      <c r="C58" s="9" t="s">
        <v>48</v>
      </c>
      <c r="D58" s="21">
        <v>4.9041109802463012E-2</v>
      </c>
      <c r="E58" s="10">
        <v>0.11183472718442829</v>
      </c>
      <c r="F58" s="14">
        <v>6.5834727184428288E-2</v>
      </c>
      <c r="G58" s="14">
        <v>0.2974</v>
      </c>
      <c r="H58" s="15" t="s">
        <v>53</v>
      </c>
      <c r="I58" s="60">
        <f>B58/$B$60</f>
        <v>7.2793828867374021E-4</v>
      </c>
      <c r="J58" s="60">
        <f>I58*D58</f>
        <v>3.5698901544265913E-5</v>
      </c>
      <c r="K58" s="60">
        <f>I58*E58</f>
        <v>8.1408779920927337E-5</v>
      </c>
      <c r="L58" s="60">
        <f>I58*F58</f>
        <v>4.7923618641935289E-5</v>
      </c>
      <c r="M58" s="60">
        <f t="shared" si="4"/>
        <v>2.1648884705157033E-4</v>
      </c>
    </row>
    <row r="59" spans="1:13" s="38" customFormat="1" ht="16">
      <c r="A59" s="8" t="s">
        <v>21</v>
      </c>
      <c r="B59" s="125">
        <v>248101.70554139902</v>
      </c>
      <c r="C59" s="9" t="s">
        <v>47</v>
      </c>
      <c r="D59" s="21">
        <v>0</v>
      </c>
      <c r="E59" s="10">
        <v>4.5999999999999999E-2</v>
      </c>
      <c r="F59" s="14">
        <v>0</v>
      </c>
      <c r="G59" s="14">
        <v>0.28000000000000003</v>
      </c>
      <c r="H59" s="15" t="s">
        <v>53</v>
      </c>
      <c r="I59" s="60">
        <f>B59/$B$60</f>
        <v>0.12772470364133112</v>
      </c>
      <c r="J59" s="60">
        <f>I59*D59</f>
        <v>0</v>
      </c>
      <c r="K59" s="60">
        <f>I59*E59</f>
        <v>5.8753363675012318E-3</v>
      </c>
      <c r="L59" s="60">
        <f>I59*F59</f>
        <v>0</v>
      </c>
      <c r="M59" s="60">
        <f t="shared" si="4"/>
        <v>3.5762917019572717E-2</v>
      </c>
    </row>
    <row r="60" spans="1:13" s="32" customFormat="1" ht="16">
      <c r="A60" s="58" t="s">
        <v>53</v>
      </c>
      <c r="B60" s="53">
        <f>SUM(B57:B59)</f>
        <v>1942472.3523971008</v>
      </c>
      <c r="C60" s="53"/>
      <c r="D60" s="54">
        <f>SUM(J57:J59)</f>
        <v>3.5698901544265913E-5</v>
      </c>
      <c r="E60" s="54">
        <f>SUM(K57:K59)</f>
        <v>4.6047923618641927E-2</v>
      </c>
      <c r="F60" s="54">
        <f>SUM(L57:L59)</f>
        <v>4.7923618641935289E-5</v>
      </c>
      <c r="G60" s="54">
        <f>SUM(M57:M59)</f>
        <v>0.29744361328762281</v>
      </c>
      <c r="H60" s="58"/>
      <c r="I60" s="61">
        <f>SUM(I57:I59)</f>
        <v>1</v>
      </c>
    </row>
    <row r="61" spans="1:13" s="38" customFormat="1" ht="16">
      <c r="A61" s="8" t="s">
        <v>200</v>
      </c>
      <c r="B61" s="125">
        <v>3544.7077880566426</v>
      </c>
      <c r="C61" s="9" t="s">
        <v>83</v>
      </c>
      <c r="D61" s="21">
        <v>2.0743237044383835E-2</v>
      </c>
      <c r="E61" s="10">
        <v>7.3846542568870452E-2</v>
      </c>
      <c r="F61" s="14">
        <v>2.7846542568870453E-2</v>
      </c>
      <c r="G61" s="14">
        <v>0.25</v>
      </c>
      <c r="H61" s="15" t="s">
        <v>54</v>
      </c>
      <c r="I61" s="60">
        <f t="shared" ref="I61:I73" si="9">B61/$B$75</f>
        <v>4.0772379629885613E-3</v>
      </c>
      <c r="J61" s="60">
        <f t="shared" ref="J61:J73" si="10">I61*D61</f>
        <v>8.4575113552632408E-5</v>
      </c>
      <c r="K61" s="60">
        <f t="shared" ref="K61:K73" si="11">I61*E61</f>
        <v>3.0108992679724945E-4</v>
      </c>
      <c r="L61" s="60">
        <f t="shared" ref="L61:L73" si="12">I61*F61</f>
        <v>1.1353698049977563E-4</v>
      </c>
      <c r="M61" s="60">
        <f t="shared" si="4"/>
        <v>1.0193094907471403E-3</v>
      </c>
    </row>
    <row r="62" spans="1:13" s="38" customFormat="1" ht="16">
      <c r="A62" s="8" t="s">
        <v>86</v>
      </c>
      <c r="B62" s="125">
        <v>11210</v>
      </c>
      <c r="C62" s="9" t="s">
        <v>48</v>
      </c>
      <c r="D62" s="21">
        <v>4.9041109802463012E-2</v>
      </c>
      <c r="E62" s="10">
        <v>0.11183472718442829</v>
      </c>
      <c r="F62" s="14">
        <v>6.5834727184428288E-2</v>
      </c>
      <c r="G62" s="14">
        <v>0</v>
      </c>
      <c r="H62" s="15" t="s">
        <v>54</v>
      </c>
      <c r="I62" s="60">
        <f t="shared" si="9"/>
        <v>1.2894105889094915E-2</v>
      </c>
      <c r="J62" s="60">
        <f t="shared" si="10"/>
        <v>6.3234126271168869E-4</v>
      </c>
      <c r="K62" s="60">
        <f t="shared" si="11"/>
        <v>1.4420088143940601E-3</v>
      </c>
      <c r="L62" s="60">
        <f t="shared" si="12"/>
        <v>8.4887994349569387E-4</v>
      </c>
      <c r="M62" s="60">
        <f t="shared" si="4"/>
        <v>0</v>
      </c>
    </row>
    <row r="63" spans="1:13" s="38" customFormat="1" ht="16">
      <c r="A63" s="8" t="s">
        <v>88</v>
      </c>
      <c r="B63" s="125">
        <v>5699.95</v>
      </c>
      <c r="C63" s="9" t="s">
        <v>78</v>
      </c>
      <c r="D63" s="21">
        <v>7.0808704231754685E-2</v>
      </c>
      <c r="E63" s="10">
        <v>0.14105640765793431</v>
      </c>
      <c r="F63" s="14">
        <v>9.5056407657934314E-2</v>
      </c>
      <c r="G63" s="14">
        <v>5.5E-2</v>
      </c>
      <c r="H63" s="15" t="s">
        <v>54</v>
      </c>
      <c r="I63" s="60">
        <f t="shared" si="9"/>
        <v>6.5562675167302907E-3</v>
      </c>
      <c r="J63" s="60">
        <f t="shared" si="10"/>
        <v>4.642408074564159E-4</v>
      </c>
      <c r="K63" s="60">
        <f t="shared" si="11"/>
        <v>9.2480354355438052E-4</v>
      </c>
      <c r="L63" s="60">
        <f t="shared" si="12"/>
        <v>6.2321523778478718E-4</v>
      </c>
      <c r="M63" s="60">
        <f t="shared" si="4"/>
        <v>3.6059471342016598E-4</v>
      </c>
    </row>
    <row r="64" spans="1:13" s="38" customFormat="1" ht="16">
      <c r="A64" s="8" t="s">
        <v>90</v>
      </c>
      <c r="B64" s="125">
        <v>7546</v>
      </c>
      <c r="C64" s="9" t="s">
        <v>42</v>
      </c>
      <c r="D64" s="21">
        <v>9.2192164641705932E-3</v>
      </c>
      <c r="E64" s="10">
        <v>5.83762411417202E-2</v>
      </c>
      <c r="F64" s="14">
        <v>1.2376241141720201E-2</v>
      </c>
      <c r="G64" s="14">
        <v>0</v>
      </c>
      <c r="H64" s="15" t="s">
        <v>54</v>
      </c>
      <c r="I64" s="60">
        <f t="shared" si="9"/>
        <v>8.67965415157094E-3</v>
      </c>
      <c r="J64" s="60">
        <f t="shared" si="10"/>
        <v>8.0019610457469453E-5</v>
      </c>
      <c r="K64" s="60">
        <f t="shared" si="11"/>
        <v>5.0668558377883809E-4</v>
      </c>
      <c r="L64" s="60">
        <f t="shared" si="12"/>
        <v>1.0742149280657482E-4</v>
      </c>
      <c r="M64" s="60">
        <f t="shared" si="4"/>
        <v>0</v>
      </c>
    </row>
    <row r="65" spans="1:13" s="38" customFormat="1" ht="16">
      <c r="A65" s="8" t="s">
        <v>55</v>
      </c>
      <c r="B65" s="125">
        <v>6844.8273793095168</v>
      </c>
      <c r="C65" s="9" t="s">
        <v>46</v>
      </c>
      <c r="D65" s="21">
        <v>6.5302783287875029E-3</v>
      </c>
      <c r="E65" s="10">
        <v>5.4766504142051808E-2</v>
      </c>
      <c r="F65" s="14">
        <v>8.7665041420518092E-3</v>
      </c>
      <c r="G65" s="14">
        <v>0</v>
      </c>
      <c r="H65" s="15" t="s">
        <v>54</v>
      </c>
      <c r="I65" s="60">
        <f t="shared" si="9"/>
        <v>7.8731426424079355E-3</v>
      </c>
      <c r="J65" s="60">
        <f t="shared" si="10"/>
        <v>5.1413812777169316E-5</v>
      </c>
      <c r="K65" s="60">
        <f t="shared" si="11"/>
        <v>4.3118449913639892E-4</v>
      </c>
      <c r="L65" s="60">
        <f t="shared" si="12"/>
        <v>6.9019937585633898E-5</v>
      </c>
      <c r="M65" s="60">
        <f t="shared" si="4"/>
        <v>0</v>
      </c>
    </row>
    <row r="66" spans="1:13" s="38" customFormat="1" ht="16">
      <c r="A66" s="8" t="s">
        <v>99</v>
      </c>
      <c r="B66" s="125">
        <v>633442.30000000005</v>
      </c>
      <c r="C66" s="9" t="s">
        <v>345</v>
      </c>
      <c r="D66" s="21">
        <v>0.13073361124886354</v>
      </c>
      <c r="E66" s="10">
        <v>0.22150197507911562</v>
      </c>
      <c r="F66" s="14">
        <v>0.17550197507911564</v>
      </c>
      <c r="G66" s="14">
        <v>0.2853</v>
      </c>
      <c r="H66" s="15" t="s">
        <v>54</v>
      </c>
      <c r="I66" s="60">
        <f t="shared" si="9"/>
        <v>0.72860589570310696</v>
      </c>
      <c r="J66" s="60">
        <f t="shared" si="10"/>
        <v>9.5253279922480005E-2</v>
      </c>
      <c r="K66" s="60">
        <f t="shared" si="11"/>
        <v>0.1613876449525263</v>
      </c>
      <c r="L66" s="60">
        <f t="shared" si="12"/>
        <v>0.12787177375018341</v>
      </c>
      <c r="M66" s="60">
        <f t="shared" si="4"/>
        <v>0.20787126204409642</v>
      </c>
    </row>
    <row r="67" spans="1:13" s="38" customFormat="1" ht="16">
      <c r="A67" s="8" t="s">
        <v>216</v>
      </c>
      <c r="B67" s="125">
        <v>3075.1808347241672</v>
      </c>
      <c r="C67" s="9" t="s">
        <v>124</v>
      </c>
      <c r="D67" s="21">
        <v>2.3900000000000001E-2</v>
      </c>
      <c r="E67" s="10">
        <v>7.8100000000000003E-2</v>
      </c>
      <c r="F67" s="14">
        <v>3.2099999999999997E-2</v>
      </c>
      <c r="G67" s="14">
        <v>0.22</v>
      </c>
      <c r="H67" s="15" t="s">
        <v>54</v>
      </c>
      <c r="I67" s="60">
        <f t="shared" si="9"/>
        <v>3.5371728198972975E-3</v>
      </c>
      <c r="J67" s="60">
        <f t="shared" si="10"/>
        <v>8.4538430395545412E-5</v>
      </c>
      <c r="K67" s="60">
        <f t="shared" si="11"/>
        <v>2.7625319723397894E-4</v>
      </c>
      <c r="L67" s="60">
        <f t="shared" si="12"/>
        <v>1.1354324751870324E-4</v>
      </c>
      <c r="M67" s="60">
        <f t="shared" si="4"/>
        <v>7.7817802037740541E-4</v>
      </c>
    </row>
    <row r="68" spans="1:13" s="38" customFormat="1" ht="16">
      <c r="A68" s="8" t="s">
        <v>103</v>
      </c>
      <c r="B68" s="125">
        <v>113537.3681761303</v>
      </c>
      <c r="C68" s="9" t="s">
        <v>81</v>
      </c>
      <c r="D68" s="21">
        <v>3.9181669972725021E-2</v>
      </c>
      <c r="E68" s="10">
        <v>9.8599024852310854E-2</v>
      </c>
      <c r="F68" s="14">
        <v>5.2599024852310855E-2</v>
      </c>
      <c r="G68" s="14">
        <v>0.27</v>
      </c>
      <c r="H68" s="15" t="s">
        <v>54</v>
      </c>
      <c r="I68" s="60">
        <f t="shared" si="9"/>
        <v>0.13059436642570735</v>
      </c>
      <c r="J68" s="60">
        <f t="shared" si="10"/>
        <v>5.1169053655891862E-3</v>
      </c>
      <c r="K68" s="60">
        <f t="shared" si="11"/>
        <v>1.2876477180780109E-2</v>
      </c>
      <c r="L68" s="60">
        <f t="shared" si="12"/>
        <v>6.8691363251975708E-3</v>
      </c>
      <c r="M68" s="60">
        <f t="shared" si="4"/>
        <v>3.5260478934940984E-2</v>
      </c>
    </row>
    <row r="69" spans="1:13" s="38" customFormat="1" ht="16">
      <c r="A69" s="8" t="s">
        <v>115</v>
      </c>
      <c r="B69" s="125">
        <v>17097.760723920146</v>
      </c>
      <c r="C69" s="9" t="s">
        <v>48</v>
      </c>
      <c r="D69" s="21">
        <v>4.9041109802463012E-2</v>
      </c>
      <c r="E69" s="10">
        <v>0.11183472718442829</v>
      </c>
      <c r="F69" s="14">
        <v>6.5834727184428288E-2</v>
      </c>
      <c r="G69" s="14">
        <v>0.25</v>
      </c>
      <c r="H69" s="15" t="s">
        <v>54</v>
      </c>
      <c r="I69" s="60">
        <f t="shared" si="9"/>
        <v>1.9666399397023596E-2</v>
      </c>
      <c r="J69" s="60">
        <f t="shared" si="10"/>
        <v>9.6446205224852649E-4</v>
      </c>
      <c r="K69" s="60">
        <f t="shared" si="11"/>
        <v>2.199386411266139E-3</v>
      </c>
      <c r="L69" s="60">
        <f t="shared" si="12"/>
        <v>1.2947320390030534E-3</v>
      </c>
      <c r="M69" s="60">
        <f t="shared" si="4"/>
        <v>4.9165998492558989E-3</v>
      </c>
    </row>
    <row r="70" spans="1:13" s="38" customFormat="1" ht="16">
      <c r="A70" s="8" t="s">
        <v>224</v>
      </c>
      <c r="B70" s="125">
        <v>16199</v>
      </c>
      <c r="C70" s="9" t="s">
        <v>124</v>
      </c>
      <c r="D70" s="21">
        <v>2.3944353872220846E-2</v>
      </c>
      <c r="E70" s="10">
        <v>7.8143848520856624E-2</v>
      </c>
      <c r="F70" s="14">
        <v>3.2143848520856631E-2</v>
      </c>
      <c r="G70" s="14">
        <v>0.2853</v>
      </c>
      <c r="H70" s="15" t="s">
        <v>54</v>
      </c>
      <c r="I70" s="60">
        <f t="shared" si="9"/>
        <v>1.8632615637595766E-2</v>
      </c>
      <c r="J70" s="60">
        <f t="shared" si="10"/>
        <v>4.4614594239166888E-4</v>
      </c>
      <c r="K70" s="60">
        <f t="shared" si="11"/>
        <v>1.4560242939316279E-3</v>
      </c>
      <c r="L70" s="60">
        <f t="shared" si="12"/>
        <v>5.9892397460222283E-4</v>
      </c>
      <c r="M70" s="60">
        <f t="shared" si="4"/>
        <v>5.3158852414060724E-3</v>
      </c>
    </row>
    <row r="71" spans="1:13" s="38" customFormat="1" ht="16">
      <c r="A71" s="8" t="s">
        <v>190</v>
      </c>
      <c r="B71" s="125">
        <v>11900</v>
      </c>
      <c r="C71" s="9" t="s">
        <v>80</v>
      </c>
      <c r="D71" s="21">
        <v>3.2779436317050999E-2</v>
      </c>
      <c r="E71" s="10">
        <v>9.0004412948338497E-2</v>
      </c>
      <c r="F71" s="14">
        <v>4.4004412948338498E-2</v>
      </c>
      <c r="G71" s="14">
        <v>0.2853</v>
      </c>
      <c r="H71" s="15" t="s">
        <v>54</v>
      </c>
      <c r="I71" s="60">
        <f t="shared" si="9"/>
        <v>1.3687766287264005E-2</v>
      </c>
      <c r="J71" s="60">
        <f t="shared" si="10"/>
        <v>4.4867726333604804E-4</v>
      </c>
      <c r="K71" s="60">
        <f t="shared" si="11"/>
        <v>1.2319593692592555E-3</v>
      </c>
      <c r="L71" s="60">
        <f t="shared" si="12"/>
        <v>6.023221200451113E-4</v>
      </c>
      <c r="M71" s="60">
        <f t="shared" si="4"/>
        <v>3.9051197217564206E-3</v>
      </c>
    </row>
    <row r="72" spans="1:13" s="38" customFormat="1" ht="16">
      <c r="A72" s="8" t="s">
        <v>10</v>
      </c>
      <c r="B72" s="125">
        <v>8100</v>
      </c>
      <c r="C72" s="9" t="s">
        <v>78</v>
      </c>
      <c r="D72" s="21">
        <v>7.0808704231754685E-2</v>
      </c>
      <c r="E72" s="10">
        <v>0.14105640765793431</v>
      </c>
      <c r="F72" s="14">
        <v>9.5056407657934314E-2</v>
      </c>
      <c r="G72" s="14">
        <v>0.2853</v>
      </c>
      <c r="H72" s="15" t="s">
        <v>54</v>
      </c>
      <c r="I72" s="60">
        <f t="shared" si="9"/>
        <v>9.3168829350284404E-3</v>
      </c>
      <c r="J72" s="60">
        <f t="shared" si="10"/>
        <v>6.5971640810831133E-4</v>
      </c>
      <c r="K72" s="60">
        <f t="shared" si="11"/>
        <v>1.3142060373846232E-3</v>
      </c>
      <c r="L72" s="60">
        <f t="shared" si="12"/>
        <v>8.8562942237331501E-4</v>
      </c>
      <c r="M72" s="60">
        <f t="shared" si="4"/>
        <v>2.6581067013636138E-3</v>
      </c>
    </row>
    <row r="73" spans="1:13" s="38" customFormat="1" ht="16">
      <c r="A73" s="8" t="s">
        <v>11</v>
      </c>
      <c r="B73" s="125">
        <v>30053.575132141956</v>
      </c>
      <c r="C73" s="9" t="s">
        <v>80</v>
      </c>
      <c r="D73" s="21">
        <v>3.2779436317050999E-2</v>
      </c>
      <c r="E73" s="10">
        <v>9.0004412948338497E-2</v>
      </c>
      <c r="F73" s="14">
        <v>4.4004412948338498E-2</v>
      </c>
      <c r="G73" s="14">
        <v>0.3</v>
      </c>
      <c r="H73" s="15" t="s">
        <v>54</v>
      </c>
      <c r="I73" s="60">
        <f t="shared" si="9"/>
        <v>3.4568597689536851E-2</v>
      </c>
      <c r="J73" s="60">
        <f t="shared" si="10"/>
        <v>1.1331391465339295E-3</v>
      </c>
      <c r="K73" s="60">
        <f t="shared" si="11"/>
        <v>3.1113263414940546E-3</v>
      </c>
      <c r="L73" s="60">
        <f t="shared" si="12"/>
        <v>1.5211708477753598E-3</v>
      </c>
      <c r="M73" s="60">
        <f t="shared" si="4"/>
        <v>1.0370579306861055E-2</v>
      </c>
    </row>
    <row r="74" spans="1:13" s="38" customFormat="1" ht="16">
      <c r="A74" s="8" t="s">
        <v>291</v>
      </c>
      <c r="B74" s="125">
        <v>1138.8088811</v>
      </c>
      <c r="C74" s="9" t="s">
        <v>82</v>
      </c>
      <c r="D74" s="21">
        <v>1.7414075543433341E-2</v>
      </c>
      <c r="E74" s="10">
        <v>6.9377344378804828E-2</v>
      </c>
      <c r="F74" s="14">
        <v>2.3377344378804822E-2</v>
      </c>
      <c r="G74" s="14">
        <v>0</v>
      </c>
      <c r="H74" s="15" t="s">
        <v>54</v>
      </c>
      <c r="I74" s="60">
        <f>B74/$B$75</f>
        <v>1.3098949420468423E-3</v>
      </c>
      <c r="J74" s="60">
        <f>I74*D74</f>
        <v>2.2810609474764948E-5</v>
      </c>
      <c r="K74" s="60">
        <f>I74*E74</f>
        <v>9.0877032494438364E-5</v>
      </c>
      <c r="L74" s="60">
        <f>I74*F74</f>
        <v>3.0621865160283614E-5</v>
      </c>
      <c r="M74" s="60">
        <f>I74*G74</f>
        <v>0</v>
      </c>
    </row>
    <row r="75" spans="1:13" s="32" customFormat="1" ht="16">
      <c r="A75" s="58" t="s">
        <v>54</v>
      </c>
      <c r="B75" s="53">
        <f>SUM(B61:B74)</f>
        <v>869389.47891538299</v>
      </c>
      <c r="C75" s="53"/>
      <c r="D75" s="54">
        <f>SUM(J61:J74)</f>
        <v>0.10544226574751336</v>
      </c>
      <c r="E75" s="54">
        <f>SUM(K61:K74)</f>
        <v>0.18754992718403149</v>
      </c>
      <c r="F75" s="54">
        <f>SUM(L61:L74)</f>
        <v>0.14154992718403145</v>
      </c>
      <c r="G75" s="54">
        <f>SUM(M61:M74)</f>
        <v>0.2724561140242252</v>
      </c>
      <c r="H75" s="58"/>
      <c r="I75" s="61">
        <f>SUM(I61:I74)</f>
        <v>0.99999999999999967</v>
      </c>
      <c r="J75" s="61"/>
      <c r="K75" s="61"/>
      <c r="L75" s="61">
        <f>SUM(L61:L74)</f>
        <v>0.14154992718403145</v>
      </c>
    </row>
    <row r="76" spans="1:13" s="38" customFormat="1" ht="16">
      <c r="A76" s="8" t="s">
        <v>84</v>
      </c>
      <c r="B76" s="125">
        <v>631133.38443994441</v>
      </c>
      <c r="C76" s="9" t="s">
        <v>345</v>
      </c>
      <c r="D76" s="21">
        <v>0.13073361124886354</v>
      </c>
      <c r="E76" s="10">
        <v>0.22150197507911562</v>
      </c>
      <c r="F76" s="14">
        <v>0.17550197507911564</v>
      </c>
      <c r="G76" s="14">
        <v>0.35</v>
      </c>
      <c r="H76" s="15" t="s">
        <v>51</v>
      </c>
      <c r="I76" s="60">
        <f t="shared" ref="I76:I94" si="13">B76/$B$95</f>
        <v>0.11266581728026434</v>
      </c>
      <c r="J76" s="60">
        <f t="shared" ref="J76:J94" si="14">I76*D76</f>
        <v>1.4729209157353571E-2</v>
      </c>
      <c r="K76" s="60">
        <f t="shared" ref="K76:K94" si="15">I76*E76</f>
        <v>2.4955701051481306E-2</v>
      </c>
      <c r="L76" s="60">
        <f t="shared" ref="L76:L94" si="16">I76*F76</f>
        <v>1.9773073456589147E-2</v>
      </c>
      <c r="M76" s="60">
        <f t="shared" si="4"/>
        <v>3.9433036048092514E-2</v>
      </c>
    </row>
    <row r="77" spans="1:13" s="38" customFormat="1" ht="16">
      <c r="A77" s="8" t="s">
        <v>89</v>
      </c>
      <c r="B77" s="125">
        <v>2830.5075756840952</v>
      </c>
      <c r="C77" s="9" t="s">
        <v>58</v>
      </c>
      <c r="D77" s="21">
        <v>9.8082219604926024E-2</v>
      </c>
      <c r="E77" s="10">
        <v>0.17766945436885656</v>
      </c>
      <c r="F77" s="14">
        <v>0.13166945436885658</v>
      </c>
      <c r="G77" s="14">
        <v>0.2853</v>
      </c>
      <c r="H77" s="15" t="s">
        <v>51</v>
      </c>
      <c r="I77" s="60">
        <f t="shared" si="13"/>
        <v>5.0528375965314403E-4</v>
      </c>
      <c r="J77" s="60">
        <f t="shared" si="14"/>
        <v>4.955935267710233E-5</v>
      </c>
      <c r="K77" s="60">
        <f t="shared" si="15"/>
        <v>8.9773489879018558E-5</v>
      </c>
      <c r="L77" s="60">
        <f t="shared" si="16"/>
        <v>6.6530436934973935E-5</v>
      </c>
      <c r="M77" s="60">
        <f t="shared" ref="M77:M144" si="17">I77*G77</f>
        <v>1.4415745662904199E-4</v>
      </c>
    </row>
    <row r="78" spans="1:13" s="38" customFormat="1" ht="16">
      <c r="A78" s="8" t="s">
        <v>91</v>
      </c>
      <c r="B78" s="125">
        <v>44008.282877960643</v>
      </c>
      <c r="C78" s="9" t="s">
        <v>100</v>
      </c>
      <c r="D78" s="21">
        <v>8.1692501446400528E-2</v>
      </c>
      <c r="E78" s="10">
        <v>0.15566724789468733</v>
      </c>
      <c r="F78" s="14">
        <v>0.10966724789468733</v>
      </c>
      <c r="G78" s="14">
        <v>0.25</v>
      </c>
      <c r="H78" s="15" t="s">
        <v>51</v>
      </c>
      <c r="I78" s="60">
        <f t="shared" si="13"/>
        <v>7.8560717588189964E-3</v>
      </c>
      <c r="J78" s="60">
        <f t="shared" si="14"/>
        <v>6.4178215352034718E-4</v>
      </c>
      <c r="K78" s="60">
        <f t="shared" si="15"/>
        <v>1.222933069958529E-3</v>
      </c>
      <c r="L78" s="60">
        <f t="shared" si="16"/>
        <v>8.6155376905285518E-4</v>
      </c>
      <c r="M78" s="60">
        <f t="shared" si="17"/>
        <v>1.9640179397047491E-3</v>
      </c>
    </row>
    <row r="79" spans="1:13" s="38" customFormat="1" ht="16">
      <c r="A79" s="8" t="s">
        <v>92</v>
      </c>
      <c r="B79" s="125">
        <v>1920095.7790227288</v>
      </c>
      <c r="C79" s="9" t="s">
        <v>80</v>
      </c>
      <c r="D79" s="21">
        <v>3.2779436317050999E-2</v>
      </c>
      <c r="E79" s="10">
        <v>9.0004412948338497E-2</v>
      </c>
      <c r="F79" s="14">
        <v>4.4004412948338498E-2</v>
      </c>
      <c r="G79" s="14">
        <v>0.34</v>
      </c>
      <c r="H79" s="15" t="s">
        <v>51</v>
      </c>
      <c r="I79" s="60">
        <f t="shared" si="13"/>
        <v>0.34276298090608515</v>
      </c>
      <c r="J79" s="60">
        <f t="shared" si="14"/>
        <v>1.1235577304453586E-2</v>
      </c>
      <c r="K79" s="60">
        <f t="shared" si="15"/>
        <v>3.0850180876874751E-2</v>
      </c>
      <c r="L79" s="60">
        <f t="shared" si="16"/>
        <v>1.5083083755194834E-2</v>
      </c>
      <c r="M79" s="60">
        <f t="shared" si="17"/>
        <v>0.11653941350806896</v>
      </c>
    </row>
    <row r="80" spans="1:13" s="38" customFormat="1" ht="16">
      <c r="A80" s="8" t="s">
        <v>96</v>
      </c>
      <c r="B80" s="125">
        <v>301024.7249119234</v>
      </c>
      <c r="C80" s="9" t="s">
        <v>42</v>
      </c>
      <c r="D80" s="21">
        <v>9.2192164641705932E-3</v>
      </c>
      <c r="E80" s="10">
        <v>5.83762411417202E-2</v>
      </c>
      <c r="F80" s="14">
        <v>1.2376241141720201E-2</v>
      </c>
      <c r="G80" s="14">
        <v>0.27</v>
      </c>
      <c r="H80" s="15" t="s">
        <v>51</v>
      </c>
      <c r="I80" s="60">
        <f t="shared" si="13"/>
        <v>5.3736971438873085E-2</v>
      </c>
      <c r="J80" s="60">
        <f t="shared" si="14"/>
        <v>4.9541277182392365E-4</v>
      </c>
      <c r="K80" s="60">
        <f t="shared" si="15"/>
        <v>3.1369624029413865E-3</v>
      </c>
      <c r="L80" s="60">
        <f t="shared" si="16"/>
        <v>6.6506171675322447E-4</v>
      </c>
      <c r="M80" s="60">
        <f t="shared" si="17"/>
        <v>1.4508982288495734E-2</v>
      </c>
    </row>
    <row r="81" spans="1:13" s="38" customFormat="1" ht="16">
      <c r="A81" s="8" t="s">
        <v>50</v>
      </c>
      <c r="B81" s="125">
        <v>343622.11456040916</v>
      </c>
      <c r="C81" s="9" t="s">
        <v>83</v>
      </c>
      <c r="D81" s="21">
        <v>2.0743237044383835E-2</v>
      </c>
      <c r="E81" s="10">
        <v>7.3846542568870452E-2</v>
      </c>
      <c r="F81" s="14">
        <v>2.7846542568870453E-2</v>
      </c>
      <c r="G81" s="14">
        <v>0.35</v>
      </c>
      <c r="H81" s="15" t="s">
        <v>51</v>
      </c>
      <c r="I81" s="60">
        <f t="shared" si="13"/>
        <v>6.134117973631769E-2</v>
      </c>
      <c r="J81" s="60">
        <f t="shared" si="14"/>
        <v>1.2724146318525921E-3</v>
      </c>
      <c r="K81" s="60">
        <f t="shared" si="15"/>
        <v>4.5298340406227178E-3</v>
      </c>
      <c r="L81" s="60">
        <f t="shared" si="16"/>
        <v>1.7081397727521041E-3</v>
      </c>
      <c r="M81" s="60">
        <f t="shared" si="17"/>
        <v>2.1469412907711191E-2</v>
      </c>
    </row>
    <row r="82" spans="1:13" s="38" customFormat="1" ht="16">
      <c r="A82" s="8" t="s">
        <v>56</v>
      </c>
      <c r="B82" s="125">
        <v>69243.62602866962</v>
      </c>
      <c r="C82" s="9" t="s">
        <v>48</v>
      </c>
      <c r="D82" s="21">
        <v>4.9041109802463012E-2</v>
      </c>
      <c r="E82" s="10">
        <v>0.11183472718442829</v>
      </c>
      <c r="F82" s="14">
        <v>6.5834727184428288E-2</v>
      </c>
      <c r="G82" s="14">
        <v>0.3</v>
      </c>
      <c r="H82" s="15" t="s">
        <v>51</v>
      </c>
      <c r="I82" s="60">
        <f t="shared" si="13"/>
        <v>1.2360920702827105E-2</v>
      </c>
      <c r="J82" s="60">
        <f t="shared" si="14"/>
        <v>6.0619326944688233E-4</v>
      </c>
      <c r="K82" s="60">
        <f t="shared" si="15"/>
        <v>1.3823801945490209E-3</v>
      </c>
      <c r="L82" s="60">
        <f t="shared" si="16"/>
        <v>8.1377784221897404E-4</v>
      </c>
      <c r="M82" s="60">
        <f t="shared" si="17"/>
        <v>3.7082762108481314E-3</v>
      </c>
    </row>
    <row r="83" spans="1:13" s="38" customFormat="1" ht="16">
      <c r="A83" s="8" t="s">
        <v>104</v>
      </c>
      <c r="B83" s="125">
        <v>115049.476</v>
      </c>
      <c r="C83" s="9" t="s">
        <v>62</v>
      </c>
      <c r="D83" s="21">
        <v>0.10896601681957188</v>
      </c>
      <c r="E83" s="10">
        <v>0.19228029460560964</v>
      </c>
      <c r="F83" s="14">
        <v>0.14628029460560962</v>
      </c>
      <c r="G83" s="14">
        <v>0.25</v>
      </c>
      <c r="H83" s="15" t="s">
        <v>51</v>
      </c>
      <c r="I83" s="60">
        <f t="shared" si="13"/>
        <v>2.0537882420383312E-2</v>
      </c>
      <c r="J83" s="60">
        <f t="shared" si="14"/>
        <v>2.2379312412578777E-3</v>
      </c>
      <c r="K83" s="60">
        <f t="shared" si="15"/>
        <v>3.9490300823666743E-3</v>
      </c>
      <c r="L83" s="60">
        <f t="shared" si="16"/>
        <v>3.0042874910290417E-3</v>
      </c>
      <c r="M83" s="60">
        <f t="shared" si="17"/>
        <v>5.134470605095828E-3</v>
      </c>
    </row>
    <row r="84" spans="1:13" s="38" customFormat="1" ht="16">
      <c r="A84" s="8" t="s">
        <v>31</v>
      </c>
      <c r="B84" s="125">
        <v>32488.720000000001</v>
      </c>
      <c r="C84" s="9" t="s">
        <v>62</v>
      </c>
      <c r="D84" s="21">
        <v>0.10896601681957188</v>
      </c>
      <c r="E84" s="10">
        <v>0.19228029460560964</v>
      </c>
      <c r="F84" s="14">
        <v>0.14628029460560962</v>
      </c>
      <c r="G84" s="14">
        <v>0.3</v>
      </c>
      <c r="H84" s="15" t="s">
        <v>51</v>
      </c>
      <c r="I84" s="60">
        <f t="shared" si="13"/>
        <v>5.7996744926396343E-3</v>
      </c>
      <c r="J84" s="60">
        <f t="shared" si="14"/>
        <v>6.3196742831301243E-4</v>
      </c>
      <c r="K84" s="60">
        <f t="shared" si="15"/>
        <v>1.1151631200613885E-3</v>
      </c>
      <c r="L84" s="60">
        <f t="shared" si="16"/>
        <v>8.4837809339996517E-4</v>
      </c>
      <c r="M84" s="60">
        <f t="shared" si="17"/>
        <v>1.7399023477918903E-3</v>
      </c>
    </row>
    <row r="85" spans="1:13" s="38" customFormat="1" ht="16">
      <c r="A85" s="8" t="s">
        <v>107</v>
      </c>
      <c r="B85" s="125">
        <v>95003.330315875442</v>
      </c>
      <c r="C85" s="9" t="s">
        <v>79</v>
      </c>
      <c r="D85" s="21">
        <v>2.7273515373171343E-2</v>
      </c>
      <c r="E85" s="10">
        <v>8.2613046710922261E-2</v>
      </c>
      <c r="F85" s="14">
        <v>3.6613046710922269E-2</v>
      </c>
      <c r="G85" s="14">
        <v>0.25</v>
      </c>
      <c r="H85" s="15" t="s">
        <v>51</v>
      </c>
      <c r="I85" s="60">
        <f t="shared" si="13"/>
        <v>1.6959375178486578E-2</v>
      </c>
      <c r="J85" s="60">
        <f t="shared" si="14"/>
        <v>4.6254177964983418E-4</v>
      </c>
      <c r="K85" s="60">
        <f t="shared" si="15"/>
        <v>1.4010656538083672E-3</v>
      </c>
      <c r="L85" s="60">
        <f t="shared" si="16"/>
        <v>6.2093439559798478E-4</v>
      </c>
      <c r="M85" s="60">
        <f t="shared" si="17"/>
        <v>4.2398437946216446E-3</v>
      </c>
    </row>
    <row r="86" spans="1:13" s="38" customFormat="1" ht="16">
      <c r="A86" s="8" t="s">
        <v>108</v>
      </c>
      <c r="B86" s="125">
        <v>31717.6997643621</v>
      </c>
      <c r="C86" s="9" t="s">
        <v>48</v>
      </c>
      <c r="D86" s="21">
        <v>4.9041109802463012E-2</v>
      </c>
      <c r="E86" s="10">
        <v>0.11183472718442829</v>
      </c>
      <c r="F86" s="14">
        <v>6.5834727184428288E-2</v>
      </c>
      <c r="G86" s="14">
        <v>0.25</v>
      </c>
      <c r="H86" s="15" t="s">
        <v>51</v>
      </c>
      <c r="I86" s="60">
        <f t="shared" si="13"/>
        <v>5.6620369866394555E-3</v>
      </c>
      <c r="J86" s="60">
        <f t="shared" si="14"/>
        <v>2.7767257756739232E-4</v>
      </c>
      <c r="K86" s="60">
        <f t="shared" si="15"/>
        <v>6.3321236170896592E-4</v>
      </c>
      <c r="L86" s="60">
        <f t="shared" si="16"/>
        <v>3.7275866032355099E-4</v>
      </c>
      <c r="M86" s="60">
        <f t="shared" si="17"/>
        <v>1.4155092466598639E-3</v>
      </c>
    </row>
    <row r="87" spans="1:13" s="38" customFormat="1" ht="16">
      <c r="A87" s="8" t="s">
        <v>16</v>
      </c>
      <c r="B87" s="125">
        <v>1465854.0892864685</v>
      </c>
      <c r="C87" s="9" t="s">
        <v>83</v>
      </c>
      <c r="D87" s="21">
        <v>2.0743237044383835E-2</v>
      </c>
      <c r="E87" s="10">
        <v>7.3846542568870452E-2</v>
      </c>
      <c r="F87" s="14">
        <v>2.7846542568870453E-2</v>
      </c>
      <c r="G87" s="14">
        <v>0.3</v>
      </c>
      <c r="H87" s="15" t="s">
        <v>51</v>
      </c>
      <c r="I87" s="60">
        <f t="shared" si="13"/>
        <v>0.2616747157649249</v>
      </c>
      <c r="J87" s="60">
        <f t="shared" si="14"/>
        <v>5.427980657633601E-3</v>
      </c>
      <c r="K87" s="60">
        <f t="shared" si="15"/>
        <v>1.9323773036931603E-2</v>
      </c>
      <c r="L87" s="60">
        <f t="shared" si="16"/>
        <v>7.286736111745057E-3</v>
      </c>
      <c r="M87" s="60">
        <f t="shared" si="17"/>
        <v>7.8502414729477471E-2</v>
      </c>
    </row>
    <row r="88" spans="1:13" s="38" customFormat="1" ht="16">
      <c r="A88" s="8" t="s">
        <v>22</v>
      </c>
      <c r="B88" s="125">
        <v>15671.583939988886</v>
      </c>
      <c r="C88" s="9" t="s">
        <v>78</v>
      </c>
      <c r="D88" s="21">
        <v>7.0808704231754685E-2</v>
      </c>
      <c r="E88" s="10">
        <v>0.14105640765793431</v>
      </c>
      <c r="F88" s="14">
        <v>9.5056407657934314E-2</v>
      </c>
      <c r="G88" s="14">
        <v>0.3</v>
      </c>
      <c r="H88" s="15" t="s">
        <v>51</v>
      </c>
      <c r="I88" s="60">
        <f t="shared" si="13"/>
        <v>2.7975889981511886E-3</v>
      </c>
      <c r="J88" s="60">
        <f t="shared" si="14"/>
        <v>1.9809365193209841E-4</v>
      </c>
      <c r="K88" s="60">
        <f t="shared" si="15"/>
        <v>3.9461785418256609E-4</v>
      </c>
      <c r="L88" s="60">
        <f t="shared" si="16"/>
        <v>2.6592876026761142E-4</v>
      </c>
      <c r="M88" s="60">
        <f t="shared" si="17"/>
        <v>8.3927669944535658E-4</v>
      </c>
    </row>
    <row r="89" spans="1:13" s="38" customFormat="1" ht="16">
      <c r="A89" s="8" t="s">
        <v>26</v>
      </c>
      <c r="B89" s="125">
        <v>76522.511799999993</v>
      </c>
      <c r="C89" s="9" t="s">
        <v>83</v>
      </c>
      <c r="D89" s="21">
        <v>2.0743237044383835E-2</v>
      </c>
      <c r="E89" s="10">
        <v>7.3846542568870452E-2</v>
      </c>
      <c r="F89" s="14">
        <v>2.7846542568870453E-2</v>
      </c>
      <c r="G89" s="14">
        <v>0.25</v>
      </c>
      <c r="H89" s="15" t="s">
        <v>51</v>
      </c>
      <c r="I89" s="60">
        <f t="shared" si="13"/>
        <v>1.3660299937922312E-2</v>
      </c>
      <c r="J89" s="60">
        <f t="shared" si="14"/>
        <v>2.8335883970970427E-4</v>
      </c>
      <c r="K89" s="60">
        <f t="shared" si="15"/>
        <v>1.0087659208693183E-3</v>
      </c>
      <c r="L89" s="60">
        <f t="shared" si="16"/>
        <v>3.8039212372489205E-4</v>
      </c>
      <c r="M89" s="60">
        <f t="shared" si="17"/>
        <v>3.4150749844805779E-3</v>
      </c>
    </row>
    <row r="90" spans="1:13" s="38" customFormat="1" ht="16">
      <c r="A90" s="8" t="s">
        <v>27</v>
      </c>
      <c r="B90" s="125">
        <v>41722.295229227944</v>
      </c>
      <c r="C90" s="9" t="s">
        <v>79</v>
      </c>
      <c r="D90" s="21">
        <v>2.7273515373171343E-2</v>
      </c>
      <c r="E90" s="10">
        <v>8.2613046710922261E-2</v>
      </c>
      <c r="F90" s="14">
        <v>3.6613046710922269E-2</v>
      </c>
      <c r="G90" s="14">
        <v>0.1</v>
      </c>
      <c r="H90" s="15" t="s">
        <v>51</v>
      </c>
      <c r="I90" s="60">
        <f t="shared" si="13"/>
        <v>7.4479921466691704E-3</v>
      </c>
      <c r="J90" s="60">
        <f t="shared" si="14"/>
        <v>2.0313292831144106E-4</v>
      </c>
      <c r="K90" s="60">
        <f t="shared" si="15"/>
        <v>6.1530132311536233E-4</v>
      </c>
      <c r="L90" s="60">
        <f t="shared" si="16"/>
        <v>2.7269368436858054E-4</v>
      </c>
      <c r="M90" s="60">
        <f t="shared" si="17"/>
        <v>7.4479921466691704E-4</v>
      </c>
    </row>
    <row r="91" spans="1:13" s="38" customFormat="1" ht="16">
      <c r="A91" s="8" t="s">
        <v>28</v>
      </c>
      <c r="B91" s="125">
        <v>242631.57332078982</v>
      </c>
      <c r="C91" s="9" t="s">
        <v>82</v>
      </c>
      <c r="D91" s="21">
        <v>1.7414075543433341E-2</v>
      </c>
      <c r="E91" s="10">
        <v>6.9377344378804828E-2</v>
      </c>
      <c r="F91" s="14">
        <v>2.3377344378804822E-2</v>
      </c>
      <c r="G91" s="14">
        <v>0.29499999999999998</v>
      </c>
      <c r="H91" s="15" t="s">
        <v>51</v>
      </c>
      <c r="I91" s="60">
        <f t="shared" si="13"/>
        <v>4.331300669578881E-2</v>
      </c>
      <c r="J91" s="60">
        <f t="shared" si="14"/>
        <v>7.5425597061370042E-4</v>
      </c>
      <c r="K91" s="60">
        <f t="shared" si="15"/>
        <v>3.0049413816152196E-3</v>
      </c>
      <c r="L91" s="60">
        <f t="shared" si="16"/>
        <v>1.0125430736089341E-3</v>
      </c>
      <c r="M91" s="60">
        <f t="shared" si="17"/>
        <v>1.2777336975257698E-2</v>
      </c>
    </row>
    <row r="92" spans="1:13" s="38" customFormat="1" ht="16">
      <c r="A92" s="8" t="s">
        <v>33</v>
      </c>
      <c r="B92" s="125">
        <v>3620.987993326366</v>
      </c>
      <c r="C92" s="9" t="s">
        <v>62</v>
      </c>
      <c r="D92" s="21">
        <v>0.10896601681957188</v>
      </c>
      <c r="E92" s="10">
        <v>0.19228029460560964</v>
      </c>
      <c r="F92" s="14">
        <v>0.14628029460560962</v>
      </c>
      <c r="G92" s="14">
        <v>0.36</v>
      </c>
      <c r="H92" s="15" t="s">
        <v>51</v>
      </c>
      <c r="I92" s="60">
        <f t="shared" si="13"/>
        <v>6.4639517047914775E-4</v>
      </c>
      <c r="J92" s="60">
        <f t="shared" si="14"/>
        <v>7.0435107018520848E-5</v>
      </c>
      <c r="K92" s="60">
        <f t="shared" si="15"/>
        <v>1.2428905381137379E-4</v>
      </c>
      <c r="L92" s="60">
        <f t="shared" si="16"/>
        <v>9.4554875969332988E-5</v>
      </c>
      <c r="M92" s="60">
        <f t="shared" si="17"/>
        <v>2.3270226137249317E-4</v>
      </c>
    </row>
    <row r="93" spans="1:13" s="38" customFormat="1" ht="16">
      <c r="A93" s="8" t="s">
        <v>69</v>
      </c>
      <c r="B93" s="125">
        <v>71177.146197495123</v>
      </c>
      <c r="C93" s="9" t="s">
        <v>83</v>
      </c>
      <c r="D93" s="21">
        <v>2.0743237044383835E-2</v>
      </c>
      <c r="E93" s="10">
        <v>7.3846542568870452E-2</v>
      </c>
      <c r="F93" s="14">
        <v>2.7846542568870453E-2</v>
      </c>
      <c r="G93" s="14">
        <v>0.25</v>
      </c>
      <c r="H93" s="15" t="s">
        <v>51</v>
      </c>
      <c r="I93" s="60">
        <f t="shared" si="13"/>
        <v>1.2706080118283964E-2</v>
      </c>
      <c r="J93" s="60">
        <f t="shared" si="14"/>
        <v>2.6356523179849685E-4</v>
      </c>
      <c r="K93" s="60">
        <f t="shared" si="15"/>
        <v>9.3830008633833523E-4</v>
      </c>
      <c r="L93" s="60">
        <f t="shared" si="16"/>
        <v>3.5382040089727292E-4</v>
      </c>
      <c r="M93" s="60">
        <f t="shared" si="17"/>
        <v>3.176520029570991E-3</v>
      </c>
    </row>
    <row r="94" spans="1:13" s="38" customFormat="1" ht="16">
      <c r="A94" s="8" t="s">
        <v>70</v>
      </c>
      <c r="B94" s="125">
        <v>98400</v>
      </c>
      <c r="C94" s="9" t="s">
        <v>137</v>
      </c>
      <c r="D94" s="21">
        <v>0.17499999999999999</v>
      </c>
      <c r="E94" s="10">
        <v>0.28092692770782934</v>
      </c>
      <c r="F94" s="14">
        <v>0.23492692770782936</v>
      </c>
      <c r="G94" s="14">
        <v>0.34</v>
      </c>
      <c r="H94" s="15" t="s">
        <v>51</v>
      </c>
      <c r="I94" s="60">
        <f t="shared" si="13"/>
        <v>1.7565726506791897E-2</v>
      </c>
      <c r="J94" s="60">
        <f t="shared" si="14"/>
        <v>3.0740021386885816E-3</v>
      </c>
      <c r="K94" s="60">
        <f t="shared" si="15"/>
        <v>4.9346855805090292E-3</v>
      </c>
      <c r="L94" s="60">
        <f t="shared" si="16"/>
        <v>4.1266621611966018E-3</v>
      </c>
      <c r="M94" s="60">
        <f t="shared" si="17"/>
        <v>5.972347012309245E-3</v>
      </c>
    </row>
    <row r="95" spans="1:13" s="32" customFormat="1" ht="16">
      <c r="A95" s="58" t="s">
        <v>51</v>
      </c>
      <c r="B95" s="53">
        <f>SUM(B76:B94)</f>
        <v>5601817.8332648547</v>
      </c>
      <c r="C95" s="53"/>
      <c r="D95" s="54">
        <f>SUM(J76:J94)</f>
        <v>4.2915086193622262E-2</v>
      </c>
      <c r="E95" s="54">
        <f>SUM(K76:K94)</f>
        <v>0.10361091058162493</v>
      </c>
      <c r="F95" s="54">
        <f>SUM(L76:L94)</f>
        <v>5.7610910581624951E-2</v>
      </c>
      <c r="G95" s="54">
        <f>SUM(M76:M94)</f>
        <v>0.31595749426030023</v>
      </c>
      <c r="H95" s="58"/>
      <c r="I95" s="61">
        <f>SUM(I76:I94)</f>
        <v>1</v>
      </c>
    </row>
    <row r="96" spans="1:13" s="38" customFormat="1" ht="16">
      <c r="A96" s="8" t="s">
        <v>4</v>
      </c>
      <c r="B96" s="125">
        <v>18916.37886054883</v>
      </c>
      <c r="C96" s="9" t="s">
        <v>48</v>
      </c>
      <c r="D96" s="21">
        <v>4.9041109802463012E-2</v>
      </c>
      <c r="E96" s="10">
        <v>0.11183472718442829</v>
      </c>
      <c r="F96" s="14">
        <v>6.5834727184428288E-2</v>
      </c>
      <c r="G96" s="14">
        <v>0.15</v>
      </c>
      <c r="H96" s="15" t="s">
        <v>125</v>
      </c>
      <c r="I96" s="60">
        <f>B96/$B$123</f>
        <v>3.7756691082562566E-3</v>
      </c>
      <c r="J96" s="60">
        <f t="shared" ref="J96:J121" si="18">I96*D96</f>
        <v>1.8516300331576269E-4</v>
      </c>
      <c r="K96" s="60">
        <f t="shared" ref="K96:K121" si="19">I96*E96</f>
        <v>4.222509246605121E-4</v>
      </c>
      <c r="L96" s="60">
        <f t="shared" ref="L96:L121" si="20">I96*F96</f>
        <v>2.4857014568072431E-4</v>
      </c>
      <c r="M96" s="60">
        <f t="shared" si="17"/>
        <v>5.6635036623843842E-4</v>
      </c>
    </row>
    <row r="97" spans="1:13" s="38" customFormat="1" ht="16">
      <c r="A97" s="8" t="s">
        <v>19</v>
      </c>
      <c r="B97" s="125">
        <v>19513.474648242936</v>
      </c>
      <c r="C97" s="9" t="s">
        <v>81</v>
      </c>
      <c r="D97" s="21">
        <v>3.9181669972725021E-2</v>
      </c>
      <c r="E97" s="10">
        <v>9.8599024852310854E-2</v>
      </c>
      <c r="F97" s="14">
        <v>5.2599024852310855E-2</v>
      </c>
      <c r="G97" s="14">
        <v>0.18</v>
      </c>
      <c r="H97" s="15" t="s">
        <v>125</v>
      </c>
      <c r="I97" s="60">
        <f t="shared" ref="I97:I122" si="21">B97/$B$123</f>
        <v>3.8948481613343446E-3</v>
      </c>
      <c r="J97" s="60">
        <f t="shared" si="18"/>
        <v>1.5260665525127716E-4</v>
      </c>
      <c r="K97" s="60">
        <f t="shared" si="19"/>
        <v>3.8402823065538229E-4</v>
      </c>
      <c r="L97" s="60">
        <f t="shared" si="20"/>
        <v>2.0486521523400243E-4</v>
      </c>
      <c r="M97" s="60">
        <f t="shared" si="17"/>
        <v>7.0107266904018205E-4</v>
      </c>
    </row>
    <row r="98" spans="1:13" s="38" customFormat="1" ht="16">
      <c r="A98" s="8" t="s">
        <v>20</v>
      </c>
      <c r="B98" s="125">
        <v>78721.058823529398</v>
      </c>
      <c r="C98" s="9" t="s">
        <v>79</v>
      </c>
      <c r="D98" s="21">
        <v>2.7273515373171343E-2</v>
      </c>
      <c r="E98" s="10">
        <v>8.2613046710922261E-2</v>
      </c>
      <c r="F98" s="14">
        <v>3.6613046710922269E-2</v>
      </c>
      <c r="G98" s="14">
        <v>0.2</v>
      </c>
      <c r="H98" s="15" t="s">
        <v>125</v>
      </c>
      <c r="I98" s="60">
        <f t="shared" si="21"/>
        <v>1.5712556412638905E-2</v>
      </c>
      <c r="J98" s="60">
        <f t="shared" si="18"/>
        <v>4.2853664887192915E-4</v>
      </c>
      <c r="K98" s="60">
        <f t="shared" si="19"/>
        <v>1.2980621568653389E-3</v>
      </c>
      <c r="L98" s="60">
        <f t="shared" si="20"/>
        <v>5.7528456188394943E-4</v>
      </c>
      <c r="M98" s="60">
        <f t="shared" si="17"/>
        <v>3.1425112825277813E-3</v>
      </c>
    </row>
    <row r="99" spans="1:13" s="38" customFormat="1" ht="16">
      <c r="A99" s="8" t="s">
        <v>5</v>
      </c>
      <c r="B99" s="125">
        <v>72793.457588436664</v>
      </c>
      <c r="C99" s="9" t="s">
        <v>137</v>
      </c>
      <c r="D99" s="21">
        <v>0.17499999999999999</v>
      </c>
      <c r="E99" s="10">
        <v>0.28092692770782934</v>
      </c>
      <c r="F99" s="14">
        <v>0.23492692770782936</v>
      </c>
      <c r="G99" s="14">
        <v>0.18</v>
      </c>
      <c r="H99" s="15" t="s">
        <v>125</v>
      </c>
      <c r="I99" s="60">
        <f t="shared" si="21"/>
        <v>1.4529419775632898E-2</v>
      </c>
      <c r="J99" s="60">
        <f t="shared" si="18"/>
        <v>2.5426484607357571E-3</v>
      </c>
      <c r="K99" s="60">
        <f t="shared" si="19"/>
        <v>4.0817052589459295E-3</v>
      </c>
      <c r="L99" s="60">
        <f t="shared" si="20"/>
        <v>3.413351949266816E-3</v>
      </c>
      <c r="M99" s="60">
        <f t="shared" si="17"/>
        <v>2.6152955596139217E-3</v>
      </c>
    </row>
    <row r="100" spans="1:13" s="38" customFormat="1" ht="16">
      <c r="A100" s="8" t="s">
        <v>7</v>
      </c>
      <c r="B100" s="125">
        <v>24473.906673708643</v>
      </c>
      <c r="C100" s="9" t="s">
        <v>78</v>
      </c>
      <c r="D100" s="21">
        <v>7.0808704231754685E-2</v>
      </c>
      <c r="E100" s="10">
        <v>0.14105640765793431</v>
      </c>
      <c r="F100" s="14">
        <v>9.5056407657934314E-2</v>
      </c>
      <c r="G100" s="14">
        <v>0.1</v>
      </c>
      <c r="H100" s="15" t="s">
        <v>125</v>
      </c>
      <c r="I100" s="60">
        <f t="shared" si="21"/>
        <v>4.8849398749876462E-3</v>
      </c>
      <c r="J100" s="60">
        <f t="shared" si="18"/>
        <v>3.4589626279790496E-4</v>
      </c>
      <c r="K100" s="60">
        <f t="shared" si="19"/>
        <v>6.8905207039075605E-4</v>
      </c>
      <c r="L100" s="60">
        <f t="shared" si="20"/>
        <v>4.6434483614132436E-4</v>
      </c>
      <c r="M100" s="60">
        <f t="shared" si="17"/>
        <v>4.8849398749876462E-4</v>
      </c>
    </row>
    <row r="101" spans="1:13" s="38" customFormat="1" ht="16">
      <c r="A101" s="8" t="s">
        <v>94</v>
      </c>
      <c r="B101" s="125">
        <v>90346.169914934857</v>
      </c>
      <c r="C101" s="9" t="s">
        <v>82</v>
      </c>
      <c r="D101" s="21">
        <v>1.7414075543433341E-2</v>
      </c>
      <c r="E101" s="10">
        <v>6.9377344378804828E-2</v>
      </c>
      <c r="F101" s="14">
        <v>2.3377344378804822E-2</v>
      </c>
      <c r="G101" s="14">
        <v>0.1</v>
      </c>
      <c r="H101" s="15" t="s">
        <v>125</v>
      </c>
      <c r="I101" s="60">
        <f t="shared" si="21"/>
        <v>1.8032903935356753E-2</v>
      </c>
      <c r="J101" s="60">
        <f t="shared" si="18"/>
        <v>3.1402635139777889E-4</v>
      </c>
      <c r="K101" s="60">
        <f t="shared" si="19"/>
        <v>1.2510749864731504E-3</v>
      </c>
      <c r="L101" s="60">
        <f t="shared" si="20"/>
        <v>4.2156140544673953E-4</v>
      </c>
      <c r="M101" s="60">
        <f t="shared" si="17"/>
        <v>1.8032903935356753E-3</v>
      </c>
    </row>
    <row r="102" spans="1:13" s="38" customFormat="1" ht="16">
      <c r="A102" s="8" t="s">
        <v>98</v>
      </c>
      <c r="B102" s="125">
        <v>71600.049650194982</v>
      </c>
      <c r="C102" s="9" t="s">
        <v>83</v>
      </c>
      <c r="D102" s="21">
        <v>2.0743237044383835E-2</v>
      </c>
      <c r="E102" s="10">
        <v>7.3846542568870452E-2</v>
      </c>
      <c r="F102" s="14">
        <v>2.7846542568870453E-2</v>
      </c>
      <c r="G102" s="14">
        <v>0.18</v>
      </c>
      <c r="H102" s="15" t="s">
        <v>125</v>
      </c>
      <c r="I102" s="60">
        <f t="shared" si="21"/>
        <v>1.4291218081789462E-2</v>
      </c>
      <c r="J102" s="60">
        <f t="shared" si="18"/>
        <v>2.9644612432354323E-4</v>
      </c>
      <c r="K102" s="60">
        <f t="shared" si="19"/>
        <v>1.0553570444378766E-3</v>
      </c>
      <c r="L102" s="60">
        <f t="shared" si="20"/>
        <v>3.979610126755614E-4</v>
      </c>
      <c r="M102" s="60">
        <f t="shared" si="17"/>
        <v>2.5724192547221031E-3</v>
      </c>
    </row>
    <row r="103" spans="1:13" s="38" customFormat="1" ht="16">
      <c r="A103" s="8" t="s">
        <v>101</v>
      </c>
      <c r="B103" s="125">
        <v>290527.55062722095</v>
      </c>
      <c r="C103" s="9" t="s">
        <v>46</v>
      </c>
      <c r="D103" s="21">
        <v>6.5302783287875029E-3</v>
      </c>
      <c r="E103" s="10">
        <v>5.4766504142051808E-2</v>
      </c>
      <c r="F103" s="14">
        <v>8.7665041420518092E-3</v>
      </c>
      <c r="G103" s="14">
        <v>0.19</v>
      </c>
      <c r="H103" s="15" t="s">
        <v>125</v>
      </c>
      <c r="I103" s="60">
        <f t="shared" si="21"/>
        <v>5.7988683039557593E-2</v>
      </c>
      <c r="J103" s="60">
        <f t="shared" si="18"/>
        <v>3.7868224016815037E-4</v>
      </c>
      <c r="K103" s="60">
        <f t="shared" si="19"/>
        <v>3.1758374498780605E-3</v>
      </c>
      <c r="L103" s="60">
        <f t="shared" si="20"/>
        <v>5.0835803005841115E-4</v>
      </c>
      <c r="M103" s="60">
        <f t="shared" si="17"/>
        <v>1.1017849777515942E-2</v>
      </c>
    </row>
    <row r="104" spans="1:13" s="38" customFormat="1" ht="16">
      <c r="A104" s="8" t="s">
        <v>106</v>
      </c>
      <c r="B104" s="125">
        <v>38100.8129585196</v>
      </c>
      <c r="C104" s="9" t="s">
        <v>41</v>
      </c>
      <c r="D104" s="21">
        <v>7.6826803868088279E-3</v>
      </c>
      <c r="E104" s="10">
        <v>5.6313534284766834E-2</v>
      </c>
      <c r="F104" s="14">
        <v>1.0313534284766834E-2</v>
      </c>
      <c r="G104" s="14">
        <v>0.2</v>
      </c>
      <c r="H104" s="15" t="s">
        <v>125</v>
      </c>
      <c r="I104" s="60">
        <f t="shared" si="21"/>
        <v>7.6048414734889887E-3</v>
      </c>
      <c r="J104" s="60">
        <f t="shared" si="18"/>
        <v>5.8425566433164198E-5</v>
      </c>
      <c r="K104" s="60">
        <f t="shared" si="19"/>
        <v>4.2825550104753891E-4</v>
      </c>
      <c r="L104" s="60">
        <f t="shared" si="20"/>
        <v>7.8432793267045419E-5</v>
      </c>
      <c r="M104" s="60">
        <f t="shared" si="17"/>
        <v>1.5209682946977978E-3</v>
      </c>
    </row>
    <row r="105" spans="1:13" s="38" customFormat="1" ht="16">
      <c r="A105" s="8" t="s">
        <v>133</v>
      </c>
      <c r="B105" s="125">
        <v>24780.791063713052</v>
      </c>
      <c r="C105" s="9" t="s">
        <v>80</v>
      </c>
      <c r="D105" s="21">
        <v>3.2779436317050999E-2</v>
      </c>
      <c r="E105" s="10">
        <v>9.0004412948338497E-2</v>
      </c>
      <c r="F105" s="14">
        <v>4.4004412948338498E-2</v>
      </c>
      <c r="G105" s="14">
        <v>0.15</v>
      </c>
      <c r="H105" s="15" t="s">
        <v>125</v>
      </c>
      <c r="I105" s="60">
        <f t="shared" si="21"/>
        <v>4.9461933484821023E-3</v>
      </c>
      <c r="J105" s="60">
        <f t="shared" si="18"/>
        <v>1.621334298783903E-4</v>
      </c>
      <c r="K105" s="60">
        <f t="shared" si="19"/>
        <v>4.4517922865910828E-4</v>
      </c>
      <c r="L105" s="60">
        <f t="shared" si="20"/>
        <v>2.1765433462893157E-4</v>
      </c>
      <c r="M105" s="60">
        <f t="shared" si="17"/>
        <v>7.4192900227231537E-4</v>
      </c>
    </row>
    <row r="106" spans="1:13" s="38" customFormat="1" ht="16">
      <c r="A106" s="8" t="s">
        <v>109</v>
      </c>
      <c r="B106" s="125">
        <v>177337.43667736501</v>
      </c>
      <c r="C106" s="9" t="s">
        <v>83</v>
      </c>
      <c r="D106" s="21">
        <v>2.0743237044383835E-2</v>
      </c>
      <c r="E106" s="10">
        <v>7.3846542568870452E-2</v>
      </c>
      <c r="F106" s="14">
        <v>2.7846542568870453E-2</v>
      </c>
      <c r="G106" s="14">
        <v>0.09</v>
      </c>
      <c r="H106" s="15" t="s">
        <v>125</v>
      </c>
      <c r="I106" s="60">
        <f t="shared" si="21"/>
        <v>3.5396176315568392E-2</v>
      </c>
      <c r="J106" s="60">
        <f t="shared" si="18"/>
        <v>7.3423127577863995E-4</v>
      </c>
      <c r="K106" s="60">
        <f t="shared" si="19"/>
        <v>2.6138852410628652E-3</v>
      </c>
      <c r="L106" s="60">
        <f t="shared" si="20"/>
        <v>9.8566113054671936E-4</v>
      </c>
      <c r="M106" s="60">
        <f t="shared" si="17"/>
        <v>3.1856558684011551E-3</v>
      </c>
    </row>
    <row r="107" spans="1:13" s="38" customFormat="1" ht="16">
      <c r="A107" s="8" t="s">
        <v>118</v>
      </c>
      <c r="B107" s="125">
        <v>225496.3289254941</v>
      </c>
      <c r="C107" s="9" t="s">
        <v>83</v>
      </c>
      <c r="D107" s="21">
        <v>2.0743237044383835E-2</v>
      </c>
      <c r="E107" s="10">
        <v>7.3846542568870452E-2</v>
      </c>
      <c r="F107" s="14">
        <v>2.7846542568870453E-2</v>
      </c>
      <c r="G107" s="14">
        <v>0.2</v>
      </c>
      <c r="H107" s="15" t="s">
        <v>125</v>
      </c>
      <c r="I107" s="60">
        <f t="shared" si="21"/>
        <v>4.5008589087038288E-2</v>
      </c>
      <c r="J107" s="60">
        <f t="shared" si="18"/>
        <v>9.3362383246570256E-4</v>
      </c>
      <c r="K107" s="60">
        <f t="shared" si="19"/>
        <v>3.3237286899807711E-3</v>
      </c>
      <c r="L107" s="60">
        <f t="shared" si="20"/>
        <v>1.2533335919770099E-3</v>
      </c>
      <c r="M107" s="60">
        <f t="shared" si="17"/>
        <v>9.0017178174076583E-3</v>
      </c>
    </row>
    <row r="108" spans="1:13" s="38" customFormat="1" ht="16">
      <c r="A108" s="8" t="s">
        <v>352</v>
      </c>
      <c r="B108" s="125">
        <v>11543.966558842048</v>
      </c>
      <c r="C108" s="9" t="s">
        <v>78</v>
      </c>
      <c r="D108" s="21">
        <v>7.0808704231754685E-2</v>
      </c>
      <c r="E108" s="10">
        <v>0.14105640765793431</v>
      </c>
      <c r="F108" s="14">
        <v>9.5056407657934314E-2</v>
      </c>
      <c r="G108" s="14">
        <v>0.1</v>
      </c>
      <c r="H108" s="15" t="s">
        <v>125</v>
      </c>
      <c r="I108" s="60">
        <f t="shared" si="21"/>
        <v>2.3041512460857225E-3</v>
      </c>
      <c r="J108" s="60">
        <f t="shared" si="18"/>
        <v>1.6315396408931294E-4</v>
      </c>
      <c r="K108" s="60">
        <f t="shared" si="19"/>
        <v>3.2501529747340502E-4</v>
      </c>
      <c r="L108" s="60">
        <f t="shared" si="20"/>
        <v>2.1902434015346178E-4</v>
      </c>
      <c r="M108" s="60">
        <f t="shared" si="17"/>
        <v>2.3041512460857225E-4</v>
      </c>
    </row>
    <row r="109" spans="1:13" s="38" customFormat="1" ht="16">
      <c r="A109" s="8" t="s">
        <v>121</v>
      </c>
      <c r="B109" s="125">
        <v>40932.030049564361</v>
      </c>
      <c r="C109" s="9" t="s">
        <v>43</v>
      </c>
      <c r="D109" s="21">
        <v>1.3060556657575006E-2</v>
      </c>
      <c r="E109" s="10">
        <v>6.3533008284103618E-2</v>
      </c>
      <c r="F109" s="14">
        <v>1.7533008284103618E-2</v>
      </c>
      <c r="G109" s="14">
        <v>0.2</v>
      </c>
      <c r="H109" s="15" t="s">
        <v>125</v>
      </c>
      <c r="I109" s="60">
        <f t="shared" si="21"/>
        <v>8.1699464012465368E-3</v>
      </c>
      <c r="J109" s="60">
        <f t="shared" si="18"/>
        <v>1.0670404786283141E-4</v>
      </c>
      <c r="K109" s="60">
        <f t="shared" si="19"/>
        <v>5.1906127239107879E-4</v>
      </c>
      <c r="L109" s="60">
        <f t="shared" si="20"/>
        <v>1.4324373793373808E-4</v>
      </c>
      <c r="M109" s="60">
        <f t="shared" si="17"/>
        <v>1.6339892802493075E-3</v>
      </c>
    </row>
    <row r="110" spans="1:13" s="38" customFormat="1" ht="16">
      <c r="A110" s="8" t="s">
        <v>13</v>
      </c>
      <c r="B110" s="125">
        <v>70974.490450494442</v>
      </c>
      <c r="C110" s="9" t="s">
        <v>42</v>
      </c>
      <c r="D110" s="21">
        <v>9.2192164641705932E-3</v>
      </c>
      <c r="E110" s="10">
        <v>5.83762411417202E-2</v>
      </c>
      <c r="F110" s="14">
        <v>1.2376241141720201E-2</v>
      </c>
      <c r="G110" s="14">
        <v>0.15</v>
      </c>
      <c r="H110" s="15" t="s">
        <v>125</v>
      </c>
      <c r="I110" s="60">
        <f t="shared" si="21"/>
        <v>1.4166357792031747E-2</v>
      </c>
      <c r="J110" s="60">
        <f t="shared" si="18"/>
        <v>1.3060271899363046E-4</v>
      </c>
      <c r="K110" s="60">
        <f t="shared" si="19"/>
        <v>8.2697871856753221E-4</v>
      </c>
      <c r="L110" s="60">
        <f t="shared" si="20"/>
        <v>1.7532626013407184E-4</v>
      </c>
      <c r="M110" s="60">
        <f t="shared" si="17"/>
        <v>2.1249536688047617E-3</v>
      </c>
    </row>
    <row r="111" spans="1:13" s="38" customFormat="1" ht="16">
      <c r="A111" s="8" t="s">
        <v>146</v>
      </c>
      <c r="B111" s="125">
        <v>13563.132102166315</v>
      </c>
      <c r="C111" s="9" t="s">
        <v>81</v>
      </c>
      <c r="D111" s="21">
        <v>3.9181669972725021E-2</v>
      </c>
      <c r="E111" s="10">
        <v>9.8599024852310854E-2</v>
      </c>
      <c r="F111" s="14">
        <v>5.2599024852310855E-2</v>
      </c>
      <c r="G111" s="14">
        <v>0.1</v>
      </c>
      <c r="H111" s="15" t="s">
        <v>125</v>
      </c>
      <c r="I111" s="60">
        <f t="shared" si="21"/>
        <v>2.7071724068790572E-3</v>
      </c>
      <c r="J111" s="60">
        <f t="shared" si="18"/>
        <v>1.0607153580560288E-4</v>
      </c>
      <c r="K111" s="60">
        <f t="shared" si="19"/>
        <v>2.6692455942535834E-4</v>
      </c>
      <c r="L111" s="60">
        <f t="shared" si="20"/>
        <v>1.4239462870892174E-4</v>
      </c>
      <c r="M111" s="60">
        <f t="shared" si="17"/>
        <v>2.7071724068790571E-4</v>
      </c>
    </row>
    <row r="112" spans="1:13" s="38" customFormat="1" ht="16">
      <c r="A112" s="8" t="s">
        <v>17</v>
      </c>
      <c r="B112" s="125">
        <v>14508.333280423281</v>
      </c>
      <c r="C112" s="9" t="s">
        <v>78</v>
      </c>
      <c r="D112" s="21">
        <v>7.0808704231754685E-2</v>
      </c>
      <c r="E112" s="10">
        <v>0.14105640765793431</v>
      </c>
      <c r="F112" s="14">
        <v>9.5056407657934314E-2</v>
      </c>
      <c r="G112" s="14">
        <v>0.12</v>
      </c>
      <c r="H112" s="15" t="s">
        <v>125</v>
      </c>
      <c r="I112" s="60">
        <f t="shared" si="21"/>
        <v>2.8958325577536576E-3</v>
      </c>
      <c r="J112" s="60">
        <f t="shared" si="18"/>
        <v>2.0505015108666442E-4</v>
      </c>
      <c r="K112" s="60">
        <f t="shared" si="19"/>
        <v>4.0847573777561853E-4</v>
      </c>
      <c r="L112" s="60">
        <f t="shared" si="20"/>
        <v>2.7526744011895028E-4</v>
      </c>
      <c r="M112" s="60">
        <f t="shared" si="17"/>
        <v>3.4749990693043887E-4</v>
      </c>
    </row>
    <row r="113" spans="1:13" s="38" customFormat="1" ht="16">
      <c r="A113" s="8" t="s">
        <v>8</v>
      </c>
      <c r="B113" s="125">
        <v>6229.8015807915735</v>
      </c>
      <c r="C113" s="9" t="s">
        <v>48</v>
      </c>
      <c r="D113" s="21">
        <v>4.9041109802463012E-2</v>
      </c>
      <c r="E113" s="10">
        <v>0.11183472718442829</v>
      </c>
      <c r="F113" s="14">
        <v>6.5834727184428288E-2</v>
      </c>
      <c r="G113" s="14">
        <v>0.15</v>
      </c>
      <c r="H113" s="15" t="s">
        <v>125</v>
      </c>
      <c r="I113" s="60">
        <f t="shared" si="21"/>
        <v>1.2434551851896189E-3</v>
      </c>
      <c r="J113" s="60">
        <f t="shared" si="18"/>
        <v>6.0980422271326083E-5</v>
      </c>
      <c r="K113" s="60">
        <f t="shared" si="19"/>
        <v>1.3906147140174379E-4</v>
      </c>
      <c r="L113" s="60">
        <f t="shared" si="20"/>
        <v>8.1862532883021316E-5</v>
      </c>
      <c r="M113" s="60">
        <f t="shared" si="17"/>
        <v>1.8651827777844284E-4</v>
      </c>
    </row>
    <row r="114" spans="1:13" s="38" customFormat="1" ht="16">
      <c r="A114" s="8" t="s">
        <v>30</v>
      </c>
      <c r="B114" s="125">
        <v>688125.01052052039</v>
      </c>
      <c r="C114" s="9" t="s">
        <v>42</v>
      </c>
      <c r="D114" s="21">
        <v>9.2192164641705932E-3</v>
      </c>
      <c r="E114" s="10">
        <v>5.83762411417202E-2</v>
      </c>
      <c r="F114" s="14">
        <v>1.2376241141720201E-2</v>
      </c>
      <c r="G114" s="14">
        <v>0.19</v>
      </c>
      <c r="H114" s="15" t="s">
        <v>125</v>
      </c>
      <c r="I114" s="60">
        <f t="shared" si="21"/>
        <v>0.13734829292615783</v>
      </c>
      <c r="J114" s="60">
        <f t="shared" si="18"/>
        <v>1.2662436434705596E-3</v>
      </c>
      <c r="K114" s="60">
        <f t="shared" si="19"/>
        <v>8.0178770682610128E-3</v>
      </c>
      <c r="L114" s="60">
        <f t="shared" si="20"/>
        <v>1.6998555936577522E-3</v>
      </c>
      <c r="M114" s="60">
        <f t="shared" si="17"/>
        <v>2.6096175655969986E-2</v>
      </c>
    </row>
    <row r="115" spans="1:13" s="38" customFormat="1" ht="16">
      <c r="A115" s="8" t="s">
        <v>0</v>
      </c>
      <c r="B115" s="125">
        <v>300691.35486485471</v>
      </c>
      <c r="C115" s="9" t="s">
        <v>124</v>
      </c>
      <c r="D115" s="21">
        <v>2.3944353872220846E-2</v>
      </c>
      <c r="E115" s="10">
        <v>7.8143848520856624E-2</v>
      </c>
      <c r="F115" s="14">
        <v>3.2143848520856631E-2</v>
      </c>
      <c r="G115" s="14">
        <v>0.16</v>
      </c>
      <c r="H115" s="15" t="s">
        <v>125</v>
      </c>
      <c r="I115" s="60">
        <f t="shared" si="21"/>
        <v>6.0017356812973675E-2</v>
      </c>
      <c r="J115" s="60">
        <f t="shared" si="18"/>
        <v>1.4370768300051863E-3</v>
      </c>
      <c r="K115" s="60">
        <f t="shared" si="19"/>
        <v>4.6899872394152173E-3</v>
      </c>
      <c r="L115" s="60">
        <f t="shared" si="20"/>
        <v>1.9291888260184284E-3</v>
      </c>
      <c r="M115" s="60">
        <f t="shared" si="17"/>
        <v>9.6027770900757887E-3</v>
      </c>
    </row>
    <row r="116" spans="1:13" s="38" customFormat="1" ht="16">
      <c r="A116" s="8" t="s">
        <v>1</v>
      </c>
      <c r="B116" s="125">
        <v>2240422.4274585792</v>
      </c>
      <c r="C116" s="9" t="s">
        <v>143</v>
      </c>
      <c r="D116" s="21">
        <v>4.9000000000000002E-2</v>
      </c>
      <c r="E116" s="10">
        <v>0.1118</v>
      </c>
      <c r="F116" s="14">
        <v>6.5799999999999997E-2</v>
      </c>
      <c r="G116" s="14">
        <v>0.2</v>
      </c>
      <c r="H116" s="15" t="s">
        <v>125</v>
      </c>
      <c r="I116" s="60">
        <f t="shared" si="21"/>
        <v>0.44718356568982481</v>
      </c>
      <c r="J116" s="60">
        <f t="shared" si="18"/>
        <v>2.1911994718801418E-2</v>
      </c>
      <c r="K116" s="60">
        <f t="shared" si="19"/>
        <v>4.9995122644122411E-2</v>
      </c>
      <c r="L116" s="60">
        <f t="shared" si="20"/>
        <v>2.9424678622390472E-2</v>
      </c>
      <c r="M116" s="60">
        <f t="shared" si="17"/>
        <v>8.9436713137964974E-2</v>
      </c>
    </row>
    <row r="117" spans="1:13" s="38" customFormat="1" ht="16">
      <c r="A117" s="8" t="s">
        <v>147</v>
      </c>
      <c r="B117" s="125">
        <v>63563.401043504426</v>
      </c>
      <c r="C117" s="9" t="s">
        <v>80</v>
      </c>
      <c r="D117" s="21">
        <v>3.2779436317050999E-2</v>
      </c>
      <c r="E117" s="10">
        <v>9.0004412948338497E-2</v>
      </c>
      <c r="F117" s="14">
        <v>4.4004412948338498E-2</v>
      </c>
      <c r="G117" s="14">
        <v>0.15</v>
      </c>
      <c r="H117" s="15" t="s">
        <v>125</v>
      </c>
      <c r="I117" s="60">
        <f t="shared" si="21"/>
        <v>1.2687120061661743E-2</v>
      </c>
      <c r="J117" s="60">
        <f t="shared" si="18"/>
        <v>4.1587664410802123E-4</v>
      </c>
      <c r="K117" s="60">
        <f t="shared" si="19"/>
        <v>1.1418967931549533E-3</v>
      </c>
      <c r="L117" s="60">
        <f t="shared" si="20"/>
        <v>5.5828927031851313E-4</v>
      </c>
      <c r="M117" s="60">
        <f t="shared" si="17"/>
        <v>1.9030680092492615E-3</v>
      </c>
    </row>
    <row r="118" spans="1:13" s="38" customFormat="1" ht="16">
      <c r="A118" s="8" t="s">
        <v>61</v>
      </c>
      <c r="B118" s="125">
        <v>115461.71168896543</v>
      </c>
      <c r="C118" s="9" t="s">
        <v>42</v>
      </c>
      <c r="D118" s="21">
        <v>9.2192164641705932E-3</v>
      </c>
      <c r="E118" s="10">
        <v>5.83762411417202E-2</v>
      </c>
      <c r="F118" s="14">
        <v>1.2376241141720201E-2</v>
      </c>
      <c r="G118" s="14">
        <v>0.21</v>
      </c>
      <c r="H118" s="15" t="s">
        <v>125</v>
      </c>
      <c r="I118" s="60">
        <f t="shared" si="21"/>
        <v>2.304591281577709E-2</v>
      </c>
      <c r="J118" s="60">
        <f t="shared" si="18"/>
        <v>2.1246525886305223E-4</v>
      </c>
      <c r="K118" s="60">
        <f t="shared" si="19"/>
        <v>1.3453337638648635E-3</v>
      </c>
      <c r="L118" s="60">
        <f t="shared" si="20"/>
        <v>2.8522177433911729E-4</v>
      </c>
      <c r="M118" s="60">
        <f t="shared" si="17"/>
        <v>4.8396416913131885E-3</v>
      </c>
    </row>
    <row r="119" spans="1:13" s="38" customFormat="1" ht="16">
      <c r="A119" s="8" t="s">
        <v>189</v>
      </c>
      <c r="B119" s="125">
        <v>60063.475466344593</v>
      </c>
      <c r="C119" s="9" t="s">
        <v>43</v>
      </c>
      <c r="D119" s="21">
        <v>1.3060556657575006E-2</v>
      </c>
      <c r="E119" s="10">
        <v>6.3533008284103618E-2</v>
      </c>
      <c r="F119" s="14">
        <v>1.7533008284103618E-2</v>
      </c>
      <c r="G119" s="14">
        <v>0.19</v>
      </c>
      <c r="H119" s="15" t="s">
        <v>125</v>
      </c>
      <c r="I119" s="60">
        <f t="shared" si="21"/>
        <v>1.1988542338076493E-2</v>
      </c>
      <c r="J119" s="60">
        <f>I119*D119</f>
        <v>1.5657703644818478E-4</v>
      </c>
      <c r="K119" s="60">
        <f>I119*E119</f>
        <v>7.6166815967934078E-4</v>
      </c>
      <c r="L119" s="60">
        <f>I119*F119</f>
        <v>2.1019521212782213E-4</v>
      </c>
      <c r="M119" s="60">
        <f>I119*G119</f>
        <v>2.277823044234534E-3</v>
      </c>
    </row>
    <row r="120" spans="1:13" s="38" customFormat="1" ht="16">
      <c r="A120" s="8" t="s">
        <v>388</v>
      </c>
      <c r="B120" s="125">
        <v>10492.123387793121</v>
      </c>
      <c r="C120" s="9" t="s">
        <v>78</v>
      </c>
      <c r="D120" s="21">
        <v>7.0808704231754685E-2</v>
      </c>
      <c r="E120" s="10">
        <v>0.14105640765793431</v>
      </c>
      <c r="F120" s="14">
        <v>9.5056407657934314E-2</v>
      </c>
      <c r="G120" s="14">
        <v>0.18</v>
      </c>
      <c r="H120" s="15" t="s">
        <v>125</v>
      </c>
      <c r="I120" s="60">
        <f t="shared" si="21"/>
        <v>2.0942055795849135E-3</v>
      </c>
      <c r="J120" s="60">
        <f>I120*D120</f>
        <v>1.4828798348531853E-4</v>
      </c>
      <c r="K120" s="60">
        <f>I120*E120</f>
        <v>2.9540111595345017E-4</v>
      </c>
      <c r="L120" s="60">
        <f>I120*F120</f>
        <v>1.9906765929254415E-4</v>
      </c>
      <c r="M120" s="60">
        <f>I120*G120</f>
        <v>3.7695700432528441E-4</v>
      </c>
    </row>
    <row r="121" spans="1:13" s="38" customFormat="1" ht="16">
      <c r="A121" s="8" t="s">
        <v>68</v>
      </c>
      <c r="B121" s="125">
        <v>160502.73725104667</v>
      </c>
      <c r="C121" s="9" t="s">
        <v>345</v>
      </c>
      <c r="D121" s="21">
        <v>0.13073361124886354</v>
      </c>
      <c r="E121" s="10">
        <v>0.22150197507911562</v>
      </c>
      <c r="F121" s="14">
        <v>0.17550197507911564</v>
      </c>
      <c r="G121" s="14">
        <v>0.18</v>
      </c>
      <c r="H121" s="15" t="s">
        <v>125</v>
      </c>
      <c r="I121" s="60">
        <f t="shared" si="21"/>
        <v>3.2036006008169221E-2</v>
      </c>
      <c r="J121" s="60">
        <f t="shared" si="18"/>
        <v>4.1881827554382514E-3</v>
      </c>
      <c r="K121" s="60">
        <f t="shared" si="19"/>
        <v>7.0960386044558975E-3</v>
      </c>
      <c r="L121" s="60">
        <f t="shared" si="20"/>
        <v>5.622382328080113E-3</v>
      </c>
      <c r="M121" s="60">
        <f t="shared" si="17"/>
        <v>5.7664810814704592E-3</v>
      </c>
    </row>
    <row r="122" spans="1:13" s="38" customFormat="1" ht="16">
      <c r="A122" s="8" t="s">
        <v>380</v>
      </c>
      <c r="B122" s="125">
        <v>80391.853887404897</v>
      </c>
      <c r="C122" s="9" t="s">
        <v>81</v>
      </c>
      <c r="D122" s="21">
        <v>3.9181669972725021E-2</v>
      </c>
      <c r="E122" s="10">
        <v>9.8599024852310854E-2</v>
      </c>
      <c r="F122" s="14">
        <v>5.2599024852310855E-2</v>
      </c>
      <c r="G122" s="14">
        <v>0.15</v>
      </c>
      <c r="H122" s="15" t="s">
        <v>125</v>
      </c>
      <c r="I122" s="60">
        <f t="shared" si="21"/>
        <v>1.6046043564456224E-2</v>
      </c>
      <c r="J122" s="60">
        <f>I122*D122</f>
        <v>6.2871078331049198E-4</v>
      </c>
      <c r="K122" s="60">
        <f>I122*E122</f>
        <v>1.5821242481930818E-3</v>
      </c>
      <c r="L122" s="60">
        <f>I122*F122</f>
        <v>8.4400624422809555E-4</v>
      </c>
      <c r="M122" s="60">
        <f>I122*G122</f>
        <v>2.4069065346684335E-3</v>
      </c>
    </row>
    <row r="123" spans="1:13" s="32" customFormat="1" ht="16">
      <c r="A123" s="58" t="s">
        <v>125</v>
      </c>
      <c r="B123" s="153">
        <f>SUM(B96:B122)</f>
        <v>5010073.2660032045</v>
      </c>
      <c r="C123" s="53"/>
      <c r="D123" s="54">
        <f>SUM(J96:J122)</f>
        <v>3.7670398345457844E-2</v>
      </c>
      <c r="E123" s="54">
        <f>SUM(K96:K122)</f>
        <v>9.6579383477192263E-2</v>
      </c>
      <c r="F123" s="54">
        <f>SUM(L96:L122)</f>
        <v>5.0579383477192263E-2</v>
      </c>
      <c r="G123" s="54">
        <f>SUM(M96:M122)</f>
        <v>0.18485819102180306</v>
      </c>
      <c r="H123" s="58"/>
      <c r="I123" s="61">
        <f>SUM(I96:I122)</f>
        <v>1</v>
      </c>
    </row>
    <row r="124" spans="1:13" s="38" customFormat="1" ht="16">
      <c r="A124" s="8" t="s">
        <v>271</v>
      </c>
      <c r="B124" s="125">
        <v>299500</v>
      </c>
      <c r="C124" s="9" t="s">
        <v>45</v>
      </c>
      <c r="D124" s="21">
        <v>5.3778762707661788E-3</v>
      </c>
      <c r="E124" s="10">
        <v>5.3219473999336783E-2</v>
      </c>
      <c r="F124" s="14">
        <v>7.2194739993367832E-3</v>
      </c>
      <c r="G124" s="14">
        <v>0.15</v>
      </c>
      <c r="H124" s="15" t="s">
        <v>127</v>
      </c>
      <c r="I124" s="60">
        <f t="shared" ref="I124:I136" si="22">B124/$B$137</f>
        <v>8.8541943573251361E-2</v>
      </c>
      <c r="J124" s="60">
        <f t="shared" ref="J124:J136" si="23">I124*D124</f>
        <v>4.7616761731010646E-4</v>
      </c>
      <c r="K124" s="60">
        <f t="shared" ref="K124:K136" si="24">I124*E124</f>
        <v>4.7121556638473954E-3</v>
      </c>
      <c r="L124" s="60">
        <f t="shared" ref="L124:L136" si="25">I124*F124</f>
        <v>6.3922625947783278E-4</v>
      </c>
      <c r="M124" s="60">
        <f t="shared" si="17"/>
        <v>1.3281291535987704E-2</v>
      </c>
    </row>
    <row r="125" spans="1:13" s="38" customFormat="1" ht="16">
      <c r="A125" s="8" t="s">
        <v>87</v>
      </c>
      <c r="B125" s="125">
        <v>44383.297872340423</v>
      </c>
      <c r="C125" s="9" t="s">
        <v>49</v>
      </c>
      <c r="D125" s="21">
        <v>5.9924907017108855E-2</v>
      </c>
      <c r="E125" s="10">
        <v>0.12644556742118129</v>
      </c>
      <c r="F125" s="14">
        <v>8.0445567421181308E-2</v>
      </c>
      <c r="G125" s="14">
        <v>0</v>
      </c>
      <c r="H125" s="15" t="s">
        <v>127</v>
      </c>
      <c r="I125" s="60">
        <f t="shared" si="22"/>
        <v>1.3121146763965185E-2</v>
      </c>
      <c r="J125" s="60">
        <f t="shared" si="23"/>
        <v>7.8628349978845241E-4</v>
      </c>
      <c r="K125" s="60">
        <f t="shared" si="24"/>
        <v>1.6591108477861745E-3</v>
      </c>
      <c r="L125" s="60">
        <f t="shared" si="25"/>
        <v>1.0555380966437763E-3</v>
      </c>
      <c r="M125" s="60">
        <f t="shared" si="17"/>
        <v>0</v>
      </c>
    </row>
    <row r="126" spans="1:13" s="38" customFormat="1" ht="16">
      <c r="A126" s="8" t="s">
        <v>330</v>
      </c>
      <c r="B126" s="125">
        <v>264182.17379310343</v>
      </c>
      <c r="C126" s="9" t="s">
        <v>100</v>
      </c>
      <c r="D126" s="21">
        <v>8.1692501446400528E-2</v>
      </c>
      <c r="E126" s="10">
        <v>0.15566724789468733</v>
      </c>
      <c r="F126" s="14">
        <v>0.10966724789468733</v>
      </c>
      <c r="G126" s="14">
        <v>0.15</v>
      </c>
      <c r="H126" s="15" t="s">
        <v>127</v>
      </c>
      <c r="I126" s="60">
        <f>B126/$B$137</f>
        <v>7.8100845158757412E-2</v>
      </c>
      <c r="J126" s="60">
        <f>I126*D126</f>
        <v>6.3802534060968938E-3</v>
      </c>
      <c r="K126" s="60">
        <f>I126*E126</f>
        <v>1.2157743624112882E-2</v>
      </c>
      <c r="L126" s="60">
        <f>I126*F126</f>
        <v>8.5651047468100396E-3</v>
      </c>
      <c r="M126" s="60">
        <f>I126*G126</f>
        <v>1.1715126773813611E-2</v>
      </c>
    </row>
    <row r="127" spans="1:13" s="38" customFormat="1" ht="16">
      <c r="A127" s="8" t="s">
        <v>114</v>
      </c>
      <c r="B127" s="125">
        <v>525002.44765277347</v>
      </c>
      <c r="C127" s="9" t="s">
        <v>41</v>
      </c>
      <c r="D127" s="21">
        <v>7.6826803868088279E-3</v>
      </c>
      <c r="E127" s="10">
        <v>5.6313534284766834E-2</v>
      </c>
      <c r="F127" s="14">
        <v>1.0313534284766834E-2</v>
      </c>
      <c r="G127" s="14">
        <v>0.23</v>
      </c>
      <c r="H127" s="15" t="s">
        <v>127</v>
      </c>
      <c r="I127" s="60">
        <f t="shared" si="22"/>
        <v>0.1552078033251777</v>
      </c>
      <c r="J127" s="60">
        <f t="shared" si="23"/>
        <v>1.1924119464860247E-3</v>
      </c>
      <c r="K127" s="60">
        <f t="shared" si="24"/>
        <v>8.7402999538157417E-3</v>
      </c>
      <c r="L127" s="60">
        <f t="shared" si="25"/>
        <v>1.6007410008575681E-3</v>
      </c>
      <c r="M127" s="60">
        <f t="shared" si="17"/>
        <v>3.5697794764790874E-2</v>
      </c>
    </row>
    <row r="128" spans="1:13" s="38" customFormat="1" ht="16">
      <c r="A128" s="8" t="s">
        <v>117</v>
      </c>
      <c r="B128" s="125">
        <v>48653.38178063972</v>
      </c>
      <c r="C128" s="9" t="s">
        <v>48</v>
      </c>
      <c r="D128" s="21">
        <v>4.9041109802463012E-2</v>
      </c>
      <c r="E128" s="10">
        <v>0.11183472718442829</v>
      </c>
      <c r="F128" s="14">
        <v>6.5834727184428288E-2</v>
      </c>
      <c r="G128" s="14">
        <v>0.2</v>
      </c>
      <c r="H128" s="15" t="s">
        <v>127</v>
      </c>
      <c r="I128" s="60">
        <f t="shared" si="22"/>
        <v>1.4383522485039258E-2</v>
      </c>
      <c r="J128" s="60">
        <f t="shared" si="23"/>
        <v>7.0538390553500589E-4</v>
      </c>
      <c r="K128" s="60">
        <f t="shared" si="24"/>
        <v>1.6085773130654554E-3</v>
      </c>
      <c r="L128" s="60">
        <f t="shared" si="25"/>
        <v>9.469352787536496E-4</v>
      </c>
      <c r="M128" s="60">
        <f t="shared" si="17"/>
        <v>2.8767044970078519E-3</v>
      </c>
    </row>
    <row r="129" spans="1:13" s="38" customFormat="1" ht="16">
      <c r="A129" s="8" t="s">
        <v>120</v>
      </c>
      <c r="B129" s="125">
        <v>175363.26530612243</v>
      </c>
      <c r="C129" s="9" t="s">
        <v>41</v>
      </c>
      <c r="D129" s="21">
        <v>7.6826803868088279E-3</v>
      </c>
      <c r="E129" s="10">
        <v>5.6313534284766834E-2</v>
      </c>
      <c r="F129" s="14">
        <v>1.0313534284766834E-2</v>
      </c>
      <c r="G129" s="14">
        <v>0.15</v>
      </c>
      <c r="H129" s="15" t="s">
        <v>127</v>
      </c>
      <c r="I129" s="60">
        <f t="shared" si="22"/>
        <v>5.1843086282323203E-2</v>
      </c>
      <c r="J129" s="60">
        <f t="shared" si="23"/>
        <v>3.9829386217284226E-4</v>
      </c>
      <c r="K129" s="60">
        <f t="shared" si="24"/>
        <v>2.9194674167877326E-3</v>
      </c>
      <c r="L129" s="60">
        <f t="shared" si="25"/>
        <v>5.3468544780086553E-4</v>
      </c>
      <c r="M129" s="60">
        <f t="shared" si="17"/>
        <v>7.7764629423484801E-3</v>
      </c>
    </row>
    <row r="130" spans="1:13" s="38" customFormat="1" ht="16">
      <c r="A130" s="8" t="s">
        <v>122</v>
      </c>
      <c r="B130" s="125">
        <v>23131.941556784346</v>
      </c>
      <c r="C130" s="9" t="s">
        <v>137</v>
      </c>
      <c r="D130" s="21">
        <v>0.17499999999999999</v>
      </c>
      <c r="E130" s="10">
        <v>0.28092692770782934</v>
      </c>
      <c r="F130" s="14">
        <v>0.23492692770782936</v>
      </c>
      <c r="G130" s="14">
        <v>0.17</v>
      </c>
      <c r="H130" s="15" t="s">
        <v>127</v>
      </c>
      <c r="I130" s="60">
        <f t="shared" si="22"/>
        <v>6.8385544709868035E-3</v>
      </c>
      <c r="J130" s="60">
        <f t="shared" si="23"/>
        <v>1.1967470324226906E-3</v>
      </c>
      <c r="K130" s="60">
        <f t="shared" si="24"/>
        <v>1.9211340974969629E-3</v>
      </c>
      <c r="L130" s="60">
        <f t="shared" si="25"/>
        <v>1.60656059183157E-3</v>
      </c>
      <c r="M130" s="60">
        <f t="shared" si="17"/>
        <v>1.1625542600677567E-3</v>
      </c>
    </row>
    <row r="131" spans="1:13" s="38" customFormat="1" ht="16">
      <c r="A131" s="8" t="s">
        <v>24</v>
      </c>
      <c r="B131" s="125">
        <v>114667.36020806243</v>
      </c>
      <c r="C131" s="9" t="s">
        <v>79</v>
      </c>
      <c r="D131" s="21">
        <v>2.7273515373171343E-2</v>
      </c>
      <c r="E131" s="10">
        <v>8.2613046710922261E-2</v>
      </c>
      <c r="F131" s="14">
        <v>3.6613046710922269E-2</v>
      </c>
      <c r="G131" s="14">
        <v>0.15</v>
      </c>
      <c r="H131" s="15" t="s">
        <v>127</v>
      </c>
      <c r="I131" s="60">
        <f t="shared" si="22"/>
        <v>3.3899402127665949E-2</v>
      </c>
      <c r="J131" s="60">
        <f t="shared" si="23"/>
        <v>9.2455586507021455E-4</v>
      </c>
      <c r="K131" s="60">
        <f t="shared" si="24"/>
        <v>2.8005328914452047E-3</v>
      </c>
      <c r="L131" s="60">
        <f t="shared" si="25"/>
        <v>1.2411603935725711E-3</v>
      </c>
      <c r="M131" s="60">
        <f t="shared" si="17"/>
        <v>5.0849103191498921E-3</v>
      </c>
    </row>
    <row r="132" spans="1:13" s="38" customFormat="1" ht="16">
      <c r="A132" s="8" t="s">
        <v>74</v>
      </c>
      <c r="B132" s="125">
        <v>236258.30283965328</v>
      </c>
      <c r="C132" s="9" t="s">
        <v>46</v>
      </c>
      <c r="D132" s="21">
        <v>6.5302783287875029E-3</v>
      </c>
      <c r="E132" s="10">
        <v>5.4766504142051808E-2</v>
      </c>
      <c r="F132" s="14">
        <v>8.7665041420518092E-3</v>
      </c>
      <c r="G132" s="14">
        <v>0.1</v>
      </c>
      <c r="H132" s="15" t="s">
        <v>127</v>
      </c>
      <c r="I132" s="60">
        <f t="shared" si="22"/>
        <v>6.9845640463241099E-2</v>
      </c>
      <c r="J132" s="60">
        <f t="shared" si="23"/>
        <v>4.5611147227738689E-4</v>
      </c>
      <c r="K132" s="60">
        <f t="shared" si="24"/>
        <v>3.8252015577343551E-3</v>
      </c>
      <c r="L132" s="60">
        <f t="shared" si="25"/>
        <v>6.1230209642526459E-4</v>
      </c>
      <c r="M132" s="60">
        <f t="shared" si="17"/>
        <v>6.9845640463241099E-3</v>
      </c>
    </row>
    <row r="133" spans="1:13" s="38" customFormat="1" ht="16">
      <c r="A133" s="8" t="s">
        <v>290</v>
      </c>
      <c r="B133" s="125">
        <v>11000</v>
      </c>
      <c r="C133" s="9" t="s">
        <v>43</v>
      </c>
      <c r="D133" s="21">
        <v>1.3060556657575006E-2</v>
      </c>
      <c r="E133" s="10">
        <v>6.3533008284103618E-2</v>
      </c>
      <c r="F133" s="14">
        <v>1.7533008284103618E-2</v>
      </c>
      <c r="G133" s="14">
        <v>0</v>
      </c>
      <c r="H133" s="15" t="s">
        <v>127</v>
      </c>
      <c r="I133" s="60">
        <f t="shared" si="22"/>
        <v>3.2519578607871952E-3</v>
      </c>
      <c r="J133" s="60">
        <f t="shared" si="23"/>
        <v>4.2472379888857577E-5</v>
      </c>
      <c r="K133" s="60">
        <f t="shared" si="24"/>
        <v>2.0660666570894876E-4</v>
      </c>
      <c r="L133" s="60">
        <f t="shared" si="25"/>
        <v>5.7016604112737778E-5</v>
      </c>
      <c r="M133" s="60">
        <f t="shared" si="17"/>
        <v>0</v>
      </c>
    </row>
    <row r="134" spans="1:13" s="38" customFormat="1" ht="16">
      <c r="A134" s="8" t="s">
        <v>2</v>
      </c>
      <c r="B134" s="125">
        <v>1108571.5172853814</v>
      </c>
      <c r="C134" s="9" t="s">
        <v>41</v>
      </c>
      <c r="D134" s="21">
        <v>7.6826803868088279E-3</v>
      </c>
      <c r="E134" s="10">
        <v>5.6313534284766834E-2</v>
      </c>
      <c r="F134" s="14">
        <v>1.0313534284766834E-2</v>
      </c>
      <c r="G134" s="14">
        <v>0.2</v>
      </c>
      <c r="H134" s="15" t="s">
        <v>127</v>
      </c>
      <c r="I134" s="60">
        <f t="shared" si="22"/>
        <v>0.32772980544372582</v>
      </c>
      <c r="J134" s="60">
        <f t="shared" si="23"/>
        <v>2.5178433484551854E-3</v>
      </c>
      <c r="K134" s="60">
        <f t="shared" si="24"/>
        <v>1.8455623634995217E-2</v>
      </c>
      <c r="L134" s="60">
        <f t="shared" si="25"/>
        <v>3.3800525845838307E-3</v>
      </c>
      <c r="M134" s="60">
        <f t="shared" si="17"/>
        <v>6.5545961088745164E-2</v>
      </c>
    </row>
    <row r="135" spans="1:13" s="38" customFormat="1" ht="16">
      <c r="A135" s="8" t="s">
        <v>284</v>
      </c>
      <c r="B135" s="125">
        <v>24800</v>
      </c>
      <c r="C135" s="9" t="s">
        <v>79</v>
      </c>
      <c r="D135" s="21">
        <v>2.7273515373171343E-2</v>
      </c>
      <c r="E135" s="10">
        <v>8.2613046710922261E-2</v>
      </c>
      <c r="F135" s="14">
        <v>3.6613046710922269E-2</v>
      </c>
      <c r="G135" s="14">
        <v>0</v>
      </c>
      <c r="H135" s="15" t="s">
        <v>127</v>
      </c>
      <c r="I135" s="60">
        <f t="shared" si="22"/>
        <v>7.3316868134111306E-3</v>
      </c>
      <c r="J135" s="60">
        <f t="shared" si="23"/>
        <v>1.9996087301684607E-4</v>
      </c>
      <c r="K135" s="60">
        <f t="shared" si="24"/>
        <v>6.0569298518618655E-4</v>
      </c>
      <c r="L135" s="60">
        <f t="shared" si="25"/>
        <v>2.6843539176927455E-4</v>
      </c>
      <c r="M135" s="60">
        <f t="shared" si="17"/>
        <v>0</v>
      </c>
    </row>
    <row r="136" spans="1:13" s="38" customFormat="1" ht="16">
      <c r="A136" s="8" t="s">
        <v>60</v>
      </c>
      <c r="B136" s="125">
        <v>507063.96827331249</v>
      </c>
      <c r="C136" s="9" t="s">
        <v>45</v>
      </c>
      <c r="D136" s="21">
        <v>5.3778762707661788E-3</v>
      </c>
      <c r="E136" s="10">
        <v>5.3219473999336783E-2</v>
      </c>
      <c r="F136" s="14">
        <v>7.2194739993367832E-3</v>
      </c>
      <c r="G136" s="14">
        <v>0.25</v>
      </c>
      <c r="H136" s="15" t="s">
        <v>127</v>
      </c>
      <c r="I136" s="60">
        <f t="shared" si="22"/>
        <v>0.14990460523166796</v>
      </c>
      <c r="J136" s="60">
        <f t="shared" si="23"/>
        <v>8.0616841935395869E-4</v>
      </c>
      <c r="K136" s="60">
        <f t="shared" si="24"/>
        <v>7.9778442405075978E-3</v>
      </c>
      <c r="L136" s="60">
        <f t="shared" si="25"/>
        <v>1.0822323998508716E-3</v>
      </c>
      <c r="M136" s="60">
        <f t="shared" si="17"/>
        <v>3.747615130791699E-2</v>
      </c>
    </row>
    <row r="137" spans="1:13" s="32" customFormat="1" ht="16">
      <c r="A137" s="58" t="s">
        <v>127</v>
      </c>
      <c r="B137" s="153">
        <f>SUM(B124:B136)</f>
        <v>3382577.6565681733</v>
      </c>
      <c r="C137" s="53"/>
      <c r="D137" s="54">
        <f>SUM(J124:J136)</f>
        <v>1.6082653627874467E-2</v>
      </c>
      <c r="E137" s="54">
        <f>SUM(K124:K136)</f>
        <v>6.7589990892489848E-2</v>
      </c>
      <c r="F137" s="54">
        <f>SUM(L124:L136)</f>
        <v>2.1589990892489853E-2</v>
      </c>
      <c r="G137" s="55">
        <f>SUM(M124:M136)</f>
        <v>0.18760152153615242</v>
      </c>
      <c r="H137" s="58"/>
      <c r="I137" s="61">
        <f>SUM(I124:I136)</f>
        <v>1.0000000000000002</v>
      </c>
    </row>
    <row r="138" spans="1:13" s="38" customFormat="1" ht="16">
      <c r="A138" s="8" t="s">
        <v>95</v>
      </c>
      <c r="B138" s="125">
        <v>2137939.2200749093</v>
      </c>
      <c r="C138" s="9" t="s">
        <v>47</v>
      </c>
      <c r="D138" s="21">
        <v>0</v>
      </c>
      <c r="E138" s="10">
        <v>4.5999999999999999E-2</v>
      </c>
      <c r="F138" s="14">
        <v>0</v>
      </c>
      <c r="G138" s="14">
        <v>0.26500000000000001</v>
      </c>
      <c r="H138" s="15" t="s">
        <v>130</v>
      </c>
      <c r="I138" s="60">
        <f>B138/B140</f>
        <v>7.7524374113887684E-2</v>
      </c>
      <c r="J138" s="60">
        <f>I138*D138</f>
        <v>0</v>
      </c>
      <c r="K138" s="60">
        <f>I138*E138</f>
        <v>3.5661212092388335E-3</v>
      </c>
      <c r="L138" s="60">
        <f>I138*F138</f>
        <v>0</v>
      </c>
      <c r="M138" s="60">
        <f t="shared" si="17"/>
        <v>2.0543959140180236E-2</v>
      </c>
    </row>
    <row r="139" spans="1:13" s="38" customFormat="1" ht="16">
      <c r="A139" s="8" t="s">
        <v>355</v>
      </c>
      <c r="B139" s="125">
        <v>25439700</v>
      </c>
      <c r="C139" s="9" t="s">
        <v>47</v>
      </c>
      <c r="D139" s="21">
        <v>0</v>
      </c>
      <c r="E139" s="10">
        <v>4.5999999999999999E-2</v>
      </c>
      <c r="F139" s="14">
        <v>0</v>
      </c>
      <c r="G139" s="14">
        <v>0.25</v>
      </c>
      <c r="H139" s="15" t="s">
        <v>130</v>
      </c>
      <c r="I139" s="60">
        <f>B139/B140</f>
        <v>0.92247562588611232</v>
      </c>
      <c r="J139" s="60">
        <f>I139*D139</f>
        <v>0</v>
      </c>
      <c r="K139" s="60">
        <f>I139*E139</f>
        <v>4.2433878790761166E-2</v>
      </c>
      <c r="L139" s="60">
        <f>I139*F139</f>
        <v>0</v>
      </c>
      <c r="M139" s="60">
        <f t="shared" si="17"/>
        <v>0.23061890647152808</v>
      </c>
    </row>
    <row r="140" spans="1:13" s="32" customFormat="1" ht="16">
      <c r="A140" s="58" t="s">
        <v>130</v>
      </c>
      <c r="B140" s="53">
        <f>SUM(B138:B139)</f>
        <v>27577639.220074911</v>
      </c>
      <c r="C140" s="53"/>
      <c r="D140" s="54">
        <f>SUM(J138:J139)</f>
        <v>0</v>
      </c>
      <c r="E140" s="54">
        <f>SUM(K138:K139)</f>
        <v>4.5999999999999999E-2</v>
      </c>
      <c r="F140" s="54">
        <f>SUM(L138:L139)</f>
        <v>0</v>
      </c>
      <c r="G140" s="55">
        <f>SUM(M138:M139)</f>
        <v>0.25116286561170831</v>
      </c>
      <c r="H140" s="58"/>
    </row>
    <row r="141" spans="1:13" s="38" customFormat="1" ht="16">
      <c r="A141" s="8" t="s">
        <v>285</v>
      </c>
      <c r="B141" s="125">
        <v>3330</v>
      </c>
      <c r="C141" s="9" t="s">
        <v>83</v>
      </c>
      <c r="D141" s="21">
        <v>2.0743237044383835E-2</v>
      </c>
      <c r="E141" s="10">
        <v>7.3846542568870452E-2</v>
      </c>
      <c r="F141" s="14">
        <v>2.7846542568870453E-2</v>
      </c>
      <c r="G141" s="14">
        <v>0.1898</v>
      </c>
      <c r="H141" s="15" t="s">
        <v>126</v>
      </c>
      <c r="I141" s="60">
        <f>B141/$B$167</f>
        <v>1.6444258616310747E-4</v>
      </c>
      <c r="J141" s="60">
        <f t="shared" ref="J141:J166" si="26">I141*D141</f>
        <v>3.4110715449728516E-6</v>
      </c>
      <c r="K141" s="60">
        <f t="shared" ref="K141:K166" si="27">I141*E141</f>
        <v>1.2143516439229062E-5</v>
      </c>
      <c r="L141" s="60">
        <f t="shared" ref="L141:L166" si="28">I141*F141</f>
        <v>4.5791574757261191E-6</v>
      </c>
      <c r="M141" s="60">
        <f t="shared" si="17"/>
        <v>3.1211202853757795E-5</v>
      </c>
    </row>
    <row r="142" spans="1:13" s="38" customFormat="1" ht="16">
      <c r="A142" s="8" t="s">
        <v>175</v>
      </c>
      <c r="B142" s="125">
        <v>470941.92675074114</v>
      </c>
      <c r="C142" s="9" t="s">
        <v>44</v>
      </c>
      <c r="D142" s="21">
        <v>4.3535188858583353E-3</v>
      </c>
      <c r="E142" s="10">
        <v>5.1844336094701203E-2</v>
      </c>
      <c r="F142" s="14">
        <v>5.8443360947012055E-3</v>
      </c>
      <c r="G142" s="14">
        <v>0.24</v>
      </c>
      <c r="H142" s="15" t="s">
        <v>126</v>
      </c>
      <c r="I142" s="60">
        <f t="shared" ref="I142:I166" si="29">B142/$B$167</f>
        <v>2.3256128638897478E-2</v>
      </c>
      <c r="J142" s="60">
        <f t="shared" si="26"/>
        <v>1.0124599524139107E-4</v>
      </c>
      <c r="K142" s="60">
        <f t="shared" si="27"/>
        <v>1.2056985494166069E-3</v>
      </c>
      <c r="L142" s="60">
        <f t="shared" si="28"/>
        <v>1.3591663202732295E-4</v>
      </c>
      <c r="M142" s="60">
        <f t="shared" si="17"/>
        <v>5.5814708733353943E-3</v>
      </c>
    </row>
    <row r="143" spans="1:13" s="38" customFormat="1" ht="16">
      <c r="A143" s="8" t="s">
        <v>176</v>
      </c>
      <c r="B143" s="125">
        <v>583435.59557996341</v>
      </c>
      <c r="C143" s="9" t="s">
        <v>46</v>
      </c>
      <c r="D143" s="21">
        <v>6.5302783287875029E-3</v>
      </c>
      <c r="E143" s="10">
        <v>5.4766504142051808E-2</v>
      </c>
      <c r="F143" s="14">
        <v>8.7665041420518092E-3</v>
      </c>
      <c r="G143" s="14">
        <v>0.25</v>
      </c>
      <c r="H143" s="15" t="s">
        <v>126</v>
      </c>
      <c r="I143" s="60">
        <f t="shared" si="29"/>
        <v>2.8811308767802423E-2</v>
      </c>
      <c r="J143" s="60">
        <f t="shared" si="26"/>
        <v>1.8814586527038553E-4</v>
      </c>
      <c r="K143" s="60">
        <f t="shared" si="27"/>
        <v>1.577894660969785E-3</v>
      </c>
      <c r="L143" s="60">
        <f t="shared" si="28"/>
        <v>2.5257445765087356E-4</v>
      </c>
      <c r="M143" s="60">
        <f t="shared" si="17"/>
        <v>7.2028271919506058E-3</v>
      </c>
    </row>
    <row r="144" spans="1:13" s="38" customFormat="1" ht="16">
      <c r="A144" s="8" t="s">
        <v>177</v>
      </c>
      <c r="B144" s="125">
        <v>29250.524418085472</v>
      </c>
      <c r="C144" s="9" t="s">
        <v>83</v>
      </c>
      <c r="D144" s="21">
        <v>2.0743237044383835E-2</v>
      </c>
      <c r="E144" s="10">
        <v>7.3846542568870452E-2</v>
      </c>
      <c r="F144" s="14">
        <v>2.7846542568870453E-2</v>
      </c>
      <c r="G144" s="14">
        <v>0.125</v>
      </c>
      <c r="H144" s="15" t="s">
        <v>126</v>
      </c>
      <c r="I144" s="60">
        <f t="shared" si="29"/>
        <v>1.4444540185997296E-3</v>
      </c>
      <c r="J144" s="60">
        <f t="shared" si="26"/>
        <v>2.9962652107527006E-5</v>
      </c>
      <c r="K144" s="60">
        <f t="shared" si="27"/>
        <v>1.0666793517330093E-4</v>
      </c>
      <c r="L144" s="60">
        <f t="shared" si="28"/>
        <v>4.0223050317713359E-5</v>
      </c>
      <c r="M144" s="60">
        <f t="shared" si="17"/>
        <v>1.805567523249662E-4</v>
      </c>
    </row>
    <row r="145" spans="1:13" s="38" customFormat="1" ht="16">
      <c r="A145" s="8" t="s">
        <v>102</v>
      </c>
      <c r="B145" s="125">
        <v>400167.19694870739</v>
      </c>
      <c r="C145" s="9" t="s">
        <v>47</v>
      </c>
      <c r="D145" s="21">
        <v>0</v>
      </c>
      <c r="E145" s="10">
        <v>4.5999999999999999E-2</v>
      </c>
      <c r="F145" s="14">
        <v>0</v>
      </c>
      <c r="G145" s="14">
        <v>0.22</v>
      </c>
      <c r="H145" s="15" t="s">
        <v>126</v>
      </c>
      <c r="I145" s="60">
        <f t="shared" si="29"/>
        <v>1.9761119748915021E-2</v>
      </c>
      <c r="J145" s="60">
        <f t="shared" si="26"/>
        <v>0</v>
      </c>
      <c r="K145" s="60">
        <f t="shared" si="27"/>
        <v>9.0901150845009099E-4</v>
      </c>
      <c r="L145" s="60">
        <f t="shared" si="28"/>
        <v>0</v>
      </c>
      <c r="M145" s="60">
        <f t="shared" ref="M145:M166" si="30">I145*G145</f>
        <v>4.347446344761305E-3</v>
      </c>
    </row>
    <row r="146" spans="1:13" s="38" customFormat="1" ht="16">
      <c r="A146" s="8" t="s">
        <v>178</v>
      </c>
      <c r="B146" s="125">
        <v>282896.25139105169</v>
      </c>
      <c r="C146" s="9" t="s">
        <v>44</v>
      </c>
      <c r="D146" s="21">
        <v>4.3535188858583353E-3</v>
      </c>
      <c r="E146" s="10">
        <v>5.1844336094701203E-2</v>
      </c>
      <c r="F146" s="14">
        <v>5.8443360947012055E-3</v>
      </c>
      <c r="G146" s="14">
        <v>0.2</v>
      </c>
      <c r="H146" s="15" t="s">
        <v>126</v>
      </c>
      <c r="I146" s="60">
        <f t="shared" si="29"/>
        <v>1.3970027385763703E-2</v>
      </c>
      <c r="J146" s="60">
        <f t="shared" si="26"/>
        <v>6.0818778059880433E-5</v>
      </c>
      <c r="K146" s="60">
        <f t="shared" si="27"/>
        <v>7.2426679503971342E-4</v>
      </c>
      <c r="L146" s="60">
        <f t="shared" si="28"/>
        <v>8.1645535294583136E-5</v>
      </c>
      <c r="M146" s="60">
        <f t="shared" si="30"/>
        <v>2.7940054771527409E-3</v>
      </c>
    </row>
    <row r="147" spans="1:13" s="38" customFormat="1" ht="16">
      <c r="A147" s="8" t="s">
        <v>179</v>
      </c>
      <c r="B147" s="125">
        <v>2779092.236505847</v>
      </c>
      <c r="C147" s="9" t="s">
        <v>45</v>
      </c>
      <c r="D147" s="21">
        <v>5.3778762707661788E-3</v>
      </c>
      <c r="E147" s="10">
        <v>5.3219473999336783E-2</v>
      </c>
      <c r="F147" s="14">
        <v>7.2194739993367832E-3</v>
      </c>
      <c r="G147" s="14">
        <v>0.25</v>
      </c>
      <c r="H147" s="15" t="s">
        <v>126</v>
      </c>
      <c r="I147" s="60">
        <f t="shared" si="29"/>
        <v>0.13723757193898972</v>
      </c>
      <c r="J147" s="60">
        <f t="shared" si="26"/>
        <v>7.3804668158825926E-4</v>
      </c>
      <c r="K147" s="60">
        <f t="shared" si="27"/>
        <v>7.3037113915391744E-3</v>
      </c>
      <c r="L147" s="60">
        <f t="shared" si="28"/>
        <v>9.9078308234564752E-4</v>
      </c>
      <c r="M147" s="60">
        <f t="shared" si="30"/>
        <v>3.430939298474743E-2</v>
      </c>
    </row>
    <row r="148" spans="1:13" s="38" customFormat="1" ht="16">
      <c r="A148" s="8" t="s">
        <v>180</v>
      </c>
      <c r="B148" s="125">
        <v>4082469.4907976813</v>
      </c>
      <c r="C148" s="9" t="s">
        <v>47</v>
      </c>
      <c r="D148" s="21">
        <v>0</v>
      </c>
      <c r="E148" s="10">
        <v>4.5999999999999999E-2</v>
      </c>
      <c r="F148" s="14">
        <v>0</v>
      </c>
      <c r="G148" s="14">
        <v>0.3</v>
      </c>
      <c r="H148" s="15" t="s">
        <v>126</v>
      </c>
      <c r="I148" s="60">
        <f t="shared" si="29"/>
        <v>0.20160115345307963</v>
      </c>
      <c r="J148" s="60">
        <f t="shared" si="26"/>
        <v>0</v>
      </c>
      <c r="K148" s="60">
        <f t="shared" si="27"/>
        <v>9.2736530588416622E-3</v>
      </c>
      <c r="L148" s="60">
        <f t="shared" si="28"/>
        <v>0</v>
      </c>
      <c r="M148" s="60">
        <f t="shared" si="30"/>
        <v>6.0480346035923886E-2</v>
      </c>
    </row>
    <row r="149" spans="1:13" s="38" customFormat="1" ht="16">
      <c r="A149" s="8" t="s">
        <v>181</v>
      </c>
      <c r="B149" s="125">
        <v>217581.32451205922</v>
      </c>
      <c r="C149" s="9" t="s">
        <v>79</v>
      </c>
      <c r="D149" s="21">
        <v>2.7273515373171343E-2</v>
      </c>
      <c r="E149" s="10">
        <v>8.2613046710922261E-2</v>
      </c>
      <c r="F149" s="14">
        <v>3.6613046710922269E-2</v>
      </c>
      <c r="G149" s="14">
        <v>0.22</v>
      </c>
      <c r="H149" s="15" t="s">
        <v>126</v>
      </c>
      <c r="I149" s="60">
        <f t="shared" si="29"/>
        <v>1.0744635346413617E-2</v>
      </c>
      <c r="J149" s="60">
        <f t="shared" si="26"/>
        <v>2.9304397729953198E-4</v>
      </c>
      <c r="K149" s="60">
        <f t="shared" si="27"/>
        <v>8.8764706176509454E-4</v>
      </c>
      <c r="L149" s="60">
        <f t="shared" si="28"/>
        <v>3.9339383583006826E-4</v>
      </c>
      <c r="M149" s="60">
        <f t="shared" si="30"/>
        <v>2.3638197762109957E-3</v>
      </c>
    </row>
    <row r="150" spans="1:13" s="38" customFormat="1" ht="16">
      <c r="A150" s="8" t="s">
        <v>288</v>
      </c>
      <c r="B150" s="125">
        <v>3446</v>
      </c>
      <c r="C150" s="9" t="s">
        <v>41</v>
      </c>
      <c r="D150" s="21">
        <v>7.6826803868088279E-3</v>
      </c>
      <c r="E150" s="10">
        <v>5.6313534284766834E-2</v>
      </c>
      <c r="F150" s="14">
        <v>1.0313534284766834E-2</v>
      </c>
      <c r="G150" s="14">
        <v>0</v>
      </c>
      <c r="H150" s="15" t="s">
        <v>126</v>
      </c>
      <c r="I150" s="60">
        <f t="shared" si="29"/>
        <v>1.7017091649191242E-4</v>
      </c>
      <c r="J150" s="60">
        <f t="shared" si="26"/>
        <v>1.3073687625376986E-6</v>
      </c>
      <c r="K150" s="60">
        <f t="shared" si="27"/>
        <v>9.5829257401375039E-6</v>
      </c>
      <c r="L150" s="60">
        <f t="shared" si="28"/>
        <v>1.7550635815095327E-6</v>
      </c>
      <c r="M150" s="60">
        <f t="shared" si="30"/>
        <v>0</v>
      </c>
    </row>
    <row r="151" spans="1:13" s="38" customFormat="1" ht="16">
      <c r="A151" s="8" t="s">
        <v>110</v>
      </c>
      <c r="B151" s="125">
        <v>28064.52985130985</v>
      </c>
      <c r="C151" s="9" t="s">
        <v>42</v>
      </c>
      <c r="D151" s="21">
        <v>9.2192164641705932E-3</v>
      </c>
      <c r="E151" s="10">
        <v>5.83762411417202E-2</v>
      </c>
      <c r="F151" s="14">
        <v>1.2376241141720201E-2</v>
      </c>
      <c r="G151" s="14">
        <v>0.2</v>
      </c>
      <c r="H151" s="15" t="s">
        <v>126</v>
      </c>
      <c r="I151" s="60">
        <f t="shared" si="29"/>
        <v>1.3858870475078444E-3</v>
      </c>
      <c r="J151" s="60">
        <f t="shared" si="26"/>
        <v>1.2776792685865092E-5</v>
      </c>
      <c r="K151" s="60">
        <f t="shared" si="27"/>
        <v>8.0902876480504568E-5</v>
      </c>
      <c r="L151" s="60">
        <f t="shared" si="28"/>
        <v>1.7152072295143722E-5</v>
      </c>
      <c r="M151" s="60">
        <f t="shared" si="30"/>
        <v>2.7717740950156886E-4</v>
      </c>
    </row>
    <row r="152" spans="1:13" s="38" customFormat="1" ht="16">
      <c r="A152" s="8" t="s">
        <v>182</v>
      </c>
      <c r="B152" s="125">
        <v>533140.0118382764</v>
      </c>
      <c r="C152" s="9" t="s">
        <v>46</v>
      </c>
      <c r="D152" s="21">
        <v>6.5302783287875029E-3</v>
      </c>
      <c r="E152" s="10">
        <v>5.4766504142051808E-2</v>
      </c>
      <c r="F152" s="14">
        <v>8.7665041420518092E-3</v>
      </c>
      <c r="G152" s="14">
        <v>0.125</v>
      </c>
      <c r="H152" s="15" t="s">
        <v>126</v>
      </c>
      <c r="I152" s="60">
        <f t="shared" si="29"/>
        <v>2.6327604304419192E-2</v>
      </c>
      <c r="J152" s="60">
        <f t="shared" si="26"/>
        <v>1.7192658383804123E-4</v>
      </c>
      <c r="K152" s="60">
        <f t="shared" si="27"/>
        <v>1.4418708501882746E-3</v>
      </c>
      <c r="L152" s="60">
        <f t="shared" si="28"/>
        <v>2.3080105218499188E-4</v>
      </c>
      <c r="M152" s="60">
        <f t="shared" si="30"/>
        <v>3.290950538052399E-3</v>
      </c>
    </row>
    <row r="153" spans="1:13" s="38" customFormat="1" ht="16">
      <c r="A153" s="8" t="s">
        <v>113</v>
      </c>
      <c r="B153" s="125">
        <v>6684.2292685054481</v>
      </c>
      <c r="C153" s="9" t="s">
        <v>46</v>
      </c>
      <c r="D153" s="21">
        <v>6.5302783287875029E-3</v>
      </c>
      <c r="E153" s="10">
        <v>5.4766504142051808E-2</v>
      </c>
      <c r="F153" s="14">
        <v>8.7665041420518092E-3</v>
      </c>
      <c r="G153" s="14">
        <v>0</v>
      </c>
      <c r="H153" s="15" t="s">
        <v>126</v>
      </c>
      <c r="I153" s="60">
        <f t="shared" si="29"/>
        <v>3.3008166589194355E-4</v>
      </c>
      <c r="J153" s="60">
        <f t="shared" si="26"/>
        <v>2.1555251495042362E-6</v>
      </c>
      <c r="K153" s="60">
        <f t="shared" si="27"/>
        <v>1.8077418922286488E-5</v>
      </c>
      <c r="L153" s="60">
        <f t="shared" si="28"/>
        <v>2.8936622912570847E-6</v>
      </c>
      <c r="M153" s="60">
        <f t="shared" si="30"/>
        <v>0</v>
      </c>
    </row>
    <row r="154" spans="1:13" s="38" customFormat="1" ht="16">
      <c r="A154" s="8" t="s">
        <v>145</v>
      </c>
      <c r="B154" s="125">
        <v>2049737.1654079845</v>
      </c>
      <c r="C154" s="9" t="s">
        <v>124</v>
      </c>
      <c r="D154" s="21">
        <v>2.3944353872220846E-2</v>
      </c>
      <c r="E154" s="10">
        <v>7.8143848520856624E-2</v>
      </c>
      <c r="F154" s="14">
        <v>3.2143848520856631E-2</v>
      </c>
      <c r="G154" s="14">
        <v>0.24</v>
      </c>
      <c r="H154" s="15" t="s">
        <v>126</v>
      </c>
      <c r="I154" s="60">
        <f t="shared" si="29"/>
        <v>0.10122044457487273</v>
      </c>
      <c r="J154" s="60">
        <f t="shared" si="26"/>
        <v>2.4236581440042694E-3</v>
      </c>
      <c r="K154" s="60">
        <f t="shared" si="27"/>
        <v>7.9097550880726179E-3</v>
      </c>
      <c r="L154" s="60">
        <f t="shared" si="28"/>
        <v>3.2536146376284732E-3</v>
      </c>
      <c r="M154" s="60">
        <f t="shared" si="30"/>
        <v>2.4292906697969453E-2</v>
      </c>
    </row>
    <row r="155" spans="1:13" s="38" customFormat="1" ht="16">
      <c r="A155" s="8" t="s">
        <v>289</v>
      </c>
      <c r="B155" s="125">
        <v>4890</v>
      </c>
      <c r="C155" s="9" t="s">
        <v>46</v>
      </c>
      <c r="D155" s="21">
        <v>6.5302783287875029E-3</v>
      </c>
      <c r="E155" s="10">
        <v>5.4766504142051808E-2</v>
      </c>
      <c r="F155" s="14">
        <v>8.7665041420518092E-3</v>
      </c>
      <c r="G155" s="14">
        <v>0</v>
      </c>
      <c r="H155" s="15" t="s">
        <v>126</v>
      </c>
      <c r="I155" s="60">
        <f t="shared" si="29"/>
        <v>2.4147875265393261E-4</v>
      </c>
      <c r="J155" s="60">
        <f t="shared" si="26"/>
        <v>1.5769234653186138E-6</v>
      </c>
      <c r="K155" s="60">
        <f t="shared" si="27"/>
        <v>1.3224947107439104E-5</v>
      </c>
      <c r="L155" s="60">
        <f t="shared" si="28"/>
        <v>2.1169244853582045E-6</v>
      </c>
      <c r="M155" s="60">
        <f t="shared" si="30"/>
        <v>0</v>
      </c>
    </row>
    <row r="156" spans="1:13" s="38" customFormat="1" ht="16">
      <c r="A156" s="8" t="s">
        <v>222</v>
      </c>
      <c r="B156" s="125">
        <v>7710.380085922573</v>
      </c>
      <c r="C156" s="9" t="s">
        <v>47</v>
      </c>
      <c r="D156" s="21">
        <v>0</v>
      </c>
      <c r="E156" s="10">
        <v>4.5999999999999999E-2</v>
      </c>
      <c r="F156" s="14">
        <v>0</v>
      </c>
      <c r="G156" s="14">
        <v>0.125</v>
      </c>
      <c r="H156" s="15" t="s">
        <v>126</v>
      </c>
      <c r="I156" s="60">
        <f t="shared" si="29"/>
        <v>3.8075520769658582E-4</v>
      </c>
      <c r="J156" s="60">
        <f t="shared" si="26"/>
        <v>0</v>
      </c>
      <c r="K156" s="60">
        <f t="shared" si="27"/>
        <v>1.7514739554042947E-5</v>
      </c>
      <c r="L156" s="60">
        <f t="shared" si="28"/>
        <v>0</v>
      </c>
      <c r="M156" s="60">
        <f t="shared" si="30"/>
        <v>4.7594400962073228E-5</v>
      </c>
    </row>
    <row r="157" spans="1:13" s="38" customFormat="1" ht="16">
      <c r="A157" s="8" t="s">
        <v>184</v>
      </c>
      <c r="B157" s="125">
        <v>81641.807865759081</v>
      </c>
      <c r="C157" s="9" t="s">
        <v>47</v>
      </c>
      <c r="D157" s="21">
        <v>0</v>
      </c>
      <c r="E157" s="10">
        <v>4.5999999999999999E-2</v>
      </c>
      <c r="F157" s="14">
        <v>0</v>
      </c>
      <c r="G157" s="14">
        <v>0.24940000000000001</v>
      </c>
      <c r="H157" s="15" t="s">
        <v>126</v>
      </c>
      <c r="I157" s="60">
        <f t="shared" si="29"/>
        <v>4.0316486559990854E-3</v>
      </c>
      <c r="J157" s="60">
        <f t="shared" si="26"/>
        <v>0</v>
      </c>
      <c r="K157" s="60">
        <f t="shared" si="27"/>
        <v>1.8545583817595793E-4</v>
      </c>
      <c r="L157" s="60">
        <f t="shared" si="28"/>
        <v>0</v>
      </c>
      <c r="M157" s="60">
        <f t="shared" si="30"/>
        <v>1.005493174806172E-3</v>
      </c>
    </row>
    <row r="158" spans="1:13" s="38" customFormat="1" ht="16">
      <c r="A158" s="8" t="s">
        <v>185</v>
      </c>
      <c r="B158" s="125">
        <v>18125.564514266385</v>
      </c>
      <c r="C158" s="9" t="s">
        <v>42</v>
      </c>
      <c r="D158" s="21">
        <v>9.2192164641705932E-3</v>
      </c>
      <c r="E158" s="10">
        <v>5.83762411417202E-2</v>
      </c>
      <c r="F158" s="14">
        <v>1.2376241141720201E-2</v>
      </c>
      <c r="G158" s="14">
        <v>0.35</v>
      </c>
      <c r="H158" s="15" t="s">
        <v>126</v>
      </c>
      <c r="I158" s="60">
        <f t="shared" si="29"/>
        <v>8.9507949080847255E-4</v>
      </c>
      <c r="J158" s="60">
        <f t="shared" si="26"/>
        <v>8.2519315784029019E-6</v>
      </c>
      <c r="K158" s="60">
        <f t="shared" si="27"/>
        <v>5.2251376196443522E-5</v>
      </c>
      <c r="L158" s="60">
        <f t="shared" si="28"/>
        <v>1.1077719619253786E-5</v>
      </c>
      <c r="M158" s="60">
        <f t="shared" si="30"/>
        <v>3.132778217829654E-4</v>
      </c>
    </row>
    <row r="159" spans="1:13" s="38" customFormat="1" ht="16">
      <c r="A159" s="8" t="s">
        <v>186</v>
      </c>
      <c r="B159" s="125">
        <v>1009398.7190330778</v>
      </c>
      <c r="C159" s="9" t="s">
        <v>47</v>
      </c>
      <c r="D159" s="21">
        <v>0</v>
      </c>
      <c r="E159" s="10">
        <v>4.5999999999999999E-2</v>
      </c>
      <c r="F159" s="14">
        <v>0</v>
      </c>
      <c r="G159" s="14">
        <v>0.25800000000000001</v>
      </c>
      <c r="H159" s="15" t="s">
        <v>126</v>
      </c>
      <c r="I159" s="60">
        <f t="shared" si="29"/>
        <v>4.9846287035293459E-2</v>
      </c>
      <c r="J159" s="60">
        <f t="shared" si="26"/>
        <v>0</v>
      </c>
      <c r="K159" s="60">
        <f t="shared" si="27"/>
        <v>2.2929292036234991E-3</v>
      </c>
      <c r="L159" s="60">
        <f t="shared" si="28"/>
        <v>0</v>
      </c>
      <c r="M159" s="60">
        <f t="shared" si="30"/>
        <v>1.2860342055105712E-2</v>
      </c>
    </row>
    <row r="160" spans="1:13" s="38" customFormat="1" ht="16">
      <c r="A160" s="8" t="s">
        <v>23</v>
      </c>
      <c r="B160" s="125">
        <v>579422.44951027108</v>
      </c>
      <c r="C160" s="9" t="s">
        <v>47</v>
      </c>
      <c r="D160" s="21">
        <v>0</v>
      </c>
      <c r="E160" s="10">
        <v>4.5999999999999999E-2</v>
      </c>
      <c r="F160" s="14">
        <v>0</v>
      </c>
      <c r="G160" s="14">
        <v>0.22</v>
      </c>
      <c r="H160" s="15" t="s">
        <v>126</v>
      </c>
      <c r="I160" s="60">
        <f t="shared" si="29"/>
        <v>2.8613130954483947E-2</v>
      </c>
      <c r="J160" s="60">
        <f t="shared" si="26"/>
        <v>0</v>
      </c>
      <c r="K160" s="60">
        <f t="shared" si="27"/>
        <v>1.3162040239062616E-3</v>
      </c>
      <c r="L160" s="60">
        <f t="shared" si="28"/>
        <v>0</v>
      </c>
      <c r="M160" s="60">
        <f t="shared" si="30"/>
        <v>6.2948888099864687E-3</v>
      </c>
    </row>
    <row r="161" spans="1:13" s="38" customFormat="1" ht="16">
      <c r="A161" s="8" t="s">
        <v>188</v>
      </c>
      <c r="B161" s="125">
        <v>255196.66098742705</v>
      </c>
      <c r="C161" s="9" t="s">
        <v>43</v>
      </c>
      <c r="D161" s="21">
        <v>1.3060556657575006E-2</v>
      </c>
      <c r="E161" s="10">
        <v>6.3533008284103618E-2</v>
      </c>
      <c r="F161" s="14">
        <v>1.7533008284103618E-2</v>
      </c>
      <c r="G161" s="14">
        <v>0.21</v>
      </c>
      <c r="H161" s="15" t="s">
        <v>126</v>
      </c>
      <c r="I161" s="60">
        <f t="shared" si="29"/>
        <v>1.2602161835724416E-2</v>
      </c>
      <c r="J161" s="60">
        <f t="shared" si="26"/>
        <v>1.6459124866340818E-4</v>
      </c>
      <c r="K161" s="60">
        <f t="shared" si="27"/>
        <v>8.0065325230669379E-4</v>
      </c>
      <c r="L161" s="60">
        <f t="shared" si="28"/>
        <v>2.2095380786337065E-4</v>
      </c>
      <c r="M161" s="60">
        <f t="shared" si="30"/>
        <v>2.6464539855021274E-3</v>
      </c>
    </row>
    <row r="162" spans="1:13" s="38" customFormat="1" ht="16">
      <c r="A162" s="8" t="s">
        <v>138</v>
      </c>
      <c r="B162" s="125">
        <v>1417800.4662626514</v>
      </c>
      <c r="C162" s="9" t="s">
        <v>82</v>
      </c>
      <c r="D162" s="21">
        <v>1.7414075543433341E-2</v>
      </c>
      <c r="E162" s="10">
        <v>6.9377344378804828E-2</v>
      </c>
      <c r="F162" s="14">
        <v>2.3377344378804822E-2</v>
      </c>
      <c r="G162" s="14">
        <v>0.25</v>
      </c>
      <c r="H162" s="15" t="s">
        <v>126</v>
      </c>
      <c r="I162" s="60">
        <f t="shared" si="29"/>
        <v>7.0014046647294298E-2</v>
      </c>
      <c r="J162" s="60">
        <f t="shared" si="26"/>
        <v>1.2192298974174488E-3</v>
      </c>
      <c r="K162" s="60">
        <f t="shared" si="27"/>
        <v>4.8573886256030423E-3</v>
      </c>
      <c r="L162" s="60">
        <f t="shared" si="28"/>
        <v>1.636742479827504E-3</v>
      </c>
      <c r="M162" s="60">
        <f t="shared" si="30"/>
        <v>1.7503511661823574E-2</v>
      </c>
    </row>
    <row r="163" spans="1:13" s="38" customFormat="1" ht="16">
      <c r="A163" s="8" t="s">
        <v>34</v>
      </c>
      <c r="B163" s="125">
        <v>591188.59477655136</v>
      </c>
      <c r="C163" s="9" t="s">
        <v>47</v>
      </c>
      <c r="D163" s="21">
        <v>0</v>
      </c>
      <c r="E163" s="10">
        <v>4.5999999999999999E-2</v>
      </c>
      <c r="F163" s="14">
        <v>0</v>
      </c>
      <c r="G163" s="14">
        <v>0.20600000000000002</v>
      </c>
      <c r="H163" s="15" t="s">
        <v>126</v>
      </c>
      <c r="I163" s="60">
        <f t="shared" si="29"/>
        <v>2.9194168599155999E-2</v>
      </c>
      <c r="J163" s="60">
        <f t="shared" si="26"/>
        <v>0</v>
      </c>
      <c r="K163" s="60">
        <f t="shared" si="27"/>
        <v>1.3429317555611758E-3</v>
      </c>
      <c r="L163" s="60">
        <f t="shared" si="28"/>
        <v>0</v>
      </c>
      <c r="M163" s="60">
        <f t="shared" si="30"/>
        <v>6.0139987314261362E-3</v>
      </c>
    </row>
    <row r="164" spans="1:13" s="38" customFormat="1" ht="16">
      <c r="A164" s="8" t="s">
        <v>35</v>
      </c>
      <c r="B164" s="125">
        <v>818426.55020644981</v>
      </c>
      <c r="C164" s="9" t="s">
        <v>47</v>
      </c>
      <c r="D164" s="21">
        <v>0</v>
      </c>
      <c r="E164" s="10">
        <v>4.5999999999999999E-2</v>
      </c>
      <c r="F164" s="14">
        <v>0</v>
      </c>
      <c r="G164" s="14">
        <v>0.14599999999999999</v>
      </c>
      <c r="H164" s="15" t="s">
        <v>126</v>
      </c>
      <c r="I164" s="60">
        <f t="shared" si="29"/>
        <v>4.0415669219369052E-2</v>
      </c>
      <c r="J164" s="60">
        <f t="shared" si="26"/>
        <v>0</v>
      </c>
      <c r="K164" s="60">
        <f t="shared" si="27"/>
        <v>1.8591207840909763E-3</v>
      </c>
      <c r="L164" s="60">
        <f t="shared" si="28"/>
        <v>0</v>
      </c>
      <c r="M164" s="60">
        <f t="shared" si="30"/>
        <v>5.9006877060278811E-3</v>
      </c>
    </row>
    <row r="165" spans="1:13" s="38" customFormat="1" ht="16">
      <c r="A165" s="8" t="s">
        <v>66</v>
      </c>
      <c r="B165" s="125">
        <v>907118.43595268787</v>
      </c>
      <c r="C165" s="9" t="s">
        <v>78</v>
      </c>
      <c r="D165" s="21">
        <v>7.0808704231754685E-2</v>
      </c>
      <c r="E165" s="10">
        <v>0.14105640765793431</v>
      </c>
      <c r="F165" s="14">
        <v>9.5056407657934314E-2</v>
      </c>
      <c r="G165" s="14">
        <v>0.25</v>
      </c>
      <c r="H165" s="15" t="s">
        <v>126</v>
      </c>
      <c r="I165" s="60">
        <f t="shared" si="29"/>
        <v>4.4795465935223176E-2</v>
      </c>
      <c r="J165" s="60">
        <f t="shared" si="26"/>
        <v>3.17190889833086E-3</v>
      </c>
      <c r="K165" s="60">
        <f t="shared" si="27"/>
        <v>6.3186875041859498E-3</v>
      </c>
      <c r="L165" s="60">
        <f t="shared" si="28"/>
        <v>4.2580960711656839E-3</v>
      </c>
      <c r="M165" s="60">
        <f t="shared" si="30"/>
        <v>1.1198866483805794E-2</v>
      </c>
    </row>
    <row r="166" spans="1:13" s="38" customFormat="1" ht="16">
      <c r="A166" s="8" t="s">
        <v>57</v>
      </c>
      <c r="B166" s="125">
        <v>3089072.7224001358</v>
      </c>
      <c r="C166" s="9" t="s">
        <v>46</v>
      </c>
      <c r="D166" s="21">
        <v>6.5302783287875029E-3</v>
      </c>
      <c r="E166" s="10">
        <v>5.4766504142051808E-2</v>
      </c>
      <c r="F166" s="14">
        <v>8.7665041420518092E-3</v>
      </c>
      <c r="G166" s="14">
        <v>0.25</v>
      </c>
      <c r="H166" s="15" t="s">
        <v>126</v>
      </c>
      <c r="I166" s="60">
        <f t="shared" si="29"/>
        <v>0.15254507727248928</v>
      </c>
      <c r="J166" s="60">
        <f t="shared" si="26"/>
        <v>9.9616181227575183E-4</v>
      </c>
      <c r="K166" s="60">
        <f t="shared" si="27"/>
        <v>8.3543606062933973E-3</v>
      </c>
      <c r="L166" s="60">
        <f t="shared" si="28"/>
        <v>1.3372870517588905E-3</v>
      </c>
      <c r="M166" s="60">
        <f t="shared" si="30"/>
        <v>3.8136269318122321E-2</v>
      </c>
    </row>
    <row r="167" spans="1:13" s="32" customFormat="1" ht="16">
      <c r="A167" s="58" t="s">
        <v>126</v>
      </c>
      <c r="B167" s="53">
        <f>SUM(B141:B166)</f>
        <v>20250228.834865417</v>
      </c>
      <c r="C167" s="53"/>
      <c r="D167" s="62">
        <f>SUM(J141:J166)</f>
        <v>9.5882201472833571E-3</v>
      </c>
      <c r="E167" s="62">
        <f>SUM(K141:K166)</f>
        <v>5.8871606293643367E-2</v>
      </c>
      <c r="F167" s="62">
        <f>SUM(L141:L166)</f>
        <v>1.2871606293643371E-2</v>
      </c>
      <c r="G167" s="55">
        <f>SUM(M141:M166)</f>
        <v>0.24707349543413576</v>
      </c>
      <c r="H167" s="58"/>
      <c r="I167" s="61">
        <f>SUM(I141:I166)</f>
        <v>0.99999999999999956</v>
      </c>
    </row>
    <row r="170" spans="1:13">
      <c r="A170" s="64" t="s">
        <v>52</v>
      </c>
      <c r="B170" s="17" t="s">
        <v>485</v>
      </c>
      <c r="C170" s="17" t="s">
        <v>277</v>
      </c>
      <c r="D170" s="17" t="s">
        <v>280</v>
      </c>
      <c r="E170" s="17" t="s">
        <v>356</v>
      </c>
      <c r="F170" s="129" t="s">
        <v>298</v>
      </c>
      <c r="G170" s="129" t="s">
        <v>275</v>
      </c>
      <c r="H170" s="25" t="s">
        <v>299</v>
      </c>
      <c r="I170" s="25" t="s">
        <v>296</v>
      </c>
      <c r="J170" s="25" t="s">
        <v>300</v>
      </c>
      <c r="K170" s="25" t="s">
        <v>359</v>
      </c>
    </row>
    <row r="171" spans="1:13">
      <c r="A171" s="15" t="str">
        <f>A32</f>
        <v>Africa</v>
      </c>
      <c r="B171" s="65">
        <f>E32</f>
        <v>0.13763852306889549</v>
      </c>
      <c r="C171" s="65">
        <f>F32</f>
        <v>9.1638523068895444E-2</v>
      </c>
      <c r="D171" s="65">
        <f>D32</f>
        <v>6.8262679351091926E-2</v>
      </c>
      <c r="E171" s="65">
        <f>G32</f>
        <v>0.27302836489005694</v>
      </c>
      <c r="F171" s="129">
        <f>B32</f>
        <v>2508220.6789325164</v>
      </c>
      <c r="G171" s="130">
        <f>F171/$F$180</f>
        <v>2.5059378350109077E-2</v>
      </c>
      <c r="H171" s="47">
        <f t="shared" ref="H171:H179" si="31">G171*B171</f>
        <v>3.4491358251336683E-3</v>
      </c>
      <c r="I171" s="47">
        <f t="shared" ref="I171:I179" si="32">G171*C171</f>
        <v>2.2964044210286496E-3</v>
      </c>
      <c r="J171" s="47">
        <f t="shared" ref="J171:J179" si="33">G171*D171</f>
        <v>1.710620309051191E-3</v>
      </c>
      <c r="K171" s="47">
        <f>G171*E171</f>
        <v>6.8419210960915739E-3</v>
      </c>
    </row>
    <row r="172" spans="1:13">
      <c r="A172" s="15" t="str">
        <f>A56</f>
        <v>Asia</v>
      </c>
      <c r="B172" s="65">
        <f>E56</f>
        <v>6.2805405008578549E-2</v>
      </c>
      <c r="C172" s="65">
        <f>F56</f>
        <v>1.6805405008578567E-2</v>
      </c>
      <c r="D172" s="65">
        <f>D56</f>
        <v>1.2518555898193178E-2</v>
      </c>
      <c r="E172" s="65">
        <f>G56</f>
        <v>0.2576437502455447</v>
      </c>
      <c r="F172" s="129">
        <f>B56</f>
        <v>32948678.067337982</v>
      </c>
      <c r="G172" s="130">
        <f t="shared" ref="G172:G179" si="34">F172/$F$180</f>
        <v>0.32918690000465384</v>
      </c>
      <c r="H172" s="47">
        <f t="shared" si="31"/>
        <v>2.0674716578310732E-2</v>
      </c>
      <c r="I172" s="47">
        <f t="shared" si="32"/>
        <v>5.5321191780966618E-3</v>
      </c>
      <c r="J172" s="47">
        <f t="shared" si="33"/>
        <v>4.1209446086611871E-3</v>
      </c>
      <c r="K172" s="47">
        <f t="shared" ref="K172:K179" si="35">G172*E172</f>
        <v>8.4812947448904136E-2</v>
      </c>
    </row>
    <row r="173" spans="1:13">
      <c r="A173" s="15" t="str">
        <f>A60</f>
        <v>Australia &amp; New Zealand</v>
      </c>
      <c r="B173" s="65">
        <f>E60</f>
        <v>4.6047923618641927E-2</v>
      </c>
      <c r="C173" s="65">
        <f>F60</f>
        <v>4.7923618641935289E-5</v>
      </c>
      <c r="D173" s="65">
        <f>D60</f>
        <v>3.5698901544265913E-5</v>
      </c>
      <c r="E173" s="65">
        <f>G60</f>
        <v>0.29744361328762281</v>
      </c>
      <c r="F173" s="129">
        <f>B60</f>
        <v>1942472.3523971008</v>
      </c>
      <c r="G173" s="130">
        <f t="shared" si="34"/>
        <v>1.9407044213534695E-2</v>
      </c>
      <c r="H173" s="47">
        <f t="shared" si="31"/>
        <v>8.9365408960845241E-4</v>
      </c>
      <c r="I173" s="47">
        <f t="shared" si="32"/>
        <v>9.3005578585661365E-7</v>
      </c>
      <c r="J173" s="47">
        <f t="shared" si="33"/>
        <v>6.9281016064419055E-7</v>
      </c>
      <c r="K173" s="47">
        <f t="shared" si="35"/>
        <v>5.7725013541064119E-3</v>
      </c>
    </row>
    <row r="174" spans="1:13">
      <c r="A174" s="15" t="str">
        <f>A75</f>
        <v>Caribbean</v>
      </c>
      <c r="B174" s="65">
        <f>E75</f>
        <v>0.18754992718403149</v>
      </c>
      <c r="C174" s="65">
        <f>F75</f>
        <v>0.14154992718403145</v>
      </c>
      <c r="D174" s="65">
        <f>D75</f>
        <v>0.10544226574751336</v>
      </c>
      <c r="E174" s="65">
        <f>G75</f>
        <v>0.2724561140242252</v>
      </c>
      <c r="F174" s="129">
        <f>B75</f>
        <v>869389.47891538299</v>
      </c>
      <c r="G174" s="130">
        <f t="shared" si="34"/>
        <v>8.6859820863198142E-3</v>
      </c>
      <c r="H174" s="47">
        <f t="shared" si="31"/>
        <v>1.6290553078110832E-3</v>
      </c>
      <c r="I174" s="47">
        <f t="shared" si="32"/>
        <v>1.2295001318403712E-3</v>
      </c>
      <c r="J174" s="47">
        <f t="shared" si="33"/>
        <v>9.1586963142387438E-4</v>
      </c>
      <c r="K174" s="47">
        <f t="shared" si="35"/>
        <v>2.3665489257227289E-3</v>
      </c>
    </row>
    <row r="175" spans="1:13">
      <c r="A175" s="15" t="str">
        <f>A95</f>
        <v>Central and South America</v>
      </c>
      <c r="B175" s="65">
        <f>E95</f>
        <v>0.10361091058162493</v>
      </c>
      <c r="C175" s="65">
        <f>F95</f>
        <v>5.7610910581624951E-2</v>
      </c>
      <c r="D175" s="65">
        <f>D95</f>
        <v>4.2915086193622262E-2</v>
      </c>
      <c r="E175" s="65">
        <f>G95</f>
        <v>0.31595749426030023</v>
      </c>
      <c r="F175" s="129">
        <f>B95</f>
        <v>5601817.8332648547</v>
      </c>
      <c r="G175" s="130">
        <f t="shared" si="34"/>
        <v>5.5967193680867146E-2</v>
      </c>
      <c r="H175" s="47">
        <f t="shared" si="31"/>
        <v>5.7988118999728099E-3</v>
      </c>
      <c r="I175" s="47">
        <f t="shared" si="32"/>
        <v>3.2243209906529222E-3</v>
      </c>
      <c r="J175" s="47">
        <f t="shared" si="33"/>
        <v>2.4018369408295649E-3</v>
      </c>
      <c r="K175" s="47">
        <f t="shared" si="35"/>
        <v>1.7683254276187693E-2</v>
      </c>
    </row>
    <row r="176" spans="1:13">
      <c r="A176" s="15" t="str">
        <f>A123</f>
        <v>Eastern Europe &amp; Russia</v>
      </c>
      <c r="B176" s="65">
        <f>E123</f>
        <v>9.6579383477192263E-2</v>
      </c>
      <c r="C176" s="65">
        <f>F123</f>
        <v>5.0579383477192263E-2</v>
      </c>
      <c r="D176" s="65">
        <f>D123</f>
        <v>3.7670398345457844E-2</v>
      </c>
      <c r="E176" s="65">
        <f>G123</f>
        <v>0.18485819102180306</v>
      </c>
      <c r="F176" s="129">
        <f>B123</f>
        <v>5010073.2660032045</v>
      </c>
      <c r="G176" s="130">
        <f t="shared" si="34"/>
        <v>5.0055133740454616E-2</v>
      </c>
      <c r="H176" s="47">
        <f t="shared" si="31"/>
        <v>4.8342939565215112E-3</v>
      </c>
      <c r="I176" s="47">
        <f t="shared" si="32"/>
        <v>2.5317578044605992E-3</v>
      </c>
      <c r="J176" s="47">
        <f t="shared" si="33"/>
        <v>1.8855968272380927E-3</v>
      </c>
      <c r="K176" s="47">
        <f t="shared" si="35"/>
        <v>9.2531014746148593E-3</v>
      </c>
    </row>
    <row r="177" spans="1:11">
      <c r="A177" s="15" t="str">
        <f>A137</f>
        <v>Middle East</v>
      </c>
      <c r="B177" s="65">
        <f>E137</f>
        <v>6.7589990892489848E-2</v>
      </c>
      <c r="C177" s="65">
        <f>F137</f>
        <v>2.1589990892489853E-2</v>
      </c>
      <c r="D177" s="65">
        <f>D137</f>
        <v>1.6082653627874467E-2</v>
      </c>
      <c r="E177" s="65">
        <f>G137</f>
        <v>0.18760152153615242</v>
      </c>
      <c r="F177" s="129">
        <f>B137</f>
        <v>3382577.6565681733</v>
      </c>
      <c r="G177" s="130">
        <f t="shared" si="34"/>
        <v>3.3794990212202052E-2</v>
      </c>
      <c r="H177" s="47">
        <f t="shared" si="31"/>
        <v>2.2842030806545202E-3</v>
      </c>
      <c r="I177" s="47">
        <f t="shared" si="32"/>
        <v>7.2963353089322601E-4</v>
      </c>
      <c r="J177" s="47">
        <f t="shared" si="33"/>
        <v>5.4351312194025338E-4</v>
      </c>
      <c r="K177" s="47">
        <f t="shared" si="35"/>
        <v>6.3399915841084835E-3</v>
      </c>
    </row>
    <row r="178" spans="1:11">
      <c r="A178" s="15" t="str">
        <f>A140</f>
        <v>North America</v>
      </c>
      <c r="B178" s="65">
        <f>E140</f>
        <v>4.5999999999999999E-2</v>
      </c>
      <c r="C178" s="65">
        <f>F140</f>
        <v>0</v>
      </c>
      <c r="D178" s="65">
        <f>D140</f>
        <v>0</v>
      </c>
      <c r="E178" s="65">
        <f>G140</f>
        <v>0.25116286561170831</v>
      </c>
      <c r="F178" s="129">
        <f>B140</f>
        <v>27577639.220074911</v>
      </c>
      <c r="G178" s="130">
        <f t="shared" si="34"/>
        <v>0.27552539576094359</v>
      </c>
      <c r="H178" s="47">
        <f t="shared" si="31"/>
        <v>1.2674168205003404E-2</v>
      </c>
      <c r="I178" s="47">
        <f t="shared" si="32"/>
        <v>0</v>
      </c>
      <c r="J178" s="47">
        <f t="shared" si="33"/>
        <v>0</v>
      </c>
      <c r="K178" s="47">
        <f t="shared" si="35"/>
        <v>6.9201747948118619E-2</v>
      </c>
    </row>
    <row r="179" spans="1:11">
      <c r="A179" s="15" t="str">
        <f>A167</f>
        <v>Western Europe</v>
      </c>
      <c r="B179" s="65">
        <f>E167</f>
        <v>5.8871606293643367E-2</v>
      </c>
      <c r="C179" s="65">
        <f>F167</f>
        <v>1.2871606293643371E-2</v>
      </c>
      <c r="D179" s="65">
        <f>D167</f>
        <v>9.5882201472833571E-3</v>
      </c>
      <c r="E179" s="65">
        <f>G167</f>
        <v>0.24707349543413576</v>
      </c>
      <c r="F179" s="129">
        <f>B167</f>
        <v>20250228.834865417</v>
      </c>
      <c r="G179" s="130">
        <f t="shared" si="34"/>
        <v>0.20231798195091516</v>
      </c>
      <c r="H179" s="47">
        <f t="shared" si="31"/>
        <v>1.1910784579538721E-2</v>
      </c>
      <c r="I179" s="47">
        <f t="shared" si="32"/>
        <v>2.6041574097966256E-3</v>
      </c>
      <c r="J179" s="47">
        <f t="shared" si="33"/>
        <v>1.9398693506994754E-3</v>
      </c>
      <c r="K179" s="47">
        <f t="shared" si="35"/>
        <v>4.9987410989793001E-2</v>
      </c>
    </row>
    <row r="180" spans="1:11">
      <c r="A180" s="15" t="s">
        <v>281</v>
      </c>
      <c r="B180" s="65">
        <f>SUM(H171:H179)</f>
        <v>6.414882352255491E-2</v>
      </c>
      <c r="C180" s="65">
        <f>SUM(I171:I179)</f>
        <v>1.8148823522554914E-2</v>
      </c>
      <c r="D180" s="65">
        <f>SUM(J171:J179)</f>
        <v>1.3518943600004283E-2</v>
      </c>
      <c r="E180" s="65">
        <f>SUM(K171:K179)</f>
        <v>0.25225942509764748</v>
      </c>
      <c r="F180" s="25">
        <f>SUM(F171:F179)</f>
        <v>100091097.38835955</v>
      </c>
    </row>
    <row r="181" spans="1:11">
      <c r="A181" s="19"/>
      <c r="B181" s="63"/>
      <c r="C181" s="63"/>
    </row>
    <row r="182" spans="1:11">
      <c r="A182" s="268" t="s">
        <v>308</v>
      </c>
      <c r="B182" s="268"/>
      <c r="C182" s="268"/>
    </row>
    <row r="183" spans="1:11">
      <c r="A183" s="17"/>
      <c r="B183" s="17" t="s">
        <v>311</v>
      </c>
      <c r="C183" s="17" t="s">
        <v>312</v>
      </c>
      <c r="D183" s="4" t="s">
        <v>313</v>
      </c>
    </row>
    <row r="184" spans="1:11">
      <c r="A184" s="15" t="s">
        <v>304</v>
      </c>
      <c r="B184" s="72">
        <f>(B171*F171+B177*F177)/(F171+F177)</f>
        <v>9.7415689707351247E-2</v>
      </c>
      <c r="C184" s="72">
        <f>(D171*F171+D177*F177)/(F171+F177)</f>
        <v>3.8300188856922601E-2</v>
      </c>
      <c r="D184" s="65">
        <f>(E171*F171+E177*F177)/(F171+F177)</f>
        <v>0.22397509313593125</v>
      </c>
    </row>
    <row r="185" spans="1:11">
      <c r="A185" s="15" t="s">
        <v>310</v>
      </c>
      <c r="B185" s="72">
        <f>(B173*F173+E138*B138)/(F173+B138)</f>
        <v>4.6022813949667923E-2</v>
      </c>
      <c r="C185" s="72">
        <f>(D173*F173+D138*B138)/(F173+B138)</f>
        <v>1.699439579294017E-5</v>
      </c>
      <c r="D185" s="65">
        <f>(E173*F173+G138*B138)/(F173+B138)</f>
        <v>0.28044472186292013</v>
      </c>
    </row>
    <row r="186" spans="1:11">
      <c r="A186" s="15" t="s">
        <v>305</v>
      </c>
      <c r="B186" s="72">
        <f>B175*(F175/(F175+F174))+B174*F174/(F174+F175)</f>
        <v>0.11488789405382487</v>
      </c>
      <c r="C186" s="72">
        <f>(B186-'ERPs by country'!E3)/'ERPs by country'!E5</f>
        <v>5.1315451902611262E-2</v>
      </c>
      <c r="D186" s="65">
        <f>(B95*G95+B75*G75)/(B75+B95)</f>
        <v>0.31011319960691208</v>
      </c>
    </row>
    <row r="187" spans="1:11">
      <c r="A187" s="15" t="s">
        <v>116</v>
      </c>
      <c r="B187" s="65">
        <f>E40</f>
        <v>5.6313534284766834E-2</v>
      </c>
      <c r="C187" s="65">
        <f>D40</f>
        <v>7.6826803868088279E-3</v>
      </c>
      <c r="D187" s="65">
        <f>G40</f>
        <v>0.30620000000000003</v>
      </c>
    </row>
    <row r="188" spans="1:11">
      <c r="A188" s="15" t="s">
        <v>192</v>
      </c>
      <c r="B188" s="65">
        <f>E139</f>
        <v>4.5999999999999999E-2</v>
      </c>
      <c r="C188" s="65">
        <f>F139</f>
        <v>0</v>
      </c>
      <c r="D188" s="65">
        <f>G139</f>
        <v>0.25</v>
      </c>
    </row>
    <row r="189" spans="1:11">
      <c r="A189" s="15" t="s">
        <v>306</v>
      </c>
      <c r="B189" s="65">
        <f>E167</f>
        <v>5.8871606293643367E-2</v>
      </c>
      <c r="C189" s="65">
        <f>D167</f>
        <v>9.5882201472833571E-3</v>
      </c>
      <c r="D189" s="65">
        <f>E179</f>
        <v>0.24707349543413576</v>
      </c>
    </row>
    <row r="190" spans="1:11">
      <c r="A190" s="15" t="s">
        <v>307</v>
      </c>
      <c r="B190" s="72">
        <f>(B171*F171+B172*F172+B174*F174+B175*F175+B176*F176+B177*F177-B187*B40)/(F171+F172+F174+F175+F176+F177-B40)</f>
        <v>7.880944711500959E-2</v>
      </c>
      <c r="C190" s="72">
        <f>(B190-'ERPs by country'!E3)/'ERPs by country'!E5</f>
        <v>2.4440166570719287E-2</v>
      </c>
      <c r="D190" s="65">
        <f>(E172*G172+E171*G171+E174*G174+E175*G175+E176*G176+E177*G177-B40/F180*D187)/(G171+G172+G174+G175+G176+G177-B40/F180)</f>
        <v>0.24833658490323224</v>
      </c>
    </row>
    <row r="191" spans="1:11">
      <c r="A191" s="15" t="s">
        <v>309</v>
      </c>
      <c r="B191" s="72">
        <f>(B172*F172-B35*E35-B38*E38-B40*E40)/(F172-(B35+B38+B40))</f>
        <v>7.5301956367082437E-2</v>
      </c>
      <c r="C191" s="72">
        <f>(B191-'ERPs by country'!E3)/'ERPs by country'!E5</f>
        <v>2.1827392944144527E-2</v>
      </c>
      <c r="D191" s="65">
        <f>(G33*B33+G34*B34+G36*B36+G39*B39+G41*B41+G42*B42+G43*B43+G44*B44+G45*B45+G46*B46+G47*B47+G48*B48+G49*B49+G50*B50+G51*B51+G52*B52+G53*B53+G54*B54+G55*B55)/(B56-B35-B38-B40)</f>
        <v>0.22053133517439613</v>
      </c>
    </row>
    <row r="192" spans="1:11">
      <c r="A192" s="15" t="s">
        <v>111</v>
      </c>
      <c r="B192" s="72">
        <f>E38</f>
        <v>7.8143848520856624E-2</v>
      </c>
      <c r="C192" s="72">
        <f>D38</f>
        <v>2.3944353872220846E-2</v>
      </c>
      <c r="D192" s="65">
        <f>G38</f>
        <v>0.3</v>
      </c>
    </row>
    <row r="193" spans="1:4">
      <c r="A193" s="15" t="s">
        <v>97</v>
      </c>
      <c r="B193" s="65">
        <f>E35</f>
        <v>5.6313534284766834E-2</v>
      </c>
      <c r="C193" s="65">
        <f>D35</f>
        <v>7.6826803868088279E-3</v>
      </c>
      <c r="D193" s="65">
        <f>G35</f>
        <v>0.25</v>
      </c>
    </row>
    <row r="194" spans="1:4">
      <c r="A194" s="15" t="s">
        <v>281</v>
      </c>
      <c r="B194" s="65">
        <f>B180</f>
        <v>6.414882352255491E-2</v>
      </c>
      <c r="C194" s="65">
        <f>D180</f>
        <v>1.3518943600004283E-2</v>
      </c>
      <c r="D194" s="65">
        <f>E180</f>
        <v>0.25225942509764748</v>
      </c>
    </row>
    <row r="196" spans="1:4">
      <c r="A196" s="268" t="s">
        <v>609</v>
      </c>
      <c r="B196" s="268"/>
      <c r="C196" s="268"/>
    </row>
    <row r="197" spans="1:4">
      <c r="A197" s="17"/>
      <c r="B197" s="17" t="s">
        <v>311</v>
      </c>
      <c r="C197" s="17" t="s">
        <v>312</v>
      </c>
      <c r="D197" s="4" t="s">
        <v>313</v>
      </c>
    </row>
    <row r="198" spans="1:4">
      <c r="A198" s="15" t="s">
        <v>608</v>
      </c>
      <c r="B198" s="72">
        <f>(B179*F179+B177*F177+B171*F171)/(F171+F177+F179)</f>
        <v>6.7557394382118469E-2</v>
      </c>
      <c r="C198" s="72">
        <f>(D179*F179+D177*F177+D171*F171)/(F171+F177+F179)</f>
        <v>1.6058372080541224E-2</v>
      </c>
      <c r="D198" s="72">
        <f>(C179*F179+C177*F177+C171*F171)/(F171+F177+F179)</f>
        <v>2.1557394382118469E-2</v>
      </c>
    </row>
  </sheetData>
  <mergeCells count="2">
    <mergeCell ref="A182:C182"/>
    <mergeCell ref="A196:C196"/>
  </mergeCells>
  <phoneticPr fontId="9" type="noConversion"/>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58"/>
  <sheetViews>
    <sheetView topLeftCell="A89" zoomScaleNormal="100" workbookViewId="0">
      <selection activeCell="E122" sqref="E122"/>
    </sheetView>
  </sheetViews>
  <sheetFormatPr baseColWidth="10" defaultRowHeight="13"/>
  <cols>
    <col min="1" max="1" width="23.33203125" bestFit="1" customWidth="1"/>
    <col min="2" max="2" width="23.33203125" style="126" customWidth="1"/>
    <col min="3" max="3" width="16.33203125" style="25" bestFit="1" customWidth="1"/>
    <col min="4" max="4" width="16.33203125" style="25" customWidth="1"/>
    <col min="5" max="5" width="17.5" bestFit="1" customWidth="1"/>
    <col min="6" max="6" width="17.33203125" bestFit="1" customWidth="1"/>
    <col min="7" max="7" width="20.1640625" bestFit="1" customWidth="1"/>
    <col min="8" max="8" width="20.1640625" customWidth="1"/>
    <col min="9" max="9" width="20.83203125" bestFit="1" customWidth="1"/>
  </cols>
  <sheetData>
    <row r="1" spans="1:9" s="1" customFormat="1" ht="16">
      <c r="A1" s="51" t="s">
        <v>75</v>
      </c>
      <c r="B1" s="125" t="str">
        <f>'Country GDP'!B1</f>
        <v>GDP (in millions) in 2022</v>
      </c>
      <c r="C1" s="9" t="str">
        <f>'Sovereign Ratings (Moody''s,S&amp;P)'!C1</f>
        <v>Moody's rating</v>
      </c>
      <c r="D1" s="9" t="s">
        <v>472</v>
      </c>
      <c r="E1" s="51" t="s">
        <v>36</v>
      </c>
      <c r="F1" s="51" t="s">
        <v>448</v>
      </c>
      <c r="G1" s="52" t="s">
        <v>37</v>
      </c>
      <c r="H1" s="52" t="s">
        <v>357</v>
      </c>
      <c r="I1" s="51" t="s">
        <v>52</v>
      </c>
    </row>
    <row r="2" spans="1:9" ht="16">
      <c r="A2" s="8" t="str">
        <f>'Sovereign Ratings (Moody''s,S&amp;P)'!A2</f>
        <v>Abu Dhabi</v>
      </c>
      <c r="B2" s="125">
        <f>'Country GDP'!B2</f>
        <v>299500</v>
      </c>
      <c r="C2" s="9" t="str">
        <f>'Sovereign Ratings (Moody''s,S&amp;P)'!C2</f>
        <v>Aa2</v>
      </c>
      <c r="D2" s="11">
        <f>'10-year CDS Spreads'!C2</f>
        <v>7.4999999999999997E-3</v>
      </c>
      <c r="E2" s="21">
        <f>'ERPs by country'!D8</f>
        <v>5.3778762707661788E-3</v>
      </c>
      <c r="F2" s="10">
        <f>'ERPs by country'!E8</f>
        <v>5.3219473999336783E-2</v>
      </c>
      <c r="G2" s="14">
        <f>'ERPs by country'!F8</f>
        <v>7.2194739993367832E-3</v>
      </c>
      <c r="H2" s="14">
        <f>'Country Tax Rates'!B2</f>
        <v>0.15</v>
      </c>
      <c r="I2" s="15" t="str">
        <f>VLOOKUP(A2,'Regional lookup table'!$A$2:$B$161,2)</f>
        <v>Middle East</v>
      </c>
    </row>
    <row r="3" spans="1:9" ht="16">
      <c r="A3" s="8" t="str">
        <f>'Sovereign Ratings (Moody''s,S&amp;P)'!A3</f>
        <v>Albania</v>
      </c>
      <c r="B3" s="125">
        <f>'Country GDP'!B3</f>
        <v>18916.37886054883</v>
      </c>
      <c r="C3" s="9" t="str">
        <f>'Sovereign Ratings (Moody''s,S&amp;P)'!C3</f>
        <v>B1</v>
      </c>
      <c r="D3" s="11" t="str">
        <f>'10-year CDS Spreads'!C3</f>
        <v>NA</v>
      </c>
      <c r="E3" s="21">
        <f>'ERPs by country'!D9</f>
        <v>4.9041109802463012E-2</v>
      </c>
      <c r="F3" s="10">
        <f>'ERPs by country'!E9</f>
        <v>0.11183472718442829</v>
      </c>
      <c r="G3" s="14">
        <f>'ERPs by country'!F9</f>
        <v>6.5834727184428288E-2</v>
      </c>
      <c r="H3" s="14">
        <f>'Country Tax Rates'!B3</f>
        <v>0.15</v>
      </c>
      <c r="I3" s="15" t="str">
        <f>VLOOKUP(A3,'Regional lookup table'!$A$2:$B$161,2)</f>
        <v>Eastern Europe &amp; Russia</v>
      </c>
    </row>
    <row r="4" spans="1:9" ht="16">
      <c r="A4" s="8" t="str">
        <f>'Sovereign Ratings (Moody''s,S&amp;P)'!A4</f>
        <v>Andorra (Principality of)</v>
      </c>
      <c r="B4" s="125">
        <f>'Country GDP'!B4</f>
        <v>3330</v>
      </c>
      <c r="C4" s="9" t="str">
        <f>'Sovereign Ratings (Moody''s,S&amp;P)'!C4</f>
        <v>Baa2</v>
      </c>
      <c r="D4" s="11" t="str">
        <f>'10-year CDS Spreads'!C4</f>
        <v>NA</v>
      </c>
      <c r="E4" s="21">
        <f>'ERPs by country'!D10</f>
        <v>2.0743237044383835E-2</v>
      </c>
      <c r="F4" s="10">
        <f>'ERPs by country'!E10</f>
        <v>7.3846542568870452E-2</v>
      </c>
      <c r="G4" s="14">
        <f>'ERPs by country'!F10</f>
        <v>2.7846542568870453E-2</v>
      </c>
      <c r="H4" s="14">
        <f>'Country Tax Rates'!B4</f>
        <v>0.1898</v>
      </c>
      <c r="I4" s="15" t="str">
        <f>VLOOKUP(A4,'Regional lookup table'!$A$2:$B$161,2)</f>
        <v>Western Europe</v>
      </c>
    </row>
    <row r="5" spans="1:9" ht="16">
      <c r="A5" s="8" t="str">
        <f>'Sovereign Ratings (Moody''s,S&amp;P)'!A5</f>
        <v>Angola</v>
      </c>
      <c r="B5" s="125">
        <f>'Country GDP'!B5</f>
        <v>106782.77071461857</v>
      </c>
      <c r="C5" s="9" t="str">
        <f>'Sovereign Ratings (Moody''s,S&amp;P)'!C5</f>
        <v>B3</v>
      </c>
      <c r="D5" s="11">
        <f>'10-year CDS Spreads'!C5</f>
        <v>7.8200000000000006E-2</v>
      </c>
      <c r="E5" s="21">
        <f>'ERPs by country'!D11</f>
        <v>7.0808704231754685E-2</v>
      </c>
      <c r="F5" s="10">
        <f>'ERPs by country'!E11</f>
        <v>0.14105640765793431</v>
      </c>
      <c r="G5" s="14">
        <f>'ERPs by country'!F11</f>
        <v>9.5056407657934314E-2</v>
      </c>
      <c r="H5" s="14">
        <f>'Country Tax Rates'!B5</f>
        <v>0.25</v>
      </c>
      <c r="I5" s="15" t="str">
        <f>VLOOKUP(A5,'Regional lookup table'!$A$2:$B$161,2)</f>
        <v>Africa</v>
      </c>
    </row>
    <row r="6" spans="1:9" ht="16">
      <c r="A6" s="8" t="str">
        <f>'Sovereign Ratings (Moody''s,S&amp;P)'!A6</f>
        <v>Argentina</v>
      </c>
      <c r="B6" s="125">
        <f>'Country GDP'!B6</f>
        <v>631133.38443994441</v>
      </c>
      <c r="C6" s="9" t="str">
        <f>'Sovereign Ratings (Moody''s,S&amp;P)'!C6</f>
        <v>Ca</v>
      </c>
      <c r="D6" s="11" t="str">
        <f>'10-year CDS Spreads'!C6</f>
        <v>NA</v>
      </c>
      <c r="E6" s="21">
        <f>'ERPs by country'!D12</f>
        <v>0.13073361124886354</v>
      </c>
      <c r="F6" s="10">
        <f>'ERPs by country'!E12</f>
        <v>0.22150197507911562</v>
      </c>
      <c r="G6" s="14">
        <f>'ERPs by country'!F12</f>
        <v>0.17550197507911564</v>
      </c>
      <c r="H6" s="14">
        <f>'Country Tax Rates'!B6</f>
        <v>0.35</v>
      </c>
      <c r="I6" s="15" t="str">
        <f>VLOOKUP(A6,'Regional lookup table'!$A$2:$B$161,2)</f>
        <v>Central and South America</v>
      </c>
    </row>
    <row r="7" spans="1:9" ht="16">
      <c r="A7" s="8" t="str">
        <f>'Sovereign Ratings (Moody''s,S&amp;P)'!A7</f>
        <v>Armenia</v>
      </c>
      <c r="B7" s="125">
        <f>'Country GDP'!B7</f>
        <v>19513.474648242936</v>
      </c>
      <c r="C7" s="9" t="str">
        <f>'Sovereign Ratings (Moody''s,S&amp;P)'!C7</f>
        <v>Ba3</v>
      </c>
      <c r="D7" s="11" t="str">
        <f>'10-year CDS Spreads'!C7</f>
        <v>NA</v>
      </c>
      <c r="E7" s="21">
        <f>'ERPs by country'!D13</f>
        <v>3.9181669972725021E-2</v>
      </c>
      <c r="F7" s="10">
        <f>'ERPs by country'!E13</f>
        <v>9.8599024852310854E-2</v>
      </c>
      <c r="G7" s="14">
        <f>'ERPs by country'!F13</f>
        <v>5.2599024852310855E-2</v>
      </c>
      <c r="H7" s="14">
        <f>'Country Tax Rates'!B7</f>
        <v>0.18</v>
      </c>
      <c r="I7" s="15" t="str">
        <f>VLOOKUP(A7,'Regional lookup table'!$A$2:$B$161,2)</f>
        <v>Eastern Europe &amp; Russia</v>
      </c>
    </row>
    <row r="8" spans="1:9" ht="16">
      <c r="A8" s="8" t="str">
        <f>'Sovereign Ratings (Moody''s,S&amp;P)'!A8</f>
        <v>Aruba</v>
      </c>
      <c r="B8" s="125">
        <f>'Country GDP'!B8</f>
        <v>3544.7077880566426</v>
      </c>
      <c r="C8" s="9" t="str">
        <f>'Sovereign Ratings (Moody''s,S&amp;P)'!C8</f>
        <v>Baa2</v>
      </c>
      <c r="D8" s="11" t="str">
        <f>'10-year CDS Spreads'!C8</f>
        <v>NA</v>
      </c>
      <c r="E8" s="21">
        <f>'ERPs by country'!D14</f>
        <v>2.0743237044383835E-2</v>
      </c>
      <c r="F8" s="10">
        <f>'ERPs by country'!E14</f>
        <v>7.3846542568870452E-2</v>
      </c>
      <c r="G8" s="14">
        <f>'ERPs by country'!F14</f>
        <v>2.7846542568870453E-2</v>
      </c>
      <c r="H8" s="14">
        <f>'Country Tax Rates'!B8</f>
        <v>0.25</v>
      </c>
      <c r="I8" s="15" t="str">
        <f>VLOOKUP(A8,'Regional lookup table'!$A$2:$B$161,2)</f>
        <v>Caribbean</v>
      </c>
    </row>
    <row r="9" spans="1:9" ht="16">
      <c r="A9" s="8" t="str">
        <f>'Sovereign Ratings (Moody''s,S&amp;P)'!A9</f>
        <v>Australia</v>
      </c>
      <c r="B9" s="125">
        <f>'Country GDP'!B9</f>
        <v>1692956.6468557017</v>
      </c>
      <c r="C9" s="9" t="str">
        <f>'Sovereign Ratings (Moody''s,S&amp;P)'!C9</f>
        <v>Aaa</v>
      </c>
      <c r="D9" s="11">
        <f>'10-year CDS Spreads'!C9</f>
        <v>2.5999999999999999E-3</v>
      </c>
      <c r="E9" s="21">
        <f>'ERPs by country'!D15</f>
        <v>0</v>
      </c>
      <c r="F9" s="10">
        <f>'ERPs by country'!E15</f>
        <v>4.5999999999999999E-2</v>
      </c>
      <c r="G9" s="14">
        <f>'ERPs by country'!F15</f>
        <v>0</v>
      </c>
      <c r="H9" s="14">
        <f>'Country Tax Rates'!B9</f>
        <v>0.3</v>
      </c>
      <c r="I9" s="15" t="str">
        <f>VLOOKUP(A9,'Regional lookup table'!$A$2:$B$161,2)</f>
        <v>Australia &amp; New Zealand</v>
      </c>
    </row>
    <row r="10" spans="1:9" ht="16">
      <c r="A10" s="8" t="str">
        <f>'Sovereign Ratings (Moody''s,S&amp;P)'!A10</f>
        <v>Austria</v>
      </c>
      <c r="B10" s="125">
        <f>'Country GDP'!B10</f>
        <v>470941.92675074114</v>
      </c>
      <c r="C10" s="9" t="str">
        <f>'Sovereign Ratings (Moody''s,S&amp;P)'!C10</f>
        <v>Aa1</v>
      </c>
      <c r="D10" s="11">
        <f>'10-year CDS Spreads'!C10</f>
        <v>2.7000000000000001E-3</v>
      </c>
      <c r="E10" s="21">
        <f>'ERPs by country'!D16</f>
        <v>4.3535188858583353E-3</v>
      </c>
      <c r="F10" s="10">
        <f>'ERPs by country'!E16</f>
        <v>5.1844336094701203E-2</v>
      </c>
      <c r="G10" s="14">
        <f>'ERPs by country'!F16</f>
        <v>5.8443360947012055E-3</v>
      </c>
      <c r="H10" s="14">
        <f>'Country Tax Rates'!B10</f>
        <v>0.24</v>
      </c>
      <c r="I10" s="15" t="str">
        <f>VLOOKUP(A10,'Regional lookup table'!$A$2:$B$161,2)</f>
        <v>Western Europe</v>
      </c>
    </row>
    <row r="11" spans="1:9" ht="16">
      <c r="A11" s="8" t="str">
        <f>'Sovereign Ratings (Moody''s,S&amp;P)'!A11</f>
        <v>Azerbaijan</v>
      </c>
      <c r="B11" s="125">
        <f>'Country GDP'!B11</f>
        <v>78721.058823529398</v>
      </c>
      <c r="C11" s="9" t="str">
        <f>'Sovereign Ratings (Moody''s,S&amp;P)'!C11</f>
        <v>Ba1</v>
      </c>
      <c r="D11" s="11" t="str">
        <f>'10-year CDS Spreads'!C11</f>
        <v>NA</v>
      </c>
      <c r="E11" s="21">
        <f>'ERPs by country'!D17</f>
        <v>2.7273515373171343E-2</v>
      </c>
      <c r="F11" s="10">
        <f>'ERPs by country'!E17</f>
        <v>8.2613046710922261E-2</v>
      </c>
      <c r="G11" s="14">
        <f>'ERPs by country'!F17</f>
        <v>3.6613046710922269E-2</v>
      </c>
      <c r="H11" s="14">
        <f>'Country Tax Rates'!B11</f>
        <v>0.2</v>
      </c>
      <c r="I11" s="15" t="str">
        <f>VLOOKUP(A11,'Regional lookup table'!$A$2:$B$161,2)</f>
        <v>Eastern Europe &amp; Russia</v>
      </c>
    </row>
    <row r="12" spans="1:9" ht="16">
      <c r="A12" s="8" t="str">
        <f>'Sovereign Ratings (Moody''s,S&amp;P)'!A12</f>
        <v>Bahamas</v>
      </c>
      <c r="B12" s="125">
        <f>'Country GDP'!B12</f>
        <v>11210</v>
      </c>
      <c r="C12" s="9" t="str">
        <f>'Sovereign Ratings (Moody''s,S&amp;P)'!C12</f>
        <v>B1</v>
      </c>
      <c r="D12" s="11" t="str">
        <f>'10-year CDS Spreads'!C12</f>
        <v>NA</v>
      </c>
      <c r="E12" s="21">
        <f>'ERPs by country'!D18</f>
        <v>4.9041109802463012E-2</v>
      </c>
      <c r="F12" s="10">
        <f>'ERPs by country'!E18</f>
        <v>0.11183472718442829</v>
      </c>
      <c r="G12" s="14">
        <f>'ERPs by country'!F18</f>
        <v>6.5834727184428288E-2</v>
      </c>
      <c r="H12" s="14">
        <f>'Country Tax Rates'!B12</f>
        <v>0</v>
      </c>
      <c r="I12" s="15" t="str">
        <f>VLOOKUP(A12,'Regional lookup table'!$A$2:$B$161,2)</f>
        <v>Caribbean</v>
      </c>
    </row>
    <row r="13" spans="1:9" ht="16">
      <c r="A13" s="8" t="str">
        <f>'Sovereign Ratings (Moody''s,S&amp;P)'!A13</f>
        <v>Bahrain</v>
      </c>
      <c r="B13" s="125">
        <f>'Country GDP'!B13</f>
        <v>44383.297872340423</v>
      </c>
      <c r="C13" s="9" t="str">
        <f>'Sovereign Ratings (Moody''s,S&amp;P)'!C13</f>
        <v>B2</v>
      </c>
      <c r="D13" s="11">
        <f>'10-year CDS Spreads'!C13</f>
        <v>2.7400000000000001E-2</v>
      </c>
      <c r="E13" s="21">
        <f>'ERPs by country'!D19</f>
        <v>5.9924907017108855E-2</v>
      </c>
      <c r="F13" s="10">
        <f>'ERPs by country'!E19</f>
        <v>0.12644556742118129</v>
      </c>
      <c r="G13" s="14">
        <f>'ERPs by country'!F19</f>
        <v>8.0445567421181308E-2</v>
      </c>
      <c r="H13" s="14">
        <f>'Country Tax Rates'!B13</f>
        <v>0</v>
      </c>
      <c r="I13" s="15" t="str">
        <f>VLOOKUP(A13,'Regional lookup table'!$A$2:$B$161,2)</f>
        <v>Middle East</v>
      </c>
    </row>
    <row r="14" spans="1:9" ht="16">
      <c r="A14" s="8" t="str">
        <f>'Sovereign Ratings (Moody''s,S&amp;P)'!A14</f>
        <v>Bangladesh</v>
      </c>
      <c r="B14" s="125">
        <f>'Country GDP'!B14</f>
        <v>460201.26552797732</v>
      </c>
      <c r="C14" s="9" t="str">
        <f>'Sovereign Ratings (Moody''s,S&amp;P)'!C14</f>
        <v>B1</v>
      </c>
      <c r="D14" s="11" t="str">
        <f>'10-year CDS Spreads'!C14</f>
        <v>NA</v>
      </c>
      <c r="E14" s="21">
        <f>'ERPs by country'!D20</f>
        <v>4.9041109802463012E-2</v>
      </c>
      <c r="F14" s="10">
        <f>'ERPs by country'!E20</f>
        <v>0.11183472718442829</v>
      </c>
      <c r="G14" s="14">
        <f>'ERPs by country'!F20</f>
        <v>6.5834727184428288E-2</v>
      </c>
      <c r="H14" s="14">
        <f>'Country Tax Rates'!B14</f>
        <v>0.3</v>
      </c>
      <c r="I14" s="15" t="str">
        <f>VLOOKUP(A14,'Regional lookup table'!$A$2:$B$161,2)</f>
        <v>Asia</v>
      </c>
    </row>
    <row r="15" spans="1:9" ht="16">
      <c r="A15" s="8" t="str">
        <f>'Sovereign Ratings (Moody''s,S&amp;P)'!A15</f>
        <v>Barbados</v>
      </c>
      <c r="B15" s="125">
        <f>'Country GDP'!B15</f>
        <v>5699.95</v>
      </c>
      <c r="C15" s="9" t="str">
        <f>'Sovereign Ratings (Moody''s,S&amp;P)'!C15</f>
        <v>B3</v>
      </c>
      <c r="D15" s="11" t="str">
        <f>'10-year CDS Spreads'!C15</f>
        <v>NA</v>
      </c>
      <c r="E15" s="21">
        <f>'ERPs by country'!D21</f>
        <v>7.0808704231754685E-2</v>
      </c>
      <c r="F15" s="10">
        <f>'ERPs by country'!E21</f>
        <v>0.14105640765793431</v>
      </c>
      <c r="G15" s="14">
        <f>'ERPs by country'!F21</f>
        <v>9.5056407657934314E-2</v>
      </c>
      <c r="H15" s="14">
        <f>'Country Tax Rates'!B15</f>
        <v>5.5E-2</v>
      </c>
      <c r="I15" s="15" t="str">
        <f>VLOOKUP(A15,'Regional lookup table'!$A$2:$B$161,2)</f>
        <v>Caribbean</v>
      </c>
    </row>
    <row r="16" spans="1:9" ht="16">
      <c r="A16" s="8" t="str">
        <f>'Sovereign Ratings (Moody''s,S&amp;P)'!A16</f>
        <v>Belarus</v>
      </c>
      <c r="B16" s="125">
        <f>'Country GDP'!B16</f>
        <v>72793.457588436664</v>
      </c>
      <c r="C16" s="9" t="str">
        <f>'Sovereign Ratings (Moody''s,S&amp;P)'!C16</f>
        <v>C</v>
      </c>
      <c r="D16" s="11" t="str">
        <f>'10-year CDS Spreads'!C16</f>
        <v>NA</v>
      </c>
      <c r="E16" s="21">
        <f>'ERPs by country'!D22</f>
        <v>0.17499999999999999</v>
      </c>
      <c r="F16" s="10">
        <f>'ERPs by country'!E22</f>
        <v>0.28092692770782934</v>
      </c>
      <c r="G16" s="14">
        <f>'ERPs by country'!F22</f>
        <v>0.23492692770782936</v>
      </c>
      <c r="H16" s="14">
        <f>'Country Tax Rates'!B16</f>
        <v>0.18</v>
      </c>
      <c r="I16" s="15" t="str">
        <f>VLOOKUP(A16,'Regional lookup table'!$A$2:$B$161,2)</f>
        <v>Eastern Europe &amp; Russia</v>
      </c>
    </row>
    <row r="17" spans="1:9" ht="16">
      <c r="A17" s="8" t="str">
        <f>'Sovereign Ratings (Moody''s,S&amp;P)'!A17</f>
        <v>Belgium</v>
      </c>
      <c r="B17" s="125">
        <f>'Country GDP'!B17</f>
        <v>583435.59557996341</v>
      </c>
      <c r="C17" s="9" t="str">
        <f>'Sovereign Ratings (Moody''s,S&amp;P)'!C17</f>
        <v>Aa3</v>
      </c>
      <c r="D17" s="11">
        <f>'10-year CDS Spreads'!C17</f>
        <v>3.3E-3</v>
      </c>
      <c r="E17" s="21">
        <f>'ERPs by country'!D23</f>
        <v>6.5302783287875029E-3</v>
      </c>
      <c r="F17" s="10">
        <f>'ERPs by country'!E23</f>
        <v>5.4766504142051808E-2</v>
      </c>
      <c r="G17" s="14">
        <f>'ERPs by country'!F23</f>
        <v>8.7665041420518092E-3</v>
      </c>
      <c r="H17" s="14">
        <f>'Country Tax Rates'!B17</f>
        <v>0.25</v>
      </c>
      <c r="I17" s="15" t="str">
        <f>VLOOKUP(A17,'Regional lookup table'!$A$2:$B$161,2)</f>
        <v>Western Europe</v>
      </c>
    </row>
    <row r="18" spans="1:9" ht="16">
      <c r="A18" s="8" t="str">
        <f>'Sovereign Ratings (Moody''s,S&amp;P)'!A18</f>
        <v>Belize</v>
      </c>
      <c r="B18" s="125">
        <f>'Country GDP'!B18</f>
        <v>2830.5075756840952</v>
      </c>
      <c r="C18" s="9" t="str">
        <f>'Sovereign Ratings (Moody''s,S&amp;P)'!C18</f>
        <v>Caa2</v>
      </c>
      <c r="D18" s="11" t="str">
        <f>'10-year CDS Spreads'!C18</f>
        <v>NA</v>
      </c>
      <c r="E18" s="21">
        <f>'ERPs by country'!D24</f>
        <v>9.8082219604926024E-2</v>
      </c>
      <c r="F18" s="10">
        <f>'ERPs by country'!E24</f>
        <v>0.17766945436885656</v>
      </c>
      <c r="G18" s="14">
        <f>'ERPs by country'!F24</f>
        <v>0.13166945436885658</v>
      </c>
      <c r="H18" s="14">
        <f>'Country Tax Rates'!B18</f>
        <v>0.2853</v>
      </c>
      <c r="I18" s="15" t="str">
        <f>VLOOKUP(A18,'Regional lookup table'!$A$2:$B$161,2)</f>
        <v>Central and South America</v>
      </c>
    </row>
    <row r="19" spans="1:9" ht="16">
      <c r="A19" s="8" t="str">
        <f>'Sovereign Ratings (Moody''s,S&amp;P)'!A19</f>
        <v>Benin</v>
      </c>
      <c r="B19" s="125">
        <f>'Country GDP'!B19</f>
        <v>17396.7926995489</v>
      </c>
      <c r="C19" s="9" t="str">
        <f>'Sovereign Ratings (Moody''s,S&amp;P)'!C19</f>
        <v>B1</v>
      </c>
      <c r="D19" s="11" t="str">
        <f>'10-year CDS Spreads'!C19</f>
        <v>NA</v>
      </c>
      <c r="E19" s="21">
        <f>'ERPs by country'!D25</f>
        <v>4.9041109802463012E-2</v>
      </c>
      <c r="F19" s="10">
        <f>'ERPs by country'!E25</f>
        <v>0.11183472718442829</v>
      </c>
      <c r="G19" s="14">
        <f>'ERPs by country'!F25</f>
        <v>6.5834727184428288E-2</v>
      </c>
      <c r="H19" s="14">
        <f>'Country Tax Rates'!B19</f>
        <v>0.3</v>
      </c>
      <c r="I19" s="15" t="str">
        <f>VLOOKUP(A19,'Regional lookup table'!$A$2:$B$161,2)</f>
        <v>Africa</v>
      </c>
    </row>
    <row r="20" spans="1:9" ht="16">
      <c r="A20" s="8" t="str">
        <f>'Sovereign Ratings (Moody''s,S&amp;P)'!A20</f>
        <v>Bermuda</v>
      </c>
      <c r="B20" s="125">
        <f>'Country GDP'!B20</f>
        <v>7546</v>
      </c>
      <c r="C20" s="9" t="str">
        <f>'Sovereign Ratings (Moody''s,S&amp;P)'!C20</f>
        <v>A2</v>
      </c>
      <c r="D20" s="11" t="str">
        <f>'10-year CDS Spreads'!C20</f>
        <v>NA</v>
      </c>
      <c r="E20" s="21">
        <f>'ERPs by country'!D26</f>
        <v>9.2192164641705932E-3</v>
      </c>
      <c r="F20" s="10">
        <f>'ERPs by country'!E26</f>
        <v>5.83762411417202E-2</v>
      </c>
      <c r="G20" s="14">
        <f>'ERPs by country'!F26</f>
        <v>1.2376241141720201E-2</v>
      </c>
      <c r="H20" s="14">
        <f>'Country Tax Rates'!B20</f>
        <v>0</v>
      </c>
      <c r="I20" s="15" t="str">
        <f>VLOOKUP(A20,'Regional lookup table'!$A$2:$B$161,2)</f>
        <v>Caribbean</v>
      </c>
    </row>
    <row r="21" spans="1:9" ht="16">
      <c r="A21" s="8" t="str">
        <f>'Sovereign Ratings (Moody''s,S&amp;P)'!A21</f>
        <v>Bolivia</v>
      </c>
      <c r="B21" s="125">
        <f>'Country GDP'!B21</f>
        <v>44008.282877960643</v>
      </c>
      <c r="C21" s="9" t="str">
        <f>'Sovereign Ratings (Moody''s,S&amp;P)'!C21</f>
        <v>Caa1</v>
      </c>
      <c r="D21" s="11" t="str">
        <f>'10-year CDS Spreads'!C21</f>
        <v>NA</v>
      </c>
      <c r="E21" s="21">
        <f>'ERPs by country'!D27</f>
        <v>8.1692501446400528E-2</v>
      </c>
      <c r="F21" s="10">
        <f>'ERPs by country'!E27</f>
        <v>0.15566724789468733</v>
      </c>
      <c r="G21" s="14">
        <f>'ERPs by country'!F27</f>
        <v>0.10966724789468733</v>
      </c>
      <c r="H21" s="14">
        <f>'Country Tax Rates'!B21</f>
        <v>0.25</v>
      </c>
      <c r="I21" s="15" t="str">
        <f>VLOOKUP(A21,'Regional lookup table'!$A$2:$B$161,2)</f>
        <v>Central and South America</v>
      </c>
    </row>
    <row r="22" spans="1:9" ht="16">
      <c r="A22" s="8" t="str">
        <f>'Sovereign Ratings (Moody''s,S&amp;P)'!A22</f>
        <v>Bosnia and Herzegovina</v>
      </c>
      <c r="B22" s="125">
        <f>'Country GDP'!B22</f>
        <v>24473.906673708643</v>
      </c>
      <c r="C22" s="9" t="str">
        <f>'Sovereign Ratings (Moody''s,S&amp;P)'!C22</f>
        <v>B3</v>
      </c>
      <c r="D22" s="11" t="str">
        <f>'10-year CDS Spreads'!C22</f>
        <v>NA</v>
      </c>
      <c r="E22" s="21">
        <f>'ERPs by country'!D28</f>
        <v>7.0808704231754685E-2</v>
      </c>
      <c r="F22" s="10">
        <f>'ERPs by country'!E28</f>
        <v>0.14105640765793431</v>
      </c>
      <c r="G22" s="14">
        <f>'ERPs by country'!F28</f>
        <v>9.5056407657934314E-2</v>
      </c>
      <c r="H22" s="14">
        <f>'Country Tax Rates'!B22</f>
        <v>0.1</v>
      </c>
      <c r="I22" s="15" t="str">
        <f>VLOOKUP(A22,'Regional lookup table'!$A$2:$B$161,2)</f>
        <v>Eastern Europe &amp; Russia</v>
      </c>
    </row>
    <row r="23" spans="1:9" ht="16">
      <c r="A23" s="8" t="str">
        <f>'Sovereign Ratings (Moody''s,S&amp;P)'!A23</f>
        <v>Botswana</v>
      </c>
      <c r="B23" s="125">
        <f>'Country GDP'!B23</f>
        <v>20355.541962851221</v>
      </c>
      <c r="C23" s="9" t="str">
        <f>'Sovereign Ratings (Moody''s,S&amp;P)'!C23</f>
        <v>A3</v>
      </c>
      <c r="D23" s="11" t="str">
        <f>'10-year CDS Spreads'!C23</f>
        <v>NA</v>
      </c>
      <c r="E23" s="21">
        <f>'ERPs by country'!D29</f>
        <v>1.3060556657575006E-2</v>
      </c>
      <c r="F23" s="10">
        <f>'ERPs by country'!E29</f>
        <v>6.3533008284103618E-2</v>
      </c>
      <c r="G23" s="14">
        <f>'ERPs by country'!F29</f>
        <v>1.7533008284103618E-2</v>
      </c>
      <c r="H23" s="14">
        <f>'Country Tax Rates'!B23</f>
        <v>0.22</v>
      </c>
      <c r="I23" s="15" t="str">
        <f>VLOOKUP(A23,'Regional lookup table'!$A$2:$B$161,2)</f>
        <v>Africa</v>
      </c>
    </row>
    <row r="24" spans="1:9" ht="16">
      <c r="A24" s="8" t="str">
        <f>'Sovereign Ratings (Moody''s,S&amp;P)'!A24</f>
        <v>Brazil</v>
      </c>
      <c r="B24" s="125">
        <f>'Country GDP'!B24</f>
        <v>1920095.7790227288</v>
      </c>
      <c r="C24" s="9" t="str">
        <f>'Sovereign Ratings (Moody''s,S&amp;P)'!C24</f>
        <v>Ba2</v>
      </c>
      <c r="D24" s="11">
        <f>'10-year CDS Spreads'!C24</f>
        <v>2.3900000000000001E-2</v>
      </c>
      <c r="E24" s="21">
        <f>'ERPs by country'!D30</f>
        <v>3.2779436317050999E-2</v>
      </c>
      <c r="F24" s="10">
        <f>'ERPs by country'!E30</f>
        <v>9.0004412948338497E-2</v>
      </c>
      <c r="G24" s="14">
        <f>'ERPs by country'!F30</f>
        <v>4.4004412948338498E-2</v>
      </c>
      <c r="H24" s="14">
        <f>'Country Tax Rates'!B24</f>
        <v>0.34</v>
      </c>
      <c r="I24" s="15" t="str">
        <f>VLOOKUP(A24,'Regional lookup table'!$A$2:$B$161,2)</f>
        <v>Central and South America</v>
      </c>
    </row>
    <row r="25" spans="1:9" ht="16">
      <c r="A25" s="8" t="str">
        <f>'Sovereign Ratings (Moody''s,S&amp;P)'!A25</f>
        <v>Bulgaria</v>
      </c>
      <c r="B25" s="125">
        <f>'Country GDP'!B25</f>
        <v>90346.169914934857</v>
      </c>
      <c r="C25" s="9" t="str">
        <f>'Sovereign Ratings (Moody''s,S&amp;P)'!C25</f>
        <v>Baa1</v>
      </c>
      <c r="D25" s="11">
        <f>'10-year CDS Spreads'!C25</f>
        <v>1.47E-2</v>
      </c>
      <c r="E25" s="21">
        <f>'ERPs by country'!D31</f>
        <v>1.7414075543433341E-2</v>
      </c>
      <c r="F25" s="10">
        <f>'ERPs by country'!E31</f>
        <v>6.9377344378804828E-2</v>
      </c>
      <c r="G25" s="14">
        <f>'ERPs by country'!F31</f>
        <v>2.3377344378804822E-2</v>
      </c>
      <c r="H25" s="14">
        <f>'Country Tax Rates'!B25</f>
        <v>0.1</v>
      </c>
      <c r="I25" s="15" t="str">
        <f>VLOOKUP(A25,'Regional lookup table'!$A$2:$B$161,2)</f>
        <v>Eastern Europe &amp; Russia</v>
      </c>
    </row>
    <row r="26" spans="1:9" ht="16">
      <c r="A26" s="8" t="str">
        <f>'Sovereign Ratings (Moody''s,S&amp;P)'!A26</f>
        <v>Burkina Faso</v>
      </c>
      <c r="B26" s="125">
        <f>'Country GDP'!B26</f>
        <v>18820.064797837909</v>
      </c>
      <c r="C26" s="9" t="str">
        <f>'Sovereign Ratings (Moody''s,S&amp;P)'!C26</f>
        <v>Caa1</v>
      </c>
      <c r="D26" s="11" t="str">
        <f>'10-year CDS Spreads'!C26</f>
        <v>NA</v>
      </c>
      <c r="E26" s="21">
        <f>'ERPs by country'!D32</f>
        <v>8.1692501446400528E-2</v>
      </c>
      <c r="F26" s="10">
        <f>'ERPs by country'!E32</f>
        <v>0.15566724789468733</v>
      </c>
      <c r="G26" s="14">
        <f>'ERPs by country'!F32</f>
        <v>0.10966724789468733</v>
      </c>
      <c r="H26" s="14">
        <f>'Country Tax Rates'!B26</f>
        <v>0.28000000000000003</v>
      </c>
      <c r="I26" s="15" t="str">
        <f>VLOOKUP(A26,'Regional lookup table'!$A$2:$B$161,2)</f>
        <v>Africa</v>
      </c>
    </row>
    <row r="27" spans="1:9" ht="16">
      <c r="A27" s="8" t="str">
        <f>'Sovereign Ratings (Moody''s,S&amp;P)'!A27</f>
        <v>Cambodia</v>
      </c>
      <c r="B27" s="125">
        <f>'Country GDP'!B27</f>
        <v>29504.829319316876</v>
      </c>
      <c r="C27" s="9" t="str">
        <f>'Sovereign Ratings (Moody''s,S&amp;P)'!C27</f>
        <v>B2</v>
      </c>
      <c r="D27" s="11" t="str">
        <f>'10-year CDS Spreads'!C27</f>
        <v>NA</v>
      </c>
      <c r="E27" s="21">
        <f>'ERPs by country'!D33</f>
        <v>5.9924907017108855E-2</v>
      </c>
      <c r="F27" s="10">
        <f>'ERPs by country'!E33</f>
        <v>0.12644556742118129</v>
      </c>
      <c r="G27" s="14">
        <f>'ERPs by country'!F33</f>
        <v>8.0445567421181308E-2</v>
      </c>
      <c r="H27" s="14">
        <f>'Country Tax Rates'!B27</f>
        <v>0.2</v>
      </c>
      <c r="I27" s="15" t="str">
        <f>VLOOKUP(A27,'Regional lookup table'!$A$2:$B$161,2)</f>
        <v>Asia</v>
      </c>
    </row>
    <row r="28" spans="1:9" ht="16">
      <c r="A28" s="8" t="str">
        <f>'Sovereign Ratings (Moody''s,S&amp;P)'!A28</f>
        <v>Cameroon</v>
      </c>
      <c r="B28" s="125">
        <f>'Country GDP'!B28</f>
        <v>43644.068310851013</v>
      </c>
      <c r="C28" s="9" t="str">
        <f>'Sovereign Ratings (Moody''s,S&amp;P)'!C28</f>
        <v>Caa1</v>
      </c>
      <c r="D28" s="11">
        <f>'10-year CDS Spreads'!C28</f>
        <v>9.1399999999999995E-2</v>
      </c>
      <c r="E28" s="21">
        <f>'ERPs by country'!D34</f>
        <v>8.1692501446400528E-2</v>
      </c>
      <c r="F28" s="10">
        <f>'ERPs by country'!E34</f>
        <v>0.15566724789468733</v>
      </c>
      <c r="G28" s="14">
        <f>'ERPs by country'!F34</f>
        <v>0.10966724789468733</v>
      </c>
      <c r="H28" s="14">
        <f>'Country Tax Rates'!B28</f>
        <v>0.33</v>
      </c>
      <c r="I28" s="15" t="str">
        <f>VLOOKUP(A28,'Regional lookup table'!$A$2:$B$161,2)</f>
        <v>Africa</v>
      </c>
    </row>
    <row r="29" spans="1:9" ht="16">
      <c r="A29" s="8" t="str">
        <f>'Sovereign Ratings (Moody''s,S&amp;P)'!A29</f>
        <v>Canada</v>
      </c>
      <c r="B29" s="125">
        <f>'Country GDP'!B29</f>
        <v>2137939.2200749093</v>
      </c>
      <c r="C29" s="9" t="str">
        <f>'Sovereign Ratings (Moody''s,S&amp;P)'!C29</f>
        <v>Aaa</v>
      </c>
      <c r="D29" s="11">
        <f>'10-year CDS Spreads'!C29</f>
        <v>4.4000000000000003E-3</v>
      </c>
      <c r="E29" s="21">
        <f>'ERPs by country'!D35</f>
        <v>0</v>
      </c>
      <c r="F29" s="10">
        <f>'ERPs by country'!E35</f>
        <v>4.5999999999999999E-2</v>
      </c>
      <c r="G29" s="14">
        <f>'ERPs by country'!F35</f>
        <v>0</v>
      </c>
      <c r="H29" s="14">
        <f>'Country Tax Rates'!B29</f>
        <v>0.26500000000000001</v>
      </c>
      <c r="I29" s="15" t="str">
        <f>VLOOKUP(A29,'Regional lookup table'!$A$2:$B$161,2)</f>
        <v>North America</v>
      </c>
    </row>
    <row r="30" spans="1:9" ht="16">
      <c r="A30" s="8" t="str">
        <f>'Sovereign Ratings (Moody''s,S&amp;P)'!A30</f>
        <v>Cape Verde</v>
      </c>
      <c r="B30" s="125">
        <f>'Country GDP'!B30</f>
        <v>1936</v>
      </c>
      <c r="C30" s="9" t="str">
        <f>'Sovereign Ratings (Moody''s,S&amp;P)'!C30</f>
        <v>B3</v>
      </c>
      <c r="D30" s="11" t="str">
        <f>'10-year CDS Spreads'!C30</f>
        <v>NA</v>
      </c>
      <c r="E30" s="21">
        <f>'ERPs by country'!D36</f>
        <v>7.0808704231754685E-2</v>
      </c>
      <c r="F30" s="10">
        <f>'ERPs by country'!E36</f>
        <v>0.14105640765793431</v>
      </c>
      <c r="G30" s="14">
        <f>'ERPs by country'!F36</f>
        <v>9.5056407657934314E-2</v>
      </c>
      <c r="H30" s="14">
        <f>'Country Tax Rates'!B30</f>
        <v>0</v>
      </c>
      <c r="I30" s="15" t="str">
        <f>VLOOKUP(A30,'Regional lookup table'!$A$2:$B$161,2)</f>
        <v>Africa</v>
      </c>
    </row>
    <row r="31" spans="1:9" ht="16">
      <c r="A31" s="8" t="str">
        <f>'Sovereign Ratings (Moody''s,S&amp;P)'!A31</f>
        <v>Cayman Islands</v>
      </c>
      <c r="B31" s="125">
        <f>'Country GDP'!B31</f>
        <v>6844.8273793095168</v>
      </c>
      <c r="C31" s="9" t="str">
        <f>'Sovereign Ratings (Moody''s,S&amp;P)'!C31</f>
        <v>Aa3</v>
      </c>
      <c r="D31" s="11" t="str">
        <f>'10-year CDS Spreads'!C31</f>
        <v>NA</v>
      </c>
      <c r="E31" s="21">
        <f>'ERPs by country'!D37</f>
        <v>6.5302783287875029E-3</v>
      </c>
      <c r="F31" s="10">
        <f>'ERPs by country'!E37</f>
        <v>5.4766504142051808E-2</v>
      </c>
      <c r="G31" s="14">
        <f>'ERPs by country'!F37</f>
        <v>8.7665041420518092E-3</v>
      </c>
      <c r="H31" s="14">
        <f>'Country Tax Rates'!B31</f>
        <v>0</v>
      </c>
      <c r="I31" s="15" t="str">
        <f>VLOOKUP(A31,'Regional lookup table'!$A$2:$B$161,2)</f>
        <v>Caribbean</v>
      </c>
    </row>
    <row r="32" spans="1:9" ht="16">
      <c r="A32" s="8" t="str">
        <f>'Sovereign Ratings (Moody''s,S&amp;P)'!A32</f>
        <v>Chile</v>
      </c>
      <c r="B32" s="125">
        <f>'Country GDP'!B32</f>
        <v>301024.7249119234</v>
      </c>
      <c r="C32" s="9" t="str">
        <f>'Sovereign Ratings (Moody''s,S&amp;P)'!C32</f>
        <v>A2</v>
      </c>
      <c r="D32" s="11">
        <f>'10-year CDS Spreads'!C32</f>
        <v>1.15E-2</v>
      </c>
      <c r="E32" s="21">
        <f>'ERPs by country'!D38</f>
        <v>9.2192164641705932E-3</v>
      </c>
      <c r="F32" s="10">
        <f>'ERPs by country'!E38</f>
        <v>5.83762411417202E-2</v>
      </c>
      <c r="G32" s="14">
        <f>'ERPs by country'!F38</f>
        <v>1.2376241141720201E-2</v>
      </c>
      <c r="H32" s="14">
        <f>'Country Tax Rates'!B32</f>
        <v>0.27</v>
      </c>
      <c r="I32" s="15" t="str">
        <f>VLOOKUP(A32,'Regional lookup table'!$A$2:$B$161,2)</f>
        <v>Central and South America</v>
      </c>
    </row>
    <row r="33" spans="1:9" ht="16">
      <c r="A33" s="8" t="str">
        <f>'Sovereign Ratings (Moody''s,S&amp;P)'!A33</f>
        <v>China</v>
      </c>
      <c r="B33" s="125">
        <f>'Country GDP'!B33</f>
        <v>17963171.479205329</v>
      </c>
      <c r="C33" s="9" t="str">
        <f>'Sovereign Ratings (Moody''s,S&amp;P)'!C33</f>
        <v>A1</v>
      </c>
      <c r="D33" s="11">
        <f>'10-year CDS Spreads'!C33</f>
        <v>9.9000000000000008E-3</v>
      </c>
      <c r="E33" s="21">
        <f>'ERPs by country'!D39</f>
        <v>7.6826803868088279E-3</v>
      </c>
      <c r="F33" s="10">
        <f>'ERPs by country'!E39</f>
        <v>5.6313534284766834E-2</v>
      </c>
      <c r="G33" s="14">
        <f>'ERPs by country'!F39</f>
        <v>1.0313534284766834E-2</v>
      </c>
      <c r="H33" s="14">
        <f>'Country Tax Rates'!B33</f>
        <v>0.25</v>
      </c>
      <c r="I33" s="15" t="str">
        <f>VLOOKUP(A33,'Regional lookup table'!$A$2:$B$161,2)</f>
        <v>Asia</v>
      </c>
    </row>
    <row r="34" spans="1:9" ht="16">
      <c r="A34" s="8" t="str">
        <f>'Sovereign Ratings (Moody''s,S&amp;P)'!A34</f>
        <v>Colombia</v>
      </c>
      <c r="B34" s="125">
        <f>'Country GDP'!B34</f>
        <v>343622.11456040916</v>
      </c>
      <c r="C34" s="9" t="str">
        <f>'Sovereign Ratings (Moody''s,S&amp;P)'!C34</f>
        <v>Baa2</v>
      </c>
      <c r="D34" s="11">
        <f>'10-year CDS Spreads'!C34</f>
        <v>2.7400000000000001E-2</v>
      </c>
      <c r="E34" s="21">
        <f>'ERPs by country'!D40</f>
        <v>2.0743237044383835E-2</v>
      </c>
      <c r="F34" s="10">
        <f>'ERPs by country'!E40</f>
        <v>7.3846542568870452E-2</v>
      </c>
      <c r="G34" s="14">
        <f>'ERPs by country'!F40</f>
        <v>2.7846542568870453E-2</v>
      </c>
      <c r="H34" s="14">
        <f>'Country Tax Rates'!B34</f>
        <v>0.35</v>
      </c>
      <c r="I34" s="15" t="str">
        <f>VLOOKUP(A34,'Regional lookup table'!$A$2:$B$161,2)</f>
        <v>Central and South America</v>
      </c>
    </row>
    <row r="35" spans="1:9" ht="16">
      <c r="A35" s="8" t="str">
        <f>'Sovereign Ratings (Moody''s,S&amp;P)'!A35</f>
        <v>Congo (Democratic Republic of)</v>
      </c>
      <c r="B35" s="125">
        <f>'Country GDP'!B35</f>
        <v>64718.641221216043</v>
      </c>
      <c r="C35" s="9" t="str">
        <f>'Sovereign Ratings (Moody''s,S&amp;P)'!C35</f>
        <v>B3</v>
      </c>
      <c r="D35" s="11" t="str">
        <f>'10-year CDS Spreads'!C35</f>
        <v>NA</v>
      </c>
      <c r="E35" s="21">
        <f>'ERPs by country'!D41</f>
        <v>7.0808704231754685E-2</v>
      </c>
      <c r="F35" s="10">
        <f>'ERPs by country'!E41</f>
        <v>0.14105640765793431</v>
      </c>
      <c r="G35" s="14">
        <f>'ERPs by country'!F41</f>
        <v>9.5056407657934314E-2</v>
      </c>
      <c r="H35" s="14">
        <f>'Country Tax Rates'!B35</f>
        <v>0.3</v>
      </c>
      <c r="I35" s="15" t="str">
        <f>VLOOKUP(A35,'Regional lookup table'!$A$2:$B$161,2)</f>
        <v>Africa</v>
      </c>
    </row>
    <row r="36" spans="1:9" ht="16">
      <c r="A36" s="8" t="str">
        <f>'Sovereign Ratings (Moody''s,S&amp;P)'!A36</f>
        <v>Congo (Republic of)</v>
      </c>
      <c r="B36" s="125">
        <f>'Country GDP'!B36</f>
        <v>14616</v>
      </c>
      <c r="C36" s="9" t="str">
        <f>'Sovereign Ratings (Moody''s,S&amp;P)'!C36</f>
        <v>Caa2</v>
      </c>
      <c r="D36" s="11" t="str">
        <f>'10-year CDS Spreads'!C36</f>
        <v>NA</v>
      </c>
      <c r="E36" s="21">
        <f>'ERPs by country'!D42</f>
        <v>9.8082219604926024E-2</v>
      </c>
      <c r="F36" s="10">
        <f>'ERPs by country'!E42</f>
        <v>0.17766945436885656</v>
      </c>
      <c r="G36" s="14">
        <f>'ERPs by country'!F42</f>
        <v>0.13166945436885658</v>
      </c>
      <c r="H36" s="14">
        <f>'Country Tax Rates'!B36</f>
        <v>0.28000000000000003</v>
      </c>
      <c r="I36" s="15" t="str">
        <f>VLOOKUP(A36,'Regional lookup table'!$A$2:$B$161,2)</f>
        <v>Africa</v>
      </c>
    </row>
    <row r="37" spans="1:9" ht="16">
      <c r="A37" s="8" t="str">
        <f>'Sovereign Ratings (Moody''s,S&amp;P)'!A37</f>
        <v>Cook Islands</v>
      </c>
      <c r="B37" s="125">
        <f>'Country GDP'!B37</f>
        <v>1414</v>
      </c>
      <c r="C37" s="9" t="str">
        <f>'Sovereign Ratings (Moody''s,S&amp;P)'!C37</f>
        <v>B1</v>
      </c>
      <c r="D37" s="11" t="str">
        <f>'10-year CDS Spreads'!C37</f>
        <v>NA</v>
      </c>
      <c r="E37" s="21">
        <f>'ERPs by country'!D43</f>
        <v>4.9041109802463012E-2</v>
      </c>
      <c r="F37" s="10">
        <f>'ERPs by country'!E43</f>
        <v>0.11183472718442829</v>
      </c>
      <c r="G37" s="14">
        <f>'ERPs by country'!F43</f>
        <v>6.5834727184428288E-2</v>
      </c>
      <c r="H37" s="14">
        <f>'Country Tax Rates'!B37</f>
        <v>0.2974</v>
      </c>
      <c r="I37" s="15" t="str">
        <f>VLOOKUP(A37,'Regional lookup table'!$A$2:$B$161,2)</f>
        <v>Australia &amp; New Zealand</v>
      </c>
    </row>
    <row r="38" spans="1:9" ht="16">
      <c r="A38" s="8" t="str">
        <f>'Sovereign Ratings (Moody''s,S&amp;P)'!A38</f>
        <v>Costa Rica</v>
      </c>
      <c r="B38" s="125">
        <f>'Country GDP'!B38</f>
        <v>69243.62602866962</v>
      </c>
      <c r="C38" s="9" t="str">
        <f>'Sovereign Ratings (Moody''s,S&amp;P)'!C38</f>
        <v>B1</v>
      </c>
      <c r="D38" s="11">
        <f>'10-year CDS Spreads'!C38</f>
        <v>3.1099999999999999E-2</v>
      </c>
      <c r="E38" s="21">
        <f>'ERPs by country'!D44</f>
        <v>4.9041109802463012E-2</v>
      </c>
      <c r="F38" s="10">
        <f>'ERPs by country'!E44</f>
        <v>0.11183472718442829</v>
      </c>
      <c r="G38" s="14">
        <f>'ERPs by country'!F44</f>
        <v>6.5834727184428288E-2</v>
      </c>
      <c r="H38" s="14">
        <f>'Country Tax Rates'!B38</f>
        <v>0.3</v>
      </c>
      <c r="I38" s="15" t="str">
        <f>VLOOKUP(A38,'Regional lookup table'!$A$2:$B$161,2)</f>
        <v>Central and South America</v>
      </c>
    </row>
    <row r="39" spans="1:9" ht="16">
      <c r="A39" s="8" t="str">
        <f>'Sovereign Ratings (Moody''s,S&amp;P)'!A39</f>
        <v>Côte d'Ivoire</v>
      </c>
      <c r="B39" s="125">
        <f>'Country GDP'!B39</f>
        <v>70019</v>
      </c>
      <c r="C39" s="9" t="str">
        <f>'Sovereign Ratings (Moody''s,S&amp;P)'!C39</f>
        <v>Ba3</v>
      </c>
      <c r="D39" s="11" t="str">
        <f>'10-year CDS Spreads'!C39</f>
        <v>NA</v>
      </c>
      <c r="E39" s="21">
        <f>'ERPs by country'!D45</f>
        <v>3.9181669972725021E-2</v>
      </c>
      <c r="F39" s="10">
        <f>'ERPs by country'!E45</f>
        <v>9.8599024852310854E-2</v>
      </c>
      <c r="G39" s="14">
        <f>'ERPs by country'!F45</f>
        <v>5.2599024852310855E-2</v>
      </c>
      <c r="H39" s="14">
        <f>'Country Tax Rates'!B39</f>
        <v>0.25</v>
      </c>
      <c r="I39" s="15" t="str">
        <f>VLOOKUP(A39,'Regional lookup table'!$A$2:$B$161,2)</f>
        <v>Africa</v>
      </c>
    </row>
    <row r="40" spans="1:9" ht="16">
      <c r="A40" s="8" t="str">
        <f>'Sovereign Ratings (Moody''s,S&amp;P)'!A40</f>
        <v>Croatia</v>
      </c>
      <c r="B40" s="125">
        <f>'Country GDP'!B40</f>
        <v>71600.049650194982</v>
      </c>
      <c r="C40" s="9" t="str">
        <f>'Sovereign Ratings (Moody''s,S&amp;P)'!C40</f>
        <v>Baa2</v>
      </c>
      <c r="D40" s="11">
        <f>'10-year CDS Spreads'!C40</f>
        <v>1.34E-2</v>
      </c>
      <c r="E40" s="21">
        <f>'ERPs by country'!D46</f>
        <v>2.0743237044383835E-2</v>
      </c>
      <c r="F40" s="10">
        <f>'ERPs by country'!E46</f>
        <v>7.3846542568870452E-2</v>
      </c>
      <c r="G40" s="14">
        <f>'ERPs by country'!F46</f>
        <v>2.7846542568870453E-2</v>
      </c>
      <c r="H40" s="14">
        <f>'Country Tax Rates'!B40</f>
        <v>0.18</v>
      </c>
      <c r="I40" s="15" t="str">
        <f>VLOOKUP(A40,'Regional lookup table'!$A$2:$B$161,2)</f>
        <v>Eastern Europe &amp; Russia</v>
      </c>
    </row>
    <row r="41" spans="1:9" ht="16">
      <c r="A41" s="8" t="str">
        <f>'Sovereign Ratings (Moody''s,S&amp;P)'!A41</f>
        <v>Cuba</v>
      </c>
      <c r="B41" s="125">
        <f>'Country GDP'!B41</f>
        <v>633442.30000000005</v>
      </c>
      <c r="C41" s="9" t="str">
        <f>'Sovereign Ratings (Moody''s,S&amp;P)'!C41</f>
        <v>Ca</v>
      </c>
      <c r="D41" s="11" t="str">
        <f>'10-year CDS Spreads'!C41</f>
        <v>NA</v>
      </c>
      <c r="E41" s="21">
        <f>'ERPs by country'!D47</f>
        <v>0.13073361124886354</v>
      </c>
      <c r="F41" s="10">
        <f>'ERPs by country'!E47</f>
        <v>0.22150197507911562</v>
      </c>
      <c r="G41" s="14">
        <f>'ERPs by country'!F47</f>
        <v>0.17550197507911564</v>
      </c>
      <c r="H41" s="14">
        <f>'Country Tax Rates'!B41</f>
        <v>0.2853</v>
      </c>
      <c r="I41" s="15" t="str">
        <f>VLOOKUP(A41,'Regional lookup table'!$A$2:$B$161,2)</f>
        <v>Caribbean</v>
      </c>
    </row>
    <row r="42" spans="1:9" ht="16">
      <c r="A42" s="8" t="str">
        <f>'Sovereign Ratings (Moody''s,S&amp;P)'!A42</f>
        <v>Curacao</v>
      </c>
      <c r="B42" s="125">
        <f>'Country GDP'!B42</f>
        <v>3075.1808347241672</v>
      </c>
      <c r="C42" s="9" t="str">
        <f>'Sovereign Ratings (Moody''s,S&amp;P)'!C42</f>
        <v>Baa3</v>
      </c>
      <c r="D42" s="11" t="str">
        <f>'10-year CDS Spreads'!C42</f>
        <v>NA</v>
      </c>
      <c r="E42" s="21">
        <f>'ERPs by country'!D48</f>
        <v>2.3944353872220846E-2</v>
      </c>
      <c r="F42" s="10">
        <f>'ERPs by country'!E48</f>
        <v>7.8143848520856624E-2</v>
      </c>
      <c r="G42" s="14">
        <f>'ERPs by country'!F48</f>
        <v>3.2143848520856631E-2</v>
      </c>
      <c r="H42" s="14">
        <f>'Country Tax Rates'!B42</f>
        <v>0.22</v>
      </c>
      <c r="I42" s="15" t="str">
        <f>VLOOKUP(A42,'Regional lookup table'!$A$2:$B$161,2)</f>
        <v>Caribbean</v>
      </c>
    </row>
    <row r="43" spans="1:9" ht="16">
      <c r="A43" s="8" t="str">
        <f>'Sovereign Ratings (Moody''s,S&amp;P)'!A43</f>
        <v>Cyprus</v>
      </c>
      <c r="B43" s="125">
        <f>'Country GDP'!B43</f>
        <v>29250.524418085472</v>
      </c>
      <c r="C43" s="9" t="str">
        <f>'Sovereign Ratings (Moody''s,S&amp;P)'!C43</f>
        <v>Baa2</v>
      </c>
      <c r="D43" s="11">
        <f>'10-year CDS Spreads'!C43</f>
        <v>1.11E-2</v>
      </c>
      <c r="E43" s="21">
        <f>'ERPs by country'!D49</f>
        <v>2.0743237044383835E-2</v>
      </c>
      <c r="F43" s="10">
        <f>'ERPs by country'!E49</f>
        <v>7.3846542568870452E-2</v>
      </c>
      <c r="G43" s="14">
        <f>'ERPs by country'!F49</f>
        <v>2.7846542568870453E-2</v>
      </c>
      <c r="H43" s="14">
        <f>'Country Tax Rates'!B43</f>
        <v>0.125</v>
      </c>
      <c r="I43" s="15" t="str">
        <f>VLOOKUP(A43,'Regional lookup table'!$A$2:$B$161,2)</f>
        <v>Western Europe</v>
      </c>
    </row>
    <row r="44" spans="1:9" ht="16">
      <c r="A44" s="8" t="str">
        <f>'Sovereign Ratings (Moody''s,S&amp;P)'!A44</f>
        <v>Czech Republic</v>
      </c>
      <c r="B44" s="125">
        <f>'Country GDP'!B44</f>
        <v>290527.55062722095</v>
      </c>
      <c r="C44" s="9" t="str">
        <f>'Sovereign Ratings (Moody''s,S&amp;P)'!C44</f>
        <v>Aa3</v>
      </c>
      <c r="D44" s="11">
        <f>'10-year CDS Spreads'!C44</f>
        <v>5.5999999999999999E-3</v>
      </c>
      <c r="E44" s="21">
        <f>'ERPs by country'!D50</f>
        <v>6.5302783287875029E-3</v>
      </c>
      <c r="F44" s="10">
        <f>'ERPs by country'!E50</f>
        <v>5.4766504142051808E-2</v>
      </c>
      <c r="G44" s="14">
        <f>'ERPs by country'!F50</f>
        <v>8.7665041420518092E-3</v>
      </c>
      <c r="H44" s="14">
        <f>'Country Tax Rates'!B44</f>
        <v>0.19</v>
      </c>
      <c r="I44" s="15" t="str">
        <f>VLOOKUP(A44,'Regional lookup table'!$A$2:$B$161,2)</f>
        <v>Eastern Europe &amp; Russia</v>
      </c>
    </row>
    <row r="45" spans="1:9" ht="16">
      <c r="A45" s="8" t="str">
        <f>'Sovereign Ratings (Moody''s,S&amp;P)'!A45</f>
        <v>Denmark</v>
      </c>
      <c r="B45" s="125">
        <f>'Country GDP'!B45</f>
        <v>400167.19694870739</v>
      </c>
      <c r="C45" s="9" t="str">
        <f>'Sovereign Ratings (Moody''s,S&amp;P)'!C45</f>
        <v>Aaa</v>
      </c>
      <c r="D45" s="11">
        <f>'10-year CDS Spreads'!C45</f>
        <v>2.3999999999999998E-3</v>
      </c>
      <c r="E45" s="21">
        <f>'ERPs by country'!D51</f>
        <v>0</v>
      </c>
      <c r="F45" s="10">
        <f>'ERPs by country'!E51</f>
        <v>4.5999999999999999E-2</v>
      </c>
      <c r="G45" s="14">
        <f>'ERPs by country'!F51</f>
        <v>0</v>
      </c>
      <c r="H45" s="14">
        <f>'Country Tax Rates'!B45</f>
        <v>0.22</v>
      </c>
      <c r="I45" s="15" t="str">
        <f>VLOOKUP(A45,'Regional lookup table'!$A$2:$B$161,2)</f>
        <v>Western Europe</v>
      </c>
    </row>
    <row r="46" spans="1:9" ht="16">
      <c r="A46" s="8" t="str">
        <f>'Sovereign Ratings (Moody''s,S&amp;P)'!A46</f>
        <v>Dominican Republic</v>
      </c>
      <c r="B46" s="125">
        <f>'Country GDP'!B46</f>
        <v>113537.3681761303</v>
      </c>
      <c r="C46" s="9" t="str">
        <f>'Sovereign Ratings (Moody''s,S&amp;P)'!C46</f>
        <v>Ba3</v>
      </c>
      <c r="D46" s="11" t="str">
        <f>'10-year CDS Spreads'!C46</f>
        <v>NA</v>
      </c>
      <c r="E46" s="21">
        <f>'ERPs by country'!D52</f>
        <v>3.9181669972725021E-2</v>
      </c>
      <c r="F46" s="10">
        <f>'ERPs by country'!E52</f>
        <v>9.8599024852310854E-2</v>
      </c>
      <c r="G46" s="14">
        <f>'ERPs by country'!F52</f>
        <v>5.2599024852310855E-2</v>
      </c>
      <c r="H46" s="14">
        <f>'Country Tax Rates'!B46</f>
        <v>0.27</v>
      </c>
      <c r="I46" s="15" t="str">
        <f>VLOOKUP(A46,'Regional lookup table'!$A$2:$B$161,2)</f>
        <v>Caribbean</v>
      </c>
    </row>
    <row r="47" spans="1:9" ht="16">
      <c r="A47" s="8" t="str">
        <f>'Sovereign Ratings (Moody''s,S&amp;P)'!A47</f>
        <v>Ecuador</v>
      </c>
      <c r="B47" s="125">
        <f>'Country GDP'!B47</f>
        <v>115049.476</v>
      </c>
      <c r="C47" s="9" t="str">
        <f>'Sovereign Ratings (Moody''s,S&amp;P)'!C47</f>
        <v>Caa3</v>
      </c>
      <c r="D47" s="11">
        <f>'10-year CDS Spreads'!C47</f>
        <v>0.52739999999999998</v>
      </c>
      <c r="E47" s="21">
        <f>'ERPs by country'!D53</f>
        <v>0.10896601681957188</v>
      </c>
      <c r="F47" s="10">
        <f>'ERPs by country'!E53</f>
        <v>0.19228029460560964</v>
      </c>
      <c r="G47" s="14">
        <f>'ERPs by country'!F53</f>
        <v>0.14628029460560962</v>
      </c>
      <c r="H47" s="14">
        <f>'Country Tax Rates'!B47</f>
        <v>0.25</v>
      </c>
      <c r="I47" s="15" t="str">
        <f>VLOOKUP(A47,'Regional lookup table'!$A$2:$B$161,2)</f>
        <v>Central and South America</v>
      </c>
    </row>
    <row r="48" spans="1:9" ht="16">
      <c r="A48" s="8" t="str">
        <f>'Sovereign Ratings (Moody''s,S&amp;P)'!A48</f>
        <v>Egypt</v>
      </c>
      <c r="B48" s="125">
        <f>'Country GDP'!B48</f>
        <v>476747.72036474163</v>
      </c>
      <c r="C48" s="9" t="str">
        <f>'Sovereign Ratings (Moody''s,S&amp;P)'!C48</f>
        <v>Caa1</v>
      </c>
      <c r="D48" s="11">
        <f>'10-year CDS Spreads'!C48</f>
        <v>0.1013</v>
      </c>
      <c r="E48" s="21">
        <f>'ERPs by country'!D54</f>
        <v>8.1692501446400528E-2</v>
      </c>
      <c r="F48" s="10">
        <f>'ERPs by country'!E54</f>
        <v>0.15566724789468733</v>
      </c>
      <c r="G48" s="14">
        <f>'ERPs by country'!F54</f>
        <v>0.10966724789468733</v>
      </c>
      <c r="H48" s="14">
        <f>'Country Tax Rates'!B48</f>
        <v>0.22500000000000001</v>
      </c>
      <c r="I48" s="15" t="str">
        <f>VLOOKUP(A48,'Regional lookup table'!$A$2:$B$161,2)</f>
        <v>Africa</v>
      </c>
    </row>
    <row r="49" spans="1:9" ht="16">
      <c r="A49" s="8" t="str">
        <f>'Sovereign Ratings (Moody''s,S&amp;P)'!A49</f>
        <v>El Salvador</v>
      </c>
      <c r="B49" s="125">
        <f>'Country GDP'!B49</f>
        <v>32488.720000000001</v>
      </c>
      <c r="C49" s="9" t="str">
        <f>'Sovereign Ratings (Moody''s,S&amp;P)'!C49</f>
        <v>Caa3</v>
      </c>
      <c r="D49" s="11">
        <f>'10-year CDS Spreads'!C49</f>
        <v>8.4000000000000005E-2</v>
      </c>
      <c r="E49" s="21">
        <f>'ERPs by country'!D55</f>
        <v>0.10896601681957188</v>
      </c>
      <c r="F49" s="10">
        <f>'ERPs by country'!E55</f>
        <v>0.19228029460560964</v>
      </c>
      <c r="G49" s="14">
        <f>'ERPs by country'!F55</f>
        <v>0.14628029460560962</v>
      </c>
      <c r="H49" s="14">
        <f>'Country Tax Rates'!B49</f>
        <v>0.3</v>
      </c>
      <c r="I49" s="15" t="str">
        <f>VLOOKUP(A49,'Regional lookup table'!$A$2:$B$161,2)</f>
        <v>Central and South America</v>
      </c>
    </row>
    <row r="50" spans="1:9" ht="16">
      <c r="A50" s="8" t="str">
        <f>'Sovereign Ratings (Moody''s,S&amp;P)'!A50</f>
        <v>Estonia</v>
      </c>
      <c r="B50" s="125">
        <f>'Country GDP'!B50</f>
        <v>38100.8129585196</v>
      </c>
      <c r="C50" s="9" t="str">
        <f>'Sovereign Ratings (Moody''s,S&amp;P)'!C50</f>
        <v>A1</v>
      </c>
      <c r="D50" s="11">
        <f>'10-year CDS Spreads'!C50</f>
        <v>6.0000000000000001E-3</v>
      </c>
      <c r="E50" s="21">
        <f>'ERPs by country'!D56</f>
        <v>7.6826803868088279E-3</v>
      </c>
      <c r="F50" s="10">
        <f>'ERPs by country'!E56</f>
        <v>5.6313534284766834E-2</v>
      </c>
      <c r="G50" s="14">
        <f>'ERPs by country'!F56</f>
        <v>1.0313534284766834E-2</v>
      </c>
      <c r="H50" s="14">
        <f>'Country Tax Rates'!B50</f>
        <v>0.2</v>
      </c>
      <c r="I50" s="15" t="str">
        <f>VLOOKUP(A50,'Regional lookup table'!$A$2:$B$161,2)</f>
        <v>Eastern Europe &amp; Russia</v>
      </c>
    </row>
    <row r="51" spans="1:9" ht="16">
      <c r="A51" s="8" t="str">
        <f>'Sovereign Ratings (Moody''s,S&amp;P)'!A51</f>
        <v>Ethiopia</v>
      </c>
      <c r="B51" s="125">
        <f>'Country GDP'!B51</f>
        <v>126783.47159767149</v>
      </c>
      <c r="C51" s="9" t="str">
        <f>'Sovereign Ratings (Moody''s,S&amp;P)'!C51</f>
        <v>Caa2</v>
      </c>
      <c r="D51" s="11">
        <f>'10-year CDS Spreads'!C51</f>
        <v>0.3231</v>
      </c>
      <c r="E51" s="21">
        <f>'ERPs by country'!D57</f>
        <v>9.8082219604926024E-2</v>
      </c>
      <c r="F51" s="10">
        <f>'ERPs by country'!E57</f>
        <v>0.17766945436885656</v>
      </c>
      <c r="G51" s="14">
        <f>'ERPs by country'!F57</f>
        <v>0.13166945436885658</v>
      </c>
      <c r="H51" s="14">
        <f>'Country Tax Rates'!B51</f>
        <v>0.3</v>
      </c>
      <c r="I51" s="15" t="str">
        <f>VLOOKUP(A51,'Regional lookup table'!$A$2:$B$161,2)</f>
        <v>Africa</v>
      </c>
    </row>
    <row r="52" spans="1:9" ht="16">
      <c r="A52" s="8" t="str">
        <f>'Sovereign Ratings (Moody''s,S&amp;P)'!A52</f>
        <v>Fiji</v>
      </c>
      <c r="B52" s="125">
        <f>'Country GDP'!B52</f>
        <v>4979.9795460122996</v>
      </c>
      <c r="C52" s="9" t="str">
        <f>'Sovereign Ratings (Moody''s,S&amp;P)'!C52</f>
        <v>B1</v>
      </c>
      <c r="D52" s="11" t="str">
        <f>'10-year CDS Spreads'!C52</f>
        <v>NA</v>
      </c>
      <c r="E52" s="21">
        <f>'ERPs by country'!D58</f>
        <v>4.9041109802463012E-2</v>
      </c>
      <c r="F52" s="10">
        <f>'ERPs by country'!E58</f>
        <v>0.11183472718442829</v>
      </c>
      <c r="G52" s="14">
        <f>'ERPs by country'!F58</f>
        <v>6.5834727184428288E-2</v>
      </c>
      <c r="H52" s="14">
        <f>'Country Tax Rates'!B52</f>
        <v>0.2</v>
      </c>
      <c r="I52" s="15" t="str">
        <f>VLOOKUP(A52,'Regional lookup table'!$A$2:$B$161,2)</f>
        <v>Asia</v>
      </c>
    </row>
    <row r="53" spans="1:9" ht="16">
      <c r="A53" s="8" t="str">
        <f>'Sovereign Ratings (Moody''s,S&amp;P)'!A53</f>
        <v>Finland</v>
      </c>
      <c r="B53" s="125">
        <f>'Country GDP'!B53</f>
        <v>282896.25139105169</v>
      </c>
      <c r="C53" s="9" t="str">
        <f>'Sovereign Ratings (Moody''s,S&amp;P)'!C53</f>
        <v>Aa1</v>
      </c>
      <c r="D53" s="11">
        <f>'10-year CDS Spreads'!C53</f>
        <v>3.3999999999999998E-3</v>
      </c>
      <c r="E53" s="21">
        <f>'ERPs by country'!D59</f>
        <v>4.3535188858583353E-3</v>
      </c>
      <c r="F53" s="10">
        <f>'ERPs by country'!E59</f>
        <v>5.1844336094701203E-2</v>
      </c>
      <c r="G53" s="14">
        <f>'ERPs by country'!F59</f>
        <v>5.8443360947012055E-3</v>
      </c>
      <c r="H53" s="14">
        <f>'Country Tax Rates'!B53</f>
        <v>0.2</v>
      </c>
      <c r="I53" s="15" t="str">
        <f>VLOOKUP(A53,'Regional lookup table'!$A$2:$B$161,2)</f>
        <v>Western Europe</v>
      </c>
    </row>
    <row r="54" spans="1:9" ht="16">
      <c r="A54" s="8" t="str">
        <f>'Sovereign Ratings (Moody''s,S&amp;P)'!A54</f>
        <v>France</v>
      </c>
      <c r="B54" s="125">
        <f>'Country GDP'!B54</f>
        <v>2779092.236505847</v>
      </c>
      <c r="C54" s="9" t="str">
        <f>'Sovereign Ratings (Moody''s,S&amp;P)'!C54</f>
        <v>Aa2</v>
      </c>
      <c r="D54" s="11">
        <f>'10-year CDS Spreads'!C54</f>
        <v>4.3E-3</v>
      </c>
      <c r="E54" s="21">
        <f>'ERPs by country'!D60</f>
        <v>5.3778762707661788E-3</v>
      </c>
      <c r="F54" s="10">
        <f>'ERPs by country'!E60</f>
        <v>5.3219473999336783E-2</v>
      </c>
      <c r="G54" s="14">
        <f>'ERPs by country'!F60</f>
        <v>7.2194739993367832E-3</v>
      </c>
      <c r="H54" s="14">
        <f>'Country Tax Rates'!B54</f>
        <v>0.25</v>
      </c>
      <c r="I54" s="15" t="str">
        <f>VLOOKUP(A54,'Regional lookup table'!$A$2:$B$161,2)</f>
        <v>Western Europe</v>
      </c>
    </row>
    <row r="55" spans="1:9" ht="16">
      <c r="A55" s="8" t="str">
        <f>'Sovereign Ratings (Moody''s,S&amp;P)'!A55</f>
        <v>Gabon</v>
      </c>
      <c r="B55" s="125">
        <f>'Country GDP'!B55</f>
        <v>21071.73922489183</v>
      </c>
      <c r="C55" s="9" t="str">
        <f>'Sovereign Ratings (Moody''s,S&amp;P)'!C55</f>
        <v>Caa1</v>
      </c>
      <c r="D55" s="11" t="str">
        <f>'10-year CDS Spreads'!C55</f>
        <v>NA</v>
      </c>
      <c r="E55" s="21">
        <f>'ERPs by country'!D61</f>
        <v>8.1692501446400528E-2</v>
      </c>
      <c r="F55" s="10">
        <f>'ERPs by country'!E61</f>
        <v>0.15566724789468733</v>
      </c>
      <c r="G55" s="14">
        <f>'ERPs by country'!F61</f>
        <v>0.10966724789468733</v>
      </c>
      <c r="H55" s="14">
        <f>'Country Tax Rates'!B55</f>
        <v>0.3</v>
      </c>
      <c r="I55" s="15" t="str">
        <f>VLOOKUP(A55,'Regional lookup table'!$A$2:$B$161,2)</f>
        <v>Africa</v>
      </c>
    </row>
    <row r="56" spans="1:9" ht="16">
      <c r="A56" s="8" t="str">
        <f>'Sovereign Ratings (Moody''s,S&amp;P)'!A56</f>
        <v>Georgia</v>
      </c>
      <c r="B56" s="125">
        <f>'Country GDP'!B56</f>
        <v>24780.791063713052</v>
      </c>
      <c r="C56" s="9" t="str">
        <f>'Sovereign Ratings (Moody''s,S&amp;P)'!C56</f>
        <v>Ba2</v>
      </c>
      <c r="D56" s="11" t="str">
        <f>'10-year CDS Spreads'!C56</f>
        <v>NA</v>
      </c>
      <c r="E56" s="21">
        <f>'ERPs by country'!D62</f>
        <v>3.2779436317050999E-2</v>
      </c>
      <c r="F56" s="10">
        <f>'ERPs by country'!E62</f>
        <v>9.0004412948338497E-2</v>
      </c>
      <c r="G56" s="14">
        <f>'ERPs by country'!F62</f>
        <v>4.4004412948338498E-2</v>
      </c>
      <c r="H56" s="14">
        <f>'Country Tax Rates'!B56</f>
        <v>0.15</v>
      </c>
      <c r="I56" s="15" t="str">
        <f>VLOOKUP(A56,'Regional lookup table'!$A$2:$B$161,2)</f>
        <v>Eastern Europe &amp; Russia</v>
      </c>
    </row>
    <row r="57" spans="1:9" ht="16">
      <c r="A57" s="8" t="str">
        <f>'Sovereign Ratings (Moody''s,S&amp;P)'!A57</f>
        <v>Germany</v>
      </c>
      <c r="B57" s="125">
        <f>'Country GDP'!B57</f>
        <v>4082469.4907976813</v>
      </c>
      <c r="C57" s="9" t="str">
        <f>'Sovereign Ratings (Moody''s,S&amp;P)'!C57</f>
        <v>Aaa</v>
      </c>
      <c r="D57" s="11">
        <f>'10-year CDS Spreads'!C57</f>
        <v>2.8999999999999998E-3</v>
      </c>
      <c r="E57" s="21">
        <f>'ERPs by country'!D63</f>
        <v>0</v>
      </c>
      <c r="F57" s="10">
        <f>'ERPs by country'!E63</f>
        <v>4.5999999999999999E-2</v>
      </c>
      <c r="G57" s="14">
        <f>'ERPs by country'!F63</f>
        <v>0</v>
      </c>
      <c r="H57" s="14">
        <f>'Country Tax Rates'!B57</f>
        <v>0.3</v>
      </c>
      <c r="I57" s="15" t="str">
        <f>VLOOKUP(A57,'Regional lookup table'!$A$2:$B$161,2)</f>
        <v>Western Europe</v>
      </c>
    </row>
    <row r="58" spans="1:9" ht="16">
      <c r="A58" s="8" t="str">
        <f>'Sovereign Ratings (Moody''s,S&amp;P)'!A58</f>
        <v>Ghana</v>
      </c>
      <c r="B58" s="125">
        <f>'Country GDP'!B58</f>
        <v>73766.052451525553</v>
      </c>
      <c r="C58" s="9" t="str">
        <f>'Sovereign Ratings (Moody''s,S&amp;P)'!C58</f>
        <v>Caa3</v>
      </c>
      <c r="D58" s="11" t="str">
        <f>'10-year CDS Spreads'!C58</f>
        <v>NA</v>
      </c>
      <c r="E58" s="21">
        <f>'ERPs by country'!D64</f>
        <v>0.10896601681957188</v>
      </c>
      <c r="F58" s="10">
        <f>'ERPs by country'!E64</f>
        <v>0.19228029460560964</v>
      </c>
      <c r="G58" s="14">
        <f>'ERPs by country'!F64</f>
        <v>0.14628029460560962</v>
      </c>
      <c r="H58" s="14">
        <f>'Country Tax Rates'!B58</f>
        <v>0.25</v>
      </c>
      <c r="I58" s="15" t="str">
        <f>VLOOKUP(A58,'Regional lookup table'!$A$2:$B$161,2)</f>
        <v>Africa</v>
      </c>
    </row>
    <row r="59" spans="1:9" ht="16">
      <c r="A59" s="8" t="str">
        <f>'Sovereign Ratings (Moody''s,S&amp;P)'!A59</f>
        <v>Greece</v>
      </c>
      <c r="B59" s="125">
        <f>'Country GDP'!B59</f>
        <v>217581.32451205922</v>
      </c>
      <c r="C59" s="9" t="str">
        <f>'Sovereign Ratings (Moody''s,S&amp;P)'!C59</f>
        <v>Ba1</v>
      </c>
      <c r="D59" s="11">
        <f>'10-year CDS Spreads'!C59</f>
        <v>1.2800000000000001E-2</v>
      </c>
      <c r="E59" s="21">
        <f>'ERPs by country'!D65</f>
        <v>2.7273515373171343E-2</v>
      </c>
      <c r="F59" s="10">
        <f>'ERPs by country'!E65</f>
        <v>8.2613046710922261E-2</v>
      </c>
      <c r="G59" s="14">
        <f>'ERPs by country'!F65</f>
        <v>3.6613046710922269E-2</v>
      </c>
      <c r="H59" s="14">
        <f>'Country Tax Rates'!B59</f>
        <v>0.22</v>
      </c>
      <c r="I59" s="15" t="str">
        <f>VLOOKUP(A59,'Regional lookup table'!$A$2:$B$161,2)</f>
        <v>Western Europe</v>
      </c>
    </row>
    <row r="60" spans="1:9" ht="16">
      <c r="A60" s="8" t="str">
        <f>'Sovereign Ratings (Moody''s,S&amp;P)'!A60</f>
        <v>Guatemala</v>
      </c>
      <c r="B60" s="125">
        <f>'Country GDP'!B60</f>
        <v>95003.330315875442</v>
      </c>
      <c r="C60" s="9" t="str">
        <f>'Sovereign Ratings (Moody''s,S&amp;P)'!C60</f>
        <v>Ba1</v>
      </c>
      <c r="D60" s="11" t="str">
        <f>'10-year CDS Spreads'!C60</f>
        <v>NA</v>
      </c>
      <c r="E60" s="21">
        <f>'ERPs by country'!D66</f>
        <v>2.7273515373171343E-2</v>
      </c>
      <c r="F60" s="10">
        <f>'ERPs by country'!E66</f>
        <v>8.2613046710922261E-2</v>
      </c>
      <c r="G60" s="14">
        <f>'ERPs by country'!F66</f>
        <v>3.6613046710922269E-2</v>
      </c>
      <c r="H60" s="14">
        <f>'Country Tax Rates'!B60</f>
        <v>0.25</v>
      </c>
      <c r="I60" s="15" t="str">
        <f>VLOOKUP(A60,'Regional lookup table'!$A$2:$B$161,2)</f>
        <v>Central and South America</v>
      </c>
    </row>
    <row r="61" spans="1:9" ht="16">
      <c r="A61" s="8" t="str">
        <f>'Sovereign Ratings (Moody''s,S&amp;P)'!A61</f>
        <v>Guernsey (States of)</v>
      </c>
      <c r="B61" s="125">
        <f>'Country GDP'!B61</f>
        <v>3446</v>
      </c>
      <c r="C61" s="9" t="str">
        <f>'Sovereign Ratings (Moody''s,S&amp;P)'!C61</f>
        <v>A1</v>
      </c>
      <c r="D61" s="11" t="str">
        <f>'10-year CDS Spreads'!C61</f>
        <v>NA</v>
      </c>
      <c r="E61" s="21">
        <f>'ERPs by country'!D67</f>
        <v>7.6826803868088279E-3</v>
      </c>
      <c r="F61" s="10">
        <f>'ERPs by country'!E67</f>
        <v>5.6313534284766834E-2</v>
      </c>
      <c r="G61" s="14">
        <f>'ERPs by country'!F67</f>
        <v>1.0313534284766834E-2</v>
      </c>
      <c r="H61" s="14">
        <f>'Country Tax Rates'!B61</f>
        <v>0</v>
      </c>
      <c r="I61" s="15" t="str">
        <f>VLOOKUP(A61,'Regional lookup table'!$A$2:$B$161,2)</f>
        <v>Western Europe</v>
      </c>
    </row>
    <row r="62" spans="1:9" ht="16">
      <c r="A62" s="8" t="str">
        <f>'Sovereign Ratings (Moody''s,S&amp;P)'!A62</f>
        <v>Honduras</v>
      </c>
      <c r="B62" s="125">
        <f>'Country GDP'!B62</f>
        <v>31717.6997643621</v>
      </c>
      <c r="C62" s="9" t="str">
        <f>'Sovereign Ratings (Moody''s,S&amp;P)'!C62</f>
        <v>B1</v>
      </c>
      <c r="D62" s="11" t="str">
        <f>'10-year CDS Spreads'!C62</f>
        <v>NA</v>
      </c>
      <c r="E62" s="21">
        <f>'ERPs by country'!D68</f>
        <v>4.9041109802463012E-2</v>
      </c>
      <c r="F62" s="10">
        <f>'ERPs by country'!E68</f>
        <v>0.11183472718442829</v>
      </c>
      <c r="G62" s="14">
        <f>'ERPs by country'!F68</f>
        <v>6.5834727184428288E-2</v>
      </c>
      <c r="H62" s="14">
        <f>'Country Tax Rates'!B62</f>
        <v>0.25</v>
      </c>
      <c r="I62" s="15" t="str">
        <f>VLOOKUP(A62,'Regional lookup table'!$A$2:$B$161,2)</f>
        <v>Central and South America</v>
      </c>
    </row>
    <row r="63" spans="1:9" ht="16">
      <c r="A63" s="8" t="str">
        <f>'Sovereign Ratings (Moody''s,S&amp;P)'!A63</f>
        <v>Hong Kong</v>
      </c>
      <c r="B63" s="125">
        <f>'Country GDP'!B63</f>
        <v>359838.58349006315</v>
      </c>
      <c r="C63" s="9" t="str">
        <f>'Sovereign Ratings (Moody''s,S&amp;P)'!C63</f>
        <v>Aa3</v>
      </c>
      <c r="D63" s="11">
        <f>'10-year CDS Spreads'!C63</f>
        <v>6.0000000000000001E-3</v>
      </c>
      <c r="E63" s="21">
        <f>'ERPs by country'!D69</f>
        <v>6.5302783287875029E-3</v>
      </c>
      <c r="F63" s="10">
        <f>'ERPs by country'!E69</f>
        <v>5.4766504142051808E-2</v>
      </c>
      <c r="G63" s="14">
        <f>'ERPs by country'!F69</f>
        <v>8.7665041420518092E-3</v>
      </c>
      <c r="H63" s="14">
        <f>'Country Tax Rates'!B63</f>
        <v>0.16500000000000001</v>
      </c>
      <c r="I63" s="15" t="str">
        <f>VLOOKUP(A63,'Regional lookup table'!$A$2:$B$161,2)</f>
        <v>Asia</v>
      </c>
    </row>
    <row r="64" spans="1:9" ht="16">
      <c r="A64" s="8" t="str">
        <f>'Sovereign Ratings (Moody''s,S&amp;P)'!A64</f>
        <v>Hungary</v>
      </c>
      <c r="B64" s="125">
        <f>'Country GDP'!B64</f>
        <v>177337.43667736501</v>
      </c>
      <c r="C64" s="9" t="str">
        <f>'Sovereign Ratings (Moody''s,S&amp;P)'!C64</f>
        <v>Baa2</v>
      </c>
      <c r="D64" s="11">
        <f>'10-year CDS Spreads'!C64</f>
        <v>1.95E-2</v>
      </c>
      <c r="E64" s="21">
        <f>'ERPs by country'!D70</f>
        <v>2.0743237044383835E-2</v>
      </c>
      <c r="F64" s="10">
        <f>'ERPs by country'!E70</f>
        <v>7.3846542568870452E-2</v>
      </c>
      <c r="G64" s="14">
        <f>'ERPs by country'!F70</f>
        <v>2.7846542568870453E-2</v>
      </c>
      <c r="H64" s="14">
        <f>'Country Tax Rates'!B64</f>
        <v>0.09</v>
      </c>
      <c r="I64" s="15" t="str">
        <f>VLOOKUP(A64,'Regional lookup table'!$A$2:$B$161,2)</f>
        <v>Eastern Europe &amp; Russia</v>
      </c>
    </row>
    <row r="65" spans="1:9" ht="16">
      <c r="A65" s="8" t="str">
        <f>'Sovereign Ratings (Moody''s,S&amp;P)'!A65</f>
        <v>Iceland</v>
      </c>
      <c r="B65" s="125">
        <f>'Country GDP'!B65</f>
        <v>28064.52985130985</v>
      </c>
      <c r="C65" s="9" t="str">
        <f>'Sovereign Ratings (Moody''s,S&amp;P)'!C65</f>
        <v>A2</v>
      </c>
      <c r="D65" s="11">
        <f>'10-year CDS Spreads'!C65</f>
        <v>8.8000000000000005E-3</v>
      </c>
      <c r="E65" s="21">
        <f>'ERPs by country'!D71</f>
        <v>9.2192164641705932E-3</v>
      </c>
      <c r="F65" s="10">
        <f>'ERPs by country'!E71</f>
        <v>5.83762411417202E-2</v>
      </c>
      <c r="G65" s="14">
        <f>'ERPs by country'!F71</f>
        <v>1.2376241141720201E-2</v>
      </c>
      <c r="H65" s="14">
        <f>'Country Tax Rates'!B65</f>
        <v>0.2</v>
      </c>
      <c r="I65" s="15" t="str">
        <f>VLOOKUP(A65,'Regional lookup table'!$A$2:$B$161,2)</f>
        <v>Western Europe</v>
      </c>
    </row>
    <row r="66" spans="1:9" ht="16">
      <c r="A66" s="8" t="str">
        <f>'Sovereign Ratings (Moody''s,S&amp;P)'!A66</f>
        <v>India</v>
      </c>
      <c r="B66" s="125">
        <f>'Country GDP'!B66</f>
        <v>3416645.8260528739</v>
      </c>
      <c r="C66" s="9" t="str">
        <f>'Sovereign Ratings (Moody''s,S&amp;P)'!C66</f>
        <v>Baa3</v>
      </c>
      <c r="D66" s="11">
        <f>'10-year CDS Spreads'!C66</f>
        <v>9.9000000000000008E-3</v>
      </c>
      <c r="E66" s="21">
        <f>'ERPs by country'!D72</f>
        <v>2.3944353872220846E-2</v>
      </c>
      <c r="F66" s="10">
        <f>'ERPs by country'!E72</f>
        <v>7.8143848520856624E-2</v>
      </c>
      <c r="G66" s="14">
        <f>'ERPs by country'!F72</f>
        <v>3.2143848520856631E-2</v>
      </c>
      <c r="H66" s="14">
        <f>'Country Tax Rates'!B66</f>
        <v>0.3</v>
      </c>
      <c r="I66" s="15" t="str">
        <f>VLOOKUP(A66,'Regional lookup table'!$A$2:$B$161,2)</f>
        <v>Asia</v>
      </c>
    </row>
    <row r="67" spans="1:9" ht="16">
      <c r="A67" s="8" t="str">
        <f>'Sovereign Ratings (Moody''s,S&amp;P)'!A67</f>
        <v>Indonesia</v>
      </c>
      <c r="B67" s="125">
        <f>'Country GDP'!B67</f>
        <v>1319100.2204077167</v>
      </c>
      <c r="C67" s="9" t="str">
        <f>'Sovereign Ratings (Moody''s,S&amp;P)'!C67</f>
        <v>Baa2</v>
      </c>
      <c r="D67" s="11">
        <f>'10-year CDS Spreads'!C67</f>
        <v>1.32E-2</v>
      </c>
      <c r="E67" s="21">
        <f>'ERPs by country'!D73</f>
        <v>2.0743237044383835E-2</v>
      </c>
      <c r="F67" s="10">
        <f>'ERPs by country'!E73</f>
        <v>7.3846542568870452E-2</v>
      </c>
      <c r="G67" s="14">
        <f>'ERPs by country'!F73</f>
        <v>2.7846542568870453E-2</v>
      </c>
      <c r="H67" s="14">
        <f>'Country Tax Rates'!B67</f>
        <v>0.22</v>
      </c>
      <c r="I67" s="15" t="str">
        <f>VLOOKUP(A67,'Regional lookup table'!$A$2:$B$161,2)</f>
        <v>Asia</v>
      </c>
    </row>
    <row r="68" spans="1:9" ht="16">
      <c r="A68" s="8" t="str">
        <f>'Sovereign Ratings (Moody''s,S&amp;P)'!A68</f>
        <v>Iraq</v>
      </c>
      <c r="B68" s="125">
        <f>'Country GDP'!B68</f>
        <v>264182.17379310343</v>
      </c>
      <c r="C68" s="9" t="str">
        <f>'Sovereign Ratings (Moody''s,S&amp;P)'!C68</f>
        <v>Caa1</v>
      </c>
      <c r="D68" s="11">
        <f>'10-year CDS Spreads'!C68</f>
        <v>5.1400000000000001E-2</v>
      </c>
      <c r="E68" s="21">
        <f>'ERPs by country'!D74</f>
        <v>8.1692501446400528E-2</v>
      </c>
      <c r="F68" s="10">
        <f>'ERPs by country'!E74</f>
        <v>0.15566724789468733</v>
      </c>
      <c r="G68" s="14">
        <f>'ERPs by country'!F74</f>
        <v>0.10966724789468733</v>
      </c>
      <c r="H68" s="14">
        <f>'Country Tax Rates'!B68</f>
        <v>0.15</v>
      </c>
      <c r="I68" s="15" t="str">
        <f>VLOOKUP(A68,'Regional lookup table'!$A$2:$B$161,2)</f>
        <v>Middle East</v>
      </c>
    </row>
    <row r="69" spans="1:9" ht="16">
      <c r="A69" s="8" t="str">
        <f>'Sovereign Ratings (Moody''s,S&amp;P)'!A69</f>
        <v>Ireland</v>
      </c>
      <c r="B69" s="125">
        <f>'Country GDP'!B69</f>
        <v>533140.0118382764</v>
      </c>
      <c r="C69" s="9" t="str">
        <f>'Sovereign Ratings (Moody''s,S&amp;P)'!C69</f>
        <v>Aa3</v>
      </c>
      <c r="D69" s="11">
        <f>'10-year CDS Spreads'!C69</f>
        <v>4.1000000000000003E-3</v>
      </c>
      <c r="E69" s="21">
        <f>'ERPs by country'!D75</f>
        <v>6.5302783287875029E-3</v>
      </c>
      <c r="F69" s="10">
        <f>'ERPs by country'!E75</f>
        <v>5.4766504142051808E-2</v>
      </c>
      <c r="G69" s="14">
        <f>'ERPs by country'!F75</f>
        <v>8.7665041420518092E-3</v>
      </c>
      <c r="H69" s="14">
        <f>'Country Tax Rates'!B69</f>
        <v>0.125</v>
      </c>
      <c r="I69" s="15" t="str">
        <f>VLOOKUP(A69,'Regional lookup table'!$A$2:$B$161,2)</f>
        <v>Western Europe</v>
      </c>
    </row>
    <row r="70" spans="1:9" ht="16">
      <c r="A70" s="8" t="str">
        <f>'Sovereign Ratings (Moody''s,S&amp;P)'!A70</f>
        <v>Isle of Man</v>
      </c>
      <c r="B70" s="125">
        <f>'Country GDP'!B70</f>
        <v>6684.2292685054481</v>
      </c>
      <c r="C70" s="9" t="str">
        <f>'Sovereign Ratings (Moody''s,S&amp;P)'!C70</f>
        <v>Aa3</v>
      </c>
      <c r="D70" s="11" t="str">
        <f>'10-year CDS Spreads'!C70</f>
        <v>NA</v>
      </c>
      <c r="E70" s="21">
        <f>'ERPs by country'!D76</f>
        <v>6.5302783287875029E-3</v>
      </c>
      <c r="F70" s="10">
        <f>'ERPs by country'!E76</f>
        <v>5.4766504142051808E-2</v>
      </c>
      <c r="G70" s="14">
        <f>'ERPs by country'!F76</f>
        <v>8.7665041420518092E-3</v>
      </c>
      <c r="H70" s="14">
        <f>'Country Tax Rates'!B70</f>
        <v>0</v>
      </c>
      <c r="I70" s="15" t="str">
        <f>VLOOKUP(A70,'Regional lookup table'!$A$2:$B$161,2)</f>
        <v>Western Europe</v>
      </c>
    </row>
    <row r="71" spans="1:9" ht="16">
      <c r="A71" s="8" t="str">
        <f>'Sovereign Ratings (Moody''s,S&amp;P)'!A71</f>
        <v>Israel</v>
      </c>
      <c r="B71" s="125">
        <f>'Country GDP'!B71</f>
        <v>525002.44765277347</v>
      </c>
      <c r="C71" s="9" t="str">
        <f>'Sovereign Ratings (Moody''s,S&amp;P)'!C71</f>
        <v>A1</v>
      </c>
      <c r="D71" s="11">
        <f>'10-year CDS Spreads'!C71</f>
        <v>1.5699999999999999E-2</v>
      </c>
      <c r="E71" s="21">
        <f>'ERPs by country'!D77</f>
        <v>7.6826803868088279E-3</v>
      </c>
      <c r="F71" s="10">
        <f>'ERPs by country'!E77</f>
        <v>5.6313534284766834E-2</v>
      </c>
      <c r="G71" s="14">
        <f>'ERPs by country'!F77</f>
        <v>1.0313534284766834E-2</v>
      </c>
      <c r="H71" s="14">
        <f>'Country Tax Rates'!B71</f>
        <v>0.23</v>
      </c>
      <c r="I71" s="15" t="str">
        <f>VLOOKUP(A71,'Regional lookup table'!$A$2:$B$161,2)</f>
        <v>Middle East</v>
      </c>
    </row>
    <row r="72" spans="1:9" ht="16">
      <c r="A72" s="8" t="str">
        <f>'Sovereign Ratings (Moody''s,S&amp;P)'!A72</f>
        <v>Italy</v>
      </c>
      <c r="B72" s="125">
        <f>'Country GDP'!B72</f>
        <v>2049737.1654079845</v>
      </c>
      <c r="C72" s="9" t="str">
        <f>'Sovereign Ratings (Moody''s,S&amp;P)'!C72</f>
        <v>Baa3</v>
      </c>
      <c r="D72" s="11">
        <f>'10-year CDS Spreads'!C72</f>
        <v>1.34E-2</v>
      </c>
      <c r="E72" s="21">
        <f>'ERPs by country'!D78</f>
        <v>2.3944353872220846E-2</v>
      </c>
      <c r="F72" s="10">
        <f>'ERPs by country'!E78</f>
        <v>7.8143848520856624E-2</v>
      </c>
      <c r="G72" s="14">
        <f>'ERPs by country'!F78</f>
        <v>3.2143848520856631E-2</v>
      </c>
      <c r="H72" s="14">
        <f>'Country Tax Rates'!B72</f>
        <v>0.24</v>
      </c>
      <c r="I72" s="15" t="str">
        <f>VLOOKUP(A72,'Regional lookup table'!$A$2:$B$161,2)</f>
        <v>Western Europe</v>
      </c>
    </row>
    <row r="73" spans="1:9" ht="16">
      <c r="A73" s="8" t="str">
        <f>'Sovereign Ratings (Moody''s,S&amp;P)'!A73</f>
        <v>Jamaica</v>
      </c>
      <c r="B73" s="125">
        <f>'Country GDP'!B73</f>
        <v>17097.760723920146</v>
      </c>
      <c r="C73" s="9" t="str">
        <f>'Sovereign Ratings (Moody''s,S&amp;P)'!C73</f>
        <v>B1</v>
      </c>
      <c r="D73" s="11" t="str">
        <f>'10-year CDS Spreads'!C73</f>
        <v>NA</v>
      </c>
      <c r="E73" s="21">
        <f>'ERPs by country'!D79</f>
        <v>4.9041109802463012E-2</v>
      </c>
      <c r="F73" s="10">
        <f>'ERPs by country'!E79</f>
        <v>0.11183472718442829</v>
      </c>
      <c r="G73" s="14">
        <f>'ERPs by country'!F79</f>
        <v>6.5834727184428288E-2</v>
      </c>
      <c r="H73" s="14">
        <f>'Country Tax Rates'!B73</f>
        <v>0.25</v>
      </c>
      <c r="I73" s="15" t="str">
        <f>VLOOKUP(A73,'Regional lookup table'!$A$2:$B$161,2)</f>
        <v>Caribbean</v>
      </c>
    </row>
    <row r="74" spans="1:9" ht="16">
      <c r="A74" s="8" t="str">
        <f>'Sovereign Ratings (Moody''s,S&amp;P)'!A74</f>
        <v>Japan</v>
      </c>
      <c r="B74" s="125">
        <f>'Country GDP'!B74</f>
        <v>4232173.9160866737</v>
      </c>
      <c r="C74" s="9" t="str">
        <f>'Sovereign Ratings (Moody''s,S&amp;P)'!C74</f>
        <v>A1</v>
      </c>
      <c r="D74" s="11">
        <f>'10-year CDS Spreads'!C74</f>
        <v>4.3E-3</v>
      </c>
      <c r="E74" s="21">
        <f>'ERPs by country'!D80</f>
        <v>7.6826803868088279E-3</v>
      </c>
      <c r="F74" s="10">
        <f>'ERPs by country'!E80</f>
        <v>5.6313534284766834E-2</v>
      </c>
      <c r="G74" s="14">
        <f>'ERPs by country'!F80</f>
        <v>1.0313534284766834E-2</v>
      </c>
      <c r="H74" s="14">
        <f>'Country Tax Rates'!B74</f>
        <v>0.30620000000000003</v>
      </c>
      <c r="I74" s="15" t="str">
        <f>VLOOKUP(A74,'Regional lookup table'!$A$2:$B$161,2)</f>
        <v>Asia</v>
      </c>
    </row>
    <row r="75" spans="1:9" ht="16">
      <c r="A75" s="8" t="str">
        <f>'Sovereign Ratings (Moody''s,S&amp;P)'!A75</f>
        <v>Jersey (States of)</v>
      </c>
      <c r="B75" s="125">
        <f>'Country GDP'!B75</f>
        <v>4890</v>
      </c>
      <c r="C75" s="9" t="str">
        <f>'Sovereign Ratings (Moody''s,S&amp;P)'!C75</f>
        <v>Aa3</v>
      </c>
      <c r="D75" s="11" t="str">
        <f>'10-year CDS Spreads'!C75</f>
        <v>NA</v>
      </c>
      <c r="E75" s="21">
        <f>'ERPs by country'!D81</f>
        <v>6.5302783287875029E-3</v>
      </c>
      <c r="F75" s="10">
        <f>'ERPs by country'!E81</f>
        <v>5.4766504142051808E-2</v>
      </c>
      <c r="G75" s="14">
        <f>'ERPs by country'!F81</f>
        <v>8.7665041420518092E-3</v>
      </c>
      <c r="H75" s="14">
        <f>'Country Tax Rates'!B75</f>
        <v>0</v>
      </c>
      <c r="I75" s="15" t="str">
        <f>VLOOKUP(A75,'Regional lookup table'!$A$2:$B$161,2)</f>
        <v>Western Europe</v>
      </c>
    </row>
    <row r="76" spans="1:9" ht="16">
      <c r="A76" s="8" t="str">
        <f>'Sovereign Ratings (Moody''s,S&amp;P)'!A76</f>
        <v>Jordan</v>
      </c>
      <c r="B76" s="125">
        <f>'Country GDP'!B76</f>
        <v>48653.38178063972</v>
      </c>
      <c r="C76" s="9" t="str">
        <f>'Sovereign Ratings (Moody''s,S&amp;P)'!C76</f>
        <v>B1</v>
      </c>
      <c r="D76" s="11" t="str">
        <f>'10-year CDS Spreads'!C76</f>
        <v>NA</v>
      </c>
      <c r="E76" s="21">
        <f>'ERPs by country'!D82</f>
        <v>4.9041109802463012E-2</v>
      </c>
      <c r="F76" s="10">
        <f>'ERPs by country'!E82</f>
        <v>0.11183472718442829</v>
      </c>
      <c r="G76" s="14">
        <f>'ERPs by country'!F82</f>
        <v>6.5834727184428288E-2</v>
      </c>
      <c r="H76" s="14">
        <f>'Country Tax Rates'!B76</f>
        <v>0.2</v>
      </c>
      <c r="I76" s="15" t="str">
        <f>VLOOKUP(A76,'Regional lookup table'!$A$2:$B$161,2)</f>
        <v>Middle East</v>
      </c>
    </row>
    <row r="77" spans="1:9" ht="16">
      <c r="A77" s="8" t="str">
        <f>'Sovereign Ratings (Moody''s,S&amp;P)'!A77</f>
        <v>Kazakhstan</v>
      </c>
      <c r="B77" s="125">
        <f>'Country GDP'!B77</f>
        <v>225496.3289254941</v>
      </c>
      <c r="C77" s="9" t="str">
        <f>'Sovereign Ratings (Moody''s,S&amp;P)'!C77</f>
        <v>Baa2</v>
      </c>
      <c r="D77" s="11">
        <f>'10-year CDS Spreads'!C77</f>
        <v>1.7600000000000001E-2</v>
      </c>
      <c r="E77" s="21">
        <f>'ERPs by country'!D83</f>
        <v>2.0743237044383835E-2</v>
      </c>
      <c r="F77" s="10">
        <f>'ERPs by country'!E83</f>
        <v>7.3846542568870452E-2</v>
      </c>
      <c r="G77" s="14">
        <f>'ERPs by country'!F83</f>
        <v>2.7846542568870453E-2</v>
      </c>
      <c r="H77" s="14">
        <f>'Country Tax Rates'!B77</f>
        <v>0.2</v>
      </c>
      <c r="I77" s="15" t="str">
        <f>VLOOKUP(A77,'Regional lookup table'!$A$2:$B$161,2)</f>
        <v>Eastern Europe &amp; Russia</v>
      </c>
    </row>
    <row r="78" spans="1:9" ht="16">
      <c r="A78" s="8" t="str">
        <f>'Sovereign Ratings (Moody''s,S&amp;P)'!A78</f>
        <v>Kenya</v>
      </c>
      <c r="B78" s="125">
        <f>'Country GDP'!B78</f>
        <v>113420.00817879318</v>
      </c>
      <c r="C78" s="9" t="str">
        <f>'Sovereign Ratings (Moody''s,S&amp;P)'!C78</f>
        <v>B3</v>
      </c>
      <c r="D78" s="11">
        <f>'10-year CDS Spreads'!C78</f>
        <v>7.0400000000000004E-2</v>
      </c>
      <c r="E78" s="21">
        <f>'ERPs by country'!D84</f>
        <v>7.0808704231754685E-2</v>
      </c>
      <c r="F78" s="10">
        <f>'ERPs by country'!E84</f>
        <v>0.14105640765793431</v>
      </c>
      <c r="G78" s="14">
        <f>'ERPs by country'!F84</f>
        <v>9.5056407657934314E-2</v>
      </c>
      <c r="H78" s="14">
        <f>'Country Tax Rates'!B78</f>
        <v>0.3</v>
      </c>
      <c r="I78" s="15" t="str">
        <f>VLOOKUP(A78,'Regional lookup table'!$A$2:$B$161,2)</f>
        <v>Africa</v>
      </c>
    </row>
    <row r="79" spans="1:9" ht="16">
      <c r="A79" s="8" t="str">
        <f>'Sovereign Ratings (Moody''s,S&amp;P)'!A79</f>
        <v>Korea</v>
      </c>
      <c r="B79" s="125">
        <f>'Country GDP'!B79</f>
        <v>1673916.4690265576</v>
      </c>
      <c r="C79" s="9" t="str">
        <f>'Sovereign Ratings (Moody''s,S&amp;P)'!C79</f>
        <v>Aa2</v>
      </c>
      <c r="D79" s="11">
        <f>'10-year CDS Spreads'!C79</f>
        <v>3.7000000000000002E-3</v>
      </c>
      <c r="E79" s="21">
        <f>'ERPs by country'!D85</f>
        <v>5.3778762707661788E-3</v>
      </c>
      <c r="F79" s="10">
        <f>'ERPs by country'!E85</f>
        <v>5.3219473999336783E-2</v>
      </c>
      <c r="G79" s="14">
        <f>'ERPs by country'!F85</f>
        <v>7.2194739993367832E-3</v>
      </c>
      <c r="H79" s="14">
        <f>'Country Tax Rates'!B79</f>
        <v>0.25</v>
      </c>
      <c r="I79" s="15" t="str">
        <f>VLOOKUP(A79,'Regional lookup table'!$A$2:$B$161,2)</f>
        <v>Asia</v>
      </c>
    </row>
    <row r="80" spans="1:9" ht="16">
      <c r="A80" s="8" t="str">
        <f>'Sovereign Ratings (Moody''s,S&amp;P)'!A80</f>
        <v>Kuwait</v>
      </c>
      <c r="B80" s="125">
        <f>'Country GDP'!B80</f>
        <v>175363.26530612243</v>
      </c>
      <c r="C80" s="9" t="str">
        <f>'Sovereign Ratings (Moody''s,S&amp;P)'!C80</f>
        <v>A1</v>
      </c>
      <c r="D80" s="11">
        <f>'10-year CDS Spreads'!C80</f>
        <v>8.3000000000000001E-3</v>
      </c>
      <c r="E80" s="21">
        <f>'ERPs by country'!D86</f>
        <v>7.6826803868088279E-3</v>
      </c>
      <c r="F80" s="10">
        <f>'ERPs by country'!E86</f>
        <v>5.6313534284766834E-2</v>
      </c>
      <c r="G80" s="14">
        <f>'ERPs by country'!F86</f>
        <v>1.0313534284766834E-2</v>
      </c>
      <c r="H80" s="14">
        <f>'Country Tax Rates'!B80</f>
        <v>0.15</v>
      </c>
      <c r="I80" s="15" t="str">
        <f>VLOOKUP(A80,'Regional lookup table'!$A$2:$B$161,2)</f>
        <v>Middle East</v>
      </c>
    </row>
    <row r="81" spans="1:9" ht="16">
      <c r="A81" s="8" t="str">
        <f>'Sovereign Ratings (Moody''s,S&amp;P)'!A81</f>
        <v>Kyrgyzstan</v>
      </c>
      <c r="B81" s="125">
        <f>'Country GDP'!B81</f>
        <v>11543.966558842048</v>
      </c>
      <c r="C81" s="9" t="str">
        <f>'Sovereign Ratings (Moody''s,S&amp;P)'!C81</f>
        <v>B3</v>
      </c>
      <c r="D81" s="11" t="str">
        <f>'10-year CDS Spreads'!C81</f>
        <v>NA</v>
      </c>
      <c r="E81" s="21">
        <f>'ERPs by country'!D87</f>
        <v>7.0808704231754685E-2</v>
      </c>
      <c r="F81" s="10">
        <f>'ERPs by country'!E87</f>
        <v>0.14105640765793431</v>
      </c>
      <c r="G81" s="14">
        <f>'ERPs by country'!F87</f>
        <v>9.5056407657934314E-2</v>
      </c>
      <c r="H81" s="14">
        <f>'Country Tax Rates'!B81</f>
        <v>0.1</v>
      </c>
      <c r="I81" s="15" t="str">
        <f>VLOOKUP(A81,'Regional lookup table'!$A$2:$B$161,2)</f>
        <v>Eastern Europe &amp; Russia</v>
      </c>
    </row>
    <row r="82" spans="1:9" ht="16">
      <c r="A82" s="8" t="str">
        <f>'Sovereign Ratings (Moody''s,S&amp;P)'!A82</f>
        <v>Laos</v>
      </c>
      <c r="B82" s="125">
        <f>'Country GDP'!B82</f>
        <v>15468.785203753174</v>
      </c>
      <c r="C82" s="9" t="str">
        <f>'Sovereign Ratings (Moody''s,S&amp;P)'!C82</f>
        <v>Caa3</v>
      </c>
      <c r="D82" s="11" t="str">
        <f>'10-year CDS Spreads'!C82</f>
        <v>NA</v>
      </c>
      <c r="E82" s="21">
        <f>'ERPs by country'!D88</f>
        <v>0.10896601681957188</v>
      </c>
      <c r="F82" s="10">
        <f>'ERPs by country'!E88</f>
        <v>0.19228029460560964</v>
      </c>
      <c r="G82" s="14">
        <f>'ERPs by country'!F88</f>
        <v>0.14628029460560962</v>
      </c>
      <c r="H82" s="14">
        <f>'Country Tax Rates'!B82</f>
        <v>0.26860000000000001</v>
      </c>
      <c r="I82" s="15" t="str">
        <f>VLOOKUP(A82,'Regional lookup table'!$A$2:$B$161,2)</f>
        <v>Asia</v>
      </c>
    </row>
    <row r="83" spans="1:9" ht="16">
      <c r="A83" s="8" t="str">
        <f>'Sovereign Ratings (Moody''s,S&amp;P)'!A83</f>
        <v>Latvia</v>
      </c>
      <c r="B83" s="125">
        <f>'Country GDP'!B83</f>
        <v>40932.030049564361</v>
      </c>
      <c r="C83" s="9" t="str">
        <f>'Sovereign Ratings (Moody''s,S&amp;P)'!C83</f>
        <v>A3</v>
      </c>
      <c r="D83" s="11">
        <f>'10-year CDS Spreads'!C83</f>
        <v>9.4000000000000004E-3</v>
      </c>
      <c r="E83" s="21">
        <f>'ERPs by country'!D89</f>
        <v>1.3060556657575006E-2</v>
      </c>
      <c r="F83" s="10">
        <f>'ERPs by country'!E89</f>
        <v>6.3533008284103618E-2</v>
      </c>
      <c r="G83" s="14">
        <f>'ERPs by country'!F89</f>
        <v>1.7533008284103618E-2</v>
      </c>
      <c r="H83" s="14">
        <f>'Country Tax Rates'!B83</f>
        <v>0.2</v>
      </c>
      <c r="I83" s="15" t="str">
        <f>VLOOKUP(A83,'Regional lookup table'!$A$2:$B$161,2)</f>
        <v>Eastern Europe &amp; Russia</v>
      </c>
    </row>
    <row r="84" spans="1:9" ht="16">
      <c r="A84" s="8" t="str">
        <f>'Sovereign Ratings (Moody''s,S&amp;P)'!A84</f>
        <v>Lebanon</v>
      </c>
      <c r="B84" s="125">
        <f>'Country GDP'!B84</f>
        <v>23131.941556784346</v>
      </c>
      <c r="C84" s="9" t="str">
        <f>'Sovereign Ratings (Moody''s,S&amp;P)'!C84</f>
        <v>C</v>
      </c>
      <c r="D84" s="11" t="str">
        <f>'10-year CDS Spreads'!C84</f>
        <v>NA</v>
      </c>
      <c r="E84" s="21">
        <f>'ERPs by country'!D90</f>
        <v>0.17499999999999999</v>
      </c>
      <c r="F84" s="10">
        <f>'ERPs by country'!E90</f>
        <v>0.28092692770782934</v>
      </c>
      <c r="G84" s="14">
        <f>'ERPs by country'!F90</f>
        <v>0.23492692770782936</v>
      </c>
      <c r="H84" s="14">
        <f>'Country Tax Rates'!B84</f>
        <v>0.17</v>
      </c>
      <c r="I84" s="15" t="str">
        <f>VLOOKUP(A84,'Regional lookup table'!$A$2:$B$161,2)</f>
        <v>Middle East</v>
      </c>
    </row>
    <row r="85" spans="1:9" ht="16">
      <c r="A85" s="8" t="str">
        <f>'Sovereign Ratings (Moody''s,S&amp;P)'!A85</f>
        <v>Liechtenstein</v>
      </c>
      <c r="B85" s="125">
        <f>'Country GDP'!B85</f>
        <v>7710.380085922573</v>
      </c>
      <c r="C85" s="9" t="str">
        <f>'Sovereign Ratings (Moody''s,S&amp;P)'!C85</f>
        <v>Aaa</v>
      </c>
      <c r="D85" s="11" t="str">
        <f>'10-year CDS Spreads'!C85</f>
        <v>NA</v>
      </c>
      <c r="E85" s="21">
        <f>'ERPs by country'!D91</f>
        <v>0</v>
      </c>
      <c r="F85" s="10">
        <f>'ERPs by country'!E91</f>
        <v>4.5999999999999999E-2</v>
      </c>
      <c r="G85" s="14">
        <f>'ERPs by country'!F91</f>
        <v>0</v>
      </c>
      <c r="H85" s="14">
        <f>'Country Tax Rates'!B85</f>
        <v>0.125</v>
      </c>
      <c r="I85" s="15" t="str">
        <f>VLOOKUP(A85,'Regional lookup table'!$A$2:$B$161,2)</f>
        <v>Western Europe</v>
      </c>
    </row>
    <row r="86" spans="1:9" ht="16">
      <c r="A86" s="8" t="str">
        <f>'Sovereign Ratings (Moody''s,S&amp;P)'!A86</f>
        <v>Lithuania</v>
      </c>
      <c r="B86" s="125">
        <f>'Country GDP'!B86</f>
        <v>70974.490450494442</v>
      </c>
      <c r="C86" s="9" t="str">
        <f>'Sovereign Ratings (Moody''s,S&amp;P)'!C86</f>
        <v>A2</v>
      </c>
      <c r="D86" s="11">
        <f>'10-year CDS Spreads'!C86</f>
        <v>8.9999999999999993E-3</v>
      </c>
      <c r="E86" s="21">
        <f>'ERPs by country'!D92</f>
        <v>9.2192164641705932E-3</v>
      </c>
      <c r="F86" s="10">
        <f>'ERPs by country'!E92</f>
        <v>5.83762411417202E-2</v>
      </c>
      <c r="G86" s="14">
        <f>'ERPs by country'!F92</f>
        <v>1.2376241141720201E-2</v>
      </c>
      <c r="H86" s="14">
        <f>'Country Tax Rates'!B86</f>
        <v>0.15</v>
      </c>
      <c r="I86" s="15" t="str">
        <f>VLOOKUP(A86,'Regional lookup table'!$A$2:$B$161,2)</f>
        <v>Eastern Europe &amp; Russia</v>
      </c>
    </row>
    <row r="87" spans="1:9" ht="16">
      <c r="A87" s="8" t="str">
        <f>'Sovereign Ratings (Moody''s,S&amp;P)'!A87</f>
        <v>Luxembourg</v>
      </c>
      <c r="B87" s="125">
        <f>'Country GDP'!B87</f>
        <v>81641.807865759081</v>
      </c>
      <c r="C87" s="9" t="str">
        <f>'Sovereign Ratings (Moody''s,S&amp;P)'!C87</f>
        <v>Aaa</v>
      </c>
      <c r="D87" s="11" t="str">
        <f>'10-year CDS Spreads'!C87</f>
        <v>NA</v>
      </c>
      <c r="E87" s="21">
        <f>'ERPs by country'!D93</f>
        <v>0</v>
      </c>
      <c r="F87" s="10">
        <f>'ERPs by country'!E93</f>
        <v>4.5999999999999999E-2</v>
      </c>
      <c r="G87" s="14">
        <f>'ERPs by country'!F93</f>
        <v>0</v>
      </c>
      <c r="H87" s="14">
        <f>'Country Tax Rates'!B87</f>
        <v>0.24940000000000001</v>
      </c>
      <c r="I87" s="15" t="str">
        <f>VLOOKUP(A87,'Regional lookup table'!$A$2:$B$161,2)</f>
        <v>Western Europe</v>
      </c>
    </row>
    <row r="88" spans="1:9" ht="16">
      <c r="A88" s="8" t="str">
        <f>'Sovereign Ratings (Moody''s,S&amp;P)'!A88</f>
        <v>Macao</v>
      </c>
      <c r="B88" s="125">
        <f>'Country GDP'!B88</f>
        <v>24042.287326572936</v>
      </c>
      <c r="C88" s="9" t="str">
        <f>'Sovereign Ratings (Moody''s,S&amp;P)'!C88</f>
        <v>Aa3</v>
      </c>
      <c r="D88" s="11" t="str">
        <f>'10-year CDS Spreads'!C88</f>
        <v>NA</v>
      </c>
      <c r="E88" s="21">
        <f>'ERPs by country'!D94</f>
        <v>6.5302783287875029E-3</v>
      </c>
      <c r="F88" s="10">
        <f>'ERPs by country'!E94</f>
        <v>5.4766504142051808E-2</v>
      </c>
      <c r="G88" s="14">
        <f>'ERPs by country'!F94</f>
        <v>8.7665041420518092E-3</v>
      </c>
      <c r="H88" s="14">
        <f>'Country Tax Rates'!B88</f>
        <v>0.26860000000000001</v>
      </c>
      <c r="I88" s="15" t="str">
        <f>VLOOKUP(A88,'Regional lookup table'!$A$2:$B$161,2)</f>
        <v>Asia</v>
      </c>
    </row>
    <row r="89" spans="1:9" ht="16">
      <c r="A89" s="8" t="str">
        <f>'Sovereign Ratings (Moody''s,S&amp;P)'!A89</f>
        <v>Macedonia</v>
      </c>
      <c r="B89" s="125">
        <f>'Country GDP'!B89</f>
        <v>13563.132102166315</v>
      </c>
      <c r="C89" s="9" t="str">
        <f>'Sovereign Ratings (Moody''s,S&amp;P)'!C89</f>
        <v>Ba3</v>
      </c>
      <c r="D89" s="11" t="str">
        <f>'10-year CDS Spreads'!C89</f>
        <v>NA</v>
      </c>
      <c r="E89" s="21">
        <f>'ERPs by country'!D95</f>
        <v>3.9181669972725021E-2</v>
      </c>
      <c r="F89" s="10">
        <f>'ERPs by country'!E95</f>
        <v>9.8599024852310854E-2</v>
      </c>
      <c r="G89" s="14">
        <f>'ERPs by country'!F95</f>
        <v>5.2599024852310855E-2</v>
      </c>
      <c r="H89" s="14">
        <f>'Country Tax Rates'!B89</f>
        <v>0.1</v>
      </c>
      <c r="I89" s="15" t="str">
        <f>VLOOKUP(A89,'Regional lookup table'!$A$2:$B$161,2)</f>
        <v>Eastern Europe &amp; Russia</v>
      </c>
    </row>
    <row r="90" spans="1:9" ht="16">
      <c r="A90" s="8" t="str">
        <f>'Sovereign Ratings (Moody''s,S&amp;P)'!A90</f>
        <v>Malaysia</v>
      </c>
      <c r="B90" s="125">
        <f>'Country GDP'!B90</f>
        <v>407027.45171461598</v>
      </c>
      <c r="C90" s="9" t="str">
        <f>'Sovereign Ratings (Moody''s,S&amp;P)'!C90</f>
        <v>A3</v>
      </c>
      <c r="D90" s="11">
        <f>'10-year CDS Spreads'!C90</f>
        <v>8.6E-3</v>
      </c>
      <c r="E90" s="21">
        <f>'ERPs by country'!D96</f>
        <v>1.3060556657575006E-2</v>
      </c>
      <c r="F90" s="10">
        <f>'ERPs by country'!E96</f>
        <v>6.3533008284103618E-2</v>
      </c>
      <c r="G90" s="14">
        <f>'ERPs by country'!F96</f>
        <v>1.7533008284103618E-2</v>
      </c>
      <c r="H90" s="14">
        <f>'Country Tax Rates'!B90</f>
        <v>0.24</v>
      </c>
      <c r="I90" s="15" t="str">
        <f>VLOOKUP(A90,'Regional lookup table'!$A$2:$B$161,2)</f>
        <v>Asia</v>
      </c>
    </row>
    <row r="91" spans="1:9" ht="16">
      <c r="A91" s="8" t="str">
        <f>'Sovereign Ratings (Moody''s,S&amp;P)'!A91</f>
        <v>Maldives</v>
      </c>
      <c r="B91" s="125">
        <f>'Country GDP'!B91</f>
        <v>6170.6387469650035</v>
      </c>
      <c r="C91" s="9" t="str">
        <f>'Sovereign Ratings (Moody''s,S&amp;P)'!C91</f>
        <v>Caa1</v>
      </c>
      <c r="D91" s="11" t="str">
        <f>'10-year CDS Spreads'!C91</f>
        <v>NA</v>
      </c>
      <c r="E91" s="21">
        <f>'ERPs by country'!D97</f>
        <v>8.1692501446400528E-2</v>
      </c>
      <c r="F91" s="10">
        <f>'ERPs by country'!E97</f>
        <v>0.15566724789468733</v>
      </c>
      <c r="G91" s="14">
        <f>'ERPs by country'!F97</f>
        <v>0.10966724789468733</v>
      </c>
      <c r="H91" s="14">
        <f>'Country Tax Rates'!B91</f>
        <v>0.26860000000000001</v>
      </c>
      <c r="I91" s="15" t="str">
        <f>VLOOKUP(A91,'Regional lookup table'!$A$2:$B$161,2)</f>
        <v>Asia</v>
      </c>
    </row>
    <row r="92" spans="1:9" ht="16">
      <c r="A92" s="8" t="str">
        <f>'Sovereign Ratings (Moody''s,S&amp;P)'!A92</f>
        <v>Mali</v>
      </c>
      <c r="B92" s="125">
        <f>'Country GDP'!B92</f>
        <v>18827.176529698252</v>
      </c>
      <c r="C92" s="9" t="str">
        <f>'Sovereign Ratings (Moody''s,S&amp;P)'!C92</f>
        <v>Caa2</v>
      </c>
      <c r="D92" s="11" t="str">
        <f>'10-year CDS Spreads'!C92</f>
        <v>NA</v>
      </c>
      <c r="E92" s="21">
        <f>'ERPs by country'!D98</f>
        <v>9.8082219604926024E-2</v>
      </c>
      <c r="F92" s="10">
        <f>'ERPs by country'!E98</f>
        <v>0.17766945436885656</v>
      </c>
      <c r="G92" s="14">
        <f>'ERPs by country'!F98</f>
        <v>0.13166945436885658</v>
      </c>
      <c r="H92" s="14">
        <f>'Country Tax Rates'!B92</f>
        <v>0.26860000000000001</v>
      </c>
      <c r="I92" s="15" t="str">
        <f>VLOOKUP(A92,'Regional lookup table'!$A$2:$B$161,2)</f>
        <v>Africa</v>
      </c>
    </row>
    <row r="93" spans="1:9" ht="16">
      <c r="A93" s="8" t="str">
        <f>'Sovereign Ratings (Moody''s,S&amp;P)'!A93</f>
        <v>Malta</v>
      </c>
      <c r="B93" s="125">
        <f>'Country GDP'!B93</f>
        <v>18125.564514266385</v>
      </c>
      <c r="C93" s="9" t="str">
        <f>'Sovereign Ratings (Moody''s,S&amp;P)'!C93</f>
        <v>A2</v>
      </c>
      <c r="D93" s="11" t="str">
        <f>'10-year CDS Spreads'!C93</f>
        <v>NA</v>
      </c>
      <c r="E93" s="21">
        <f>'ERPs by country'!D99</f>
        <v>9.2192164641705932E-3</v>
      </c>
      <c r="F93" s="10">
        <f>'ERPs by country'!E99</f>
        <v>5.83762411417202E-2</v>
      </c>
      <c r="G93" s="14">
        <f>'ERPs by country'!F99</f>
        <v>1.2376241141720201E-2</v>
      </c>
      <c r="H93" s="14">
        <f>'Country Tax Rates'!B93</f>
        <v>0.35</v>
      </c>
      <c r="I93" s="15" t="str">
        <f>VLOOKUP(A93,'Regional lookup table'!$A$2:$B$161,2)</f>
        <v>Western Europe</v>
      </c>
    </row>
    <row r="94" spans="1:9" ht="16">
      <c r="A94" s="8" t="str">
        <f>'Sovereign Ratings (Moody''s,S&amp;P)'!A94</f>
        <v>Mauritius</v>
      </c>
      <c r="B94" s="125">
        <f>'Country GDP'!B94</f>
        <v>12948.726653810985</v>
      </c>
      <c r="C94" s="9" t="str">
        <f>'Sovereign Ratings (Moody''s,S&amp;P)'!C94</f>
        <v>Baa3</v>
      </c>
      <c r="D94" s="11" t="str">
        <f>'10-year CDS Spreads'!C94</f>
        <v>NA</v>
      </c>
      <c r="E94" s="21">
        <f>'ERPs by country'!D100</f>
        <v>2.3944353872220846E-2</v>
      </c>
      <c r="F94" s="10">
        <f>'ERPs by country'!E100</f>
        <v>7.8143848520856624E-2</v>
      </c>
      <c r="G94" s="14">
        <f>'ERPs by country'!F100</f>
        <v>3.2143848520856631E-2</v>
      </c>
      <c r="H94" s="14">
        <f>'Country Tax Rates'!B94</f>
        <v>0.15</v>
      </c>
      <c r="I94" s="15" t="str">
        <f>VLOOKUP(A94,'Regional lookup table'!$A$2:$B$161,2)</f>
        <v>Africa</v>
      </c>
    </row>
    <row r="95" spans="1:9" ht="16">
      <c r="A95" s="8" t="str">
        <f>'Sovereign Ratings (Moody''s,S&amp;P)'!A95</f>
        <v>Mexico</v>
      </c>
      <c r="B95" s="125">
        <f>'Country GDP'!B95</f>
        <v>1465854.0892864685</v>
      </c>
      <c r="C95" s="9" t="str">
        <f>'Sovereign Ratings (Moody''s,S&amp;P)'!C95</f>
        <v>Baa2</v>
      </c>
      <c r="D95" s="11">
        <f>'10-year CDS Spreads'!C95</f>
        <v>1.6799999999999999E-2</v>
      </c>
      <c r="E95" s="21">
        <f>'ERPs by country'!D101</f>
        <v>2.0743237044383835E-2</v>
      </c>
      <c r="F95" s="10">
        <f>'ERPs by country'!E101</f>
        <v>7.3846542568870452E-2</v>
      </c>
      <c r="G95" s="14">
        <f>'ERPs by country'!F101</f>
        <v>2.7846542568870453E-2</v>
      </c>
      <c r="H95" s="14">
        <f>'Country Tax Rates'!B95</f>
        <v>0.3</v>
      </c>
      <c r="I95" s="15" t="str">
        <f>VLOOKUP(A95,'Regional lookup table'!$A$2:$B$161,2)</f>
        <v>Central and South America</v>
      </c>
    </row>
    <row r="96" spans="1:9" ht="16">
      <c r="A96" s="8" t="str">
        <f>'Sovereign Ratings (Moody''s,S&amp;P)'!A96</f>
        <v>Moldova</v>
      </c>
      <c r="B96" s="125">
        <f>'Country GDP'!B96</f>
        <v>14508.333280423281</v>
      </c>
      <c r="C96" s="9" t="str">
        <f>'Sovereign Ratings (Moody''s,S&amp;P)'!C96</f>
        <v>B3</v>
      </c>
      <c r="D96" s="11" t="str">
        <f>'10-year CDS Spreads'!C96</f>
        <v>NA</v>
      </c>
      <c r="E96" s="21">
        <f>'ERPs by country'!D102</f>
        <v>7.0808704231754685E-2</v>
      </c>
      <c r="F96" s="10">
        <f>'ERPs by country'!E102</f>
        <v>0.14105640765793431</v>
      </c>
      <c r="G96" s="14">
        <f>'ERPs by country'!F102</f>
        <v>9.5056407657934314E-2</v>
      </c>
      <c r="H96" s="14">
        <f>'Country Tax Rates'!B96</f>
        <v>0.12</v>
      </c>
      <c r="I96" s="15" t="str">
        <f>VLOOKUP(A96,'Regional lookup table'!$A$2:$B$161,2)</f>
        <v>Eastern Europe &amp; Russia</v>
      </c>
    </row>
    <row r="97" spans="1:9" ht="16">
      <c r="A97" s="8" t="str">
        <f>'Sovereign Ratings (Moody''s,S&amp;P)'!A97</f>
        <v>Mongolia</v>
      </c>
      <c r="B97" s="125">
        <f>'Country GDP'!B97</f>
        <v>17146.471626396327</v>
      </c>
      <c r="C97" s="9" t="str">
        <f>'Sovereign Ratings (Moody''s,S&amp;P)'!C97</f>
        <v>B3</v>
      </c>
      <c r="D97" s="11" t="str">
        <f>'10-year CDS Spreads'!C97</f>
        <v>NA</v>
      </c>
      <c r="E97" s="21">
        <f>'ERPs by country'!D103</f>
        <v>7.0808704231754685E-2</v>
      </c>
      <c r="F97" s="10">
        <f>'ERPs by country'!E103</f>
        <v>0.14105640765793431</v>
      </c>
      <c r="G97" s="14">
        <f>'ERPs by country'!F103</f>
        <v>9.5056407657934314E-2</v>
      </c>
      <c r="H97" s="14">
        <f>'Country Tax Rates'!B97</f>
        <v>0.25</v>
      </c>
      <c r="I97" s="15" t="str">
        <f>VLOOKUP(A97,'Regional lookup table'!$A$2:$B$161,2)</f>
        <v>Asia</v>
      </c>
    </row>
    <row r="98" spans="1:9" ht="16">
      <c r="A98" s="8" t="str">
        <f>'Sovereign Ratings (Moody''s,S&amp;P)'!A98</f>
        <v>Montenegro</v>
      </c>
      <c r="B98" s="125">
        <f>'Country GDP'!B98</f>
        <v>6229.8015807915735</v>
      </c>
      <c r="C98" s="9" t="str">
        <f>'Sovereign Ratings (Moody''s,S&amp;P)'!C98</f>
        <v>B1</v>
      </c>
      <c r="D98" s="11" t="str">
        <f>'10-year CDS Spreads'!C98</f>
        <v>NA</v>
      </c>
      <c r="E98" s="21">
        <f>'ERPs by country'!D104</f>
        <v>4.9041109802463012E-2</v>
      </c>
      <c r="F98" s="10">
        <f>'ERPs by country'!E104</f>
        <v>0.11183472718442829</v>
      </c>
      <c r="G98" s="14">
        <f>'ERPs by country'!F104</f>
        <v>6.5834727184428288E-2</v>
      </c>
      <c r="H98" s="14">
        <f>'Country Tax Rates'!B98</f>
        <v>0.15</v>
      </c>
      <c r="I98" s="15" t="str">
        <f>VLOOKUP(A98,'Regional lookup table'!$A$2:$B$161,2)</f>
        <v>Eastern Europe &amp; Russia</v>
      </c>
    </row>
    <row r="99" spans="1:9" ht="16">
      <c r="A99" s="8" t="str">
        <f>'Sovereign Ratings (Moody''s,S&amp;P)'!A99</f>
        <v>Montserrat</v>
      </c>
      <c r="B99" s="125">
        <f>'Country GDP'!B99</f>
        <v>16199</v>
      </c>
      <c r="C99" s="9" t="str">
        <f>'Sovereign Ratings (Moody''s,S&amp;P)'!C99</f>
        <v>Baa3</v>
      </c>
      <c r="D99" s="11" t="str">
        <f>'10-year CDS Spreads'!C99</f>
        <v>NA</v>
      </c>
      <c r="E99" s="21">
        <f>'ERPs by country'!D105</f>
        <v>2.3944353872220846E-2</v>
      </c>
      <c r="F99" s="10">
        <f>'ERPs by country'!E105</f>
        <v>7.8143848520856624E-2</v>
      </c>
      <c r="G99" s="14">
        <f>'ERPs by country'!F105</f>
        <v>3.2143848520856631E-2</v>
      </c>
      <c r="H99" s="14">
        <f>'Country Tax Rates'!B99</f>
        <v>0.2853</v>
      </c>
      <c r="I99" s="15" t="str">
        <f>VLOOKUP(A99,'Regional lookup table'!$A$2:$B$161,2)</f>
        <v>Caribbean</v>
      </c>
    </row>
    <row r="100" spans="1:9" ht="16">
      <c r="A100" s="8" t="str">
        <f>'Sovereign Ratings (Moody''s,S&amp;P)'!A100</f>
        <v>Morocco</v>
      </c>
      <c r="B100" s="125">
        <f>'Country GDP'!B100</f>
        <v>130912.55882983979</v>
      </c>
      <c r="C100" s="9" t="str">
        <f>'Sovereign Ratings (Moody''s,S&amp;P)'!C100</f>
        <v>Ba1</v>
      </c>
      <c r="D100" s="11">
        <f>'10-year CDS Spreads'!C100</f>
        <v>1.9E-2</v>
      </c>
      <c r="E100" s="21">
        <f>'ERPs by country'!D106</f>
        <v>2.7273515373171343E-2</v>
      </c>
      <c r="F100" s="10">
        <f>'ERPs by country'!E106</f>
        <v>8.2613046710922261E-2</v>
      </c>
      <c r="G100" s="14">
        <f>'ERPs by country'!F106</f>
        <v>3.6613046710922269E-2</v>
      </c>
      <c r="H100" s="14">
        <f>'Country Tax Rates'!B100</f>
        <v>0.32</v>
      </c>
      <c r="I100" s="15" t="str">
        <f>VLOOKUP(A100,'Regional lookup table'!$A$2:$B$161,2)</f>
        <v>Africa</v>
      </c>
    </row>
    <row r="101" spans="1:9" ht="16">
      <c r="A101" s="8" t="str">
        <f>'Sovereign Ratings (Moody''s,S&amp;P)'!A101</f>
        <v>Mozambique</v>
      </c>
      <c r="B101" s="125">
        <f>'Country GDP'!B101</f>
        <v>18406.835954669532</v>
      </c>
      <c r="C101" s="9" t="str">
        <f>'Sovereign Ratings (Moody''s,S&amp;P)'!C101</f>
        <v>Caa2</v>
      </c>
      <c r="D101" s="11" t="str">
        <f>'10-year CDS Spreads'!C101</f>
        <v>NA</v>
      </c>
      <c r="E101" s="21">
        <f>'ERPs by country'!D107</f>
        <v>9.8082219604926024E-2</v>
      </c>
      <c r="F101" s="10">
        <f>'ERPs by country'!E107</f>
        <v>0.17766945436885656</v>
      </c>
      <c r="G101" s="14">
        <f>'ERPs by country'!F107</f>
        <v>0.13166945436885658</v>
      </c>
      <c r="H101" s="14">
        <f>'Country Tax Rates'!B101</f>
        <v>0.32</v>
      </c>
      <c r="I101" s="15" t="str">
        <f>VLOOKUP(A101,'Regional lookup table'!$A$2:$B$161,2)</f>
        <v>Africa</v>
      </c>
    </row>
    <row r="102" spans="1:9" ht="16">
      <c r="A102" s="8" t="str">
        <f>'Sovereign Ratings (Moody''s,S&amp;P)'!A102</f>
        <v>Namibia</v>
      </c>
      <c r="B102" s="125">
        <f>'Country GDP'!B102</f>
        <v>12914.932655685012</v>
      </c>
      <c r="C102" s="9" t="str">
        <f>'Sovereign Ratings (Moody''s,S&amp;P)'!C102</f>
        <v>B1</v>
      </c>
      <c r="D102" s="11" t="str">
        <f>'10-year CDS Spreads'!C102</f>
        <v>NA</v>
      </c>
      <c r="E102" s="21">
        <f>'ERPs by country'!D108</f>
        <v>4.9041109802463012E-2</v>
      </c>
      <c r="F102" s="10">
        <f>'ERPs by country'!E108</f>
        <v>0.11183472718442829</v>
      </c>
      <c r="G102" s="14">
        <f>'ERPs by country'!F108</f>
        <v>6.5834727184428288E-2</v>
      </c>
      <c r="H102" s="14">
        <f>'Country Tax Rates'!B102</f>
        <v>0.32</v>
      </c>
      <c r="I102" s="15" t="str">
        <f>VLOOKUP(A102,'Regional lookup table'!$A$2:$B$161,2)</f>
        <v>Africa</v>
      </c>
    </row>
    <row r="103" spans="1:9" ht="16">
      <c r="A103" s="8" t="str">
        <f>'Sovereign Ratings (Moody''s,S&amp;P)'!A103</f>
        <v>Netherlands</v>
      </c>
      <c r="B103" s="125">
        <f>'Country GDP'!B103</f>
        <v>1009398.7190330778</v>
      </c>
      <c r="C103" s="9" t="str">
        <f>'Sovereign Ratings (Moody''s,S&amp;P)'!C103</f>
        <v>Aaa</v>
      </c>
      <c r="D103" s="11">
        <f>'10-year CDS Spreads'!C103</f>
        <v>2.3999999999999998E-3</v>
      </c>
      <c r="E103" s="21">
        <f>'ERPs by country'!D109</f>
        <v>0</v>
      </c>
      <c r="F103" s="10">
        <f>'ERPs by country'!E109</f>
        <v>4.5999999999999999E-2</v>
      </c>
      <c r="G103" s="14">
        <f>'ERPs by country'!F109</f>
        <v>0</v>
      </c>
      <c r="H103" s="14">
        <f>'Country Tax Rates'!B103</f>
        <v>0.25800000000000001</v>
      </c>
      <c r="I103" s="15" t="str">
        <f>VLOOKUP(A103,'Regional lookup table'!$A$2:$B$161,2)</f>
        <v>Western Europe</v>
      </c>
    </row>
    <row r="104" spans="1:9" ht="16">
      <c r="A104" s="8" t="str">
        <f>'Sovereign Ratings (Moody''s,S&amp;P)'!A104</f>
        <v>New Zealand</v>
      </c>
      <c r="B104" s="125">
        <f>'Country GDP'!B104</f>
        <v>248101.70554139902</v>
      </c>
      <c r="C104" s="9" t="str">
        <f>'Sovereign Ratings (Moody''s,S&amp;P)'!C104</f>
        <v>Aaa</v>
      </c>
      <c r="D104" s="11">
        <f>'10-year CDS Spreads'!C104</f>
        <v>2.8999999999999998E-3</v>
      </c>
      <c r="E104" s="21">
        <f>'ERPs by country'!D110</f>
        <v>0</v>
      </c>
      <c r="F104" s="10">
        <f>'ERPs by country'!E110</f>
        <v>4.5999999999999999E-2</v>
      </c>
      <c r="G104" s="14">
        <f>'ERPs by country'!F110</f>
        <v>0</v>
      </c>
      <c r="H104" s="14">
        <f>'Country Tax Rates'!B104</f>
        <v>0.28000000000000003</v>
      </c>
      <c r="I104" s="15" t="str">
        <f>VLOOKUP(A104,'Regional lookup table'!$A$2:$B$161,2)</f>
        <v>Australia &amp; New Zealand</v>
      </c>
    </row>
    <row r="105" spans="1:9" ht="16">
      <c r="A105" s="8" t="str">
        <f>'Sovereign Ratings (Moody''s,S&amp;P)'!A105</f>
        <v>Nicaragua</v>
      </c>
      <c r="B105" s="125">
        <f>'Country GDP'!B105</f>
        <v>15671.583939988886</v>
      </c>
      <c r="C105" s="9" t="str">
        <f>'Sovereign Ratings (Moody''s,S&amp;P)'!C105</f>
        <v>B3</v>
      </c>
      <c r="D105" s="11">
        <f>'10-year CDS Spreads'!C105</f>
        <v>4.8899999999999999E-2</v>
      </c>
      <c r="E105" s="21">
        <f>'ERPs by country'!D111</f>
        <v>7.0808704231754685E-2</v>
      </c>
      <c r="F105" s="10">
        <f>'ERPs by country'!E111</f>
        <v>0.14105640765793431</v>
      </c>
      <c r="G105" s="14">
        <f>'ERPs by country'!F111</f>
        <v>9.5056407657934314E-2</v>
      </c>
      <c r="H105" s="14">
        <f>'Country Tax Rates'!B105</f>
        <v>0.3</v>
      </c>
      <c r="I105" s="15" t="str">
        <f>VLOOKUP(A105,'Regional lookup table'!$A$2:$B$161,2)</f>
        <v>Central and South America</v>
      </c>
    </row>
    <row r="106" spans="1:9" ht="16">
      <c r="A106" s="8" t="str">
        <f>'Sovereign Ratings (Moody''s,S&amp;P)'!A106</f>
        <v>Niger</v>
      </c>
      <c r="B106" s="125">
        <f>'Country GDP'!B106</f>
        <v>15342.278919400891</v>
      </c>
      <c r="C106" s="9" t="str">
        <f>'Sovereign Ratings (Moody''s,S&amp;P)'!C106</f>
        <v>Caa2</v>
      </c>
      <c r="D106" s="11" t="str">
        <f>'10-year CDS Spreads'!C106</f>
        <v>NA</v>
      </c>
      <c r="E106" s="21">
        <f>'ERPs by country'!D112</f>
        <v>9.8082219604926024E-2</v>
      </c>
      <c r="F106" s="10">
        <f>'ERPs by country'!E112</f>
        <v>0.17766945436885656</v>
      </c>
      <c r="G106" s="14">
        <f>'ERPs by country'!F112</f>
        <v>0.13166945436885658</v>
      </c>
      <c r="H106" s="14">
        <f>'Country Tax Rates'!B106</f>
        <v>0.26860000000000001</v>
      </c>
      <c r="I106" s="15" t="str">
        <f>VLOOKUP(A106,'Regional lookup table'!$A$2:$B$161,2)</f>
        <v>Africa</v>
      </c>
    </row>
    <row r="107" spans="1:9" ht="16">
      <c r="A107" s="8" t="str">
        <f>'Sovereign Ratings (Moody''s,S&amp;P)'!A107</f>
        <v>Nigeria</v>
      </c>
      <c r="B107" s="125">
        <f>'Country GDP'!B107</f>
        <v>472624.59740289778</v>
      </c>
      <c r="C107" s="9" t="str">
        <f>'Sovereign Ratings (Moody''s,S&amp;P)'!C107</f>
        <v>Caa1</v>
      </c>
      <c r="D107" s="11">
        <f>'10-year CDS Spreads'!C107</f>
        <v>6.4399999999999999E-2</v>
      </c>
      <c r="E107" s="21">
        <f>'ERPs by country'!D113</f>
        <v>8.1692501446400528E-2</v>
      </c>
      <c r="F107" s="10">
        <f>'ERPs by country'!E113</f>
        <v>0.15566724789468733</v>
      </c>
      <c r="G107" s="14">
        <f>'ERPs by country'!F113</f>
        <v>0.10966724789468733</v>
      </c>
      <c r="H107" s="14">
        <f>'Country Tax Rates'!B107</f>
        <v>0.3</v>
      </c>
      <c r="I107" s="15" t="str">
        <f>VLOOKUP(A107,'Regional lookup table'!$A$2:$B$161,2)</f>
        <v>Africa</v>
      </c>
    </row>
    <row r="108" spans="1:9" ht="16">
      <c r="A108" s="8" t="str">
        <f>'Sovereign Ratings (Moody''s,S&amp;P)'!A108</f>
        <v>Norway</v>
      </c>
      <c r="B108" s="125">
        <f>'Country GDP'!B108</f>
        <v>579422.44951027108</v>
      </c>
      <c r="C108" s="9" t="str">
        <f>'Sovereign Ratings (Moody''s,S&amp;P)'!C108</f>
        <v>Aaa</v>
      </c>
      <c r="D108" s="11">
        <f>'10-year CDS Spreads'!C108</f>
        <v>2.3999999999999998E-3</v>
      </c>
      <c r="E108" s="21">
        <f>'ERPs by country'!D114</f>
        <v>0</v>
      </c>
      <c r="F108" s="10">
        <f>'ERPs by country'!E114</f>
        <v>4.5999999999999999E-2</v>
      </c>
      <c r="G108" s="14">
        <f>'ERPs by country'!F114</f>
        <v>0</v>
      </c>
      <c r="H108" s="14">
        <f>'Country Tax Rates'!B108</f>
        <v>0.22</v>
      </c>
      <c r="I108" s="15" t="str">
        <f>VLOOKUP(A108,'Regional lookup table'!$A$2:$B$161,2)</f>
        <v>Western Europe</v>
      </c>
    </row>
    <row r="109" spans="1:9" ht="16">
      <c r="A109" s="8" t="str">
        <f>'Sovereign Ratings (Moody''s,S&amp;P)'!A109</f>
        <v>Oman</v>
      </c>
      <c r="B109" s="125">
        <f>'Country GDP'!B109</f>
        <v>114667.36020806243</v>
      </c>
      <c r="C109" s="9" t="str">
        <f>'Sovereign Ratings (Moody''s,S&amp;P)'!C109</f>
        <v>Ba1</v>
      </c>
      <c r="D109" s="11">
        <f>'10-year CDS Spreads'!C109</f>
        <v>1.9199999999999998E-2</v>
      </c>
      <c r="E109" s="21">
        <f>'ERPs by country'!D115</f>
        <v>2.7273515373171343E-2</v>
      </c>
      <c r="F109" s="10">
        <f>'ERPs by country'!E115</f>
        <v>8.2613046710922261E-2</v>
      </c>
      <c r="G109" s="14">
        <f>'ERPs by country'!F115</f>
        <v>3.6613046710922269E-2</v>
      </c>
      <c r="H109" s="14">
        <f>'Country Tax Rates'!B109</f>
        <v>0.15</v>
      </c>
      <c r="I109" s="15" t="str">
        <f>VLOOKUP(A109,'Regional lookup table'!$A$2:$B$161,2)</f>
        <v>Middle East</v>
      </c>
    </row>
    <row r="110" spans="1:9" ht="16">
      <c r="A110" s="8" t="str">
        <f>'Sovereign Ratings (Moody''s,S&amp;P)'!A110</f>
        <v>Pakistan</v>
      </c>
      <c r="B110" s="125">
        <f>'Country GDP'!B110</f>
        <v>374697.36635924398</v>
      </c>
      <c r="C110" s="9" t="str">
        <f>'Sovereign Ratings (Moody''s,S&amp;P)'!C110</f>
        <v>Caa3</v>
      </c>
      <c r="D110" s="11">
        <f>'10-year CDS Spreads'!C110</f>
        <v>0.41039999999999999</v>
      </c>
      <c r="E110" s="21">
        <f>'ERPs by country'!D116</f>
        <v>0.10896601681957188</v>
      </c>
      <c r="F110" s="10">
        <f>'ERPs by country'!E116</f>
        <v>0.19228029460560964</v>
      </c>
      <c r="G110" s="14">
        <f>'ERPs by country'!F116</f>
        <v>0.14628029460560962</v>
      </c>
      <c r="H110" s="14">
        <f>'Country Tax Rates'!B110</f>
        <v>0.28999999999999998</v>
      </c>
      <c r="I110" s="15" t="str">
        <f>VLOOKUP(A110,'Regional lookup table'!$A$2:$B$161,2)</f>
        <v>Asia</v>
      </c>
    </row>
    <row r="111" spans="1:9" ht="16">
      <c r="A111" s="8" t="str">
        <f>'Sovereign Ratings (Moody''s,S&amp;P)'!A111</f>
        <v>Panama</v>
      </c>
      <c r="B111" s="125">
        <f>'Country GDP'!B111</f>
        <v>76522.511799999993</v>
      </c>
      <c r="C111" s="9" t="str">
        <f>'Sovereign Ratings (Moody''s,S&amp;P)'!C111</f>
        <v>Baa2</v>
      </c>
      <c r="D111" s="11">
        <f>'10-year CDS Spreads'!C111</f>
        <v>2.3099999999999999E-2</v>
      </c>
      <c r="E111" s="21">
        <f>'ERPs by country'!D117</f>
        <v>2.0743237044383835E-2</v>
      </c>
      <c r="F111" s="10">
        <f>'ERPs by country'!E117</f>
        <v>7.3846542568870452E-2</v>
      </c>
      <c r="G111" s="14">
        <f>'ERPs by country'!F117</f>
        <v>2.7846542568870453E-2</v>
      </c>
      <c r="H111" s="14">
        <f>'Country Tax Rates'!B111</f>
        <v>0.25</v>
      </c>
      <c r="I111" s="15" t="str">
        <f>VLOOKUP(A111,'Regional lookup table'!$A$2:$B$161,2)</f>
        <v>Central and South America</v>
      </c>
    </row>
    <row r="112" spans="1:9" ht="16">
      <c r="A112" s="8" t="str">
        <f>'Sovereign Ratings (Moody''s,S&amp;P)'!A112</f>
        <v>Papua New Guinea</v>
      </c>
      <c r="B112" s="125">
        <f>'Country GDP'!B112</f>
        <v>31603.619041790265</v>
      </c>
      <c r="C112" s="9" t="str">
        <f>'Sovereign Ratings (Moody''s,S&amp;P)'!C112</f>
        <v>B2</v>
      </c>
      <c r="D112" s="11" t="str">
        <f>'10-year CDS Spreads'!C112</f>
        <v>NA</v>
      </c>
      <c r="E112" s="21">
        <f>'ERPs by country'!D118</f>
        <v>5.9924907017108855E-2</v>
      </c>
      <c r="F112" s="10">
        <f>'ERPs by country'!E118</f>
        <v>0.12644556742118129</v>
      </c>
      <c r="G112" s="14">
        <f>'ERPs by country'!F118</f>
        <v>8.0445567421181308E-2</v>
      </c>
      <c r="H112" s="14">
        <f>'Country Tax Rates'!B112</f>
        <v>0.3</v>
      </c>
      <c r="I112" s="15" t="str">
        <f>VLOOKUP(A112,'Regional lookup table'!$A$2:$B$161,2)</f>
        <v>Asia</v>
      </c>
    </row>
    <row r="113" spans="1:13" ht="16">
      <c r="A113" s="8" t="str">
        <f>'Sovereign Ratings (Moody''s,S&amp;P)'!A113</f>
        <v>Paraguay</v>
      </c>
      <c r="B113" s="125">
        <f>'Country GDP'!B113</f>
        <v>41722.295229227944</v>
      </c>
      <c r="C113" s="9" t="str">
        <f>'Sovereign Ratings (Moody''s,S&amp;P)'!C113</f>
        <v>Ba1</v>
      </c>
      <c r="D113" s="11" t="str">
        <f>'10-year CDS Spreads'!C113</f>
        <v>NA</v>
      </c>
      <c r="E113" s="21">
        <f>'ERPs by country'!D119</f>
        <v>2.7273515373171343E-2</v>
      </c>
      <c r="F113" s="10">
        <f>'ERPs by country'!E119</f>
        <v>8.2613046710922261E-2</v>
      </c>
      <c r="G113" s="14">
        <f>'ERPs by country'!F119</f>
        <v>3.6613046710922269E-2</v>
      </c>
      <c r="H113" s="14">
        <f>'Country Tax Rates'!B113</f>
        <v>0.1</v>
      </c>
      <c r="I113" s="15" t="str">
        <f>VLOOKUP(A113,'Regional lookup table'!$A$2:$B$161,2)</f>
        <v>Central and South America</v>
      </c>
    </row>
    <row r="114" spans="1:13" ht="16">
      <c r="A114" s="8" t="str">
        <f>'Sovereign Ratings (Moody''s,S&amp;P)'!A114</f>
        <v>Peru</v>
      </c>
      <c r="B114" s="125">
        <f>'Country GDP'!B114</f>
        <v>242631.57332078982</v>
      </c>
      <c r="C114" s="9" t="str">
        <f>'Sovereign Ratings (Moody''s,S&amp;P)'!C114</f>
        <v>Baa1</v>
      </c>
      <c r="D114" s="11">
        <f>'10-year CDS Spreads'!C114</f>
        <v>1.37E-2</v>
      </c>
      <c r="E114" s="21">
        <f>'ERPs by country'!D120</f>
        <v>1.7414075543433341E-2</v>
      </c>
      <c r="F114" s="10">
        <f>'ERPs by country'!E120</f>
        <v>6.9377344378804828E-2</v>
      </c>
      <c r="G114" s="14">
        <f>'ERPs by country'!F120</f>
        <v>2.3377344378804822E-2</v>
      </c>
      <c r="H114" s="14">
        <f>'Country Tax Rates'!B114</f>
        <v>0.29499999999999998</v>
      </c>
      <c r="I114" s="15" t="str">
        <f>VLOOKUP(A114,'Regional lookup table'!$A$2:$B$161,2)</f>
        <v>Central and South America</v>
      </c>
    </row>
    <row r="115" spans="1:13" ht="16">
      <c r="A115" s="8" t="str">
        <f>'Sovereign Ratings (Moody''s,S&amp;P)'!A115</f>
        <v>Philippines</v>
      </c>
      <c r="B115" s="125">
        <f>'Country GDP'!B115</f>
        <v>404284.32611046272</v>
      </c>
      <c r="C115" s="9" t="str">
        <f>'Sovereign Ratings (Moody''s,S&amp;P)'!C115</f>
        <v>Baa2</v>
      </c>
      <c r="D115" s="11">
        <f>'10-year CDS Spreads'!C115</f>
        <v>1.18E-2</v>
      </c>
      <c r="E115" s="21">
        <f>'ERPs by country'!D121</f>
        <v>2.0743237044383835E-2</v>
      </c>
      <c r="F115" s="10">
        <f>'ERPs by country'!E121</f>
        <v>7.3846542568870452E-2</v>
      </c>
      <c r="G115" s="14">
        <f>'ERPs by country'!F121</f>
        <v>2.7846542568870453E-2</v>
      </c>
      <c r="H115" s="14">
        <f>'Country Tax Rates'!B115</f>
        <v>0.25</v>
      </c>
      <c r="I115" s="15" t="str">
        <f>VLOOKUP(A115,'Regional lookup table'!$A$2:$B$161,2)</f>
        <v>Asia</v>
      </c>
    </row>
    <row r="116" spans="1:13" ht="16">
      <c r="A116" s="8" t="str">
        <f>'Sovereign Ratings (Moody''s,S&amp;P)'!A116</f>
        <v>Poland</v>
      </c>
      <c r="B116" s="125">
        <f>'Country GDP'!B116</f>
        <v>688125.01052052039</v>
      </c>
      <c r="C116" s="9" t="str">
        <f>'Sovereign Ratings (Moody''s,S&amp;P)'!C116</f>
        <v>A2</v>
      </c>
      <c r="D116" s="11">
        <f>'10-year CDS Spreads'!C116</f>
        <v>1.06E-2</v>
      </c>
      <c r="E116" s="21">
        <f>'ERPs by country'!D122</f>
        <v>9.2192164641705932E-3</v>
      </c>
      <c r="F116" s="10">
        <f>'ERPs by country'!E122</f>
        <v>5.83762411417202E-2</v>
      </c>
      <c r="G116" s="14">
        <f>'ERPs by country'!F122</f>
        <v>1.2376241141720201E-2</v>
      </c>
      <c r="H116" s="14">
        <f>'Country Tax Rates'!B116</f>
        <v>0.19</v>
      </c>
      <c r="I116" s="15" t="str">
        <f>VLOOKUP(A116,'Regional lookup table'!$A$2:$B$161,2)</f>
        <v>Eastern Europe &amp; Russia</v>
      </c>
    </row>
    <row r="117" spans="1:13" ht="16">
      <c r="A117" s="8" t="str">
        <f>'Sovereign Ratings (Moody''s,S&amp;P)'!A117</f>
        <v>Portugal</v>
      </c>
      <c r="B117" s="125">
        <f>'Country GDP'!B117</f>
        <v>255196.66098742705</v>
      </c>
      <c r="C117" s="9" t="str">
        <f>'Sovereign Ratings (Moody''s,S&amp;P)'!C117</f>
        <v>A3</v>
      </c>
      <c r="D117" s="11">
        <f>'10-year CDS Spreads'!C117</f>
        <v>7.4999999999999997E-3</v>
      </c>
      <c r="E117" s="21">
        <f>'ERPs by country'!D123</f>
        <v>1.3060556657575006E-2</v>
      </c>
      <c r="F117" s="10">
        <f>'ERPs by country'!E123</f>
        <v>6.3533008284103618E-2</v>
      </c>
      <c r="G117" s="14">
        <f>'ERPs by country'!F123</f>
        <v>1.7533008284103618E-2</v>
      </c>
      <c r="H117" s="14">
        <f>'Country Tax Rates'!B117</f>
        <v>0.21</v>
      </c>
      <c r="I117" s="15" t="str">
        <f>VLOOKUP(A117,'Regional lookup table'!$A$2:$B$161,2)</f>
        <v>Western Europe</v>
      </c>
    </row>
    <row r="118" spans="1:13" ht="16">
      <c r="A118" s="8" t="str">
        <f>'Sovereign Ratings (Moody''s,S&amp;P)'!A118</f>
        <v>Qatar</v>
      </c>
      <c r="B118" s="125">
        <f>'Country GDP'!B118</f>
        <v>236258.30283965328</v>
      </c>
      <c r="C118" s="9" t="str">
        <f>'Sovereign Ratings (Moody''s,S&amp;P)'!C118</f>
        <v>Aa3</v>
      </c>
      <c r="D118" s="11">
        <f>'10-year CDS Spreads'!C118</f>
        <v>8.3000000000000001E-3</v>
      </c>
      <c r="E118" s="21">
        <f>'ERPs by country'!D124</f>
        <v>6.5302783287875029E-3</v>
      </c>
      <c r="F118" s="10">
        <f>'ERPs by country'!E124</f>
        <v>5.4766504142051808E-2</v>
      </c>
      <c r="G118" s="14">
        <f>'ERPs by country'!F124</f>
        <v>8.7665041420518092E-3</v>
      </c>
      <c r="H118" s="14">
        <f>'Country Tax Rates'!B118</f>
        <v>0.1</v>
      </c>
      <c r="I118" s="15" t="str">
        <f>VLOOKUP(A118,'Regional lookup table'!$A$2:$B$161,2)</f>
        <v>Middle East</v>
      </c>
    </row>
    <row r="119" spans="1:13" ht="16">
      <c r="A119" s="8" t="str">
        <f>'Sovereign Ratings (Moody''s,S&amp;P)'!A119</f>
        <v>Ras Al Khaimah (Emirate of)</v>
      </c>
      <c r="B119" s="125">
        <f>'Country GDP'!B119</f>
        <v>11000</v>
      </c>
      <c r="C119" s="9" t="str">
        <f>'Sovereign Ratings (Moody''s,S&amp;P)'!C119</f>
        <v>A3</v>
      </c>
      <c r="D119" s="11" t="str">
        <f>'10-year CDS Spreads'!C119</f>
        <v>NA</v>
      </c>
      <c r="E119" s="21">
        <f>'ERPs by country'!D125</f>
        <v>1.3060556657575006E-2</v>
      </c>
      <c r="F119" s="10">
        <f>'ERPs by country'!E125</f>
        <v>6.3533008284103618E-2</v>
      </c>
      <c r="G119" s="14">
        <f>'ERPs by country'!F125</f>
        <v>1.7533008284103618E-2</v>
      </c>
      <c r="H119" s="14">
        <f>'Country Tax Rates'!B119</f>
        <v>0</v>
      </c>
      <c r="I119" s="15" t="str">
        <f>VLOOKUP(A119,'Regional lookup table'!$A$2:$B$161,2)</f>
        <v>Middle East</v>
      </c>
    </row>
    <row r="120" spans="1:13" ht="16">
      <c r="A120" s="8" t="str">
        <f>'Sovereign Ratings (Moody''s,S&amp;P)'!A120</f>
        <v>Romania</v>
      </c>
      <c r="B120" s="125">
        <f>'Country GDP'!B120</f>
        <v>300691.35486485471</v>
      </c>
      <c r="C120" s="9" t="str">
        <f>'Sovereign Ratings (Moody''s,S&amp;P)'!C120</f>
        <v>Baa3</v>
      </c>
      <c r="D120" s="11">
        <f>'10-year CDS Spreads'!C120</f>
        <v>2.3099999999999999E-2</v>
      </c>
      <c r="E120" s="21">
        <f>'ERPs by country'!D126</f>
        <v>2.3944353872220846E-2</v>
      </c>
      <c r="F120" s="10">
        <f>'ERPs by country'!E126</f>
        <v>7.8143848520856624E-2</v>
      </c>
      <c r="G120" s="14">
        <f>'ERPs by country'!F126</f>
        <v>3.2143848520856631E-2</v>
      </c>
      <c r="H120" s="14">
        <f>'Country Tax Rates'!B120</f>
        <v>0.16</v>
      </c>
      <c r="I120" s="15" t="str">
        <f>VLOOKUP(A120,'Regional lookup table'!$A$2:$B$161,2)</f>
        <v>Eastern Europe &amp; Russia</v>
      </c>
    </row>
    <row r="121" spans="1:13" ht="16">
      <c r="A121" s="8" t="str">
        <f>'Sovereign Ratings (Moody''s,S&amp;P)'!A121</f>
        <v>Russia</v>
      </c>
      <c r="B121" s="125">
        <f>'Country GDP'!B121</f>
        <v>2240422.4274585792</v>
      </c>
      <c r="C121" s="9" t="str">
        <f>'Sovereign Ratings (Moody''s,S&amp;P)'!C121</f>
        <v>NA</v>
      </c>
      <c r="D121" s="11" t="str">
        <f>'10-year CDS Spreads'!C121</f>
        <v>NA</v>
      </c>
      <c r="E121" s="21">
        <v>4.9000000000000002E-2</v>
      </c>
      <c r="F121" s="10">
        <v>0.1118</v>
      </c>
      <c r="G121" s="14">
        <v>6.5799999999999997E-2</v>
      </c>
      <c r="H121" s="14">
        <f>'Country Tax Rates'!B121</f>
        <v>0.2</v>
      </c>
      <c r="I121" s="15" t="str">
        <f>VLOOKUP(A121,'Regional lookup table'!$A$2:$B$161,2)</f>
        <v>Eastern Europe &amp; Russia</v>
      </c>
      <c r="K121" s="255">
        <v>0.11183472718442829</v>
      </c>
      <c r="L121" s="255">
        <v>6.5834727184428288E-2</v>
      </c>
      <c r="M121" s="255">
        <v>4.9041109802463012E-2</v>
      </c>
    </row>
    <row r="122" spans="1:13" ht="16">
      <c r="A122" s="8" t="str">
        <f>'Sovereign Ratings (Moody''s,S&amp;P)'!A122</f>
        <v>Rwanda</v>
      </c>
      <c r="B122" s="125">
        <f>'Country GDP'!B122</f>
        <v>13311.487445068627</v>
      </c>
      <c r="C122" s="9" t="str">
        <f>'Sovereign Ratings (Moody''s,S&amp;P)'!C122</f>
        <v>B2</v>
      </c>
      <c r="D122" s="11">
        <f>'10-year CDS Spreads'!C122</f>
        <v>5.5300000000000002E-2</v>
      </c>
      <c r="E122" s="21">
        <f>'ERPs by country'!D127</f>
        <v>5.9924907017108855E-2</v>
      </c>
      <c r="F122" s="10">
        <f>'ERPs by country'!E127</f>
        <v>0.12644556742118129</v>
      </c>
      <c r="G122" s="14">
        <f>'ERPs by country'!F127</f>
        <v>8.0445567421181308E-2</v>
      </c>
      <c r="H122" s="14">
        <f>'Country Tax Rates'!B122</f>
        <v>0.3</v>
      </c>
      <c r="I122" s="15" t="str">
        <f>VLOOKUP(A122,'Regional lookup table'!$A$2:$B$161,2)</f>
        <v>Africa</v>
      </c>
    </row>
    <row r="123" spans="1:13" ht="16">
      <c r="A123" s="8" t="str">
        <f>'Sovereign Ratings (Moody''s,S&amp;P)'!A123</f>
        <v>Saudi Arabia</v>
      </c>
      <c r="B123" s="125">
        <f>'Country GDP'!B123</f>
        <v>1108571.5172853814</v>
      </c>
      <c r="C123" s="9" t="str">
        <f>'Sovereign Ratings (Moody''s,S&amp;P)'!C123</f>
        <v>A1</v>
      </c>
      <c r="D123" s="11">
        <f>'10-year CDS Spreads'!C123</f>
        <v>8.5000000000000006E-3</v>
      </c>
      <c r="E123" s="21">
        <f>'ERPs by country'!D128</f>
        <v>7.6826803868088279E-3</v>
      </c>
      <c r="F123" s="10">
        <f>'ERPs by country'!E128</f>
        <v>5.6313534284766834E-2</v>
      </c>
      <c r="G123" s="14">
        <f>'ERPs by country'!F128</f>
        <v>1.0313534284766834E-2</v>
      </c>
      <c r="H123" s="14">
        <f>'Country Tax Rates'!B123</f>
        <v>0.2</v>
      </c>
      <c r="I123" s="15" t="str">
        <f>VLOOKUP(A123,'Regional lookup table'!$A$2:$B$161,2)</f>
        <v>Middle East</v>
      </c>
    </row>
    <row r="124" spans="1:13" ht="16">
      <c r="A124" s="8" t="str">
        <f>'Sovereign Ratings (Moody''s,S&amp;P)'!A124</f>
        <v>Senegal</v>
      </c>
      <c r="B124" s="125">
        <f>'Country GDP'!B124</f>
        <v>27684.264748232432</v>
      </c>
      <c r="C124" s="9" t="str">
        <f>'Sovereign Ratings (Moody''s,S&amp;P)'!C124</f>
        <v>Ba3</v>
      </c>
      <c r="D124" s="11">
        <f>'10-year CDS Spreads'!C124</f>
        <v>6.8900000000000003E-2</v>
      </c>
      <c r="E124" s="21">
        <f>'ERPs by country'!D129</f>
        <v>3.9181669972725021E-2</v>
      </c>
      <c r="F124" s="10">
        <f>'ERPs by country'!E129</f>
        <v>9.8599024852310854E-2</v>
      </c>
      <c r="G124" s="14">
        <f>'ERPs by country'!F129</f>
        <v>5.2599024852310855E-2</v>
      </c>
      <c r="H124" s="14">
        <f>'Country Tax Rates'!B124</f>
        <v>0.3</v>
      </c>
      <c r="I124" s="15" t="str">
        <f>VLOOKUP(A124,'Regional lookup table'!$A$2:$B$161,2)</f>
        <v>Africa</v>
      </c>
    </row>
    <row r="125" spans="1:13" ht="16">
      <c r="A125" s="8" t="str">
        <f>'Sovereign Ratings (Moody''s,S&amp;P)'!A125</f>
        <v>Serbia</v>
      </c>
      <c r="B125" s="125">
        <f>'Country GDP'!B125</f>
        <v>63563.401043504426</v>
      </c>
      <c r="C125" s="9" t="str">
        <f>'Sovereign Ratings (Moody''s,S&amp;P)'!C125</f>
        <v>Ba2</v>
      </c>
      <c r="D125" s="11">
        <f>'10-year CDS Spreads'!C125</f>
        <v>2.86E-2</v>
      </c>
      <c r="E125" s="21">
        <f>'ERPs by country'!D130</f>
        <v>3.2779436317050999E-2</v>
      </c>
      <c r="F125" s="10">
        <f>'ERPs by country'!E130</f>
        <v>9.0004412948338497E-2</v>
      </c>
      <c r="G125" s="14">
        <f>'ERPs by country'!F130</f>
        <v>4.4004412948338498E-2</v>
      </c>
      <c r="H125" s="14">
        <f>'Country Tax Rates'!B125</f>
        <v>0.15</v>
      </c>
      <c r="I125" s="15" t="str">
        <f>VLOOKUP(A125,'Regional lookup table'!$A$2:$B$161,2)</f>
        <v>Eastern Europe &amp; Russia</v>
      </c>
    </row>
    <row r="126" spans="1:13" ht="16">
      <c r="A126" s="8" t="str">
        <f>'Sovereign Ratings (Moody''s,S&amp;P)'!A126</f>
        <v>Sharjah</v>
      </c>
      <c r="B126" s="125">
        <f>'Country GDP'!B126</f>
        <v>24800</v>
      </c>
      <c r="C126" s="9" t="str">
        <f>'Sovereign Ratings (Moody''s,S&amp;P)'!C126</f>
        <v>Ba1</v>
      </c>
      <c r="D126" s="11" t="str">
        <f>'10-year CDS Spreads'!C126</f>
        <v>NA</v>
      </c>
      <c r="E126" s="21">
        <f>'ERPs by country'!D131</f>
        <v>2.7273515373171343E-2</v>
      </c>
      <c r="F126" s="10">
        <f>'ERPs by country'!E131</f>
        <v>8.2613046710922261E-2</v>
      </c>
      <c r="G126" s="14">
        <f>'ERPs by country'!F131</f>
        <v>3.6613046710922269E-2</v>
      </c>
      <c r="H126" s="14">
        <f>'Country Tax Rates'!B126</f>
        <v>0</v>
      </c>
      <c r="I126" s="15" t="str">
        <f>VLOOKUP(A126,'Regional lookup table'!$A$2:$B$161,2)</f>
        <v>Middle East</v>
      </c>
    </row>
    <row r="127" spans="1:13" ht="16">
      <c r="A127" s="8" t="str">
        <f>'Sovereign Ratings (Moody''s,S&amp;P)'!A127</f>
        <v>Singapore</v>
      </c>
      <c r="B127" s="125">
        <f>'Country GDP'!B127</f>
        <v>466788.42679196643</v>
      </c>
      <c r="C127" s="9" t="str">
        <f>'Sovereign Ratings (Moody''s,S&amp;P)'!C127</f>
        <v>Aaa</v>
      </c>
      <c r="D127" s="11" t="str">
        <f>'10-year CDS Spreads'!C127</f>
        <v>NA</v>
      </c>
      <c r="E127" s="21">
        <f>'ERPs by country'!D132</f>
        <v>0</v>
      </c>
      <c r="F127" s="10">
        <f>'ERPs by country'!E132</f>
        <v>4.5999999999999999E-2</v>
      </c>
      <c r="G127" s="14">
        <f>'ERPs by country'!F132</f>
        <v>0</v>
      </c>
      <c r="H127" s="14">
        <f>'Country Tax Rates'!B127</f>
        <v>0.17</v>
      </c>
      <c r="I127" s="15" t="str">
        <f>VLOOKUP(A127,'Regional lookup table'!$A$2:$B$161,2)</f>
        <v>Asia</v>
      </c>
    </row>
    <row r="128" spans="1:13" ht="16">
      <c r="A128" s="8" t="str">
        <f>'Sovereign Ratings (Moody''s,S&amp;P)'!A128</f>
        <v>Slovakia</v>
      </c>
      <c r="B128" s="125">
        <f>'Country GDP'!B128</f>
        <v>115461.71168896543</v>
      </c>
      <c r="C128" s="9" t="str">
        <f>'Sovereign Ratings (Moody''s,S&amp;P)'!C128</f>
        <v>A2</v>
      </c>
      <c r="D128" s="11">
        <f>'10-year CDS Spreads'!C128</f>
        <v>6.0000000000000001E-3</v>
      </c>
      <c r="E128" s="21">
        <f>'ERPs by country'!D133</f>
        <v>9.2192164641705932E-3</v>
      </c>
      <c r="F128" s="10">
        <f>'ERPs by country'!E133</f>
        <v>5.83762411417202E-2</v>
      </c>
      <c r="G128" s="14">
        <f>'ERPs by country'!F133</f>
        <v>1.2376241141720201E-2</v>
      </c>
      <c r="H128" s="14">
        <f>'Country Tax Rates'!B128</f>
        <v>0.21</v>
      </c>
      <c r="I128" s="15" t="str">
        <f>VLOOKUP(A128,'Regional lookup table'!$A$2:$B$161,2)</f>
        <v>Eastern Europe &amp; Russia</v>
      </c>
    </row>
    <row r="129" spans="1:9" ht="16">
      <c r="A129" s="8" t="str">
        <f>'Sovereign Ratings (Moody''s,S&amp;P)'!A129</f>
        <v>Slovenia</v>
      </c>
      <c r="B129" s="125">
        <f>'Country GDP'!B129</f>
        <v>60063.475466344593</v>
      </c>
      <c r="C129" s="9" t="str">
        <f>'Sovereign Ratings (Moody''s,S&amp;P)'!C129</f>
        <v>A3</v>
      </c>
      <c r="D129" s="11">
        <f>'10-year CDS Spreads'!C129</f>
        <v>7.6E-3</v>
      </c>
      <c r="E129" s="21">
        <f>'ERPs by country'!D134</f>
        <v>1.3060556657575006E-2</v>
      </c>
      <c r="F129" s="10">
        <f>'ERPs by country'!E134</f>
        <v>6.3533008284103618E-2</v>
      </c>
      <c r="G129" s="14">
        <f>'ERPs by country'!F134</f>
        <v>1.7533008284103618E-2</v>
      </c>
      <c r="H129" s="14">
        <f>'Country Tax Rates'!B129</f>
        <v>0.19</v>
      </c>
      <c r="I129" s="15" t="str">
        <f>VLOOKUP(A129,'Regional lookup table'!$A$2:$B$161,2)</f>
        <v>Eastern Europe &amp; Russia</v>
      </c>
    </row>
    <row r="130" spans="1:9" ht="16">
      <c r="A130" s="8" t="str">
        <f>'Sovereign Ratings (Moody''s,S&amp;P)'!A130</f>
        <v>Solomon Islands</v>
      </c>
      <c r="B130" s="125">
        <f>'Country GDP'!B130</f>
        <v>1597.2043406290234</v>
      </c>
      <c r="C130" s="9" t="str">
        <f>'Sovereign Ratings (Moody''s,S&amp;P)'!C130</f>
        <v>Caa1</v>
      </c>
      <c r="D130" s="11" t="str">
        <f>'10-year CDS Spreads'!C130</f>
        <v>NA</v>
      </c>
      <c r="E130" s="21">
        <f>'ERPs by country'!D135</f>
        <v>8.1692501446400528E-2</v>
      </c>
      <c r="F130" s="10">
        <f>'ERPs by country'!E135</f>
        <v>0.15566724789468733</v>
      </c>
      <c r="G130" s="14">
        <f>'ERPs by country'!F135</f>
        <v>0.10966724789468733</v>
      </c>
      <c r="H130" s="14">
        <f>'Country Tax Rates'!B130</f>
        <v>0.3</v>
      </c>
      <c r="I130" s="15" t="str">
        <f>VLOOKUP(A130,'Regional lookup table'!$A$2:$B$161,2)</f>
        <v>Asia</v>
      </c>
    </row>
    <row r="131" spans="1:9" ht="16">
      <c r="A131" s="8" t="str">
        <f>'Sovereign Ratings (Moody''s,S&amp;P)'!A131</f>
        <v>South Africa</v>
      </c>
      <c r="B131" s="125">
        <f>'Country GDP'!B131</f>
        <v>405270.85009938711</v>
      </c>
      <c r="C131" s="9" t="str">
        <f>'Sovereign Ratings (Moody''s,S&amp;P)'!C131</f>
        <v>Ba2</v>
      </c>
      <c r="D131" s="11">
        <f>'10-year CDS Spreads'!C131</f>
        <v>3.1600000000000003E-2</v>
      </c>
      <c r="E131" s="21">
        <f>'ERPs by country'!D136</f>
        <v>3.2779436317050999E-2</v>
      </c>
      <c r="F131" s="10">
        <f>'ERPs by country'!E136</f>
        <v>9.0004412948338497E-2</v>
      </c>
      <c r="G131" s="14">
        <f>'ERPs by country'!F136</f>
        <v>4.4004412948338498E-2</v>
      </c>
      <c r="H131" s="14">
        <f>'Country Tax Rates'!B131</f>
        <v>0.27</v>
      </c>
      <c r="I131" s="15" t="str">
        <f>VLOOKUP(A131,'Regional lookup table'!$A$2:$B$161,2)</f>
        <v>Africa</v>
      </c>
    </row>
    <row r="132" spans="1:9" ht="16">
      <c r="A132" s="8" t="str">
        <f>'Sovereign Ratings (Moody''s,S&amp;P)'!A132</f>
        <v>Spain</v>
      </c>
      <c r="B132" s="125">
        <f>'Country GDP'!B132</f>
        <v>1417800.4662626514</v>
      </c>
      <c r="C132" s="9" t="str">
        <f>'Sovereign Ratings (Moody''s,S&amp;P)'!C132</f>
        <v>Baa1</v>
      </c>
      <c r="D132" s="11">
        <f>'10-year CDS Spreads'!C132</f>
        <v>7.7999999999999996E-3</v>
      </c>
      <c r="E132" s="21">
        <f>'ERPs by country'!D137</f>
        <v>1.7414075543433341E-2</v>
      </c>
      <c r="F132" s="10">
        <f>'ERPs by country'!E137</f>
        <v>6.9377344378804828E-2</v>
      </c>
      <c r="G132" s="14">
        <f>'ERPs by country'!F137</f>
        <v>2.3377344378804822E-2</v>
      </c>
      <c r="H132" s="14">
        <f>'Country Tax Rates'!B132</f>
        <v>0.25</v>
      </c>
      <c r="I132" s="15" t="str">
        <f>VLOOKUP(A132,'Regional lookup table'!$A$2:$B$161,2)</f>
        <v>Western Europe</v>
      </c>
    </row>
    <row r="133" spans="1:9" ht="16">
      <c r="A133" s="8" t="str">
        <f>'Sovereign Ratings (Moody''s,S&amp;P)'!A133</f>
        <v>Sri Lanka</v>
      </c>
      <c r="B133" s="125">
        <f>'Country GDP'!B133</f>
        <v>74403.578363435474</v>
      </c>
      <c r="C133" s="9" t="str">
        <f>'Sovereign Ratings (Moody''s,S&amp;P)'!C133</f>
        <v>Ca</v>
      </c>
      <c r="D133" s="11">
        <f>'10-year CDS Spreads'!C133</f>
        <v>0.59360000000000002</v>
      </c>
      <c r="E133" s="21">
        <f>'ERPs by country'!D138</f>
        <v>0.13073361124886354</v>
      </c>
      <c r="F133" s="10">
        <f>'ERPs by country'!E138</f>
        <v>0.22150197507911562</v>
      </c>
      <c r="G133" s="14">
        <f>'ERPs by country'!F138</f>
        <v>0.17550197507911564</v>
      </c>
      <c r="H133" s="14">
        <f>'Country Tax Rates'!B133</f>
        <v>0.24</v>
      </c>
      <c r="I133" s="15" t="str">
        <f>VLOOKUP(A133,'Regional lookup table'!$A$2:$B$161,2)</f>
        <v>Asia</v>
      </c>
    </row>
    <row r="134" spans="1:9" ht="16">
      <c r="A134" s="8" t="str">
        <f>'Sovereign Ratings (Moody''s,S&amp;P)'!A134</f>
        <v>St. Maarten</v>
      </c>
      <c r="B134" s="125">
        <f>'Country GDP'!B134</f>
        <v>11900</v>
      </c>
      <c r="C134" s="9" t="str">
        <f>'Sovereign Ratings (Moody''s,S&amp;P)'!C134</f>
        <v>Ba2</v>
      </c>
      <c r="D134" s="11" t="str">
        <f>'10-year CDS Spreads'!C134</f>
        <v>NA</v>
      </c>
      <c r="E134" s="21">
        <f>'ERPs by country'!D139</f>
        <v>3.2779436317050999E-2</v>
      </c>
      <c r="F134" s="10">
        <f>'ERPs by country'!E139</f>
        <v>9.0004412948338497E-2</v>
      </c>
      <c r="G134" s="14">
        <f>'ERPs by country'!F139</f>
        <v>4.4004412948338498E-2</v>
      </c>
      <c r="H134" s="14">
        <f>'Country Tax Rates'!B134</f>
        <v>0.2853</v>
      </c>
      <c r="I134" s="15" t="str">
        <f>VLOOKUP(A134,'Regional lookup table'!$A$2:$B$161,2)</f>
        <v>Caribbean</v>
      </c>
    </row>
    <row r="135" spans="1:9" ht="16">
      <c r="A135" s="8" t="str">
        <f>'Sovereign Ratings (Moody''s,S&amp;P)'!A135</f>
        <v>St. Vincent &amp; the Grenadines</v>
      </c>
      <c r="B135" s="125">
        <f>'Country GDP'!B135</f>
        <v>8100</v>
      </c>
      <c r="C135" s="9" t="str">
        <f>'Sovereign Ratings (Moody''s,S&amp;P)'!C135</f>
        <v>B3</v>
      </c>
      <c r="D135" s="11" t="str">
        <f>'10-year CDS Spreads'!C135</f>
        <v>NA</v>
      </c>
      <c r="E135" s="21">
        <f>'ERPs by country'!D140</f>
        <v>7.0808704231754685E-2</v>
      </c>
      <c r="F135" s="10">
        <f>'ERPs by country'!E140</f>
        <v>0.14105640765793431</v>
      </c>
      <c r="G135" s="14">
        <f>'ERPs by country'!F140</f>
        <v>9.5056407657934314E-2</v>
      </c>
      <c r="H135" s="14">
        <f>'Country Tax Rates'!B135</f>
        <v>0.2853</v>
      </c>
      <c r="I135" s="15" t="str">
        <f>VLOOKUP(A135,'Regional lookup table'!$A$2:$B$161,2)</f>
        <v>Caribbean</v>
      </c>
    </row>
    <row r="136" spans="1:9" ht="16">
      <c r="A136" s="8" t="str">
        <f>'Sovereign Ratings (Moody''s,S&amp;P)'!A136</f>
        <v>Suriname</v>
      </c>
      <c r="B136" s="125">
        <f>'Country GDP'!B136</f>
        <v>3620.987993326366</v>
      </c>
      <c r="C136" s="9" t="str">
        <f>'Sovereign Ratings (Moody''s,S&amp;P)'!C136</f>
        <v>Caa3</v>
      </c>
      <c r="D136" s="11" t="str">
        <f>'10-year CDS Spreads'!C136</f>
        <v>NA</v>
      </c>
      <c r="E136" s="21">
        <f>'ERPs by country'!D141</f>
        <v>0.10896601681957188</v>
      </c>
      <c r="F136" s="10">
        <f>'ERPs by country'!E141</f>
        <v>0.19228029460560964</v>
      </c>
      <c r="G136" s="14">
        <f>'ERPs by country'!F141</f>
        <v>0.14628029460560962</v>
      </c>
      <c r="H136" s="14">
        <f>'Country Tax Rates'!B136</f>
        <v>0.36</v>
      </c>
      <c r="I136" s="15" t="str">
        <f>VLOOKUP(A136,'Regional lookup table'!$A$2:$B$161,2)</f>
        <v>Central and South America</v>
      </c>
    </row>
    <row r="137" spans="1:9" ht="16">
      <c r="A137" s="8" t="str">
        <f>'Sovereign Ratings (Moody''s,S&amp;P)'!A137</f>
        <v>Swaziland</v>
      </c>
      <c r="B137" s="125">
        <f>'Country GDP'!B137</f>
        <v>4790.9220656100979</v>
      </c>
      <c r="C137" s="9" t="str">
        <f>'Sovereign Ratings (Moody''s,S&amp;P)'!C137</f>
        <v>B3</v>
      </c>
      <c r="D137" s="11" t="str">
        <f>'10-year CDS Spreads'!C137</f>
        <v>NA</v>
      </c>
      <c r="E137" s="21">
        <f>'ERPs by country'!D142</f>
        <v>7.0808704231754685E-2</v>
      </c>
      <c r="F137" s="10">
        <f>'ERPs by country'!E142</f>
        <v>0.14105640765793431</v>
      </c>
      <c r="G137" s="14">
        <f>'ERPs by country'!F142</f>
        <v>9.5056407657934314E-2</v>
      </c>
      <c r="H137" s="14">
        <f>'Country Tax Rates'!B137</f>
        <v>0.27500000000000002</v>
      </c>
      <c r="I137" s="15" t="str">
        <f>VLOOKUP(A137,'Regional lookup table'!$A$2:$B$161,2)</f>
        <v>Africa</v>
      </c>
    </row>
    <row r="138" spans="1:9" ht="16">
      <c r="A138" s="8" t="str">
        <f>'Sovereign Ratings (Moody''s,S&amp;P)'!A138</f>
        <v>Sweden</v>
      </c>
      <c r="B138" s="125">
        <f>'Country GDP'!B138</f>
        <v>591188.59477655136</v>
      </c>
      <c r="C138" s="9" t="str">
        <f>'Sovereign Ratings (Moody''s,S&amp;P)'!C138</f>
        <v>Aaa</v>
      </c>
      <c r="D138" s="11">
        <f>'10-year CDS Spreads'!C138</f>
        <v>2.8E-3</v>
      </c>
      <c r="E138" s="21">
        <f>'ERPs by country'!D143</f>
        <v>0</v>
      </c>
      <c r="F138" s="10">
        <f>'ERPs by country'!E143</f>
        <v>4.5999999999999999E-2</v>
      </c>
      <c r="G138" s="14">
        <f>'ERPs by country'!F143</f>
        <v>0</v>
      </c>
      <c r="H138" s="14">
        <f>'Country Tax Rates'!B138</f>
        <v>0.20600000000000002</v>
      </c>
      <c r="I138" s="15" t="str">
        <f>VLOOKUP(A138,'Regional lookup table'!$A$2:$B$161,2)</f>
        <v>Western Europe</v>
      </c>
    </row>
    <row r="139" spans="1:9" ht="16">
      <c r="A139" s="8" t="str">
        <f>'Sovereign Ratings (Moody''s,S&amp;P)'!A139</f>
        <v>Switzerland</v>
      </c>
      <c r="B139" s="125">
        <f>'Country GDP'!B139</f>
        <v>818426.55020644981</v>
      </c>
      <c r="C139" s="9" t="str">
        <f>'Sovereign Ratings (Moody''s,S&amp;P)'!C139</f>
        <v>Aaa</v>
      </c>
      <c r="D139" s="11">
        <f>'10-year CDS Spreads'!C139</f>
        <v>2.2000000000000001E-3</v>
      </c>
      <c r="E139" s="21">
        <f>'ERPs by country'!D144</f>
        <v>0</v>
      </c>
      <c r="F139" s="10">
        <f>'ERPs by country'!E144</f>
        <v>4.5999999999999999E-2</v>
      </c>
      <c r="G139" s="14">
        <f>'ERPs by country'!F144</f>
        <v>0</v>
      </c>
      <c r="H139" s="14">
        <f>'Country Tax Rates'!B139</f>
        <v>0.14599999999999999</v>
      </c>
      <c r="I139" s="15" t="str">
        <f>VLOOKUP(A139,'Regional lookup table'!$A$2:$B$161,2)</f>
        <v>Western Europe</v>
      </c>
    </row>
    <row r="140" spans="1:9" ht="16">
      <c r="A140" s="8" t="str">
        <f>'Sovereign Ratings (Moody''s,S&amp;P)'!A140</f>
        <v>Taiwan</v>
      </c>
      <c r="B140" s="125">
        <f>'Country GDP'!B140</f>
        <v>761690</v>
      </c>
      <c r="C140" s="9" t="str">
        <f>'Sovereign Ratings (Moody''s,S&amp;P)'!C140</f>
        <v>Aa3</v>
      </c>
      <c r="D140" s="11" t="str">
        <f>'10-year CDS Spreads'!C140</f>
        <v>NA</v>
      </c>
      <c r="E140" s="21">
        <f>'ERPs by country'!D145</f>
        <v>6.5302783287875029E-3</v>
      </c>
      <c r="F140" s="10">
        <f>'ERPs by country'!E145</f>
        <v>5.4766504142051808E-2</v>
      </c>
      <c r="G140" s="14">
        <f>'ERPs by country'!F145</f>
        <v>8.7665041420518092E-3</v>
      </c>
      <c r="H140" s="14">
        <f>'Country Tax Rates'!B140</f>
        <v>0.2</v>
      </c>
      <c r="I140" s="15" t="str">
        <f>VLOOKUP(A140,'Regional lookup table'!$A$2:$B$161,2)</f>
        <v>Asia</v>
      </c>
    </row>
    <row r="141" spans="1:9" ht="16">
      <c r="A141" s="8" t="str">
        <f>'Sovereign Ratings (Moody''s,S&amp;P)'!A141</f>
        <v>Tajikistan</v>
      </c>
      <c r="B141" s="125">
        <f>'Country GDP'!B141</f>
        <v>10492.123387793121</v>
      </c>
      <c r="C141" s="9" t="str">
        <f>'Sovereign Ratings (Moody''s,S&amp;P)'!C141</f>
        <v>B3</v>
      </c>
      <c r="D141" s="11" t="str">
        <f>'10-year CDS Spreads'!C141</f>
        <v>NA</v>
      </c>
      <c r="E141" s="21">
        <f>'ERPs by country'!D146</f>
        <v>7.0808704231754685E-2</v>
      </c>
      <c r="F141" s="10">
        <f>'ERPs by country'!E146</f>
        <v>0.14105640765793431</v>
      </c>
      <c r="G141" s="14">
        <f>'ERPs by country'!F146</f>
        <v>9.5056407657934314E-2</v>
      </c>
      <c r="H141" s="14">
        <f>'Country Tax Rates'!B141</f>
        <v>0.18</v>
      </c>
      <c r="I141" s="15" t="str">
        <f>VLOOKUP(A141,'Regional lookup table'!$A$2:$B$161,2)</f>
        <v>Eastern Europe &amp; Russia</v>
      </c>
    </row>
    <row r="142" spans="1:9" ht="16">
      <c r="A142" s="8" t="str">
        <f>'Sovereign Ratings (Moody''s,S&amp;P)'!A142</f>
        <v>Tanzania</v>
      </c>
      <c r="B142" s="125">
        <f>'Country GDP'!B142</f>
        <v>75732.311666039022</v>
      </c>
      <c r="C142" s="9" t="str">
        <f>'Sovereign Ratings (Moody''s,S&amp;P)'!C142</f>
        <v>B2</v>
      </c>
      <c r="D142" s="11" t="str">
        <f>'10-year CDS Spreads'!C142</f>
        <v>NA</v>
      </c>
      <c r="E142" s="21">
        <f>'ERPs by country'!D147</f>
        <v>5.9924907017108855E-2</v>
      </c>
      <c r="F142" s="10">
        <f>'ERPs by country'!E147</f>
        <v>0.12644556742118129</v>
      </c>
      <c r="G142" s="14">
        <f>'ERPs by country'!F147</f>
        <v>8.0445567421181308E-2</v>
      </c>
      <c r="H142" s="14">
        <f>'Country Tax Rates'!B142</f>
        <v>0.3</v>
      </c>
      <c r="I142" s="15" t="str">
        <f>VLOOKUP(A142,'Regional lookup table'!$A$2:$B$161,2)</f>
        <v>Africa</v>
      </c>
    </row>
    <row r="143" spans="1:9" ht="16">
      <c r="A143" s="8" t="str">
        <f>'Sovereign Ratings (Moody''s,S&amp;P)'!A143</f>
        <v>Thailand</v>
      </c>
      <c r="B143" s="125">
        <f>'Country GDP'!B143</f>
        <v>495423.3430496215</v>
      </c>
      <c r="C143" s="9" t="str">
        <f>'Sovereign Ratings (Moody''s,S&amp;P)'!C143</f>
        <v>Baa1</v>
      </c>
      <c r="D143" s="11">
        <f>'10-year CDS Spreads'!C143</f>
        <v>6.4999999999999997E-3</v>
      </c>
      <c r="E143" s="21">
        <f>'ERPs by country'!D148</f>
        <v>1.7414075543433341E-2</v>
      </c>
      <c r="F143" s="10">
        <f>'ERPs by country'!E148</f>
        <v>6.9377344378804828E-2</v>
      </c>
      <c r="G143" s="14">
        <f>'ERPs by country'!F148</f>
        <v>2.3377344378804822E-2</v>
      </c>
      <c r="H143" s="14">
        <f>'Country Tax Rates'!B143</f>
        <v>0.2</v>
      </c>
      <c r="I143" s="15" t="str">
        <f>VLOOKUP(A143,'Regional lookup table'!$A$2:$B$161,2)</f>
        <v>Asia</v>
      </c>
    </row>
    <row r="144" spans="1:9" ht="16">
      <c r="A144" s="8" t="str">
        <f>'Sovereign Ratings (Moody''s,S&amp;P)'!A144</f>
        <v>Togo</v>
      </c>
      <c r="B144" s="125">
        <f>'Country GDP'!B144</f>
        <v>8341.2252414569357</v>
      </c>
      <c r="C144" s="9" t="str">
        <f>'Sovereign Ratings (Moody''s,S&amp;P)'!C144</f>
        <v>B3</v>
      </c>
      <c r="D144" s="11" t="str">
        <f>'10-year CDS Spreads'!C144</f>
        <v>NA</v>
      </c>
      <c r="E144" s="21">
        <f>'ERPs by country'!D149</f>
        <v>7.0808704231754685E-2</v>
      </c>
      <c r="F144" s="10">
        <f>'ERPs by country'!E149</f>
        <v>0.14105640765793431</v>
      </c>
      <c r="G144" s="14">
        <f>'ERPs by country'!F149</f>
        <v>9.5056407657934314E-2</v>
      </c>
      <c r="H144" s="14">
        <f>'Country Tax Rates'!B144</f>
        <v>0.26860000000000001</v>
      </c>
      <c r="I144" s="15" t="str">
        <f>VLOOKUP(A144,'Regional lookup table'!$A$2:$B$161,2)</f>
        <v>Africa</v>
      </c>
    </row>
    <row r="145" spans="1:9" ht="16">
      <c r="A145" s="8" t="str">
        <f>'Sovereign Ratings (Moody''s,S&amp;P)'!A145</f>
        <v>Trinidad and Tobago</v>
      </c>
      <c r="B145" s="125">
        <f>'Country GDP'!B145</f>
        <v>30053.575132141956</v>
      </c>
      <c r="C145" s="9" t="str">
        <f>'Sovereign Ratings (Moody''s,S&amp;P)'!C145</f>
        <v>Ba2</v>
      </c>
      <c r="D145" s="11" t="str">
        <f>'10-year CDS Spreads'!C145</f>
        <v>NA</v>
      </c>
      <c r="E145" s="21">
        <f>'ERPs by country'!D150</f>
        <v>3.2779436317050999E-2</v>
      </c>
      <c r="F145" s="10">
        <f>'ERPs by country'!E150</f>
        <v>9.0004412948338497E-2</v>
      </c>
      <c r="G145" s="14">
        <f>'ERPs by country'!F150</f>
        <v>4.4004412948338498E-2</v>
      </c>
      <c r="H145" s="14">
        <f>'Country Tax Rates'!B145</f>
        <v>0.3</v>
      </c>
      <c r="I145" s="15" t="str">
        <f>VLOOKUP(A145,'Regional lookup table'!$A$2:$B$161,2)</f>
        <v>Caribbean</v>
      </c>
    </row>
    <row r="146" spans="1:9" ht="16">
      <c r="A146" s="8" t="str">
        <f>'Sovereign Ratings (Moody''s,S&amp;P)'!A146</f>
        <v>Tunisia</v>
      </c>
      <c r="B146" s="125">
        <f>'Country GDP'!B146</f>
        <v>46303.55244935424</v>
      </c>
      <c r="C146" s="9" t="str">
        <f>'Sovereign Ratings (Moody''s,S&amp;P)'!C146</f>
        <v>Caa2</v>
      </c>
      <c r="D146" s="11">
        <f>'10-year CDS Spreads'!C146</f>
        <v>9.7799999999999998E-2</v>
      </c>
      <c r="E146" s="21">
        <f>'ERPs by country'!D151</f>
        <v>9.8082219604926024E-2</v>
      </c>
      <c r="F146" s="10">
        <f>'ERPs by country'!E151</f>
        <v>0.17766945436885656</v>
      </c>
      <c r="G146" s="14">
        <f>'ERPs by country'!F151</f>
        <v>0.13166945436885658</v>
      </c>
      <c r="H146" s="14">
        <f>'Country Tax Rates'!B146</f>
        <v>0.15</v>
      </c>
      <c r="I146" s="15" t="str">
        <f>VLOOKUP(A146,'Regional lookup table'!$A$2:$B$161,2)</f>
        <v>Africa</v>
      </c>
    </row>
    <row r="147" spans="1:9" ht="16">
      <c r="A147" s="8" t="str">
        <f>'Sovereign Ratings (Moody''s,S&amp;P)'!A147</f>
        <v>Turkey</v>
      </c>
      <c r="B147" s="125">
        <f>'Country GDP'!B147</f>
        <v>907118.43595268787</v>
      </c>
      <c r="C147" s="9" t="str">
        <f>'Sovereign Ratings (Moody''s,S&amp;P)'!C147</f>
        <v>B3</v>
      </c>
      <c r="D147" s="11">
        <f>'10-year CDS Spreads'!C147</f>
        <v>3.8600000000000002E-2</v>
      </c>
      <c r="E147" s="21">
        <f>'ERPs by country'!D152</f>
        <v>7.0808704231754685E-2</v>
      </c>
      <c r="F147" s="10">
        <f>'ERPs by country'!E152</f>
        <v>0.14105640765793431</v>
      </c>
      <c r="G147" s="14">
        <f>'ERPs by country'!F152</f>
        <v>9.5056407657934314E-2</v>
      </c>
      <c r="H147" s="14">
        <f>'Country Tax Rates'!B147</f>
        <v>0.25</v>
      </c>
      <c r="I147" s="15" t="str">
        <f>VLOOKUP(A147,'Regional lookup table'!$A$2:$B$161,2)</f>
        <v>Western Europe</v>
      </c>
    </row>
    <row r="148" spans="1:9" ht="16">
      <c r="A148" s="8" t="str">
        <f>'Sovereign Ratings (Moody''s,S&amp;P)'!A148</f>
        <v>Turks and Caicos Islands</v>
      </c>
      <c r="B148" s="125">
        <f>'Country GDP'!B148</f>
        <v>1138.8088811</v>
      </c>
      <c r="C148" s="9" t="str">
        <f>'Sovereign Ratings (Moody''s,S&amp;P)'!C148</f>
        <v>Baa1</v>
      </c>
      <c r="D148" s="11" t="str">
        <f>'10-year CDS Spreads'!C148</f>
        <v>NA</v>
      </c>
      <c r="E148" s="21">
        <f>'ERPs by country'!D153</f>
        <v>1.7414075543433341E-2</v>
      </c>
      <c r="F148" s="10">
        <f>'ERPs by country'!E153</f>
        <v>6.9377344378804828E-2</v>
      </c>
      <c r="G148" s="14">
        <f>'ERPs by country'!F153</f>
        <v>2.3377344378804822E-2</v>
      </c>
      <c r="H148" s="14">
        <f>'Country Tax Rates'!B148</f>
        <v>0</v>
      </c>
      <c r="I148" s="15" t="str">
        <f>VLOOKUP(A148,'Regional lookup table'!$A$2:$B$161,2)</f>
        <v>Caribbean</v>
      </c>
    </row>
    <row r="149" spans="1:9" ht="16">
      <c r="A149" s="8" t="str">
        <f>'Sovereign Ratings (Moody''s,S&amp;P)'!A149</f>
        <v>Uganda</v>
      </c>
      <c r="B149" s="125">
        <f>'Country GDP'!B149</f>
        <v>45567.30460847645</v>
      </c>
      <c r="C149" s="9" t="str">
        <f>'Sovereign Ratings (Moody''s,S&amp;P)'!C149</f>
        <v>B2</v>
      </c>
      <c r="D149" s="11" t="str">
        <f>'10-year CDS Spreads'!C149</f>
        <v>NA</v>
      </c>
      <c r="E149" s="21">
        <f>'ERPs by country'!D154</f>
        <v>5.9924907017108855E-2</v>
      </c>
      <c r="F149" s="10">
        <f>'ERPs by country'!E154</f>
        <v>0.12644556742118129</v>
      </c>
      <c r="G149" s="14">
        <f>'ERPs by country'!F154</f>
        <v>8.0445567421181308E-2</v>
      </c>
      <c r="H149" s="14">
        <f>'Country Tax Rates'!B149</f>
        <v>0.3</v>
      </c>
      <c r="I149" s="15" t="str">
        <f>VLOOKUP(A149,'Regional lookup table'!$A$2:$B$161,2)</f>
        <v>Africa</v>
      </c>
    </row>
    <row r="150" spans="1:9" ht="16">
      <c r="A150" s="8" t="str">
        <f>'Sovereign Ratings (Moody''s,S&amp;P)'!A150</f>
        <v>Ukraine</v>
      </c>
      <c r="B150" s="125">
        <f>'Country GDP'!B150</f>
        <v>160502.73725104667</v>
      </c>
      <c r="C150" s="9" t="str">
        <f>'Sovereign Ratings (Moody''s,S&amp;P)'!C150</f>
        <v>Ca</v>
      </c>
      <c r="D150" s="11" t="str">
        <f>'10-year CDS Spreads'!C150</f>
        <v>NA</v>
      </c>
      <c r="E150" s="21">
        <f>'ERPs by country'!D155</f>
        <v>0.13073361124886354</v>
      </c>
      <c r="F150" s="10">
        <f>'ERPs by country'!E155</f>
        <v>0.22150197507911562</v>
      </c>
      <c r="G150" s="14">
        <f>'ERPs by country'!F155</f>
        <v>0.17550197507911564</v>
      </c>
      <c r="H150" s="14">
        <f>'Country Tax Rates'!B150</f>
        <v>0.18</v>
      </c>
      <c r="I150" s="15" t="str">
        <f>VLOOKUP(A150,'Regional lookup table'!$A$2:$B$161,2)</f>
        <v>Eastern Europe &amp; Russia</v>
      </c>
    </row>
    <row r="151" spans="1:9" ht="16">
      <c r="A151" s="8" t="str">
        <f>'Sovereign Ratings (Moody''s,S&amp;P)'!A151</f>
        <v>United Arab Emirates</v>
      </c>
      <c r="B151" s="125">
        <f>'Country GDP'!B151</f>
        <v>507063.96827331249</v>
      </c>
      <c r="C151" s="9" t="str">
        <f>'Sovereign Ratings (Moody''s,S&amp;P)'!C151</f>
        <v>Aa2</v>
      </c>
      <c r="D151" s="11" t="str">
        <f>'10-year CDS Spreads'!C151</f>
        <v>NA</v>
      </c>
      <c r="E151" s="21">
        <f>'ERPs by country'!D156</f>
        <v>5.3778762707661788E-3</v>
      </c>
      <c r="F151" s="10">
        <f>'ERPs by country'!E156</f>
        <v>5.3219473999336783E-2</v>
      </c>
      <c r="G151" s="14">
        <f>'ERPs by country'!F156</f>
        <v>7.2194739993367832E-3</v>
      </c>
      <c r="H151" s="14">
        <f>'Country Tax Rates'!B151</f>
        <v>0.25</v>
      </c>
      <c r="I151" s="15" t="str">
        <f>VLOOKUP(A151,'Regional lookup table'!$A$2:$B$161,2)</f>
        <v>Middle East</v>
      </c>
    </row>
    <row r="152" spans="1:9" ht="16">
      <c r="A152" s="8" t="str">
        <f>'Sovereign Ratings (Moody''s,S&amp;P)'!A152</f>
        <v>United Kingdom</v>
      </c>
      <c r="B152" s="125">
        <f>'Country GDP'!B152</f>
        <v>3089072.7224001358</v>
      </c>
      <c r="C152" s="9" t="str">
        <f>'Sovereign Ratings (Moody''s,S&amp;P)'!C152</f>
        <v>Aa3</v>
      </c>
      <c r="D152" s="11">
        <f>'10-year CDS Spreads'!C152</f>
        <v>5.1000000000000004E-3</v>
      </c>
      <c r="E152" s="21">
        <f>'ERPs by country'!D157</f>
        <v>6.5302783287875029E-3</v>
      </c>
      <c r="F152" s="10">
        <f>'ERPs by country'!E157</f>
        <v>5.4766504142051808E-2</v>
      </c>
      <c r="G152" s="14">
        <f>'ERPs by country'!F157</f>
        <v>8.7665041420518092E-3</v>
      </c>
      <c r="H152" s="14">
        <f>'Country Tax Rates'!B152</f>
        <v>0.25</v>
      </c>
      <c r="I152" s="15" t="str">
        <f>VLOOKUP(A152,'Regional lookup table'!$A$2:$B$161,2)</f>
        <v>Western Europe</v>
      </c>
    </row>
    <row r="153" spans="1:9" ht="15" customHeight="1">
      <c r="A153" s="8" t="str">
        <f>'Sovereign Ratings (Moody''s,S&amp;P)'!A153</f>
        <v>United States</v>
      </c>
      <c r="B153" s="125">
        <f>'Country GDP'!B153</f>
        <v>25439700</v>
      </c>
      <c r="C153" s="9" t="str">
        <f>'Sovereign Ratings (Moody''s,S&amp;P)'!C153</f>
        <v>Aaa</v>
      </c>
      <c r="D153" s="11">
        <f>'10-year CDS Spreads'!C153</f>
        <v>5.7999999999999996E-3</v>
      </c>
      <c r="E153" s="21">
        <f>'ERPs by country'!D158</f>
        <v>0</v>
      </c>
      <c r="F153" s="10">
        <f>'ERPs by country'!E158</f>
        <v>4.5999999999999999E-2</v>
      </c>
      <c r="G153" s="14">
        <f>'ERPs by country'!F158</f>
        <v>0</v>
      </c>
      <c r="H153" s="14">
        <f>'Country Tax Rates'!B153</f>
        <v>0.25</v>
      </c>
      <c r="I153" s="15" t="str">
        <f>VLOOKUP(A153,'Regional lookup table'!$A$2:$B$161,2)</f>
        <v>North America</v>
      </c>
    </row>
    <row r="154" spans="1:9" ht="16">
      <c r="A154" s="8" t="str">
        <f>'Sovereign Ratings (Moody''s,S&amp;P)'!A154</f>
        <v>Uruguay</v>
      </c>
      <c r="B154" s="125">
        <f>'Country GDP'!B154</f>
        <v>71177.146197495123</v>
      </c>
      <c r="C154" s="9" t="str">
        <f>'Sovereign Ratings (Moody''s,S&amp;P)'!C154</f>
        <v>Baa2</v>
      </c>
      <c r="D154" s="11">
        <f>'10-year CDS Spreads'!C154</f>
        <v>1.14E-2</v>
      </c>
      <c r="E154" s="21">
        <f>'ERPs by country'!D159</f>
        <v>2.0743237044383835E-2</v>
      </c>
      <c r="F154" s="10">
        <f>'ERPs by country'!E159</f>
        <v>7.3846542568870452E-2</v>
      </c>
      <c r="G154" s="14">
        <f>'ERPs by country'!F159</f>
        <v>2.7846542568870453E-2</v>
      </c>
      <c r="H154" s="14">
        <f>'Country Tax Rates'!B154</f>
        <v>0.25</v>
      </c>
      <c r="I154" s="15" t="str">
        <f>VLOOKUP(A154,'Regional lookup table'!$A$2:$B$161,2)</f>
        <v>Central and South America</v>
      </c>
    </row>
    <row r="155" spans="1:9" ht="16">
      <c r="A155" s="8" t="str">
        <f>'Sovereign Ratings (Moody''s,S&amp;P)'!A155</f>
        <v>Uzbekistan</v>
      </c>
      <c r="B155" s="125">
        <f>'Country GDP'!B155</f>
        <v>80391.853887404897</v>
      </c>
      <c r="C155" s="9" t="str">
        <f>'Sovereign Ratings (Moody''s,S&amp;P)'!C155</f>
        <v>Ba3</v>
      </c>
      <c r="D155" s="11" t="str">
        <f>'10-year CDS Spreads'!C155</f>
        <v>NA</v>
      </c>
      <c r="E155" s="21">
        <f>'ERPs by country'!D160</f>
        <v>3.9181669972725021E-2</v>
      </c>
      <c r="F155" s="10">
        <f>'ERPs by country'!E160</f>
        <v>9.8599024852310854E-2</v>
      </c>
      <c r="G155" s="14">
        <f>'ERPs by country'!F160</f>
        <v>5.2599024852310855E-2</v>
      </c>
      <c r="H155" s="14">
        <f>'Country Tax Rates'!B155</f>
        <v>0.15</v>
      </c>
      <c r="I155" s="15" t="str">
        <f>VLOOKUP(A155,'Regional lookup table'!$A$2:$B$161,2)</f>
        <v>Eastern Europe &amp; Russia</v>
      </c>
    </row>
    <row r="156" spans="1:9" ht="16">
      <c r="A156" s="8" t="str">
        <f>'Sovereign Ratings (Moody''s,S&amp;P)'!A156</f>
        <v>Venezuela</v>
      </c>
      <c r="B156" s="125">
        <f>'Country GDP'!B156</f>
        <v>98400</v>
      </c>
      <c r="C156" s="9" t="str">
        <f>'Sovereign Ratings (Moody''s,S&amp;P)'!C156</f>
        <v>C</v>
      </c>
      <c r="D156" s="11">
        <f>'10-year CDS Spreads'!C156</f>
        <v>0.1125</v>
      </c>
      <c r="E156" s="21">
        <f>'ERPs by country'!D161</f>
        <v>0.17499999999999999</v>
      </c>
      <c r="F156" s="10">
        <f>'ERPs by country'!E161</f>
        <v>0.28092692770782934</v>
      </c>
      <c r="G156" s="14">
        <f>'ERPs by country'!F161</f>
        <v>0.23492692770782936</v>
      </c>
      <c r="H156" s="14">
        <f>'Country Tax Rates'!B156</f>
        <v>0.34</v>
      </c>
      <c r="I156" s="15" t="str">
        <f>VLOOKUP(A156,'Regional lookup table'!$A$2:$B$161,2)</f>
        <v>Central and South America</v>
      </c>
    </row>
    <row r="157" spans="1:9" ht="16">
      <c r="A157" s="8" t="str">
        <f>'Sovereign Ratings (Moody''s,S&amp;P)'!A157</f>
        <v>Vietnam</v>
      </c>
      <c r="B157" s="125">
        <f>'Country GDP'!B157</f>
        <v>408802</v>
      </c>
      <c r="C157" s="9" t="str">
        <f>'Sovereign Ratings (Moody''s,S&amp;P)'!C157</f>
        <v>Ba2</v>
      </c>
      <c r="D157" s="11">
        <f>'10-year CDS Spreads'!C157</f>
        <v>1.84E-2</v>
      </c>
      <c r="E157" s="21">
        <f>'ERPs by country'!D162</f>
        <v>3.2779436317050999E-2</v>
      </c>
      <c r="F157" s="10">
        <f>'ERPs by country'!E162</f>
        <v>9.0004412948338497E-2</v>
      </c>
      <c r="G157" s="14">
        <f>'ERPs by country'!F162</f>
        <v>4.4004412948338498E-2</v>
      </c>
      <c r="H157" s="14">
        <f>'Country Tax Rates'!B157</f>
        <v>0.2</v>
      </c>
      <c r="I157" s="15" t="str">
        <f>VLOOKUP(A157,'Regional lookup table'!$A$2:$B$161,2)</f>
        <v>Asia</v>
      </c>
    </row>
    <row r="158" spans="1:9" ht="16">
      <c r="A158" s="8" t="str">
        <f>'Sovereign Ratings (Moody''s,S&amp;P)'!A158</f>
        <v>Zambia</v>
      </c>
      <c r="B158" s="125">
        <f>'Country GDP'!B158</f>
        <v>29163.782138341488</v>
      </c>
      <c r="C158" s="9" t="str">
        <f>'Sovereign Ratings (Moody''s,S&amp;P)'!C158</f>
        <v>Caa3</v>
      </c>
      <c r="D158" s="11" t="str">
        <f>'10-year CDS Spreads'!C158</f>
        <v>NA</v>
      </c>
      <c r="E158" s="21">
        <f>'ERPs by country'!D163</f>
        <v>0.10896601681957188</v>
      </c>
      <c r="F158" s="10">
        <f>'ERPs by country'!E163</f>
        <v>0.19228029460560964</v>
      </c>
      <c r="G158" s="14">
        <f>'ERPs by country'!F163</f>
        <v>0.14628029460560962</v>
      </c>
      <c r="H158" s="14">
        <f>'Country Tax Rates'!B158</f>
        <v>0.35</v>
      </c>
      <c r="I158" s="15" t="str">
        <f>VLOOKUP(A158,'Regional lookup table'!$A$2:$B$161,2)</f>
        <v>Africa</v>
      </c>
    </row>
  </sheetData>
  <phoneticPr fontId="11"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8"/>
  <sheetViews>
    <sheetView topLeftCell="A34" zoomScaleNormal="100" workbookViewId="0">
      <selection activeCell="C42" sqref="C42"/>
    </sheetView>
  </sheetViews>
  <sheetFormatPr baseColWidth="10" defaultRowHeight="16"/>
  <cols>
    <col min="1" max="1" width="24.83203125" style="38" bestFit="1" customWidth="1"/>
    <col min="2" max="2" width="16.1640625" style="38" bestFit="1" customWidth="1"/>
    <col min="3" max="3" width="19.6640625" style="38" bestFit="1" customWidth="1"/>
  </cols>
  <sheetData>
    <row r="1" spans="1:15" ht="17">
      <c r="A1" s="66" t="s">
        <v>75</v>
      </c>
      <c r="B1" s="67" t="s">
        <v>269</v>
      </c>
      <c r="C1" s="67" t="s">
        <v>270</v>
      </c>
    </row>
    <row r="2" spans="1:15">
      <c r="A2" s="46" t="str">
        <f>'Ratings worksheet'!A2</f>
        <v>Abu Dhabi</v>
      </c>
      <c r="B2" s="56" t="str">
        <f>'Ratings worksheet'!B2</f>
        <v>AA</v>
      </c>
      <c r="C2" s="56" t="str">
        <f>IF('Ratings worksheet'!C2="NA",VLOOKUP('Ratings worksheet'!B2,'Sovereign Ratings (Moody''s,S&amp;P)'!$F$9:$G$33,2,FALSE),'Ratings worksheet'!C2)</f>
        <v>Aa2</v>
      </c>
      <c r="F2" s="269" t="s">
        <v>93</v>
      </c>
      <c r="G2" s="269"/>
      <c r="H2" s="269"/>
      <c r="I2" s="269"/>
      <c r="J2" s="269"/>
      <c r="K2" s="269"/>
      <c r="L2" s="269"/>
      <c r="M2" s="269"/>
      <c r="N2" s="269"/>
      <c r="O2" s="269"/>
    </row>
    <row r="3" spans="1:15">
      <c r="A3" s="46" t="str">
        <f>'Ratings worksheet'!A3</f>
        <v>Albania</v>
      </c>
      <c r="B3" s="56" t="str">
        <f>'Ratings worksheet'!B3</f>
        <v>B+</v>
      </c>
      <c r="C3" s="56" t="str">
        <f>IF('Ratings worksheet'!C3="NA",VLOOKUP('Ratings worksheet'!B3,'Sovereign Ratings (Moody''s,S&amp;P)'!$F$9:$G$33,2,FALSE),'Ratings worksheet'!C3)</f>
        <v>B1</v>
      </c>
      <c r="F3" s="269" t="s">
        <v>228</v>
      </c>
      <c r="G3" s="269"/>
      <c r="H3" s="269"/>
      <c r="I3" s="269"/>
      <c r="J3" s="269"/>
      <c r="K3" s="269"/>
      <c r="L3" s="269"/>
      <c r="M3" s="269"/>
      <c r="N3" s="269"/>
      <c r="O3" s="269"/>
    </row>
    <row r="4" spans="1:15">
      <c r="A4" s="46" t="str">
        <f>'Ratings worksheet'!A4</f>
        <v>Andorra (Principality of)</v>
      </c>
      <c r="B4" s="56" t="str">
        <f>'Ratings worksheet'!B4</f>
        <v>BBB+</v>
      </c>
      <c r="C4" s="56" t="str">
        <f>IF('Ratings worksheet'!C4="NA",VLOOKUP('Ratings worksheet'!B4,'Sovereign Ratings (Moody''s,S&amp;P)'!$F$9:$G$33,2,FALSE),'Ratings worksheet'!C4)</f>
        <v>Baa2</v>
      </c>
      <c r="F4" s="270" t="s">
        <v>229</v>
      </c>
      <c r="G4" s="270"/>
      <c r="H4" s="270"/>
      <c r="I4" s="270"/>
      <c r="J4" s="270"/>
      <c r="K4" s="270"/>
      <c r="L4" s="270"/>
      <c r="M4" s="270"/>
      <c r="N4" s="270"/>
      <c r="O4" s="270"/>
    </row>
    <row r="5" spans="1:15">
      <c r="A5" s="46" t="str">
        <f>'Ratings worksheet'!A5</f>
        <v>Angola</v>
      </c>
      <c r="B5" s="56" t="str">
        <f>'Ratings worksheet'!B5</f>
        <v>B-</v>
      </c>
      <c r="C5" s="56" t="str">
        <f>IF('Ratings worksheet'!C5="NA",VLOOKUP('Ratings worksheet'!B5,'Sovereign Ratings (Moody''s,S&amp;P)'!$F$9:$G$33,2,FALSE),'Ratings worksheet'!C5)</f>
        <v>B3</v>
      </c>
      <c r="F5" s="270" t="s">
        <v>230</v>
      </c>
      <c r="G5" s="270"/>
      <c r="H5" s="270"/>
      <c r="I5" s="270"/>
      <c r="J5" s="270"/>
      <c r="K5" s="270"/>
      <c r="L5" s="270"/>
      <c r="M5" s="270"/>
      <c r="N5" s="270"/>
      <c r="O5" s="270"/>
    </row>
    <row r="6" spans="1:15">
      <c r="A6" s="46" t="str">
        <f>'Ratings worksheet'!A6</f>
        <v>Argentina</v>
      </c>
      <c r="B6" s="56" t="str">
        <f>'Ratings worksheet'!B6</f>
        <v>CCC-</v>
      </c>
      <c r="C6" s="56" t="str">
        <f>IF('Ratings worksheet'!C6="NA",VLOOKUP('Ratings worksheet'!B6,'Sovereign Ratings (Moody''s,S&amp;P)'!$F$9:$G$33,2,FALSE),'Ratings worksheet'!C6)</f>
        <v>Ca</v>
      </c>
      <c r="F6" s="35" t="s">
        <v>251</v>
      </c>
    </row>
    <row r="7" spans="1:15">
      <c r="A7" s="46" t="str">
        <f>'Ratings worksheet'!A7</f>
        <v>Armenia</v>
      </c>
      <c r="B7" s="56" t="str">
        <f>'Ratings worksheet'!B7</f>
        <v>BB-</v>
      </c>
      <c r="C7" s="56" t="str">
        <f>IF('Ratings worksheet'!C7="NA",VLOOKUP('Ratings worksheet'!B7,'Sovereign Ratings (Moody''s,S&amp;P)'!$F$9:$G$33,2,FALSE),'Ratings worksheet'!C7)</f>
        <v>Ba3</v>
      </c>
      <c r="F7" s="35" t="s">
        <v>231</v>
      </c>
    </row>
    <row r="8" spans="1:15">
      <c r="A8" s="46" t="str">
        <f>'Ratings worksheet'!A8</f>
        <v>Aruba</v>
      </c>
      <c r="B8" s="56" t="str">
        <f>'Ratings worksheet'!B8</f>
        <v>BBB</v>
      </c>
      <c r="C8" s="56" t="str">
        <f>IF('Ratings worksheet'!C8="NA",VLOOKUP('Ratings worksheet'!B8,'Sovereign Ratings (Moody''s,S&amp;P)'!$F$9:$G$33,2,FALSE),'Ratings worksheet'!C8)</f>
        <v>Baa2</v>
      </c>
      <c r="F8" s="28" t="s">
        <v>232</v>
      </c>
      <c r="G8" s="29" t="s">
        <v>233</v>
      </c>
    </row>
    <row r="9" spans="1:15">
      <c r="A9" s="46" t="str">
        <f>'Ratings worksheet'!A9</f>
        <v>Australia</v>
      </c>
      <c r="B9" s="56" t="str">
        <f>'Ratings worksheet'!B9</f>
        <v>AAA</v>
      </c>
      <c r="C9" s="56" t="str">
        <f>IF('Ratings worksheet'!C9="NA",VLOOKUP('Ratings worksheet'!B9,'Sovereign Ratings (Moody''s,S&amp;P)'!$F$9:$G$33,2,FALSE),'Ratings worksheet'!C9)</f>
        <v>Aaa</v>
      </c>
      <c r="F9" s="30" t="s">
        <v>223</v>
      </c>
      <c r="G9" s="15" t="s">
        <v>42</v>
      </c>
    </row>
    <row r="10" spans="1:15">
      <c r="A10" s="46" t="str">
        <f>'Ratings worksheet'!A10</f>
        <v>Austria</v>
      </c>
      <c r="B10" s="56" t="str">
        <f>'Ratings worksheet'!B10</f>
        <v>AA+</v>
      </c>
      <c r="C10" s="56" t="str">
        <f>IF('Ratings worksheet'!C10="NA",VLOOKUP('Ratings worksheet'!B10,'Sovereign Ratings (Moody''s,S&amp;P)'!$F$9:$G$33,2,FALSE),'Ratings worksheet'!C10)</f>
        <v>Aa1</v>
      </c>
      <c r="F10" s="30" t="s">
        <v>197</v>
      </c>
      <c r="G10" s="15" t="s">
        <v>43</v>
      </c>
    </row>
    <row r="11" spans="1:15">
      <c r="A11" s="46" t="str">
        <f>'Ratings worksheet'!A11</f>
        <v>Azerbaijan</v>
      </c>
      <c r="B11" s="56" t="str">
        <f>'Ratings worksheet'!B11</f>
        <v>BB+</v>
      </c>
      <c r="C11" s="56" t="str">
        <f>IF('Ratings worksheet'!C11="NA",VLOOKUP('Ratings worksheet'!B11,'Sovereign Ratings (Moody''s,S&amp;P)'!$F$9:$G$33,2,FALSE),'Ratings worksheet'!C11)</f>
        <v>Ba1</v>
      </c>
      <c r="F11" s="30" t="s">
        <v>221</v>
      </c>
      <c r="G11" s="15" t="s">
        <v>41</v>
      </c>
    </row>
    <row r="12" spans="1:15">
      <c r="A12" s="46" t="str">
        <f>'Ratings worksheet'!A12</f>
        <v>Bahamas</v>
      </c>
      <c r="B12" s="56" t="str">
        <f>'Ratings worksheet'!B12</f>
        <v>B+</v>
      </c>
      <c r="C12" s="56" t="str">
        <f>IF('Ratings worksheet'!C12="NA",VLOOKUP('Ratings worksheet'!B12,'Sovereign Ratings (Moody''s,S&amp;P)'!$F$9:$G$33,2,FALSE),'Ratings worksheet'!C12)</f>
        <v>B1</v>
      </c>
      <c r="F12" s="30" t="s">
        <v>206</v>
      </c>
      <c r="G12" s="15" t="s">
        <v>45</v>
      </c>
    </row>
    <row r="13" spans="1:15">
      <c r="A13" s="46" t="str">
        <f>'Ratings worksheet'!A13</f>
        <v>Bahrain</v>
      </c>
      <c r="B13" s="56" t="str">
        <f>'Ratings worksheet'!B13</f>
        <v>B+</v>
      </c>
      <c r="C13" s="56" t="str">
        <f>IF('Ratings worksheet'!C13="NA",VLOOKUP('Ratings worksheet'!B13,'Sovereign Ratings (Moody''s,S&amp;P)'!$F$9:$G$33,2,FALSE),'Ratings worksheet'!C13)</f>
        <v>B2</v>
      </c>
      <c r="F13" s="30" t="s">
        <v>209</v>
      </c>
      <c r="G13" s="15" t="s">
        <v>46</v>
      </c>
    </row>
    <row r="14" spans="1:15">
      <c r="A14" s="46" t="str">
        <f>'Ratings worksheet'!A14</f>
        <v>Bangladesh</v>
      </c>
      <c r="B14" s="56" t="str">
        <f>'Ratings worksheet'!B14</f>
        <v>BB-</v>
      </c>
      <c r="C14" s="56" t="str">
        <f>IF('Ratings worksheet'!C14="NA",VLOOKUP('Ratings worksheet'!B14,'Sovereign Ratings (Moody''s,S&amp;P)'!$F$9:$G$33,2,FALSE),'Ratings worksheet'!C14)</f>
        <v>B1</v>
      </c>
      <c r="F14" s="30" t="s">
        <v>203</v>
      </c>
      <c r="G14" s="15" t="s">
        <v>44</v>
      </c>
    </row>
    <row r="15" spans="1:15">
      <c r="A15" s="46" t="str">
        <f>'Ratings worksheet'!A15</f>
        <v>Barbados</v>
      </c>
      <c r="B15" s="56" t="str">
        <f>'Ratings worksheet'!B15</f>
        <v>B-</v>
      </c>
      <c r="C15" s="56" t="str">
        <f>IF('Ratings worksheet'!C15="NA",VLOOKUP('Ratings worksheet'!B15,'Sovereign Ratings (Moody''s,S&amp;P)'!$F$9:$G$33,2,FALSE),'Ratings worksheet'!C15)</f>
        <v>B3</v>
      </c>
      <c r="F15" s="30" t="s">
        <v>202</v>
      </c>
      <c r="G15" s="15" t="s">
        <v>47</v>
      </c>
    </row>
    <row r="16" spans="1:15">
      <c r="A16" s="46" t="str">
        <f>'Ratings worksheet'!A16</f>
        <v>Belarus</v>
      </c>
      <c r="B16" s="56" t="str">
        <f>'Ratings worksheet'!B16</f>
        <v>NA</v>
      </c>
      <c r="C16" s="56" t="str">
        <f>IF('Ratings worksheet'!C16="NA",VLOOKUP('Ratings worksheet'!B16,'Sovereign Ratings (Moody''s,S&amp;P)'!$F$9:$G$33,2,FALSE),'Ratings worksheet'!C16)</f>
        <v>C</v>
      </c>
      <c r="F16" s="30" t="s">
        <v>208</v>
      </c>
      <c r="G16" s="15" t="s">
        <v>49</v>
      </c>
    </row>
    <row r="17" spans="1:7">
      <c r="A17" s="46" t="str">
        <f>'Ratings worksheet'!A17</f>
        <v>Belgium</v>
      </c>
      <c r="B17" s="56" t="str">
        <f>'Ratings worksheet'!B17</f>
        <v>AA</v>
      </c>
      <c r="C17" s="56" t="str">
        <f>IF('Ratings worksheet'!C17="NA",VLOOKUP('Ratings worksheet'!B17,'Sovereign Ratings (Moody''s,S&amp;P)'!$F$9:$G$33,2,FALSE),'Ratings worksheet'!C17)</f>
        <v>Aa3</v>
      </c>
      <c r="F17" s="30" t="s">
        <v>199</v>
      </c>
      <c r="G17" s="15" t="s">
        <v>78</v>
      </c>
    </row>
    <row r="18" spans="1:7">
      <c r="A18" s="46" t="str">
        <f>'Ratings worksheet'!A18</f>
        <v>Belize</v>
      </c>
      <c r="B18" s="56" t="str">
        <f>'Ratings worksheet'!B18</f>
        <v>B-</v>
      </c>
      <c r="C18" s="56" t="str">
        <f>IF('Ratings worksheet'!C18="NA",VLOOKUP('Ratings worksheet'!B18,'Sovereign Ratings (Moody''s,S&amp;P)'!$F$9:$G$33,2,FALSE),'Ratings worksheet'!C18)</f>
        <v>Caa2</v>
      </c>
      <c r="F18" s="30" t="s">
        <v>195</v>
      </c>
      <c r="G18" s="15" t="s">
        <v>48</v>
      </c>
    </row>
    <row r="19" spans="1:7">
      <c r="A19" s="46" t="str">
        <f>'Ratings worksheet'!A19</f>
        <v>Benin</v>
      </c>
      <c r="B19" s="56" t="str">
        <f>'Ratings worksheet'!B19</f>
        <v>B+</v>
      </c>
      <c r="C19" s="56" t="str">
        <f>IF('Ratings worksheet'!C19="NA",VLOOKUP('Ratings worksheet'!B19,'Sovereign Ratings (Moody''s,S&amp;P)'!$F$9:$G$33,2,FALSE),'Ratings worksheet'!C19)</f>
        <v>B1</v>
      </c>
      <c r="F19" s="30" t="s">
        <v>214</v>
      </c>
      <c r="G19" s="15" t="s">
        <v>80</v>
      </c>
    </row>
    <row r="20" spans="1:7">
      <c r="A20" s="46" t="str">
        <f>'Ratings worksheet'!A20</f>
        <v>Bermuda</v>
      </c>
      <c r="B20" s="56" t="str">
        <f>'Ratings worksheet'!B20</f>
        <v>A+</v>
      </c>
      <c r="C20" s="56" t="str">
        <f>IF('Ratings worksheet'!C20="NA",VLOOKUP('Ratings worksheet'!B20,'Sovereign Ratings (Moody''s,S&amp;P)'!$F$9:$G$33,2,FALSE),'Ratings worksheet'!C20)</f>
        <v>A2</v>
      </c>
      <c r="F20" s="30" t="s">
        <v>198</v>
      </c>
      <c r="G20" s="15" t="s">
        <v>81</v>
      </c>
    </row>
    <row r="21" spans="1:7">
      <c r="A21" s="46" t="str">
        <f>'Ratings worksheet'!A21</f>
        <v>Bolivia</v>
      </c>
      <c r="B21" s="56" t="str">
        <f>'Ratings worksheet'!B21</f>
        <v>CCC+</v>
      </c>
      <c r="C21" s="56" t="str">
        <f>IF('Ratings worksheet'!C21="NA",VLOOKUP('Ratings worksheet'!B21,'Sovereign Ratings (Moody''s,S&amp;P)'!$F$9:$G$33,2,FALSE),'Ratings worksheet'!C21)</f>
        <v>Caa1</v>
      </c>
      <c r="F21" s="30" t="s">
        <v>215</v>
      </c>
      <c r="G21" s="15" t="s">
        <v>79</v>
      </c>
    </row>
    <row r="22" spans="1:7">
      <c r="A22" s="46" t="str">
        <f>'Ratings worksheet'!A22</f>
        <v>Bosnia and Herzegovina</v>
      </c>
      <c r="B22" s="56" t="str">
        <f>'Ratings worksheet'!B22</f>
        <v>B+</v>
      </c>
      <c r="C22" s="56" t="str">
        <f>IF('Ratings worksheet'!C22="NA",VLOOKUP('Ratings worksheet'!B22,'Sovereign Ratings (Moody''s,S&amp;P)'!$F$9:$G$33,2,FALSE),'Ratings worksheet'!C22)</f>
        <v>B3</v>
      </c>
      <c r="F22" s="30" t="s">
        <v>205</v>
      </c>
      <c r="G22" s="15" t="s">
        <v>83</v>
      </c>
    </row>
    <row r="23" spans="1:7">
      <c r="A23" s="46" t="str">
        <f>'Ratings worksheet'!A23</f>
        <v>Botswana</v>
      </c>
      <c r="B23" s="56" t="str">
        <f>'Ratings worksheet'!B23</f>
        <v>BBB+</v>
      </c>
      <c r="C23" s="56" t="str">
        <f>IF('Ratings worksheet'!C23="NA",VLOOKUP('Ratings worksheet'!B23,'Sovereign Ratings (Moody''s,S&amp;P)'!$F$9:$G$33,2,FALSE),'Ratings worksheet'!C23)</f>
        <v>A3</v>
      </c>
      <c r="F23" s="30" t="s">
        <v>204</v>
      </c>
      <c r="G23" s="15" t="s">
        <v>124</v>
      </c>
    </row>
    <row r="24" spans="1:7">
      <c r="A24" s="46" t="str">
        <f>'Ratings worksheet'!A24</f>
        <v>Brazil</v>
      </c>
      <c r="B24" s="56" t="str">
        <f>'Ratings worksheet'!B24</f>
        <v>BB-</v>
      </c>
      <c r="C24" s="56" t="str">
        <f>IF('Ratings worksheet'!C24="NA",VLOOKUP('Ratings worksheet'!B24,'Sovereign Ratings (Moody''s,S&amp;P)'!$F$9:$G$33,2,FALSE),'Ratings worksheet'!C24)</f>
        <v>Ba2</v>
      </c>
      <c r="F24" s="30" t="s">
        <v>201</v>
      </c>
      <c r="G24" s="15" t="s">
        <v>82</v>
      </c>
    </row>
    <row r="25" spans="1:7">
      <c r="A25" s="46" t="str">
        <f>'Ratings worksheet'!A25</f>
        <v>Bulgaria</v>
      </c>
      <c r="B25" s="56" t="str">
        <f>'Ratings worksheet'!B25</f>
        <v>BBB</v>
      </c>
      <c r="C25" s="56" t="str">
        <f>IF('Ratings worksheet'!C25="NA",VLOOKUP('Ratings worksheet'!B25,'Sovereign Ratings (Moody''s,S&amp;P)'!$F$9:$G$33,2,FALSE),'Ratings worksheet'!C25)</f>
        <v>Baa1</v>
      </c>
      <c r="F25" s="30" t="s">
        <v>137</v>
      </c>
      <c r="G25" s="15" t="s">
        <v>243</v>
      </c>
    </row>
    <row r="26" spans="1:7">
      <c r="A26" s="46" t="str">
        <f>'Ratings worksheet'!A26</f>
        <v>Burkina Faso</v>
      </c>
      <c r="B26" s="56" t="str">
        <f>'Ratings worksheet'!B26</f>
        <v>CCC+</v>
      </c>
      <c r="C26" s="56" t="str">
        <f>IF('Ratings worksheet'!C26="NA",VLOOKUP('Ratings worksheet'!B26,'Sovereign Ratings (Moody''s,S&amp;P)'!$F$9:$G$33,2,FALSE),'Ratings worksheet'!C26)</f>
        <v>Caa1</v>
      </c>
      <c r="F26" s="30" t="s">
        <v>244</v>
      </c>
      <c r="G26" s="15" t="s">
        <v>245</v>
      </c>
    </row>
    <row r="27" spans="1:7">
      <c r="A27" s="46" t="str">
        <f>'Ratings worksheet'!A27</f>
        <v>Cambodia</v>
      </c>
      <c r="B27" s="56" t="str">
        <f>'Ratings worksheet'!B27</f>
        <v>NA</v>
      </c>
      <c r="C27" s="56" t="str">
        <f>IF('Ratings worksheet'!C27="NA",VLOOKUP('Ratings worksheet'!B27,'Sovereign Ratings (Moody''s,S&amp;P)'!$F$9:$G$33,2,FALSE),'Ratings worksheet'!C27)</f>
        <v>B2</v>
      </c>
      <c r="F27" s="30" t="s">
        <v>241</v>
      </c>
      <c r="G27" s="15" t="s">
        <v>242</v>
      </c>
    </row>
    <row r="28" spans="1:7">
      <c r="A28" s="46" t="str">
        <f>'Ratings worksheet'!A28</f>
        <v>Cameroon</v>
      </c>
      <c r="B28" s="56" t="str">
        <f>'Ratings worksheet'!B28</f>
        <v>CCC+</v>
      </c>
      <c r="C28" s="56" t="str">
        <f>IF('Ratings worksheet'!C28="NA",VLOOKUP('Ratings worksheet'!B28,'Sovereign Ratings (Moody''s,S&amp;P)'!$F$9:$G$33,2,FALSE),'Ratings worksheet'!C28)</f>
        <v>Caa1</v>
      </c>
      <c r="F28" s="30" t="s">
        <v>237</v>
      </c>
      <c r="G28" s="15" t="s">
        <v>238</v>
      </c>
    </row>
    <row r="29" spans="1:7" s="16" customFormat="1">
      <c r="A29" s="46" t="str">
        <f>'Ratings worksheet'!A29</f>
        <v>Canada</v>
      </c>
      <c r="B29" s="56" t="str">
        <f>'Ratings worksheet'!B29</f>
        <v>AAA</v>
      </c>
      <c r="C29" s="56" t="str">
        <f>IF('Ratings worksheet'!C29="NA",VLOOKUP('Ratings worksheet'!B29,'Sovereign Ratings (Moody''s,S&amp;P)'!$F$9:$G$33,2,FALSE),'Ratings worksheet'!C29)</f>
        <v>Aaa</v>
      </c>
      <c r="F29" s="30" t="s">
        <v>239</v>
      </c>
      <c r="G29" s="15" t="s">
        <v>240</v>
      </c>
    </row>
    <row r="30" spans="1:7">
      <c r="A30" s="46" t="str">
        <f>'Ratings worksheet'!A30</f>
        <v>Cape Verde</v>
      </c>
      <c r="B30" s="56" t="str">
        <f>'Ratings worksheet'!B30</f>
        <v>B-</v>
      </c>
      <c r="C30" s="56" t="str">
        <f>IF('Ratings worksheet'!C30="NA",VLOOKUP('Ratings worksheet'!B30,'Sovereign Ratings (Moody''s,S&amp;P)'!$F$9:$G$33,2,FALSE),'Ratings worksheet'!C30)</f>
        <v>B3</v>
      </c>
      <c r="F30" s="30" t="s">
        <v>236</v>
      </c>
      <c r="G30" s="15" t="s">
        <v>252</v>
      </c>
    </row>
    <row r="31" spans="1:7">
      <c r="A31" s="46" t="str">
        <f>'Ratings worksheet'!A31</f>
        <v>Cayman Islands</v>
      </c>
      <c r="B31" s="56" t="str">
        <f>'Ratings worksheet'!B31</f>
        <v>NA</v>
      </c>
      <c r="C31" s="56" t="str">
        <f>IF('Ratings worksheet'!C31="NA",VLOOKUP('Ratings worksheet'!B31,'Sovereign Ratings (Moody''s,S&amp;P)'!$F$9:$G$33,2,FALSE),'Ratings worksheet'!C31)</f>
        <v>Aa3</v>
      </c>
      <c r="F31" s="30" t="s">
        <v>234</v>
      </c>
      <c r="G31" s="15" t="s">
        <v>58</v>
      </c>
    </row>
    <row r="32" spans="1:7">
      <c r="A32" s="46" t="str">
        <f>'Ratings worksheet'!A32</f>
        <v>Chile</v>
      </c>
      <c r="B32" s="56" t="str">
        <f>'Ratings worksheet'!B32</f>
        <v>A</v>
      </c>
      <c r="C32" s="56" t="str">
        <f>IF('Ratings worksheet'!C32="NA",VLOOKUP('Ratings worksheet'!B32,'Sovereign Ratings (Moody''s,S&amp;P)'!$F$9:$G$33,2,FALSE),'Ratings worksheet'!C32)</f>
        <v>A2</v>
      </c>
      <c r="F32" s="30" t="s">
        <v>235</v>
      </c>
      <c r="G32" s="15" t="s">
        <v>62</v>
      </c>
    </row>
    <row r="33" spans="1:7">
      <c r="A33" s="46" t="str">
        <f>'Ratings worksheet'!A33</f>
        <v>China</v>
      </c>
      <c r="B33" s="56" t="str">
        <f>'Ratings worksheet'!B33</f>
        <v>A+</v>
      </c>
      <c r="C33" s="56" t="str">
        <f>IF('Ratings worksheet'!C33="NA",VLOOKUP('Ratings worksheet'!B33,'Sovereign Ratings (Moody''s,S&amp;P)'!$F$9:$G$33,2,FALSE),'Ratings worksheet'!C33)</f>
        <v>A1</v>
      </c>
      <c r="F33" s="30" t="s">
        <v>217</v>
      </c>
      <c r="G33" s="15" t="s">
        <v>100</v>
      </c>
    </row>
    <row r="34" spans="1:7">
      <c r="A34" s="46" t="str">
        <f>'Ratings worksheet'!A34</f>
        <v>Colombia</v>
      </c>
      <c r="B34" s="56" t="str">
        <f>'Ratings worksheet'!B34</f>
        <v>BB+</v>
      </c>
      <c r="C34" s="56" t="str">
        <f>IF('Ratings worksheet'!C34="NA",VLOOKUP('Ratings worksheet'!B34,'Sovereign Ratings (Moody''s,S&amp;P)'!$F$9:$G$33,2,FALSE),'Ratings worksheet'!C34)</f>
        <v>Baa2</v>
      </c>
      <c r="F34" s="253"/>
      <c r="G34" s="254"/>
    </row>
    <row r="35" spans="1:7">
      <c r="A35" s="46" t="str">
        <f>'Ratings worksheet'!A35</f>
        <v>Congo (Democratic Republic of)</v>
      </c>
      <c r="B35" s="56" t="str">
        <f>'Ratings worksheet'!B35</f>
        <v>B-</v>
      </c>
      <c r="C35" s="56" t="str">
        <f>IF('Ratings worksheet'!C35="NA",VLOOKUP('Ratings worksheet'!B35,'Sovereign Ratings (Moody''s,S&amp;P)'!$F$9:$G$33,2,FALSE),'Ratings worksheet'!C35)</f>
        <v>B3</v>
      </c>
    </row>
    <row r="36" spans="1:7">
      <c r="A36" s="46" t="str">
        <f>'Ratings worksheet'!A36</f>
        <v>Congo (Republic of)</v>
      </c>
      <c r="B36" s="56" t="str">
        <f>'Ratings worksheet'!B36</f>
        <v>B-</v>
      </c>
      <c r="C36" s="56" t="str">
        <f>IF('Ratings worksheet'!C36="NA",VLOOKUP('Ratings worksheet'!B36,'Sovereign Ratings (Moody''s,S&amp;P)'!$F$9:$G$33,2,FALSE),'Ratings worksheet'!C36)</f>
        <v>Caa2</v>
      </c>
    </row>
    <row r="37" spans="1:7">
      <c r="A37" s="46" t="str">
        <f>'Ratings worksheet'!A37</f>
        <v>Cook Islands</v>
      </c>
      <c r="B37" s="56" t="str">
        <f>'Ratings worksheet'!B37</f>
        <v>B+</v>
      </c>
      <c r="C37" s="56" t="str">
        <f>IF('Ratings worksheet'!C37="NA",VLOOKUP('Ratings worksheet'!B37,'Sovereign Ratings (Moody''s,S&amp;P)'!$F$9:$G$33,2,FALSE),'Ratings worksheet'!C37)</f>
        <v>B1</v>
      </c>
    </row>
    <row r="38" spans="1:7">
      <c r="A38" s="46" t="str">
        <f>'Ratings worksheet'!A38</f>
        <v>Costa Rica</v>
      </c>
      <c r="B38" s="56" t="str">
        <f>'Ratings worksheet'!B38</f>
        <v>BB-</v>
      </c>
      <c r="C38" s="56" t="str">
        <f>IF('Ratings worksheet'!C38="NA",VLOOKUP('Ratings worksheet'!B38,'Sovereign Ratings (Moody''s,S&amp;P)'!$F$9:$G$33,2,FALSE),'Ratings worksheet'!C38)</f>
        <v>B1</v>
      </c>
    </row>
    <row r="39" spans="1:7">
      <c r="A39" s="46" t="str">
        <f>'Ratings worksheet'!A39</f>
        <v>Côte d'Ivoire</v>
      </c>
      <c r="B39" s="56" t="str">
        <f>'Ratings worksheet'!B39</f>
        <v>BB-</v>
      </c>
      <c r="C39" s="56" t="str">
        <f>IF('Ratings worksheet'!C39="NA",VLOOKUP('Ratings worksheet'!B39,'Sovereign Ratings (Moody''s,S&amp;P)'!$F$9:$G$33,2,FALSE),'Ratings worksheet'!C39)</f>
        <v>Ba3</v>
      </c>
    </row>
    <row r="40" spans="1:7">
      <c r="A40" s="46" t="str">
        <f>'Ratings worksheet'!A40</f>
        <v>Croatia</v>
      </c>
      <c r="B40" s="56" t="str">
        <f>'Ratings worksheet'!B40</f>
        <v>BBB+</v>
      </c>
      <c r="C40" s="56" t="str">
        <f>IF('Ratings worksheet'!C40="NA",VLOOKUP('Ratings worksheet'!B40,'Sovereign Ratings (Moody''s,S&amp;P)'!$F$9:$G$33,2,FALSE),'Ratings worksheet'!C40)</f>
        <v>Baa2</v>
      </c>
    </row>
    <row r="41" spans="1:7">
      <c r="A41" s="46" t="str">
        <f>'Ratings worksheet'!A41</f>
        <v>Cuba</v>
      </c>
      <c r="B41" s="56" t="str">
        <f>'Ratings worksheet'!B41</f>
        <v>NA</v>
      </c>
      <c r="C41" s="56" t="str">
        <f>IF('Ratings worksheet'!C41="NA",VLOOKUP('Ratings worksheet'!B41,'Sovereign Ratings (Moody''s,S&amp;P)'!$F$9:$G$33,2,FALSE),'Ratings worksheet'!C41)</f>
        <v>Ca</v>
      </c>
    </row>
    <row r="42" spans="1:7">
      <c r="A42" s="46" t="str">
        <f>'Ratings worksheet'!A42</f>
        <v>Curacao</v>
      </c>
      <c r="B42" s="56" t="str">
        <f>'Ratings worksheet'!B42</f>
        <v>BBB-</v>
      </c>
      <c r="C42" s="56" t="str">
        <f>IF('Ratings worksheet'!C42="NA",VLOOKUP('Ratings worksheet'!B42,'Sovereign Ratings (Moody''s,S&amp;P)'!$F$9:$G$33,2,FALSE),'Ratings worksheet'!C42)</f>
        <v>Baa3</v>
      </c>
    </row>
    <row r="43" spans="1:7">
      <c r="A43" s="46" t="str">
        <f>'Ratings worksheet'!A43</f>
        <v>Cyprus</v>
      </c>
      <c r="B43" s="56" t="str">
        <f>'Ratings worksheet'!B43</f>
        <v>BBB</v>
      </c>
      <c r="C43" s="56" t="str">
        <f>IF('Ratings worksheet'!C43="NA",VLOOKUP('Ratings worksheet'!B43,'Sovereign Ratings (Moody''s,S&amp;P)'!$F$9:$G$33,2,FALSE),'Ratings worksheet'!C43)</f>
        <v>Baa2</v>
      </c>
    </row>
    <row r="44" spans="1:7">
      <c r="A44" s="46" t="str">
        <f>'Ratings worksheet'!A44</f>
        <v>Czech Republic</v>
      </c>
      <c r="B44" s="56" t="str">
        <f>'Ratings worksheet'!B44</f>
        <v>AA-</v>
      </c>
      <c r="C44" s="56" t="str">
        <f>IF('Ratings worksheet'!C44="NA",VLOOKUP('Ratings worksheet'!B44,'Sovereign Ratings (Moody''s,S&amp;P)'!$F$9:$G$33,2,FALSE),'Ratings worksheet'!C44)</f>
        <v>Aa3</v>
      </c>
    </row>
    <row r="45" spans="1:7">
      <c r="A45" s="46" t="str">
        <f>'Ratings worksheet'!A45</f>
        <v>Denmark</v>
      </c>
      <c r="B45" s="56" t="str">
        <f>'Ratings worksheet'!B45</f>
        <v>AAA</v>
      </c>
      <c r="C45" s="56" t="str">
        <f>IF('Ratings worksheet'!C45="NA",VLOOKUP('Ratings worksheet'!B45,'Sovereign Ratings (Moody''s,S&amp;P)'!$F$9:$G$33,2,FALSE),'Ratings worksheet'!C45)</f>
        <v>Aaa</v>
      </c>
    </row>
    <row r="46" spans="1:7">
      <c r="A46" s="46" t="str">
        <f>'Ratings worksheet'!A46</f>
        <v>Dominican Republic</v>
      </c>
      <c r="B46" s="56" t="str">
        <f>'Ratings worksheet'!B46</f>
        <v>BB</v>
      </c>
      <c r="C46" s="56" t="str">
        <f>IF('Ratings worksheet'!C46="NA",VLOOKUP('Ratings worksheet'!B46,'Sovereign Ratings (Moody''s,S&amp;P)'!$F$9:$G$33,2,FALSE),'Ratings worksheet'!C46)</f>
        <v>Ba3</v>
      </c>
    </row>
    <row r="47" spans="1:7">
      <c r="A47" s="46" t="str">
        <f>'Ratings worksheet'!A47</f>
        <v>Ecuador</v>
      </c>
      <c r="B47" s="56" t="str">
        <f>'Ratings worksheet'!B47</f>
        <v>B-</v>
      </c>
      <c r="C47" s="56" t="str">
        <f>IF('Ratings worksheet'!C47="NA",VLOOKUP('Ratings worksheet'!B47,'Sovereign Ratings (Moody''s,S&amp;P)'!$F$9:$G$33,2,FALSE),'Ratings worksheet'!C47)</f>
        <v>Caa3</v>
      </c>
    </row>
    <row r="48" spans="1:7">
      <c r="A48" s="46" t="str">
        <f>'Ratings worksheet'!A48</f>
        <v>Egypt</v>
      </c>
      <c r="B48" s="56" t="str">
        <f>'Ratings worksheet'!B48</f>
        <v>B-</v>
      </c>
      <c r="C48" s="56" t="str">
        <f>IF('Ratings worksheet'!C48="NA",VLOOKUP('Ratings worksheet'!B48,'Sovereign Ratings (Moody''s,S&amp;P)'!$F$9:$G$33,2,FALSE),'Ratings worksheet'!C48)</f>
        <v>Caa1</v>
      </c>
    </row>
    <row r="49" spans="1:3">
      <c r="A49" s="46" t="str">
        <f>'Ratings worksheet'!A49</f>
        <v>El Salvador</v>
      </c>
      <c r="B49" s="56" t="str">
        <f>'Ratings worksheet'!B49</f>
        <v>B-</v>
      </c>
      <c r="C49" s="56" t="str">
        <f>IF('Ratings worksheet'!C49="NA",VLOOKUP('Ratings worksheet'!B49,'Sovereign Ratings (Moody''s,S&amp;P)'!$F$9:$G$33,2,FALSE),'Ratings worksheet'!C49)</f>
        <v>Caa3</v>
      </c>
    </row>
    <row r="50" spans="1:3">
      <c r="A50" s="46" t="str">
        <f>'Ratings worksheet'!A50</f>
        <v>Estonia</v>
      </c>
      <c r="B50" s="56" t="str">
        <f>'Ratings worksheet'!B50</f>
        <v>AA-</v>
      </c>
      <c r="C50" s="56" t="str">
        <f>IF('Ratings worksheet'!C50="NA",VLOOKUP('Ratings worksheet'!B50,'Sovereign Ratings (Moody''s,S&amp;P)'!$F$9:$G$33,2,FALSE),'Ratings worksheet'!C50)</f>
        <v>A1</v>
      </c>
    </row>
    <row r="51" spans="1:3">
      <c r="A51" s="46" t="str">
        <f>'Ratings worksheet'!A51</f>
        <v>Ethiopia</v>
      </c>
      <c r="B51" s="56" t="str">
        <f>'Ratings worksheet'!B51</f>
        <v>CCC</v>
      </c>
      <c r="C51" s="56" t="str">
        <f>IF('Ratings worksheet'!C51="NA",VLOOKUP('Ratings worksheet'!B51,'Sovereign Ratings (Moody''s,S&amp;P)'!$F$9:$G$33,2,FALSE),'Ratings worksheet'!C51)</f>
        <v>Caa2</v>
      </c>
    </row>
    <row r="52" spans="1:3">
      <c r="A52" s="46" t="str">
        <f>'Ratings worksheet'!A52</f>
        <v>Fiji</v>
      </c>
      <c r="B52" s="56" t="str">
        <f>'Ratings worksheet'!B52</f>
        <v>B+</v>
      </c>
      <c r="C52" s="56" t="str">
        <f>IF('Ratings worksheet'!C52="NA",VLOOKUP('Ratings worksheet'!B52,'Sovereign Ratings (Moody''s,S&amp;P)'!$F$9:$G$33,2,FALSE),'Ratings worksheet'!C52)</f>
        <v>B1</v>
      </c>
    </row>
    <row r="53" spans="1:3">
      <c r="A53" s="46" t="str">
        <f>'Ratings worksheet'!A53</f>
        <v>Finland</v>
      </c>
      <c r="B53" s="56" t="str">
        <f>'Ratings worksheet'!B53</f>
        <v>AA+</v>
      </c>
      <c r="C53" s="56" t="str">
        <f>IF('Ratings worksheet'!C53="NA",VLOOKUP('Ratings worksheet'!B53,'Sovereign Ratings (Moody''s,S&amp;P)'!$F$9:$G$33,2,FALSE),'Ratings worksheet'!C53)</f>
        <v>Aa1</v>
      </c>
    </row>
    <row r="54" spans="1:3">
      <c r="A54" s="46" t="str">
        <f>'Ratings worksheet'!A54</f>
        <v>France</v>
      </c>
      <c r="B54" s="56" t="str">
        <f>'Ratings worksheet'!B54</f>
        <v>AA</v>
      </c>
      <c r="C54" s="56" t="str">
        <f>IF('Ratings worksheet'!C54="NA",VLOOKUP('Ratings worksheet'!B54,'Sovereign Ratings (Moody''s,S&amp;P)'!$F$9:$G$33,2,FALSE),'Ratings worksheet'!C54)</f>
        <v>Aa2</v>
      </c>
    </row>
    <row r="55" spans="1:3">
      <c r="A55" s="46" t="str">
        <f>'Ratings worksheet'!A55</f>
        <v>Gabon</v>
      </c>
      <c r="B55" s="56" t="str">
        <f>'Ratings worksheet'!B55</f>
        <v>NA</v>
      </c>
      <c r="C55" s="56" t="str">
        <f>IF('Ratings worksheet'!C55="NA",VLOOKUP('Ratings worksheet'!B55,'Sovereign Ratings (Moody''s,S&amp;P)'!$F$9:$G$33,2,FALSE),'Ratings worksheet'!C55)</f>
        <v>Caa1</v>
      </c>
    </row>
    <row r="56" spans="1:3">
      <c r="A56" s="46" t="str">
        <f>'Ratings worksheet'!A56</f>
        <v>Georgia</v>
      </c>
      <c r="B56" s="56" t="str">
        <f>'Ratings worksheet'!B56</f>
        <v>BB</v>
      </c>
      <c r="C56" s="56" t="str">
        <f>IF('Ratings worksheet'!C56="NA",VLOOKUP('Ratings worksheet'!B56,'Sovereign Ratings (Moody''s,S&amp;P)'!$F$9:$G$33,2,FALSE),'Ratings worksheet'!C56)</f>
        <v>Ba2</v>
      </c>
    </row>
    <row r="57" spans="1:3">
      <c r="A57" s="46" t="str">
        <f>'Ratings worksheet'!A57</f>
        <v>Germany</v>
      </c>
      <c r="B57" s="56" t="str">
        <f>'Ratings worksheet'!B57</f>
        <v>AAA</v>
      </c>
      <c r="C57" s="56" t="str">
        <f>IF('Ratings worksheet'!C57="NA",VLOOKUP('Ratings worksheet'!B57,'Sovereign Ratings (Moody''s,S&amp;P)'!$F$9:$G$33,2,FALSE),'Ratings worksheet'!C57)</f>
        <v>Aaa</v>
      </c>
    </row>
    <row r="58" spans="1:3">
      <c r="A58" s="46" t="str">
        <f>'Ratings worksheet'!A58</f>
        <v>Ghana</v>
      </c>
      <c r="B58" s="56" t="str">
        <f>'Ratings worksheet'!B58</f>
        <v>NR</v>
      </c>
      <c r="C58" s="56" t="str">
        <f>IF('Ratings worksheet'!C58="NA",VLOOKUP('Ratings worksheet'!B58,'Sovereign Ratings (Moody''s,S&amp;P)'!$F$9:$G$33,2,FALSE),'Ratings worksheet'!C58)</f>
        <v>Caa3</v>
      </c>
    </row>
    <row r="59" spans="1:3">
      <c r="A59" s="46" t="str">
        <f>'Ratings worksheet'!A59</f>
        <v>Greece</v>
      </c>
      <c r="B59" s="56" t="str">
        <f>'Ratings worksheet'!B59</f>
        <v>BBB-</v>
      </c>
      <c r="C59" s="56" t="str">
        <f>IF('Ratings worksheet'!C59="NA",VLOOKUP('Ratings worksheet'!B59,'Sovereign Ratings (Moody''s,S&amp;P)'!$F$9:$G$33,2,FALSE),'Ratings worksheet'!C59)</f>
        <v>Ba1</v>
      </c>
    </row>
    <row r="60" spans="1:3">
      <c r="A60" s="46" t="str">
        <f>'Ratings worksheet'!A60</f>
        <v>Guatemala</v>
      </c>
      <c r="B60" s="56" t="str">
        <f>'Ratings worksheet'!B60</f>
        <v>BB</v>
      </c>
      <c r="C60" s="56" t="str">
        <f>IF('Ratings worksheet'!C60="NA",VLOOKUP('Ratings worksheet'!B60,'Sovereign Ratings (Moody''s,S&amp;P)'!$F$9:$G$33,2,FALSE),'Ratings worksheet'!C60)</f>
        <v>Ba1</v>
      </c>
    </row>
    <row r="61" spans="1:3">
      <c r="A61" s="46" t="str">
        <f>'Ratings worksheet'!A61</f>
        <v>Guernsey (States of)</v>
      </c>
      <c r="B61" s="56" t="str">
        <f>'Ratings worksheet'!B61</f>
        <v>A+</v>
      </c>
      <c r="C61" s="56" t="str">
        <f>IF('Ratings worksheet'!C61="NA",VLOOKUP('Ratings worksheet'!B61,'Sovereign Ratings (Moody''s,S&amp;P)'!$F$9:$G$33,2,FALSE),'Ratings worksheet'!C61)</f>
        <v>A1</v>
      </c>
    </row>
    <row r="62" spans="1:3">
      <c r="A62" s="46" t="str">
        <f>'Ratings worksheet'!A62</f>
        <v>Honduras</v>
      </c>
      <c r="B62" s="56" t="str">
        <f>'Ratings worksheet'!B62</f>
        <v>BB-</v>
      </c>
      <c r="C62" s="56" t="str">
        <f>IF('Ratings worksheet'!C62="NA",VLOOKUP('Ratings worksheet'!B62,'Sovereign Ratings (Moody''s,S&amp;P)'!$F$9:$G$33,2,FALSE),'Ratings worksheet'!C62)</f>
        <v>B1</v>
      </c>
    </row>
    <row r="63" spans="1:3">
      <c r="A63" s="46" t="str">
        <f>'Ratings worksheet'!A63</f>
        <v>Hong Kong</v>
      </c>
      <c r="B63" s="56" t="str">
        <f>'Ratings worksheet'!B63</f>
        <v>AA+</v>
      </c>
      <c r="C63" s="56" t="str">
        <f>IF('Ratings worksheet'!C63="NA",VLOOKUP('Ratings worksheet'!B63,'Sovereign Ratings (Moody''s,S&amp;P)'!$F$9:$G$33,2,FALSE),'Ratings worksheet'!C63)</f>
        <v>Aa3</v>
      </c>
    </row>
    <row r="64" spans="1:3">
      <c r="A64" s="46" t="str">
        <f>'Ratings worksheet'!A64</f>
        <v>Hungary</v>
      </c>
      <c r="B64" s="56" t="str">
        <f>'Ratings worksheet'!B64</f>
        <v>BBB-</v>
      </c>
      <c r="C64" s="56" t="str">
        <f>IF('Ratings worksheet'!C64="NA",VLOOKUP('Ratings worksheet'!B64,'Sovereign Ratings (Moody''s,S&amp;P)'!$F$9:$G$33,2,FALSE),'Ratings worksheet'!C64)</f>
        <v>Baa2</v>
      </c>
    </row>
    <row r="65" spans="1:3">
      <c r="A65" s="46" t="str">
        <f>'Ratings worksheet'!A65</f>
        <v>Iceland</v>
      </c>
      <c r="B65" s="56" t="str">
        <f>'Ratings worksheet'!B65</f>
        <v>A+</v>
      </c>
      <c r="C65" s="56" t="str">
        <f>IF('Ratings worksheet'!C65="NA",VLOOKUP('Ratings worksheet'!B65,'Sovereign Ratings (Moody''s,S&amp;P)'!$F$9:$G$33,2,FALSE),'Ratings worksheet'!C65)</f>
        <v>A2</v>
      </c>
    </row>
    <row r="66" spans="1:3">
      <c r="A66" s="46" t="str">
        <f>'Ratings worksheet'!A66</f>
        <v>India</v>
      </c>
      <c r="B66" s="56" t="str">
        <f>'Ratings worksheet'!B66</f>
        <v>BBB-</v>
      </c>
      <c r="C66" s="56" t="str">
        <f>IF('Ratings worksheet'!C66="NA",VLOOKUP('Ratings worksheet'!B66,'Sovereign Ratings (Moody''s,S&amp;P)'!$F$9:$G$33,2,FALSE),'Ratings worksheet'!C66)</f>
        <v>Baa3</v>
      </c>
    </row>
    <row r="67" spans="1:3">
      <c r="A67" s="46" t="str">
        <f>'Ratings worksheet'!A67</f>
        <v>Indonesia</v>
      </c>
      <c r="B67" s="56" t="str">
        <f>'Ratings worksheet'!B67</f>
        <v>BBB</v>
      </c>
      <c r="C67" s="56" t="str">
        <f>IF('Ratings worksheet'!C67="NA",VLOOKUP('Ratings worksheet'!B67,'Sovereign Ratings (Moody''s,S&amp;P)'!$F$9:$G$33,2,FALSE),'Ratings worksheet'!C67)</f>
        <v>Baa2</v>
      </c>
    </row>
    <row r="68" spans="1:3">
      <c r="A68" s="46" t="str">
        <f>'Ratings worksheet'!A68</f>
        <v>Iraq</v>
      </c>
      <c r="B68" s="56" t="str">
        <f>'Ratings worksheet'!B68</f>
        <v>B-</v>
      </c>
      <c r="C68" s="56" t="str">
        <f>IF('Ratings worksheet'!C68="NA",VLOOKUP('Ratings worksheet'!B68,'Sovereign Ratings (Moody''s,S&amp;P)'!$F$9:$G$33,2,FALSE),'Ratings worksheet'!C68)</f>
        <v>Caa1</v>
      </c>
    </row>
    <row r="69" spans="1:3">
      <c r="A69" s="46" t="str">
        <f>'Ratings worksheet'!A69</f>
        <v>Ireland</v>
      </c>
      <c r="B69" s="56" t="str">
        <f>'Ratings worksheet'!B69</f>
        <v>AA</v>
      </c>
      <c r="C69" s="56" t="str">
        <f>IF('Ratings worksheet'!C69="NA",VLOOKUP('Ratings worksheet'!B69,'Sovereign Ratings (Moody''s,S&amp;P)'!$F$9:$G$33,2,FALSE),'Ratings worksheet'!C69)</f>
        <v>Aa3</v>
      </c>
    </row>
    <row r="70" spans="1:3">
      <c r="A70" s="46" t="str">
        <f>'Ratings worksheet'!A70</f>
        <v>Isle of Man</v>
      </c>
      <c r="B70" s="56" t="str">
        <f>'Ratings worksheet'!B70</f>
        <v>NA</v>
      </c>
      <c r="C70" s="56" t="str">
        <f>IF('Ratings worksheet'!C70="NA",VLOOKUP('Ratings worksheet'!B70,'Sovereign Ratings (Moody''s,S&amp;P)'!$F$9:$G$33,2,FALSE),'Ratings worksheet'!C70)</f>
        <v>Aa3</v>
      </c>
    </row>
    <row r="71" spans="1:3">
      <c r="A71" s="46" t="str">
        <f>'Ratings worksheet'!A71</f>
        <v>Israel</v>
      </c>
      <c r="B71" s="56" t="str">
        <f>'Ratings worksheet'!B71</f>
        <v>AA-</v>
      </c>
      <c r="C71" s="56" t="str">
        <f>IF('Ratings worksheet'!C71="NA",VLOOKUP('Ratings worksheet'!B71,'Sovereign Ratings (Moody''s,S&amp;P)'!$F$9:$G$33,2,FALSE),'Ratings worksheet'!C71)</f>
        <v>A1</v>
      </c>
    </row>
    <row r="72" spans="1:3">
      <c r="A72" s="46" t="str">
        <f>'Ratings worksheet'!A72</f>
        <v>Italy</v>
      </c>
      <c r="B72" s="56" t="str">
        <f>'Ratings worksheet'!B72</f>
        <v>BBB</v>
      </c>
      <c r="C72" s="56" t="str">
        <f>IF('Ratings worksheet'!C72="NA",VLOOKUP('Ratings worksheet'!B72,'Sovereign Ratings (Moody''s,S&amp;P)'!$F$9:$G$33,2,FALSE),'Ratings worksheet'!C72)</f>
        <v>Baa3</v>
      </c>
    </row>
    <row r="73" spans="1:3">
      <c r="A73" s="46" t="str">
        <f>'Ratings worksheet'!A73</f>
        <v>Jamaica</v>
      </c>
      <c r="B73" s="56" t="str">
        <f>'Ratings worksheet'!B73</f>
        <v>BB-</v>
      </c>
      <c r="C73" s="56" t="str">
        <f>IF('Ratings worksheet'!C73="NA",VLOOKUP('Ratings worksheet'!B73,'Sovereign Ratings (Moody''s,S&amp;P)'!$F$9:$G$33,2,FALSE),'Ratings worksheet'!C73)</f>
        <v>B1</v>
      </c>
    </row>
    <row r="74" spans="1:3">
      <c r="A74" s="46" t="str">
        <f>'Ratings worksheet'!A74</f>
        <v>Japan</v>
      </c>
      <c r="B74" s="56" t="str">
        <f>'Ratings worksheet'!B74</f>
        <v>A+</v>
      </c>
      <c r="C74" s="56" t="str">
        <f>IF('Ratings worksheet'!C74="NA",VLOOKUP('Ratings worksheet'!B74,'Sovereign Ratings (Moody''s,S&amp;P)'!$F$9:$G$33,2,FALSE),'Ratings worksheet'!C74)</f>
        <v>A1</v>
      </c>
    </row>
    <row r="75" spans="1:3">
      <c r="A75" s="46" t="str">
        <f>'Ratings worksheet'!A75</f>
        <v>Jersey (States of)</v>
      </c>
      <c r="B75" s="56" t="str">
        <f>'Ratings worksheet'!B75</f>
        <v>AA-</v>
      </c>
      <c r="C75" s="56" t="str">
        <f>IF('Ratings worksheet'!C75="NA",VLOOKUP('Ratings worksheet'!B75,'Sovereign Ratings (Moody''s,S&amp;P)'!$F$9:$G$33,2,FALSE),'Ratings worksheet'!C75)</f>
        <v>Aa3</v>
      </c>
    </row>
    <row r="76" spans="1:3">
      <c r="A76" s="46" t="str">
        <f>'Ratings worksheet'!A76</f>
        <v>Jordan</v>
      </c>
      <c r="B76" s="56" t="str">
        <f>'Ratings worksheet'!B76</f>
        <v>B+</v>
      </c>
      <c r="C76" s="56" t="str">
        <f>IF('Ratings worksheet'!C76="NA",VLOOKUP('Ratings worksheet'!B76,'Sovereign Ratings (Moody''s,S&amp;P)'!$F$9:$G$33,2,FALSE),'Ratings worksheet'!C76)</f>
        <v>B1</v>
      </c>
    </row>
    <row r="77" spans="1:3">
      <c r="A77" s="46" t="str">
        <f>'Ratings worksheet'!A77</f>
        <v>Kazakhstan</v>
      </c>
      <c r="B77" s="56" t="str">
        <f>'Ratings worksheet'!B77</f>
        <v>BBB-</v>
      </c>
      <c r="C77" s="56" t="str">
        <f>IF('Ratings worksheet'!C77="NA",VLOOKUP('Ratings worksheet'!B77,'Sovereign Ratings (Moody''s,S&amp;P)'!$F$9:$G$33,2,FALSE),'Ratings worksheet'!C77)</f>
        <v>Baa2</v>
      </c>
    </row>
    <row r="78" spans="1:3">
      <c r="A78" s="46" t="str">
        <f>'Ratings worksheet'!A78</f>
        <v>Kenya</v>
      </c>
      <c r="B78" s="56" t="str">
        <f>'Ratings worksheet'!B78</f>
        <v>B</v>
      </c>
      <c r="C78" s="56" t="str">
        <f>IF('Ratings worksheet'!C78="NA",VLOOKUP('Ratings worksheet'!B78,'Sovereign Ratings (Moody''s,S&amp;P)'!$F$9:$G$33,2,FALSE),'Ratings worksheet'!C78)</f>
        <v>B3</v>
      </c>
    </row>
    <row r="79" spans="1:3">
      <c r="A79" s="46" t="str">
        <f>'Ratings worksheet'!A79</f>
        <v>Korea</v>
      </c>
      <c r="B79" s="56" t="str">
        <f>'Ratings worksheet'!B79</f>
        <v>AA</v>
      </c>
      <c r="C79" s="56" t="str">
        <f>IF('Ratings worksheet'!C79="NA",VLOOKUP('Ratings worksheet'!B79,'Sovereign Ratings (Moody''s,S&amp;P)'!$F$9:$G$33,2,FALSE),'Ratings worksheet'!C79)</f>
        <v>Aa2</v>
      </c>
    </row>
    <row r="80" spans="1:3">
      <c r="A80" s="46" t="str">
        <f>'Ratings worksheet'!A80</f>
        <v>Kuwait</v>
      </c>
      <c r="B80" s="56" t="str">
        <f>'Ratings worksheet'!B80</f>
        <v>A+</v>
      </c>
      <c r="C80" s="56" t="str">
        <f>IF('Ratings worksheet'!C80="NA",VLOOKUP('Ratings worksheet'!B80,'Sovereign Ratings (Moody''s,S&amp;P)'!$F$9:$G$33,2,FALSE),'Ratings worksheet'!C80)</f>
        <v>A1</v>
      </c>
    </row>
    <row r="81" spans="1:3">
      <c r="A81" s="46" t="str">
        <f>'Ratings worksheet'!A81</f>
        <v>Kyrgyzstan</v>
      </c>
      <c r="B81" s="56" t="str">
        <f>'Ratings worksheet'!B81</f>
        <v>NA</v>
      </c>
      <c r="C81" s="56" t="str">
        <f>IF('Ratings worksheet'!C81="NA",VLOOKUP('Ratings worksheet'!B81,'Sovereign Ratings (Moody''s,S&amp;P)'!$F$9:$G$33,2,FALSE),'Ratings worksheet'!C81)</f>
        <v>B3</v>
      </c>
    </row>
    <row r="82" spans="1:3">
      <c r="A82" s="46" t="str">
        <f>'Ratings worksheet'!A82</f>
        <v>Laos</v>
      </c>
      <c r="B82" s="56" t="str">
        <f>'Ratings worksheet'!B82</f>
        <v>NA</v>
      </c>
      <c r="C82" s="56" t="str">
        <f>IF('Ratings worksheet'!C82="NA",VLOOKUP('Ratings worksheet'!B82,'Sovereign Ratings (Moody''s,S&amp;P)'!$F$9:$G$33,2,FALSE),'Ratings worksheet'!C82)</f>
        <v>Caa3</v>
      </c>
    </row>
    <row r="83" spans="1:3">
      <c r="A83" s="46" t="str">
        <f>'Ratings worksheet'!A83</f>
        <v>Latvia</v>
      </c>
      <c r="B83" s="56" t="str">
        <f>'Ratings worksheet'!B83</f>
        <v>A+</v>
      </c>
      <c r="C83" s="56" t="str">
        <f>IF('Ratings worksheet'!C83="NA",VLOOKUP('Ratings worksheet'!B83,'Sovereign Ratings (Moody''s,S&amp;P)'!$F$9:$G$33,2,FALSE),'Ratings worksheet'!C83)</f>
        <v>A3</v>
      </c>
    </row>
    <row r="84" spans="1:3">
      <c r="A84" s="46" t="str">
        <f>'Ratings worksheet'!A84</f>
        <v>Lebanon</v>
      </c>
      <c r="B84" s="56" t="str">
        <f>'Ratings worksheet'!B84</f>
        <v>NR</v>
      </c>
      <c r="C84" s="56" t="str">
        <f>IF('Ratings worksheet'!C84="NA",VLOOKUP('Ratings worksheet'!B84,'Sovereign Ratings (Moody''s,S&amp;P)'!$F$9:$G$33,2,FALSE),'Ratings worksheet'!C84)</f>
        <v>C</v>
      </c>
    </row>
    <row r="85" spans="1:3">
      <c r="A85" s="46" t="str">
        <f>'Ratings worksheet'!A85</f>
        <v>Liechtenstein</v>
      </c>
      <c r="B85" s="56" t="str">
        <f>'Ratings worksheet'!B85</f>
        <v>AAA</v>
      </c>
      <c r="C85" s="56" t="str">
        <f>IF('Ratings worksheet'!C85="NA",VLOOKUP('Ratings worksheet'!B85,'Sovereign Ratings (Moody''s,S&amp;P)'!$F$9:$G$33,2,FALSE),'Ratings worksheet'!C85)</f>
        <v>Aaa</v>
      </c>
    </row>
    <row r="86" spans="1:3">
      <c r="A86" s="46" t="str">
        <f>'Ratings worksheet'!A86</f>
        <v>Lithuania</v>
      </c>
      <c r="B86" s="56" t="str">
        <f>'Ratings worksheet'!B86</f>
        <v>A+</v>
      </c>
      <c r="C86" s="56" t="str">
        <f>IF('Ratings worksheet'!C86="NA",VLOOKUP('Ratings worksheet'!B86,'Sovereign Ratings (Moody''s,S&amp;P)'!$F$9:$G$33,2,FALSE),'Ratings worksheet'!C86)</f>
        <v>A2</v>
      </c>
    </row>
    <row r="87" spans="1:3">
      <c r="A87" s="46" t="str">
        <f>'Ratings worksheet'!A87</f>
        <v>Luxembourg</v>
      </c>
      <c r="B87" s="56" t="str">
        <f>'Ratings worksheet'!B87</f>
        <v>AAA</v>
      </c>
      <c r="C87" s="56" t="str">
        <f>IF('Ratings worksheet'!C87="NA",VLOOKUP('Ratings worksheet'!B87,'Sovereign Ratings (Moody''s,S&amp;P)'!$F$9:$G$33,2,FALSE),'Ratings worksheet'!C87)</f>
        <v>Aaa</v>
      </c>
    </row>
    <row r="88" spans="1:3">
      <c r="A88" s="46" t="str">
        <f>'Ratings worksheet'!A88</f>
        <v>Macao</v>
      </c>
      <c r="B88" s="56" t="str">
        <f>'Ratings worksheet'!B88</f>
        <v>NA</v>
      </c>
      <c r="C88" s="56" t="str">
        <f>IF('Ratings worksheet'!C88="NA",VLOOKUP('Ratings worksheet'!B88,'Sovereign Ratings (Moody''s,S&amp;P)'!$F$9:$G$33,2,FALSE),'Ratings worksheet'!C88)</f>
        <v>Aa3</v>
      </c>
    </row>
    <row r="89" spans="1:3">
      <c r="A89" s="46" t="str">
        <f>'Ratings worksheet'!A89</f>
        <v>Macedonia</v>
      </c>
      <c r="B89" s="56" t="str">
        <f>'Ratings worksheet'!B89</f>
        <v>BB-</v>
      </c>
      <c r="C89" s="56" t="str">
        <f>IF('Ratings worksheet'!C89="NA",VLOOKUP('Ratings worksheet'!B89,'Sovereign Ratings (Moody''s,S&amp;P)'!$F$9:$G$33,2,FALSE),'Ratings worksheet'!C89)</f>
        <v>Ba3</v>
      </c>
    </row>
    <row r="90" spans="1:3">
      <c r="A90" s="46" t="str">
        <f>'Ratings worksheet'!A90</f>
        <v>Malaysia</v>
      </c>
      <c r="B90" s="56" t="str">
        <f>'Ratings worksheet'!B90</f>
        <v>A-</v>
      </c>
      <c r="C90" s="56" t="str">
        <f>IF('Ratings worksheet'!C90="NA",VLOOKUP('Ratings worksheet'!B90,'Sovereign Ratings (Moody''s,S&amp;P)'!$F$9:$G$33,2,FALSE),'Ratings worksheet'!C90)</f>
        <v>A3</v>
      </c>
    </row>
    <row r="91" spans="1:3">
      <c r="A91" s="46" t="str">
        <f>'Ratings worksheet'!A91</f>
        <v>Maldives</v>
      </c>
      <c r="B91" s="56" t="str">
        <f>'Ratings worksheet'!B91</f>
        <v>NA</v>
      </c>
      <c r="C91" s="56" t="str">
        <f>IF('Ratings worksheet'!C91="NA",VLOOKUP('Ratings worksheet'!B91,'Sovereign Ratings (Moody''s,S&amp;P)'!$F$9:$G$33,2,FALSE),'Ratings worksheet'!C91)</f>
        <v>Caa1</v>
      </c>
    </row>
    <row r="92" spans="1:3">
      <c r="A92" s="46" t="str">
        <f>'Ratings worksheet'!A92</f>
        <v>Mali</v>
      </c>
      <c r="B92" s="56" t="str">
        <f>'Ratings worksheet'!B92</f>
        <v>NA</v>
      </c>
      <c r="C92" s="56" t="str">
        <f>IF('Ratings worksheet'!C92="NA",VLOOKUP('Ratings worksheet'!B92,'Sovereign Ratings (Moody''s,S&amp;P)'!$F$9:$G$33,2,FALSE),'Ratings worksheet'!C92)</f>
        <v>Caa2</v>
      </c>
    </row>
    <row r="93" spans="1:3">
      <c r="A93" s="46" t="str">
        <f>'Ratings worksheet'!A93</f>
        <v>Malta</v>
      </c>
      <c r="B93" s="56" t="str">
        <f>'Ratings worksheet'!B93</f>
        <v>A-</v>
      </c>
      <c r="C93" s="56" t="str">
        <f>IF('Ratings worksheet'!C93="NA",VLOOKUP('Ratings worksheet'!B93,'Sovereign Ratings (Moody''s,S&amp;P)'!$F$9:$G$33,2,FALSE),'Ratings worksheet'!C93)</f>
        <v>A2</v>
      </c>
    </row>
    <row r="94" spans="1:3">
      <c r="A94" s="46" t="str">
        <f>'Ratings worksheet'!A94</f>
        <v>Mauritius</v>
      </c>
      <c r="B94" s="56" t="str">
        <f>'Ratings worksheet'!B94</f>
        <v>BBB-</v>
      </c>
      <c r="C94" s="56" t="str">
        <f>IF('Ratings worksheet'!C94="NA",VLOOKUP('Ratings worksheet'!B94,'Sovereign Ratings (Moody''s,S&amp;P)'!$F$9:$G$33,2,FALSE),'Ratings worksheet'!C94)</f>
        <v>Baa3</v>
      </c>
    </row>
    <row r="95" spans="1:3">
      <c r="A95" s="46" t="str">
        <f>'Ratings worksheet'!A95</f>
        <v>Mexico</v>
      </c>
      <c r="B95" s="56" t="str">
        <f>'Ratings worksheet'!B95</f>
        <v>BBB+</v>
      </c>
      <c r="C95" s="56" t="str">
        <f>IF('Ratings worksheet'!C95="NA",VLOOKUP('Ratings worksheet'!B95,'Sovereign Ratings (Moody''s,S&amp;P)'!$F$9:$G$33,2,FALSE),'Ratings worksheet'!C95)</f>
        <v>Baa2</v>
      </c>
    </row>
    <row r="96" spans="1:3">
      <c r="A96" s="46" t="str">
        <f>'Ratings worksheet'!A96</f>
        <v>Moldova</v>
      </c>
      <c r="B96" s="56" t="str">
        <f>'Ratings worksheet'!B96</f>
        <v>NA</v>
      </c>
      <c r="C96" s="56" t="str">
        <f>IF('Ratings worksheet'!C96="NA",VLOOKUP('Ratings worksheet'!B96,'Sovereign Ratings (Moody''s,S&amp;P)'!$F$9:$G$33,2,FALSE),'Ratings worksheet'!C96)</f>
        <v>B3</v>
      </c>
    </row>
    <row r="97" spans="1:3">
      <c r="A97" s="46" t="str">
        <f>'Ratings worksheet'!A97</f>
        <v>Mongolia</v>
      </c>
      <c r="B97" s="56" t="str">
        <f>'Ratings worksheet'!B97</f>
        <v>B</v>
      </c>
      <c r="C97" s="56" t="str">
        <f>IF('Ratings worksheet'!C97="NA",VLOOKUP('Ratings worksheet'!B97,'Sovereign Ratings (Moody''s,S&amp;P)'!$F$9:$G$33,2,FALSE),'Ratings worksheet'!C97)</f>
        <v>B3</v>
      </c>
    </row>
    <row r="98" spans="1:3">
      <c r="A98" s="46" t="str">
        <f>'Ratings worksheet'!A98</f>
        <v>Montenegro</v>
      </c>
      <c r="B98" s="56" t="str">
        <f>'Ratings worksheet'!B98</f>
        <v>B</v>
      </c>
      <c r="C98" s="56" t="str">
        <f>IF('Ratings worksheet'!C98="NA",VLOOKUP('Ratings worksheet'!B98,'Sovereign Ratings (Moody''s,S&amp;P)'!$F$9:$G$33,2,FALSE),'Ratings worksheet'!C98)</f>
        <v>B1</v>
      </c>
    </row>
    <row r="99" spans="1:3">
      <c r="A99" s="46" t="str">
        <f>'Ratings worksheet'!A99</f>
        <v>Montserrat</v>
      </c>
      <c r="B99" s="56" t="str">
        <f>'Ratings worksheet'!B99</f>
        <v>BBB-</v>
      </c>
      <c r="C99" s="56" t="str">
        <f>IF('Ratings worksheet'!C99="NA",VLOOKUP('Ratings worksheet'!B99,'Sovereign Ratings (Moody''s,S&amp;P)'!$F$9:$G$33,2,FALSE),'Ratings worksheet'!C99)</f>
        <v>Baa3</v>
      </c>
    </row>
    <row r="100" spans="1:3">
      <c r="A100" s="46" t="str">
        <f>'Ratings worksheet'!A100</f>
        <v>Morocco</v>
      </c>
      <c r="B100" s="56" t="str">
        <f>'Ratings worksheet'!B100</f>
        <v>BB+</v>
      </c>
      <c r="C100" s="56" t="str">
        <f>IF('Ratings worksheet'!C100="NA",VLOOKUP('Ratings worksheet'!B100,'Sovereign Ratings (Moody''s,S&amp;P)'!$F$9:$G$33,2,FALSE),'Ratings worksheet'!C100)</f>
        <v>Ba1</v>
      </c>
    </row>
    <row r="101" spans="1:3">
      <c r="A101" s="46" t="str">
        <f>'Ratings worksheet'!A101</f>
        <v>Mozambique</v>
      </c>
      <c r="B101" s="56" t="str">
        <f>'Ratings worksheet'!B101</f>
        <v>CCC+</v>
      </c>
      <c r="C101" s="56" t="str">
        <f>IF('Ratings worksheet'!C101="NA",VLOOKUP('Ratings worksheet'!B101,'Sovereign Ratings (Moody''s,S&amp;P)'!$F$9:$G$33,2,FALSE),'Ratings worksheet'!C101)</f>
        <v>Caa2</v>
      </c>
    </row>
    <row r="102" spans="1:3">
      <c r="A102" s="46" t="str">
        <f>'Ratings worksheet'!A102</f>
        <v>Namibia</v>
      </c>
      <c r="B102" s="56" t="str">
        <f>'Ratings worksheet'!B102</f>
        <v>NA</v>
      </c>
      <c r="C102" s="56" t="str">
        <f>IF('Ratings worksheet'!C102="NA",VLOOKUP('Ratings worksheet'!B102,'Sovereign Ratings (Moody''s,S&amp;P)'!$F$9:$G$33,2,FALSE),'Ratings worksheet'!C102)</f>
        <v>B1</v>
      </c>
    </row>
    <row r="103" spans="1:3">
      <c r="A103" s="46" t="str">
        <f>'Ratings worksheet'!A103</f>
        <v>Netherlands</v>
      </c>
      <c r="B103" s="56" t="str">
        <f>'Ratings worksheet'!B103</f>
        <v>AAA</v>
      </c>
      <c r="C103" s="56" t="str">
        <f>IF('Ratings worksheet'!C103="NA",VLOOKUP('Ratings worksheet'!B103,'Sovereign Ratings (Moody''s,S&amp;P)'!$F$9:$G$33,2,FALSE),'Ratings worksheet'!C103)</f>
        <v>Aaa</v>
      </c>
    </row>
    <row r="104" spans="1:3">
      <c r="A104" s="46" t="str">
        <f>'Ratings worksheet'!A104</f>
        <v>New Zealand</v>
      </c>
      <c r="B104" s="56" t="str">
        <f>'Ratings worksheet'!B104</f>
        <v>AA+</v>
      </c>
      <c r="C104" s="56" t="str">
        <f>IF('Ratings worksheet'!C104="NA",VLOOKUP('Ratings worksheet'!B104,'Sovereign Ratings (Moody''s,S&amp;P)'!$F$9:$G$33,2,FALSE),'Ratings worksheet'!C104)</f>
        <v>Aaa</v>
      </c>
    </row>
    <row r="105" spans="1:3">
      <c r="A105" s="46" t="str">
        <f>'Ratings worksheet'!A105</f>
        <v>Nicaragua</v>
      </c>
      <c r="B105" s="56" t="str">
        <f>'Ratings worksheet'!B105</f>
        <v>B</v>
      </c>
      <c r="C105" s="56" t="str">
        <f>IF('Ratings worksheet'!C105="NA",VLOOKUP('Ratings worksheet'!B105,'Sovereign Ratings (Moody''s,S&amp;P)'!$F$9:$G$33,2,FALSE),'Ratings worksheet'!C105)</f>
        <v>B3</v>
      </c>
    </row>
    <row r="106" spans="1:3">
      <c r="A106" s="46" t="str">
        <f>'Ratings worksheet'!A106</f>
        <v>Niger</v>
      </c>
      <c r="B106" s="56" t="str">
        <f>'Ratings worksheet'!B106</f>
        <v>NA</v>
      </c>
      <c r="C106" s="56" t="str">
        <f>IF('Ratings worksheet'!C106="NA",VLOOKUP('Ratings worksheet'!B106,'Sovereign Ratings (Moody''s,S&amp;P)'!$F$9:$G$33,2,FALSE),'Ratings worksheet'!C106)</f>
        <v>Caa2</v>
      </c>
    </row>
    <row r="107" spans="1:3">
      <c r="A107" s="46" t="str">
        <f>'Ratings worksheet'!A107</f>
        <v>Nigeria</v>
      </c>
      <c r="B107" s="56" t="str">
        <f>'Ratings worksheet'!B107</f>
        <v>B-</v>
      </c>
      <c r="C107" s="56" t="str">
        <f>IF('Ratings worksheet'!C107="NA",VLOOKUP('Ratings worksheet'!B107,'Sovereign Ratings (Moody''s,S&amp;P)'!$F$9:$G$33,2,FALSE),'Ratings worksheet'!C107)</f>
        <v>Caa1</v>
      </c>
    </row>
    <row r="108" spans="1:3">
      <c r="A108" s="46" t="str">
        <f>'Ratings worksheet'!A108</f>
        <v>Norway</v>
      </c>
      <c r="B108" s="56" t="str">
        <f>'Ratings worksheet'!B108</f>
        <v>AAA</v>
      </c>
      <c r="C108" s="56" t="str">
        <f>IF('Ratings worksheet'!C108="NA",VLOOKUP('Ratings worksheet'!B108,'Sovereign Ratings (Moody''s,S&amp;P)'!$F$9:$G$33,2,FALSE),'Ratings worksheet'!C108)</f>
        <v>Aaa</v>
      </c>
    </row>
    <row r="109" spans="1:3">
      <c r="A109" s="46" t="str">
        <f>'Ratings worksheet'!A109</f>
        <v>Oman</v>
      </c>
      <c r="B109" s="56" t="str">
        <f>'Ratings worksheet'!B109</f>
        <v>BB+</v>
      </c>
      <c r="C109" s="56" t="str">
        <f>IF('Ratings worksheet'!C109="NA",VLOOKUP('Ratings worksheet'!B109,'Sovereign Ratings (Moody''s,S&amp;P)'!$F$9:$G$33,2,FALSE),'Ratings worksheet'!C109)</f>
        <v>Ba1</v>
      </c>
    </row>
    <row r="110" spans="1:3">
      <c r="A110" s="46" t="str">
        <f>'Ratings worksheet'!A110</f>
        <v>Pakistan</v>
      </c>
      <c r="B110" s="56" t="str">
        <f>'Ratings worksheet'!B110</f>
        <v>CCC+</v>
      </c>
      <c r="C110" s="56" t="str">
        <f>IF('Ratings worksheet'!C110="NA",VLOOKUP('Ratings worksheet'!B110,'Sovereign Ratings (Moody''s,S&amp;P)'!$F$9:$G$33,2,FALSE),'Ratings worksheet'!C110)</f>
        <v>Caa3</v>
      </c>
    </row>
    <row r="111" spans="1:3">
      <c r="A111" s="46" t="str">
        <f>'Ratings worksheet'!A111</f>
        <v>Panama</v>
      </c>
      <c r="B111" s="56" t="str">
        <f>'Ratings worksheet'!B111</f>
        <v>BBB</v>
      </c>
      <c r="C111" s="56" t="str">
        <f>IF('Ratings worksheet'!C111="NA",VLOOKUP('Ratings worksheet'!B111,'Sovereign Ratings (Moody''s,S&amp;P)'!$F$9:$G$33,2,FALSE),'Ratings worksheet'!C111)</f>
        <v>Baa2</v>
      </c>
    </row>
    <row r="112" spans="1:3">
      <c r="A112" s="46" t="str">
        <f>'Ratings worksheet'!A112</f>
        <v>Papua New Guinea</v>
      </c>
      <c r="B112" s="56" t="str">
        <f>'Ratings worksheet'!B112</f>
        <v>B-</v>
      </c>
      <c r="C112" s="56" t="str">
        <f>IF('Ratings worksheet'!C112="NA",VLOOKUP('Ratings worksheet'!B112,'Sovereign Ratings (Moody''s,S&amp;P)'!$F$9:$G$33,2,FALSE),'Ratings worksheet'!C112)</f>
        <v>B2</v>
      </c>
    </row>
    <row r="113" spans="1:3">
      <c r="A113" s="46" t="str">
        <f>'Ratings worksheet'!A113</f>
        <v>Paraguay</v>
      </c>
      <c r="B113" s="56" t="str">
        <f>'Ratings worksheet'!B113</f>
        <v>BB</v>
      </c>
      <c r="C113" s="56" t="str">
        <f>IF('Ratings worksheet'!C113="NA",VLOOKUP('Ratings worksheet'!B113,'Sovereign Ratings (Moody''s,S&amp;P)'!$F$9:$G$33,2,FALSE),'Ratings worksheet'!C113)</f>
        <v>Ba1</v>
      </c>
    </row>
    <row r="114" spans="1:3">
      <c r="A114" s="46" t="str">
        <f>'Ratings worksheet'!A114</f>
        <v>Peru</v>
      </c>
      <c r="B114" s="56" t="str">
        <f>'Ratings worksheet'!B114</f>
        <v>BBB</v>
      </c>
      <c r="C114" s="56" t="str">
        <f>IF('Ratings worksheet'!C114="NA",VLOOKUP('Ratings worksheet'!B114,'Sovereign Ratings (Moody''s,S&amp;P)'!$F$9:$G$33,2,FALSE),'Ratings worksheet'!C114)</f>
        <v>Baa1</v>
      </c>
    </row>
    <row r="115" spans="1:3">
      <c r="A115" s="46" t="str">
        <f>'Ratings worksheet'!A115</f>
        <v>Philippines</v>
      </c>
      <c r="B115" s="56" t="str">
        <f>'Ratings worksheet'!B115</f>
        <v>BBB+</v>
      </c>
      <c r="C115" s="56" t="str">
        <f>IF('Ratings worksheet'!C115="NA",VLOOKUP('Ratings worksheet'!B115,'Sovereign Ratings (Moody''s,S&amp;P)'!$F$9:$G$33,2,FALSE),'Ratings worksheet'!C115)</f>
        <v>Baa2</v>
      </c>
    </row>
    <row r="116" spans="1:3">
      <c r="A116" s="46" t="str">
        <f>'Ratings worksheet'!A116</f>
        <v>Poland</v>
      </c>
      <c r="B116" s="56" t="str">
        <f>'Ratings worksheet'!B116</f>
        <v>A-</v>
      </c>
      <c r="C116" s="56" t="str">
        <f>IF('Ratings worksheet'!C116="NA",VLOOKUP('Ratings worksheet'!B116,'Sovereign Ratings (Moody''s,S&amp;P)'!$F$9:$G$33,2,FALSE),'Ratings worksheet'!C116)</f>
        <v>A2</v>
      </c>
    </row>
    <row r="117" spans="1:3">
      <c r="A117" s="46" t="str">
        <f>'Ratings worksheet'!A117</f>
        <v>Portugal</v>
      </c>
      <c r="B117" s="56" t="str">
        <f>'Ratings worksheet'!B117</f>
        <v>BBB+</v>
      </c>
      <c r="C117" s="56" t="str">
        <f>IF('Ratings worksheet'!C117="NA",VLOOKUP('Ratings worksheet'!B117,'Sovereign Ratings (Moody''s,S&amp;P)'!$F$9:$G$33,2,FALSE),'Ratings worksheet'!C117)</f>
        <v>A3</v>
      </c>
    </row>
    <row r="118" spans="1:3">
      <c r="A118" s="46" t="str">
        <f>'Ratings worksheet'!A118</f>
        <v>Qatar</v>
      </c>
      <c r="B118" s="56" t="str">
        <f>'Ratings worksheet'!B118</f>
        <v>AA</v>
      </c>
      <c r="C118" s="56" t="str">
        <f>IF('Ratings worksheet'!C118="NA",VLOOKUP('Ratings worksheet'!B118,'Sovereign Ratings (Moody''s,S&amp;P)'!$F$9:$G$33,2,FALSE),'Ratings worksheet'!C118)</f>
        <v>Aa3</v>
      </c>
    </row>
    <row r="119" spans="1:3">
      <c r="A119" s="46" t="str">
        <f>'Ratings worksheet'!A119</f>
        <v>Ras Al Khaimah (Emirate of)</v>
      </c>
      <c r="B119" s="56" t="str">
        <f>'Ratings worksheet'!B119</f>
        <v>A-</v>
      </c>
      <c r="C119" s="56" t="str">
        <f>IF('Ratings worksheet'!C119="NA",VLOOKUP('Ratings worksheet'!B119,'Sovereign Ratings (Moody''s,S&amp;P)'!$F$9:$G$33,2,FALSE),'Ratings worksheet'!C119)</f>
        <v>A3</v>
      </c>
    </row>
    <row r="120" spans="1:3">
      <c r="A120" s="46" t="str">
        <f>'Ratings worksheet'!A120</f>
        <v>Romania</v>
      </c>
      <c r="B120" s="56" t="str">
        <f>'Ratings worksheet'!B120</f>
        <v>BBB-</v>
      </c>
      <c r="C120" s="56" t="str">
        <f>IF('Ratings worksheet'!C120="NA",VLOOKUP('Ratings worksheet'!B120,'Sovereign Ratings (Moody''s,S&amp;P)'!$F$9:$G$33,2,FALSE),'Ratings worksheet'!C120)</f>
        <v>Baa3</v>
      </c>
    </row>
    <row r="121" spans="1:3">
      <c r="A121" s="46" t="str">
        <f>'Ratings worksheet'!A121</f>
        <v>Russia</v>
      </c>
      <c r="B121" s="56" t="str">
        <f>'Ratings worksheet'!B121</f>
        <v>NA</v>
      </c>
      <c r="C121" s="56" t="s">
        <v>143</v>
      </c>
    </row>
    <row r="122" spans="1:3">
      <c r="A122" s="46" t="str">
        <f>'Ratings worksheet'!A122</f>
        <v>Rwanda</v>
      </c>
      <c r="B122" s="56" t="str">
        <f>'Ratings worksheet'!B122</f>
        <v>B+</v>
      </c>
      <c r="C122" s="56" t="str">
        <f>IF('Ratings worksheet'!C122="NA",VLOOKUP('Ratings worksheet'!B122,'Sovereign Ratings (Moody''s,S&amp;P)'!$F$9:$G$33,2,FALSE),'Ratings worksheet'!C122)</f>
        <v>B2</v>
      </c>
    </row>
    <row r="123" spans="1:3">
      <c r="A123" s="46" t="str">
        <f>'Ratings worksheet'!A123</f>
        <v>Saudi Arabia</v>
      </c>
      <c r="B123" s="56" t="str">
        <f>'Ratings worksheet'!B123</f>
        <v>A</v>
      </c>
      <c r="C123" s="56" t="str">
        <f>IF('Ratings worksheet'!C123="NA",VLOOKUP('Ratings worksheet'!B123,'Sovereign Ratings (Moody''s,S&amp;P)'!$F$9:$G$33,2,FALSE),'Ratings worksheet'!C123)</f>
        <v>A1</v>
      </c>
    </row>
    <row r="124" spans="1:3">
      <c r="A124" s="46" t="str">
        <f>'Ratings worksheet'!A124</f>
        <v>Senegal</v>
      </c>
      <c r="B124" s="56" t="str">
        <f>'Ratings worksheet'!B124</f>
        <v>B+</v>
      </c>
      <c r="C124" s="56" t="str">
        <f>IF('Ratings worksheet'!C124="NA",VLOOKUP('Ratings worksheet'!B124,'Sovereign Ratings (Moody''s,S&amp;P)'!$F$9:$G$33,2,FALSE),'Ratings worksheet'!C124)</f>
        <v>Ba3</v>
      </c>
    </row>
    <row r="125" spans="1:3">
      <c r="A125" s="46" t="str">
        <f>'Ratings worksheet'!A125</f>
        <v>Serbia</v>
      </c>
      <c r="B125" s="56" t="str">
        <f>'Ratings worksheet'!B125</f>
        <v>BB+</v>
      </c>
      <c r="C125" s="56" t="str">
        <f>IF('Ratings worksheet'!C125="NA",VLOOKUP('Ratings worksheet'!B125,'Sovereign Ratings (Moody''s,S&amp;P)'!$F$9:$G$33,2,FALSE),'Ratings worksheet'!C125)</f>
        <v>Ba2</v>
      </c>
    </row>
    <row r="126" spans="1:3">
      <c r="A126" s="46" t="str">
        <f>'Ratings worksheet'!A126</f>
        <v>Sharjah</v>
      </c>
      <c r="B126" s="56" t="str">
        <f>'Ratings worksheet'!B126</f>
        <v>BBB-</v>
      </c>
      <c r="C126" s="56" t="str">
        <f>IF('Ratings worksheet'!C126="NA",VLOOKUP('Ratings worksheet'!B126,'Sovereign Ratings (Moody''s,S&amp;P)'!$F$9:$G$33,2,FALSE),'Ratings worksheet'!C126)</f>
        <v>Ba1</v>
      </c>
    </row>
    <row r="127" spans="1:3">
      <c r="A127" s="46" t="str">
        <f>'Ratings worksheet'!A127</f>
        <v>Singapore</v>
      </c>
      <c r="B127" s="56" t="str">
        <f>'Ratings worksheet'!B127</f>
        <v>AAA</v>
      </c>
      <c r="C127" s="56" t="str">
        <f>IF('Ratings worksheet'!C127="NA",VLOOKUP('Ratings worksheet'!B127,'Sovereign Ratings (Moody''s,S&amp;P)'!$F$9:$G$33,2,FALSE),'Ratings worksheet'!C127)</f>
        <v>Aaa</v>
      </c>
    </row>
    <row r="128" spans="1:3">
      <c r="A128" s="46" t="str">
        <f>'Ratings worksheet'!A128</f>
        <v>Slovakia</v>
      </c>
      <c r="B128" s="56" t="str">
        <f>'Ratings worksheet'!B128</f>
        <v>A+</v>
      </c>
      <c r="C128" s="56" t="str">
        <f>IF('Ratings worksheet'!C128="NA",VLOOKUP('Ratings worksheet'!B128,'Sovereign Ratings (Moody''s,S&amp;P)'!$F$9:$G$33,2,FALSE),'Ratings worksheet'!C128)</f>
        <v>A2</v>
      </c>
    </row>
    <row r="129" spans="1:3">
      <c r="A129" s="46" t="str">
        <f>'Ratings worksheet'!A129</f>
        <v>Slovenia</v>
      </c>
      <c r="B129" s="56" t="str">
        <f>'Ratings worksheet'!B129</f>
        <v>AA-</v>
      </c>
      <c r="C129" s="56" t="str">
        <f>IF('Ratings worksheet'!C129="NA",VLOOKUP('Ratings worksheet'!B129,'Sovereign Ratings (Moody''s,S&amp;P)'!$F$9:$G$33,2,FALSE),'Ratings worksheet'!C129)</f>
        <v>A3</v>
      </c>
    </row>
    <row r="130" spans="1:3">
      <c r="A130" s="46" t="str">
        <f>'Ratings worksheet'!A130</f>
        <v>Solomon Islands</v>
      </c>
      <c r="B130" s="56" t="str">
        <f>'Ratings worksheet'!B130</f>
        <v>NA</v>
      </c>
      <c r="C130" s="56" t="str">
        <f>IF('Ratings worksheet'!C130="NA",VLOOKUP('Ratings worksheet'!B130,'Sovereign Ratings (Moody''s,S&amp;P)'!$F$9:$G$33,2,FALSE),'Ratings worksheet'!C130)</f>
        <v>Caa1</v>
      </c>
    </row>
    <row r="131" spans="1:3">
      <c r="A131" s="46" t="str">
        <f>'Ratings worksheet'!A131</f>
        <v>South Africa</v>
      </c>
      <c r="B131" s="56" t="str">
        <f>'Ratings worksheet'!B131</f>
        <v>BB-</v>
      </c>
      <c r="C131" s="56" t="str">
        <f>IF('Ratings worksheet'!C131="NA",VLOOKUP('Ratings worksheet'!B131,'Sovereign Ratings (Moody''s,S&amp;P)'!$F$9:$G$33,2,FALSE),'Ratings worksheet'!C131)</f>
        <v>Ba2</v>
      </c>
    </row>
    <row r="132" spans="1:3">
      <c r="A132" s="46" t="str">
        <f>'Ratings worksheet'!A132</f>
        <v>Spain</v>
      </c>
      <c r="B132" s="56" t="str">
        <f>'Ratings worksheet'!B132</f>
        <v>A</v>
      </c>
      <c r="C132" s="56" t="str">
        <f>IF('Ratings worksheet'!C132="NA",VLOOKUP('Ratings worksheet'!B132,'Sovereign Ratings (Moody''s,S&amp;P)'!$F$9:$G$33,2,FALSE),'Ratings worksheet'!C132)</f>
        <v>Baa1</v>
      </c>
    </row>
    <row r="133" spans="1:3">
      <c r="A133" s="46" t="str">
        <f>'Ratings worksheet'!A133</f>
        <v>Sri Lanka</v>
      </c>
      <c r="B133" s="56" t="str">
        <f>'Ratings worksheet'!B133</f>
        <v>NA</v>
      </c>
      <c r="C133" s="56" t="str">
        <f>IF('Ratings worksheet'!C133="NA",VLOOKUP('Ratings worksheet'!B133,'Sovereign Ratings (Moody''s,S&amp;P)'!$F$9:$G$33,2,FALSE),'Ratings worksheet'!C133)</f>
        <v>Ca</v>
      </c>
    </row>
    <row r="134" spans="1:3">
      <c r="A134" s="46" t="str">
        <f>'Ratings worksheet'!A134</f>
        <v>St. Maarten</v>
      </c>
      <c r="B134" s="56" t="str">
        <f>'Ratings worksheet'!B134</f>
        <v>NA</v>
      </c>
      <c r="C134" s="56" t="str">
        <f>IF('Ratings worksheet'!C134="NA",VLOOKUP('Ratings worksheet'!B134,'Sovereign Ratings (Moody''s,S&amp;P)'!$F$9:$G$33,2,FALSE),'Ratings worksheet'!C134)</f>
        <v>Ba2</v>
      </c>
    </row>
    <row r="135" spans="1:3">
      <c r="A135" s="46" t="str">
        <f>'Ratings worksheet'!A135</f>
        <v>St. Vincent &amp; the Grenadines</v>
      </c>
      <c r="B135" s="56" t="str">
        <f>'Ratings worksheet'!B135</f>
        <v>NA</v>
      </c>
      <c r="C135" s="56" t="str">
        <f>IF('Ratings worksheet'!C135="NA",VLOOKUP('Ratings worksheet'!B135,'Sovereign Ratings (Moody''s,S&amp;P)'!$F$9:$G$33,2,FALSE),'Ratings worksheet'!C135)</f>
        <v>B3</v>
      </c>
    </row>
    <row r="136" spans="1:3">
      <c r="A136" s="46" t="str">
        <f>'Ratings worksheet'!A136</f>
        <v>Suriname</v>
      </c>
      <c r="B136" s="56" t="str">
        <f>'Ratings worksheet'!B136</f>
        <v>NR</v>
      </c>
      <c r="C136" s="56" t="str">
        <f>IF('Ratings worksheet'!C136="NA",VLOOKUP('Ratings worksheet'!B136,'Sovereign Ratings (Moody''s,S&amp;P)'!$F$9:$G$33,2,FALSE),'Ratings worksheet'!C136)</f>
        <v>Caa3</v>
      </c>
    </row>
    <row r="137" spans="1:3">
      <c r="A137" s="46" t="str">
        <f>'Ratings worksheet'!A137</f>
        <v>Swaziland</v>
      </c>
      <c r="B137" s="56" t="str">
        <f>'Ratings worksheet'!B137</f>
        <v>NA</v>
      </c>
      <c r="C137" s="56" t="str">
        <f>IF('Ratings worksheet'!C137="NA",VLOOKUP('Ratings worksheet'!B137,'Sovereign Ratings (Moody''s,S&amp;P)'!$F$9:$G$33,2,FALSE),'Ratings worksheet'!C137)</f>
        <v>B3</v>
      </c>
    </row>
    <row r="138" spans="1:3">
      <c r="A138" s="46" t="str">
        <f>'Ratings worksheet'!A138</f>
        <v>Sweden</v>
      </c>
      <c r="B138" s="56" t="str">
        <f>'Ratings worksheet'!B138</f>
        <v>AAA</v>
      </c>
      <c r="C138" s="56" t="str">
        <f>IF('Ratings worksheet'!C138="NA",VLOOKUP('Ratings worksheet'!B138,'Sovereign Ratings (Moody''s,S&amp;P)'!$F$9:$G$33,2,FALSE),'Ratings worksheet'!C138)</f>
        <v>Aaa</v>
      </c>
    </row>
    <row r="139" spans="1:3">
      <c r="A139" s="46" t="str">
        <f>'Ratings worksheet'!A139</f>
        <v>Switzerland</v>
      </c>
      <c r="B139" s="56" t="str">
        <f>'Ratings worksheet'!B139</f>
        <v>AAA</v>
      </c>
      <c r="C139" s="56" t="str">
        <f>IF('Ratings worksheet'!C139="NA",VLOOKUP('Ratings worksheet'!B139,'Sovereign Ratings (Moody''s,S&amp;P)'!$F$9:$G$33,2,FALSE),'Ratings worksheet'!C139)</f>
        <v>Aaa</v>
      </c>
    </row>
    <row r="140" spans="1:3">
      <c r="A140" s="46" t="str">
        <f>'Ratings worksheet'!A140</f>
        <v>Taiwan</v>
      </c>
      <c r="B140" s="56" t="str">
        <f>'Ratings worksheet'!B140</f>
        <v>AA+</v>
      </c>
      <c r="C140" s="56" t="str">
        <f>IF('Ratings worksheet'!C140="NA",VLOOKUP('Ratings worksheet'!B140,'Sovereign Ratings (Moody''s,S&amp;P)'!$F$9:$G$33,2,FALSE),'Ratings worksheet'!C140)</f>
        <v>Aa3</v>
      </c>
    </row>
    <row r="141" spans="1:3">
      <c r="A141" s="46" t="str">
        <f>'Ratings worksheet'!A141</f>
        <v>Tajikistan</v>
      </c>
      <c r="B141" s="56" t="str">
        <f>'Ratings worksheet'!B141</f>
        <v>B-</v>
      </c>
      <c r="C141" s="56" t="str">
        <f>IF('Ratings worksheet'!C141="NA",VLOOKUP('Ratings worksheet'!B141,'Sovereign Ratings (Moody''s,S&amp;P)'!$F$9:$G$33,2,FALSE),'Ratings worksheet'!C141)</f>
        <v>B3</v>
      </c>
    </row>
    <row r="142" spans="1:3">
      <c r="A142" s="46" t="str">
        <f>'Ratings worksheet'!A142</f>
        <v>Tanzania</v>
      </c>
      <c r="B142" s="56" t="str">
        <f>'Ratings worksheet'!B142</f>
        <v>NA</v>
      </c>
      <c r="C142" s="56" t="str">
        <f>IF('Ratings worksheet'!C142="NA",VLOOKUP('Ratings worksheet'!B142,'Sovereign Ratings (Moody''s,S&amp;P)'!$F$9:$G$33,2,FALSE),'Ratings worksheet'!C142)</f>
        <v>B2</v>
      </c>
    </row>
    <row r="143" spans="1:3">
      <c r="A143" s="46" t="str">
        <f>'Ratings worksheet'!A143</f>
        <v>Thailand</v>
      </c>
      <c r="B143" s="56" t="str">
        <f>'Ratings worksheet'!B143</f>
        <v>BBB+</v>
      </c>
      <c r="C143" s="56" t="str">
        <f>IF('Ratings worksheet'!C143="NA",VLOOKUP('Ratings worksheet'!B143,'Sovereign Ratings (Moody''s,S&amp;P)'!$F$9:$G$33,2,FALSE),'Ratings worksheet'!C143)</f>
        <v>Baa1</v>
      </c>
    </row>
    <row r="144" spans="1:3">
      <c r="A144" s="46" t="str">
        <f>'Ratings worksheet'!A144</f>
        <v>Togo</v>
      </c>
      <c r="B144" s="56" t="str">
        <f>'Ratings worksheet'!B144</f>
        <v>B</v>
      </c>
      <c r="C144" s="56" t="str">
        <f>IF('Ratings worksheet'!C144="NA",VLOOKUP('Ratings worksheet'!B144,'Sovereign Ratings (Moody''s,S&amp;P)'!$F$9:$G$33,2,FALSE),'Ratings worksheet'!C144)</f>
        <v>B3</v>
      </c>
    </row>
    <row r="145" spans="1:3">
      <c r="A145" s="46" t="str">
        <f>'Ratings worksheet'!A145</f>
        <v>Trinidad and Tobago</v>
      </c>
      <c r="B145" s="56" t="str">
        <f>'Ratings worksheet'!B145</f>
        <v>BBB-</v>
      </c>
      <c r="C145" s="56" t="str">
        <f>IF('Ratings worksheet'!C145="NA",VLOOKUP('Ratings worksheet'!B145,'Sovereign Ratings (Moody''s,S&amp;P)'!$F$9:$G$33,2,FALSE),'Ratings worksheet'!C145)</f>
        <v>Ba2</v>
      </c>
    </row>
    <row r="146" spans="1:3">
      <c r="A146" s="46" t="str">
        <f>'Ratings worksheet'!A146</f>
        <v>Tunisia</v>
      </c>
      <c r="B146" s="56" t="str">
        <f>'Ratings worksheet'!B146</f>
        <v>NA</v>
      </c>
      <c r="C146" s="56" t="str">
        <f>IF('Ratings worksheet'!C146="NA",VLOOKUP('Ratings worksheet'!B146,'Sovereign Ratings (Moody''s,S&amp;P)'!$F$9:$G$33,2,FALSE),'Ratings worksheet'!C146)</f>
        <v>Caa2</v>
      </c>
    </row>
    <row r="147" spans="1:3">
      <c r="A147" s="46" t="str">
        <f>'Ratings worksheet'!A147</f>
        <v>Turkey</v>
      </c>
      <c r="B147" s="56" t="str">
        <f>'Ratings worksheet'!B147</f>
        <v>B</v>
      </c>
      <c r="C147" s="56" t="str">
        <f>IF('Ratings worksheet'!C147="NA",VLOOKUP('Ratings worksheet'!B147,'Sovereign Ratings (Moody''s,S&amp;P)'!$F$9:$G$33,2,FALSE),'Ratings worksheet'!C147)</f>
        <v>B3</v>
      </c>
    </row>
    <row r="148" spans="1:3">
      <c r="A148" s="46" t="str">
        <f>'Ratings worksheet'!A148</f>
        <v>Turks and Caicos Islands</v>
      </c>
      <c r="B148" s="56" t="str">
        <f>'Ratings worksheet'!B148</f>
        <v>BBB+</v>
      </c>
      <c r="C148" s="56" t="str">
        <f>IF('Ratings worksheet'!C148="NA",VLOOKUP('Ratings worksheet'!B148,'Sovereign Ratings (Moody''s,S&amp;P)'!$F$9:$G$33,2,FALSE),'Ratings worksheet'!C148)</f>
        <v>Baa1</v>
      </c>
    </row>
    <row r="149" spans="1:3">
      <c r="A149" s="46" t="str">
        <f>'Ratings worksheet'!A149</f>
        <v>Uganda</v>
      </c>
      <c r="B149" s="56" t="str">
        <f>'Ratings worksheet'!B149</f>
        <v>B-</v>
      </c>
      <c r="C149" s="56" t="str">
        <f>IF('Ratings worksheet'!C149="NA",VLOOKUP('Ratings worksheet'!B149,'Sovereign Ratings (Moody''s,S&amp;P)'!$F$9:$G$33,2,FALSE),'Ratings worksheet'!C149)</f>
        <v>B2</v>
      </c>
    </row>
    <row r="150" spans="1:3">
      <c r="A150" s="46" t="str">
        <f>'Ratings worksheet'!A150</f>
        <v>Ukraine</v>
      </c>
      <c r="B150" s="56" t="str">
        <f>'Ratings worksheet'!B150</f>
        <v>CCC</v>
      </c>
      <c r="C150" s="56" t="str">
        <f>IF('Ratings worksheet'!C150="NA",VLOOKUP('Ratings worksheet'!B150,'Sovereign Ratings (Moody''s,S&amp;P)'!$F$9:$G$33,2,FALSE),'Ratings worksheet'!C150)</f>
        <v>Ca</v>
      </c>
    </row>
    <row r="151" spans="1:3">
      <c r="A151" s="46" t="str">
        <f>'Ratings worksheet'!A151</f>
        <v>United Arab Emirates</v>
      </c>
      <c r="B151" s="56" t="str">
        <f>'Ratings worksheet'!B151</f>
        <v>NA</v>
      </c>
      <c r="C151" s="56" t="str">
        <f>IF('Ratings worksheet'!C151="NA",VLOOKUP('Ratings worksheet'!B151,'Sovereign Ratings (Moody''s,S&amp;P)'!$F$9:$G$33,2,FALSE),'Ratings worksheet'!C151)</f>
        <v>Aa2</v>
      </c>
    </row>
    <row r="152" spans="1:3">
      <c r="A152" s="46" t="str">
        <f>'Ratings worksheet'!A152</f>
        <v>United Kingdom</v>
      </c>
      <c r="B152" s="56" t="str">
        <f>'Ratings worksheet'!B152</f>
        <v>AA</v>
      </c>
      <c r="C152" s="56" t="str">
        <f>IF('Ratings worksheet'!C152="NA",VLOOKUP('Ratings worksheet'!B152,'Sovereign Ratings (Moody''s,S&amp;P)'!$F$9:$G$33,2,FALSE),'Ratings worksheet'!C152)</f>
        <v>Aa3</v>
      </c>
    </row>
    <row r="153" spans="1:3">
      <c r="A153" s="46" t="str">
        <f>'Ratings worksheet'!A153</f>
        <v>United States</v>
      </c>
      <c r="B153" s="56" t="str">
        <f>'Ratings worksheet'!B153</f>
        <v>AA+</v>
      </c>
      <c r="C153" s="56" t="str">
        <f>IF('Ratings worksheet'!C153="NA",VLOOKUP('Ratings worksheet'!B153,'Sovereign Ratings (Moody''s,S&amp;P)'!$F$9:$G$33,2,FALSE),'Ratings worksheet'!C153)</f>
        <v>Aaa</v>
      </c>
    </row>
    <row r="154" spans="1:3">
      <c r="A154" s="46" t="str">
        <f>'Ratings worksheet'!A154</f>
        <v>Uruguay</v>
      </c>
      <c r="B154" s="56" t="str">
        <f>'Ratings worksheet'!B154</f>
        <v>BBB+</v>
      </c>
      <c r="C154" s="56" t="str">
        <f>IF('Ratings worksheet'!C154="NA",VLOOKUP('Ratings worksheet'!B154,'Sovereign Ratings (Moody''s,S&amp;P)'!$F$9:$G$33,2,FALSE),'Ratings worksheet'!C154)</f>
        <v>Baa2</v>
      </c>
    </row>
    <row r="155" spans="1:3">
      <c r="A155" s="46" t="str">
        <f>'Ratings worksheet'!A155</f>
        <v>Uzbekistan</v>
      </c>
      <c r="B155" s="56" t="str">
        <f>'Ratings worksheet'!B155</f>
        <v>BB-</v>
      </c>
      <c r="C155" s="56" t="str">
        <f>IF('Ratings worksheet'!C155="NA",VLOOKUP('Ratings worksheet'!B155,'Sovereign Ratings (Moody''s,S&amp;P)'!$F$9:$G$33,2,FALSE),'Ratings worksheet'!C155)</f>
        <v>Ba3</v>
      </c>
    </row>
    <row r="156" spans="1:3">
      <c r="A156" s="46" t="str">
        <f>'Ratings worksheet'!A156</f>
        <v>Venezuela</v>
      </c>
      <c r="B156" s="56" t="str">
        <f>'Ratings worksheet'!B156</f>
        <v>NA</v>
      </c>
      <c r="C156" s="56" t="str">
        <f>IF('Ratings worksheet'!C156="NA",VLOOKUP('Ratings worksheet'!B156,'Sovereign Ratings (Moody''s,S&amp;P)'!$F$9:$G$33,2,FALSE),'Ratings worksheet'!C156)</f>
        <v>C</v>
      </c>
    </row>
    <row r="157" spans="1:3">
      <c r="A157" s="46" t="str">
        <f>'Ratings worksheet'!A157</f>
        <v>Vietnam</v>
      </c>
      <c r="B157" s="56" t="str">
        <f>'Ratings worksheet'!B157</f>
        <v>BB+</v>
      </c>
      <c r="C157" s="56" t="str">
        <f>IF('Ratings worksheet'!C157="NA",VLOOKUP('Ratings worksheet'!B157,'Sovereign Ratings (Moody''s,S&amp;P)'!$F$9:$G$33,2,FALSE),'Ratings worksheet'!C157)</f>
        <v>Ba2</v>
      </c>
    </row>
    <row r="158" spans="1:3">
      <c r="A158" s="46" t="str">
        <f>'Ratings worksheet'!A158</f>
        <v>Zambia</v>
      </c>
      <c r="B158" s="56" t="str">
        <f>'Ratings worksheet'!B158</f>
        <v>CCC+</v>
      </c>
      <c r="C158" s="56" t="str">
        <f>IF('Ratings worksheet'!C158="NA",VLOOKUP('Ratings worksheet'!B158,'Sovereign Ratings (Moody''s,S&amp;P)'!$F$9:$G$33,2,FALSE),'Ratings worksheet'!C158)</f>
        <v>Caa3</v>
      </c>
    </row>
  </sheetData>
  <mergeCells count="4">
    <mergeCell ref="F2:O2"/>
    <mergeCell ref="F3:O3"/>
    <mergeCell ref="F4:O4"/>
    <mergeCell ref="F5:O5"/>
  </mergeCells>
  <phoneticPr fontId="9"/>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Explanation and FAQ</vt:lpstr>
      <vt:lpstr>Summary of Most Recent Update</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vt:lpstr>
      <vt:lpstr>Country GDP</vt:lpstr>
      <vt:lpstr>Ratings worksheet</vt:lpstr>
      <vt:lpstr>Country Tax Rates</vt:lpstr>
      <vt:lpstr>PRS Worksheet</vt:lpstr>
      <vt:lpstr>Data Update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dcterms:created xsi:type="dcterms:W3CDTF">1999-02-15T17:37:17Z</dcterms:created>
  <dcterms:modified xsi:type="dcterms:W3CDTF">2024-02-11T19:19:34Z</dcterms:modified>
</cp:coreProperties>
</file>