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G:\My Drive\Modelling\Ventity\Urban1\Data\"/>
    </mc:Choice>
  </mc:AlternateContent>
  <xr:revisionPtr revIDLastSave="0" documentId="13_ncr:1_{3E208EDA-0DE3-462D-96A3-22A03EF330E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Urban1" sheetId="1" r:id="rId1"/>
    <sheet name="World3" sheetId="3" r:id="rId2"/>
    <sheet name="Calculations" sheetId="2" r:id="rId3"/>
    <sheet name="Inpu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2" l="1"/>
  <c r="Q2" i="1" l="1"/>
  <c r="D4" i="4"/>
  <c r="H2" i="1" s="1"/>
  <c r="B4" i="4"/>
  <c r="E2" i="1" s="1"/>
  <c r="Q29" i="2" l="1"/>
  <c r="N3" i="2"/>
  <c r="P12" i="2"/>
  <c r="N12" i="2" s="1"/>
  <c r="I2" i="1" s="1"/>
  <c r="S2" i="1"/>
  <c r="Q30" i="2" l="1"/>
  <c r="R29" i="2"/>
  <c r="I3" i="2"/>
  <c r="C14" i="2" l="1"/>
  <c r="C12" i="2"/>
  <c r="J2" i="1" s="1"/>
  <c r="F2" i="1"/>
  <c r="K3" i="2" s="1"/>
  <c r="M3" i="2" s="1"/>
  <c r="T3" i="2" s="1"/>
  <c r="O29" i="2" s="1"/>
  <c r="S29" i="2" s="1"/>
  <c r="G2" i="1"/>
  <c r="K2" i="1" l="1"/>
  <c r="U3" i="2" l="1"/>
  <c r="P29" i="2" s="1"/>
  <c r="P18" i="2"/>
  <c r="C13" i="2" s="1"/>
  <c r="N2" i="1" s="1"/>
  <c r="L22" i="2"/>
  <c r="U29" i="2" l="1"/>
  <c r="T29" i="2"/>
  <c r="P33" i="2" s="1"/>
  <c r="O33" i="2"/>
  <c r="P35" i="2" l="1"/>
  <c r="P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tc={05DC949B-7B56-4CE3-8D9F-ED64DD09EA2E}</author>
  </authors>
  <commentList>
    <comment ref="J2" authorId="0" shapeId="0" xr:uid="{05DC949B-7B56-4CE3-8D9F-ED64DD09EA2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multiplicative figure comes from the UILPC table on the next sheet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Purvis</author>
  </authors>
  <commentList>
    <comment ref="I2" authorId="0" shapeId="0" xr:uid="{3734A3CF-6F6C-4342-8CD1-4CACF541B9BE}">
      <text>
        <r>
          <rPr>
            <b/>
            <sz val="9"/>
            <color indexed="81"/>
            <rFont val="Tahoma"/>
            <family val="2"/>
          </rPr>
          <t>Ben Purvis:</t>
        </r>
        <r>
          <rPr>
            <sz val="9"/>
            <color indexed="81"/>
            <rFont val="Tahoma"/>
            <family val="2"/>
          </rPr>
          <t xml:space="preserve">
Calculated from UK data table
</t>
        </r>
      </text>
    </comment>
    <comment ref="L2" authorId="0" shapeId="0" xr:uid="{02E64830-9142-45D7-A5A8-B213D6378FD8}">
      <text>
        <r>
          <rPr>
            <b/>
            <sz val="9"/>
            <color indexed="81"/>
            <rFont val="Tahoma"/>
            <family val="2"/>
          </rPr>
          <t>Ben Purvis:</t>
        </r>
        <r>
          <rPr>
            <sz val="9"/>
            <color indexed="81"/>
            <rFont val="Tahoma"/>
            <family val="2"/>
          </rPr>
          <t xml:space="preserve">
Estimation from simulation run - need to update
</t>
        </r>
      </text>
    </comment>
  </commentList>
</comments>
</file>

<file path=xl/sharedStrings.xml><?xml version="1.0" encoding="utf-8"?>
<sst xmlns="http://schemas.openxmlformats.org/spreadsheetml/2006/main" count="82" uniqueCount="76">
  <si>
    <t>Initial industrial capital</t>
  </si>
  <si>
    <t>Initial service capital</t>
  </si>
  <si>
    <t>UK population 1900</t>
  </si>
  <si>
    <t>UK IOPC 1900</t>
  </si>
  <si>
    <t>UK SOPC 1900</t>
  </si>
  <si>
    <t>UK ICOR 1900</t>
  </si>
  <si>
    <t>UK FCAOR 1900</t>
  </si>
  <si>
    <t>Enabled</t>
  </si>
  <si>
    <t>UK SCOR 1900</t>
  </si>
  <si>
    <t>Initial population total</t>
  </si>
  <si>
    <t>Time</t>
  </si>
  <si>
    <t>CalendarTime</t>
  </si>
  <si>
    <t>Urban1ID</t>
  </si>
  <si>
    <t/>
  </si>
  <si>
    <t>Initial arable land</t>
  </si>
  <si>
    <t>Initial urban and industrial land</t>
  </si>
  <si>
    <t>Initial potentially arable land</t>
  </si>
  <si>
    <t>Urban and industrial land required per capita table</t>
  </si>
  <si>
    <t>IOPC</t>
  </si>
  <si>
    <t>Table lookup function, no interpolation</t>
  </si>
  <si>
    <t>Initial persistent pollution</t>
  </si>
  <si>
    <t>Persistent pollution transmission delay</t>
  </si>
  <si>
    <t>Assimilation half life in 1970</t>
  </si>
  <si>
    <t>PCRUM:</t>
  </si>
  <si>
    <t>AIPH:</t>
  </si>
  <si>
    <t>UILPC</t>
  </si>
  <si>
    <t>Per capita resource usage multiplier table</t>
  </si>
  <si>
    <t>PCRUM</t>
  </si>
  <si>
    <t>Initial agricultural inputs</t>
  </si>
  <si>
    <t>UK agricultural output 1900</t>
  </si>
  <si>
    <t>Total potentially arable land</t>
  </si>
  <si>
    <t>Food cost normal</t>
  </si>
  <si>
    <t>Population in 1900</t>
  </si>
  <si>
    <t>System Size (hectares)</t>
  </si>
  <si>
    <t>Land protection policy year</t>
  </si>
  <si>
    <t>Resource efficiency year</t>
  </si>
  <si>
    <t>Land yield enhancement year</t>
  </si>
  <si>
    <t>Land life policy implementation year</t>
  </si>
  <si>
    <t>Resource technology change time</t>
  </si>
  <si>
    <t>Land yield policy time</t>
  </si>
  <si>
    <t>Policy year</t>
  </si>
  <si>
    <t>Initial arable land calculations:</t>
  </si>
  <si>
    <t>% jobs agriculture 1901</t>
  </si>
  <si>
    <t>Initial labour force</t>
  </si>
  <si>
    <t>Jobs per hectare</t>
  </si>
  <si>
    <t>Fraction of PAL:</t>
  </si>
  <si>
    <t>DCPH table</t>
  </si>
  <si>
    <t>LYMC table</t>
  </si>
  <si>
    <t>MLYC table</t>
  </si>
  <si>
    <t>FIALD table</t>
  </si>
  <si>
    <t>Initial AIPH</t>
  </si>
  <si>
    <t>Total agricultural input</t>
  </si>
  <si>
    <t>Sum</t>
  </si>
  <si>
    <t>Average</t>
  </si>
  <si>
    <t>Running Total</t>
  </si>
  <si>
    <t>Count</t>
  </si>
  <si>
    <t>FIALD(1900)</t>
  </si>
  <si>
    <t>MPLD/MPAI(1900)</t>
  </si>
  <si>
    <t>Constant1</t>
  </si>
  <si>
    <t>Industrial Output (1900)</t>
  </si>
  <si>
    <t>Constant2</t>
  </si>
  <si>
    <t>IFPC table</t>
  </si>
  <si>
    <t>IFPC(1900)</t>
  </si>
  <si>
    <t>IOPC(1900)</t>
  </si>
  <si>
    <t>DCPH(1900)</t>
  </si>
  <si>
    <t>FIOA table</t>
  </si>
  <si>
    <t>Constant3</t>
  </si>
  <si>
    <t>Constant4</t>
  </si>
  <si>
    <t>Constant5</t>
  </si>
  <si>
    <t>Constant6</t>
  </si>
  <si>
    <t>root(b^2-4ac)</t>
  </si>
  <si>
    <t>b</t>
  </si>
  <si>
    <t>Large solution</t>
  </si>
  <si>
    <t>Small solution</t>
  </si>
  <si>
    <t>FALM table</t>
  </si>
  <si>
    <t>Constant7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</si>
</sst>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quotePrefix="1"/>
    <xf numFmtId="0" fontId="0" fillId="3" borderId="0" xfId="0" applyFill="1"/>
    <xf numFmtId="0" fontId="0" fillId="3" borderId="0" xfId="0" quotePrefix="1" applyFill="1"/>
    <xf numFmtId="0" fontId="0" fillId="3" borderId="1" xfId="0" applyFill="1" applyBorder="1"/>
    <xf numFmtId="3" fontId="0" fillId="3" borderId="1" xfId="0" applyNumberFormat="1" applyFill="1" applyBorder="1"/>
    <xf numFmtId="0" fontId="4" fillId="3" borderId="0" xfId="0" applyFont="1" applyFill="1"/>
    <xf numFmtId="0" fontId="4" fillId="0" borderId="0" xfId="0" applyFont="1"/>
    <xf numFmtId="3" fontId="0" fillId="2" borderId="0" xfId="0" applyNumberFormat="1" applyFill="1"/>
    <xf numFmtId="0" fontId="0" fillId="3" borderId="1" xfId="0" applyFill="1" applyBorder="1" applyProtection="1">
      <protection locked="0"/>
    </xf>
    <xf numFmtId="0" fontId="0" fillId="0" borderId="0" xfId="0" applyAlignment="1">
      <alignment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0627734033245846E-3"/>
                  <c:y val="-0.21674394867308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Calculations!$L$31:$L$41</c:f>
              <c:numCache>
                <c:formatCode>General</c:formatCode>
                <c:ptCount val="1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Calculations!$M$31:$M$41</c:f>
              <c:numCache>
                <c:formatCode>General</c:formatCode>
                <c:ptCount val="11"/>
                <c:pt idx="1">
                  <c:v>7400</c:v>
                </c:pt>
                <c:pt idx="2">
                  <c:v>5200</c:v>
                </c:pt>
                <c:pt idx="3">
                  <c:v>3500</c:v>
                </c:pt>
                <c:pt idx="4">
                  <c:v>2400</c:v>
                </c:pt>
                <c:pt idx="5">
                  <c:v>1500</c:v>
                </c:pt>
                <c:pt idx="6">
                  <c:v>750</c:v>
                </c:pt>
                <c:pt idx="7">
                  <c:v>300</c:v>
                </c:pt>
                <c:pt idx="8">
                  <c:v>150</c:v>
                </c:pt>
                <c:pt idx="9">
                  <c:v>75</c:v>
                </c:pt>
                <c:pt idx="1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5-47C8-A06A-563EA7EEB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7624"/>
        <c:axId val="729476504"/>
      </c:scatterChart>
      <c:valAx>
        <c:axId val="6316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76504"/>
        <c:crosses val="autoZero"/>
        <c:crossBetween val="midCat"/>
      </c:valAx>
      <c:valAx>
        <c:axId val="72947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7050524934383209E-2"/>
                  <c:y val="-4.40715223097112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Calculations!$G$40:$G$65</c:f>
              <c:numCache>
                <c:formatCode>General</c:formatCode>
                <c:ptCount val="26"/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  <c:pt idx="21">
                  <c:v>840</c:v>
                </c:pt>
                <c:pt idx="22">
                  <c:v>880</c:v>
                </c:pt>
                <c:pt idx="23">
                  <c:v>920</c:v>
                </c:pt>
                <c:pt idx="24">
                  <c:v>960</c:v>
                </c:pt>
                <c:pt idx="25">
                  <c:v>1000</c:v>
                </c:pt>
              </c:numCache>
            </c:numRef>
          </c:xVal>
          <c:yVal>
            <c:numRef>
              <c:f>Calculations!$H$40:$H$65</c:f>
              <c:numCache>
                <c:formatCode>General</c:formatCode>
                <c:ptCount val="26"/>
                <c:pt idx="3">
                  <c:v>5</c:v>
                </c:pt>
                <c:pt idx="4">
                  <c:v>5.3</c:v>
                </c:pt>
                <c:pt idx="5">
                  <c:v>5.6</c:v>
                </c:pt>
                <c:pt idx="6">
                  <c:v>5.9</c:v>
                </c:pt>
                <c:pt idx="7">
                  <c:v>6.1</c:v>
                </c:pt>
                <c:pt idx="8">
                  <c:v>6.35</c:v>
                </c:pt>
                <c:pt idx="9">
                  <c:v>6.6</c:v>
                </c:pt>
                <c:pt idx="10">
                  <c:v>6.9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8-46FD-8F0F-8EB6406DD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75520"/>
        <c:axId val="729476176"/>
      </c:scatterChart>
      <c:valAx>
        <c:axId val="7294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76176"/>
        <c:crosses val="autoZero"/>
        <c:crossBetween val="midCat"/>
      </c:valAx>
      <c:valAx>
        <c:axId val="7294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6184383202099736E-2"/>
                  <c:y val="-0.20029090113735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Calculations!$K$63:$K$72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600</c:v>
                </c:pt>
              </c:numCache>
            </c:numRef>
          </c:xVal>
          <c:yVal>
            <c:numRef>
              <c:f>Calculations!$L$63:$L$72</c:f>
              <c:numCache>
                <c:formatCode>General</c:formatCode>
                <c:ptCount val="10"/>
                <c:pt idx="0">
                  <c:v>0.03</c:v>
                </c:pt>
                <c:pt idx="1">
                  <c:v>1.4999999999999999E-2</c:v>
                </c:pt>
                <c:pt idx="2">
                  <c:v>1.0999999999999999E-2</c:v>
                </c:pt>
                <c:pt idx="3">
                  <c:v>8.9999999999999993E-3</c:v>
                </c:pt>
                <c:pt idx="4">
                  <c:v>8.0000000000000002E-3</c:v>
                </c:pt>
                <c:pt idx="5">
                  <c:v>7.0000000000000001E-3</c:v>
                </c:pt>
                <c:pt idx="6">
                  <c:v>6.0000000000000001E-3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B-4D03-AF6B-9C7FF83C2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28272"/>
        <c:axId val="1000929584"/>
      </c:scatterChart>
      <c:valAx>
        <c:axId val="100092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29584"/>
        <c:crosses val="autoZero"/>
        <c:crossBetween val="midCat"/>
      </c:valAx>
      <c:valAx>
        <c:axId val="10009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2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Calculations!$Q$55:$Q$63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Calculations!$R$55:$R$63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0.85</c:v>
                </c:pt>
                <c:pt idx="7">
                  <c:v>0.95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0-4A5F-83C2-0FB333C08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10800"/>
        <c:axId val="977017688"/>
      </c:scatterChart>
      <c:valAx>
        <c:axId val="97701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17688"/>
        <c:crosses val="autoZero"/>
        <c:crossBetween val="midCat"/>
      </c:valAx>
      <c:valAx>
        <c:axId val="97701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1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4827427821522307E-2"/>
                  <c:y val="0.36855606590842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8160761154855644E-2"/>
                  <c:y val="0.27596347331583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Calculations!$E$76:$E$84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Calculations!$F$76:$F$84</c:f>
              <c:numCache>
                <c:formatCode>General</c:formatCode>
                <c:ptCount val="9"/>
                <c:pt idx="0">
                  <c:v>230</c:v>
                </c:pt>
                <c:pt idx="1">
                  <c:v>480</c:v>
                </c:pt>
                <c:pt idx="2">
                  <c:v>690</c:v>
                </c:pt>
                <c:pt idx="3">
                  <c:v>850</c:v>
                </c:pt>
                <c:pt idx="4">
                  <c:v>970</c:v>
                </c:pt>
                <c:pt idx="5">
                  <c:v>1070</c:v>
                </c:pt>
                <c:pt idx="6">
                  <c:v>1150</c:v>
                </c:pt>
                <c:pt idx="7">
                  <c:v>1210</c:v>
                </c:pt>
                <c:pt idx="8">
                  <c:v>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9-4283-A3D3-9B4EDACDE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00488"/>
        <c:axId val="619900816"/>
      </c:scatterChart>
      <c:valAx>
        <c:axId val="61990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00816"/>
        <c:crosses val="autoZero"/>
        <c:crossBetween val="midCat"/>
      </c:valAx>
      <c:valAx>
        <c:axId val="6199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0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Calculations!$Q$45:$Q$50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Calculations!$R$45:$R$50</c:f>
              <c:numCache>
                <c:formatCode>General</c:formatCode>
                <c:ptCount val="6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  <c:pt idx="3">
                  <c:v>2.5000000000000001E-2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9-4548-A7CA-D6244E198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13256"/>
        <c:axId val="722114568"/>
      </c:scatterChart>
      <c:valAx>
        <c:axId val="72211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14568"/>
        <c:crosses val="autoZero"/>
        <c:crossBetween val="midCat"/>
      </c:valAx>
      <c:valAx>
        <c:axId val="7221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1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Calculations!$X$55:$X$59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Calculations!$Y$55:$Y$59</c:f>
              <c:numCache>
                <c:formatCode>General</c:formatCode>
                <c:ptCount val="5"/>
                <c:pt idx="0">
                  <c:v>0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C-4F8E-BAB8-B3B910D04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73888"/>
        <c:axId val="389067656"/>
      </c:scatterChart>
      <c:valAx>
        <c:axId val="38907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67656"/>
        <c:crosses val="autoZero"/>
        <c:crossBetween val="midCat"/>
      </c:valAx>
      <c:valAx>
        <c:axId val="38906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7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B$7" horiz="1" max="5000" page="10" val="300"/>
</file>

<file path=xl/ctrlProps/ctrlProp2.xml><?xml version="1.0" encoding="utf-8"?>
<formControlPr xmlns="http://schemas.microsoft.com/office/spreadsheetml/2009/9/main" objectType="Scroll" dx="22" fmlaLink="$D$7" horiz="1" max="1000" min="1" page="10" val="100"/>
</file>

<file path=xl/ctrlProps/ctrlProp3.xml><?xml version="1.0" encoding="utf-8"?>
<formControlPr xmlns="http://schemas.microsoft.com/office/spreadsheetml/2009/9/main" objectType="Scroll" dx="22" fmlaLink="$F$4" horiz="1" max="2100" min="1900" page="10" val="2100"/>
</file>

<file path=xl/ctrlProps/ctrlProp4.xml><?xml version="1.0" encoding="utf-8"?>
<formControlPr xmlns="http://schemas.microsoft.com/office/spreadsheetml/2009/9/main" objectType="Scroll" dx="22" fmlaLink="$H$4" horiz="1" max="2100" min="1900" page="10" val="2100"/>
</file>

<file path=xl/ctrlProps/ctrlProp5.xml><?xml version="1.0" encoding="utf-8"?>
<formControlPr xmlns="http://schemas.microsoft.com/office/spreadsheetml/2009/9/main" objectType="Scroll" dx="22" fmlaLink="$J$4" horiz="1" max="2100" min="1900" page="10" val="210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2533650</xdr:colOff>
      <xdr:row>38</xdr:row>
      <xdr:rowOff>23812</xdr:rowOff>
    </xdr:from>
    <xdr:to>
      <xdr:col>13</xdr:col>
      <xdr:colOff>1733550</xdr:colOff>
      <xdr:row>52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176212</xdr:colOff>
      <xdr:row>43</xdr:row>
      <xdr:rowOff>33337</xdr:rowOff>
    </xdr:from>
    <xdr:to>
      <xdr:col>8</xdr:col>
      <xdr:colOff>938212</xdr:colOff>
      <xdr:row>57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1195387</xdr:colOff>
      <xdr:row>65</xdr:row>
      <xdr:rowOff>157162</xdr:rowOff>
    </xdr:from>
    <xdr:to>
      <xdr:col>13</xdr:col>
      <xdr:colOff>395287</xdr:colOff>
      <xdr:row>80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433387</xdr:colOff>
      <xdr:row>63</xdr:row>
      <xdr:rowOff>42862</xdr:rowOff>
    </xdr:from>
    <xdr:to>
      <xdr:col>21</xdr:col>
      <xdr:colOff>52387</xdr:colOff>
      <xdr:row>77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1252537</xdr:colOff>
      <xdr:row>76</xdr:row>
      <xdr:rowOff>4762</xdr:rowOff>
    </xdr:from>
    <xdr:to>
      <xdr:col>6</xdr:col>
      <xdr:colOff>681037</xdr:colOff>
      <xdr:row>90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A5E29D-54ED-438C-A3C5-67856AF7B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423862</xdr:colOff>
      <xdr:row>32</xdr:row>
      <xdr:rowOff>157162</xdr:rowOff>
    </xdr:from>
    <xdr:to>
      <xdr:col>25</xdr:col>
      <xdr:colOff>604837</xdr:colOff>
      <xdr:row>47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D17046-6DA3-4E4D-B1D1-30774D5FC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195262</xdr:colOff>
      <xdr:row>56</xdr:row>
      <xdr:rowOff>4762</xdr:rowOff>
    </xdr:from>
    <xdr:to>
      <xdr:col>28</xdr:col>
      <xdr:colOff>500062</xdr:colOff>
      <xdr:row>70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5F87C9-D1E6-49AC-AAEB-EB7A568A2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</xdr:row>
          <xdr:rowOff>161925</xdr:rowOff>
        </xdr:from>
        <xdr:to>
          <xdr:col>1</xdr:col>
          <xdr:colOff>1685925</xdr:colOff>
          <xdr:row>5</xdr:row>
          <xdr:rowOff>133350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4</xdr:row>
          <xdr:rowOff>142875</xdr:rowOff>
        </xdr:from>
        <xdr:to>
          <xdr:col>3</xdr:col>
          <xdr:colOff>1752600</xdr:colOff>
          <xdr:row>5</xdr:row>
          <xdr:rowOff>114300</xdr:rowOff>
        </xdr:to>
        <xdr:sp macro="" textlink="">
          <xdr:nvSpPr>
            <xdr:cNvPr id="4098" name="Scroll Ba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161925</xdr:rowOff>
        </xdr:from>
        <xdr:to>
          <xdr:col>5</xdr:col>
          <xdr:colOff>1752600</xdr:colOff>
          <xdr:row>5</xdr:row>
          <xdr:rowOff>133350</xdr:rowOff>
        </xdr:to>
        <xdr:sp macro="" textlink="">
          <xdr:nvSpPr>
            <xdr:cNvPr id="4099" name="Scroll Ba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</xdr:row>
          <xdr:rowOff>0</xdr:rowOff>
        </xdr:from>
        <xdr:to>
          <xdr:col>7</xdr:col>
          <xdr:colOff>1752600</xdr:colOff>
          <xdr:row>5</xdr:row>
          <xdr:rowOff>161925</xdr:rowOff>
        </xdr:to>
        <xdr:sp macro="" textlink="">
          <xdr:nvSpPr>
            <xdr:cNvPr id="4100" name="Scroll Bar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5</xdr:row>
          <xdr:rowOff>0</xdr:rowOff>
        </xdr:from>
        <xdr:to>
          <xdr:col>10</xdr:col>
          <xdr:colOff>57150</xdr:colOff>
          <xdr:row>5</xdr:row>
          <xdr:rowOff>161925</xdr:rowOff>
        </xdr:to>
        <xdr:sp macro="" textlink="">
          <xdr:nvSpPr>
            <xdr:cNvPr id="4101" name="Scroll Bar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n Purvis" id="{A98691BD-CCAA-426F-88E4-47A277F1E45A}" userId="54e4abf3ddb4b30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0-05-12T16:48:40.54" personId="{A98691BD-CCAA-426F-88E4-47A277F1E45A}" id="{05DC949B-7B56-4CE3-8D9F-ED64DD09EA2E}">
    <text>This multiplicative figure comes from the UILPC table on the next sheet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S7"/>
  <sheetViews>
    <sheetView tabSelected="1" topLeftCell="M1" workbookViewId="0">
      <selection activeCell="P11" sqref="P11"/>
    </sheetView>
  </sheetViews>
  <sheetFormatPr defaultRowHeight="15" x14ac:dyDescent="0.25"/>
  <cols>
    <col min="5" max="5" width="21.140625" bestFit="1" customWidth="1"/>
    <col min="6" max="6" width="21.7109375" bestFit="1" customWidth="1"/>
    <col min="7" max="7" width="19.42578125" bestFit="1" customWidth="1"/>
    <col min="8" max="8" width="26.42578125" bestFit="1" customWidth="1"/>
    <col min="9" max="9" width="15.140625" bestFit="1" customWidth="1"/>
    <col min="10" max="10" width="16.5703125" bestFit="1" customWidth="1"/>
    <col min="11" max="11" width="29.140625" bestFit="1" customWidth="1"/>
    <col min="12" max="12" width="36.42578125" bestFit="1" customWidth="1"/>
    <col min="13" max="13" width="26.42578125" bestFit="1" customWidth="1"/>
    <col min="14" max="14" width="24.5703125" bestFit="1" customWidth="1"/>
    <col min="15" max="15" width="23" bestFit="1" customWidth="1"/>
    <col min="16" max="16" width="34.28515625" bestFit="1" customWidth="1"/>
    <col min="17" max="17" width="31.42578125" bestFit="1" customWidth="1"/>
    <col min="18" max="18" width="21" bestFit="1" customWidth="1"/>
  </cols>
  <sheetData>
    <row r="1" spans="1:19" x14ac:dyDescent="0.25">
      <c r="A1" t="s">
        <v>7</v>
      </c>
      <c r="B1" t="s">
        <v>10</v>
      </c>
      <c r="C1" t="s">
        <v>11</v>
      </c>
      <c r="D1" t="s">
        <v>12</v>
      </c>
      <c r="E1" s="2" t="s">
        <v>9</v>
      </c>
      <c r="F1" t="s">
        <v>0</v>
      </c>
      <c r="G1" t="s">
        <v>1</v>
      </c>
      <c r="H1" s="2" t="s">
        <v>30</v>
      </c>
      <c r="I1" t="s">
        <v>14</v>
      </c>
      <c r="J1" t="s">
        <v>15</v>
      </c>
      <c r="K1" t="s">
        <v>16</v>
      </c>
      <c r="L1" s="2" t="s">
        <v>21</v>
      </c>
      <c r="M1" s="2" t="s">
        <v>22</v>
      </c>
      <c r="N1" t="s">
        <v>20</v>
      </c>
      <c r="O1" t="s">
        <v>28</v>
      </c>
      <c r="P1" s="3" t="s">
        <v>37</v>
      </c>
      <c r="Q1" s="3" t="s">
        <v>38</v>
      </c>
      <c r="R1" s="3" t="s">
        <v>39</v>
      </c>
      <c r="S1" t="s">
        <v>40</v>
      </c>
    </row>
    <row r="2" spans="1:19" x14ac:dyDescent="0.25">
      <c r="A2" t="b">
        <v>1</v>
      </c>
      <c r="E2" s="10">
        <f>Input!B4</f>
        <v>300000</v>
      </c>
      <c r="F2">
        <f>Calculations!D3*E2*Calculations!F3/(1-Calculations!G3)</f>
        <v>251213684.21052632</v>
      </c>
      <c r="G2">
        <f>Calculations!E3*E2*Calculations!B3</f>
        <v>114039000</v>
      </c>
      <c r="H2" s="10">
        <f>Input!D4</f>
        <v>100000</v>
      </c>
      <c r="I2">
        <f>Calculations!N12</f>
        <v>53321.142857142855</v>
      </c>
      <c r="J2">
        <f>E2*Calculations!C12</f>
        <v>2400</v>
      </c>
      <c r="K2">
        <f>H2-I2-J2</f>
        <v>44278.857142857145</v>
      </c>
      <c r="L2" s="1">
        <v>10</v>
      </c>
      <c r="M2" s="1">
        <v>1.5</v>
      </c>
      <c r="N2">
        <f>M2*1.4*(0.02*E2*Calculations!C14+K2*0.01*Calculations!C13)</f>
        <v>253131.74850271604</v>
      </c>
      <c r="O2">
        <v>3500000</v>
      </c>
      <c r="P2">
        <v>1900</v>
      </c>
      <c r="Q2">
        <f>Input!H4</f>
        <v>2100</v>
      </c>
      <c r="R2">
        <v>1900</v>
      </c>
      <c r="S2">
        <f>MIN(P2:R2)</f>
        <v>1900</v>
      </c>
    </row>
    <row r="4" spans="1:19" x14ac:dyDescent="0.25">
      <c r="O4">
        <v>14480518</v>
      </c>
    </row>
    <row r="5" spans="1:19" x14ac:dyDescent="0.25">
      <c r="O5" s="13"/>
    </row>
    <row r="7" spans="1:19" x14ac:dyDescent="0.25">
      <c r="G7" t="s">
        <v>13</v>
      </c>
      <c r="H7" t="s">
        <v>13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9B9E-8733-4417-ADB7-438E39F509A1}">
  <sheetPr codeName="Sheet3"/>
  <dimension ref="A1:D2"/>
  <sheetViews>
    <sheetView workbookViewId="0">
      <selection activeCell="D9" sqref="D9"/>
    </sheetView>
  </sheetViews>
  <sheetFormatPr defaultRowHeight="15" x14ac:dyDescent="0.25"/>
  <sheetData>
    <row r="1" spans="1:4" x14ac:dyDescent="0.25">
      <c r="A1" t="s">
        <v>7</v>
      </c>
      <c r="B1" t="s">
        <v>10</v>
      </c>
      <c r="C1" t="s">
        <v>11</v>
      </c>
      <c r="D1" t="s">
        <v>31</v>
      </c>
    </row>
    <row r="2" spans="1:4" x14ac:dyDescent="0.25">
      <c r="A2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5F49-752D-4EAC-A94D-A2375B8D9A28}">
  <sheetPr codeName="Sheet4"/>
  <dimension ref="B2:Y84"/>
  <sheetViews>
    <sheetView zoomScaleNormal="100" workbookViewId="0">
      <selection activeCell="U3" sqref="U3"/>
    </sheetView>
  </sheetViews>
  <sheetFormatPr defaultRowHeight="15" x14ac:dyDescent="0.25"/>
  <cols>
    <col min="3" max="3" width="36.5703125" bestFit="1" customWidth="1"/>
    <col min="5" max="5" width="13.140625" bestFit="1" customWidth="1"/>
    <col min="6" max="6" width="18.28515625" bestFit="1" customWidth="1"/>
    <col min="7" max="7" width="12.5703125" bestFit="1" customWidth="1"/>
    <col min="8" max="8" width="13.140625" bestFit="1" customWidth="1"/>
    <col min="9" max="9" width="38.7109375" bestFit="1" customWidth="1"/>
    <col min="10" max="10" width="14.42578125" bestFit="1" customWidth="1"/>
    <col min="11" max="11" width="12" bestFit="1" customWidth="1"/>
    <col min="14" max="14" width="28.42578125" bestFit="1" customWidth="1"/>
    <col min="15" max="15" width="21.5703125" bestFit="1" customWidth="1"/>
    <col min="16" max="16" width="17.5703125" bestFit="1" customWidth="1"/>
    <col min="17" max="17" width="12" bestFit="1" customWidth="1"/>
    <col min="18" max="18" width="17.28515625" bestFit="1" customWidth="1"/>
    <col min="19" max="19" width="12.7109375" bestFit="1" customWidth="1"/>
    <col min="20" max="20" width="12" bestFit="1" customWidth="1"/>
  </cols>
  <sheetData>
    <row r="2" spans="2:21" x14ac:dyDescent="0.25">
      <c r="B2" t="s">
        <v>8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29</v>
      </c>
      <c r="K2" t="s">
        <v>59</v>
      </c>
      <c r="M2" t="s">
        <v>63</v>
      </c>
      <c r="N2" t="s">
        <v>51</v>
      </c>
      <c r="P2" t="s">
        <v>56</v>
      </c>
      <c r="R2" t="s">
        <v>57</v>
      </c>
      <c r="T2" t="s">
        <v>62</v>
      </c>
      <c r="U2" t="s">
        <v>64</v>
      </c>
    </row>
    <row r="3" spans="2:21" x14ac:dyDescent="0.25">
      <c r="B3">
        <v>1</v>
      </c>
      <c r="C3">
        <v>37923058</v>
      </c>
      <c r="D3">
        <v>265.17</v>
      </c>
      <c r="E3">
        <v>380.13</v>
      </c>
      <c r="F3">
        <v>3</v>
      </c>
      <c r="G3">
        <v>0.05</v>
      </c>
      <c r="I3">
        <f>11269490562.2048*0.07*2.393758</f>
        <v>1888350323.2441568</v>
      </c>
      <c r="K3">
        <f>Urban1!F2*(1-Calculations!G3)/F3</f>
        <v>79551000</v>
      </c>
      <c r="L3" s="1"/>
      <c r="M3">
        <f>K3/Urban1!E2</f>
        <v>265.17</v>
      </c>
      <c r="N3">
        <f>Calculations!I3/Calculations!C3*Urban1!E2</f>
        <v>14938275.731172498</v>
      </c>
      <c r="P3">
        <f>0.519*R3</f>
        <v>0</v>
      </c>
      <c r="T3">
        <f>-0.0004*M3^2+1.2015*M3+247.52</f>
        <v>537.99570344000006</v>
      </c>
      <c r="U3">
        <f>19398*EXP(-5.899*(Urban1!K2/Urban1!H2))</f>
        <v>1423.5591581571632</v>
      </c>
    </row>
    <row r="9" spans="2:21" x14ac:dyDescent="0.25">
      <c r="N9" t="s">
        <v>41</v>
      </c>
    </row>
    <row r="11" spans="2:21" x14ac:dyDescent="0.25">
      <c r="C11" t="s">
        <v>19</v>
      </c>
      <c r="H11" t="s">
        <v>17</v>
      </c>
      <c r="I11" t="s">
        <v>26</v>
      </c>
      <c r="N11" t="s">
        <v>14</v>
      </c>
      <c r="O11" t="s">
        <v>42</v>
      </c>
      <c r="P11" t="s">
        <v>43</v>
      </c>
      <c r="Q11" t="s">
        <v>44</v>
      </c>
    </row>
    <row r="12" spans="2:21" x14ac:dyDescent="0.25">
      <c r="B12" t="s">
        <v>25</v>
      </c>
      <c r="C12">
        <f>(VLOOKUP(D3,G13:H21,2,TRUE))</f>
        <v>8.0000000000000002E-3</v>
      </c>
      <c r="G12" t="s">
        <v>18</v>
      </c>
      <c r="H12" t="s">
        <v>25</v>
      </c>
      <c r="I12" t="s">
        <v>27</v>
      </c>
      <c r="N12">
        <f>O12*P12/Q12</f>
        <v>53321.142857142855</v>
      </c>
      <c r="O12">
        <v>0.12959999999999999</v>
      </c>
      <c r="P12">
        <f>(0.48+0.16)*0.75*Urban1!E2</f>
        <v>144000</v>
      </c>
      <c r="Q12">
        <v>0.35</v>
      </c>
    </row>
    <row r="13" spans="2:21" x14ac:dyDescent="0.25">
      <c r="B13" t="s">
        <v>24</v>
      </c>
      <c r="C13">
        <f>Urban1!O4*(1-0.04)/Urban1!I2</f>
        <v>260.70891460905352</v>
      </c>
      <c r="G13">
        <v>0</v>
      </c>
      <c r="H13">
        <v>5.0000000000000001E-3</v>
      </c>
      <c r="I13">
        <v>0</v>
      </c>
    </row>
    <row r="14" spans="2:21" x14ac:dyDescent="0.25">
      <c r="B14" t="s">
        <v>23</v>
      </c>
      <c r="C14">
        <f>(VLOOKUP(D3,G13:I21,3,TRUE))</f>
        <v>0.85</v>
      </c>
      <c r="G14">
        <v>200</v>
      </c>
      <c r="H14">
        <v>8.0000000000000002E-3</v>
      </c>
      <c r="I14">
        <v>0.85</v>
      </c>
    </row>
    <row r="15" spans="2:21" x14ac:dyDescent="0.25">
      <c r="G15">
        <v>400</v>
      </c>
      <c r="H15">
        <v>1.4999999999999999E-2</v>
      </c>
      <c r="I15">
        <v>2.6</v>
      </c>
    </row>
    <row r="16" spans="2:21" x14ac:dyDescent="0.25">
      <c r="G16">
        <v>600</v>
      </c>
      <c r="H16">
        <v>2.5000000000000001E-2</v>
      </c>
      <c r="I16">
        <v>3.4</v>
      </c>
    </row>
    <row r="17" spans="7:21" x14ac:dyDescent="0.25">
      <c r="G17">
        <v>800</v>
      </c>
      <c r="H17">
        <v>0.04</v>
      </c>
      <c r="I17">
        <v>3.8</v>
      </c>
    </row>
    <row r="18" spans="7:21" x14ac:dyDescent="0.25">
      <c r="G18">
        <v>1000</v>
      </c>
      <c r="H18">
        <v>5.5E-2</v>
      </c>
      <c r="I18">
        <v>4.0999999999999996</v>
      </c>
      <c r="O18" t="s">
        <v>50</v>
      </c>
      <c r="P18">
        <f>N3/(Urban1!I2+Calculations!N3*0.5196*(18.8*Urban1!H2/Urban1!I2/(129.14*(Urban1!K2/Urban1!H2)^(-2.232))))</f>
        <v>37.603544650118934</v>
      </c>
    </row>
    <row r="19" spans="7:21" x14ac:dyDescent="0.25">
      <c r="G19">
        <v>1200</v>
      </c>
      <c r="H19">
        <v>7.0000000000000007E-2</v>
      </c>
      <c r="I19">
        <v>4.4000000000000004</v>
      </c>
    </row>
    <row r="20" spans="7:21" x14ac:dyDescent="0.25">
      <c r="G20">
        <v>1400</v>
      </c>
      <c r="H20">
        <v>0.08</v>
      </c>
      <c r="I20">
        <v>4.7</v>
      </c>
      <c r="L20" t="s">
        <v>45</v>
      </c>
    </row>
    <row r="21" spans="7:21" x14ac:dyDescent="0.25">
      <c r="G21">
        <v>1600</v>
      </c>
      <c r="H21">
        <v>0.09</v>
      </c>
      <c r="I21">
        <v>5</v>
      </c>
    </row>
    <row r="22" spans="7:21" x14ac:dyDescent="0.25">
      <c r="L22">
        <f>Urban1!K2/Urban1!H2</f>
        <v>0.44278857142857148</v>
      </c>
    </row>
    <row r="28" spans="7:21" x14ac:dyDescent="0.25">
      <c r="O28" t="s">
        <v>58</v>
      </c>
      <c r="P28" t="s">
        <v>60</v>
      </c>
      <c r="Q28" t="s">
        <v>66</v>
      </c>
      <c r="R28" t="s">
        <v>67</v>
      </c>
      <c r="S28" t="s">
        <v>68</v>
      </c>
      <c r="T28" t="s">
        <v>69</v>
      </c>
      <c r="U28" t="s">
        <v>75</v>
      </c>
    </row>
    <row r="29" spans="7:21" x14ac:dyDescent="0.25">
      <c r="O29">
        <f>Urban1!I2/Urban1!E2*600*0.7*0.9/T3</f>
        <v>0.12487951032027668</v>
      </c>
      <c r="P29">
        <f>Urban1!H2/(Urban1!I2*2*0.07*U3)*0.5196*2.64527</f>
        <v>1.2934097917495826E-2</v>
      </c>
      <c r="Q29">
        <f>0.0056*0.025*600*0.9*0.7/(230*Urban1!E2)</f>
        <v>7.669565217391304E-10</v>
      </c>
      <c r="R29">
        <f>0.09/Urban1!I2-Q29*4.572/0.0056</f>
        <v>1.0617205850778317E-6</v>
      </c>
      <c r="S29">
        <f>0.34*K3-K3*0.89154*O29</f>
        <v>18190523.159830138</v>
      </c>
      <c r="T29">
        <f>2*Q29-S29*Q29^2+P29*Q29*R29*S29+0.001092*K3*Q29*R29*O29-0.001092*K3*P29*R29^2*O29</f>
        <v>1.5654649090963224E-9</v>
      </c>
      <c r="U29">
        <f>1-2*Q29*S29+P29*R29*S29+0.001092*K3*R29*O29</f>
        <v>1.2334146278718976</v>
      </c>
    </row>
    <row r="30" spans="7:21" x14ac:dyDescent="0.25">
      <c r="Q30">
        <f>Q29^2</f>
        <v>5.8822230623818523E-19</v>
      </c>
    </row>
    <row r="31" spans="7:21" x14ac:dyDescent="0.25">
      <c r="M31" s="12"/>
    </row>
    <row r="32" spans="7:21" ht="30" x14ac:dyDescent="0.25">
      <c r="K32" s="12" t="s">
        <v>46</v>
      </c>
      <c r="L32" s="12">
        <v>0.1</v>
      </c>
      <c r="M32" s="12">
        <v>7400</v>
      </c>
      <c r="O32" t="s">
        <v>70</v>
      </c>
      <c r="P32" t="s">
        <v>71</v>
      </c>
    </row>
    <row r="33" spans="6:18" x14ac:dyDescent="0.25">
      <c r="L33" s="12">
        <v>0.2</v>
      </c>
      <c r="M33" s="12">
        <v>5200</v>
      </c>
      <c r="O33">
        <f>((T29+R29*S29+1)^2-4*R29*S29*T29)^0.5</f>
        <v>20.313252890715368</v>
      </c>
      <c r="P33">
        <f>T29+1+R29*S29</f>
        <v>20.313252893692166</v>
      </c>
    </row>
    <row r="34" spans="6:18" x14ac:dyDescent="0.25">
      <c r="L34" s="12">
        <v>0.3</v>
      </c>
      <c r="M34" s="12">
        <v>3500</v>
      </c>
      <c r="O34" t="s">
        <v>72</v>
      </c>
      <c r="P34">
        <f>(P33+O33)/(2*T29*R29)</f>
        <v>1.2221539072606796E+16</v>
      </c>
      <c r="R34">
        <v>5.8822230623818523E-19</v>
      </c>
    </row>
    <row r="35" spans="6:18" x14ac:dyDescent="0.25">
      <c r="L35" s="12">
        <v>0.4</v>
      </c>
      <c r="M35" s="12">
        <v>2400</v>
      </c>
      <c r="O35" t="s">
        <v>73</v>
      </c>
      <c r="P35">
        <f>(P33-O33)/(2*T29*R29)</f>
        <v>895500.26397229987</v>
      </c>
    </row>
    <row r="36" spans="6:18" x14ac:dyDescent="0.25">
      <c r="L36" s="12">
        <v>0.5</v>
      </c>
      <c r="M36" s="12">
        <v>1500</v>
      </c>
    </row>
    <row r="37" spans="6:18" x14ac:dyDescent="0.25">
      <c r="L37" s="12">
        <v>0.6</v>
      </c>
      <c r="M37" s="12">
        <v>750</v>
      </c>
    </row>
    <row r="38" spans="6:18" x14ac:dyDescent="0.25">
      <c r="L38" s="12">
        <v>0.7</v>
      </c>
      <c r="M38" s="12">
        <v>300</v>
      </c>
    </row>
    <row r="39" spans="6:18" x14ac:dyDescent="0.25">
      <c r="L39" s="12">
        <v>0.8</v>
      </c>
      <c r="M39" s="12">
        <v>150</v>
      </c>
    </row>
    <row r="40" spans="6:18" x14ac:dyDescent="0.25">
      <c r="G40" s="12"/>
      <c r="H40" s="12"/>
      <c r="L40" s="12">
        <v>0.9</v>
      </c>
      <c r="M40" s="12">
        <v>75</v>
      </c>
    </row>
    <row r="41" spans="6:18" x14ac:dyDescent="0.25">
      <c r="G41" s="12"/>
      <c r="H41" s="12"/>
      <c r="L41" s="12">
        <v>1</v>
      </c>
      <c r="M41" s="12">
        <v>50</v>
      </c>
    </row>
    <row r="42" spans="6:18" x14ac:dyDescent="0.25">
      <c r="F42" t="s">
        <v>47</v>
      </c>
      <c r="G42" s="12"/>
      <c r="H42" s="12"/>
    </row>
    <row r="43" spans="6:18" x14ac:dyDescent="0.25">
      <c r="G43" s="12">
        <v>120</v>
      </c>
      <c r="H43" s="12">
        <v>5</v>
      </c>
    </row>
    <row r="44" spans="6:18" x14ac:dyDescent="0.25">
      <c r="G44" s="12">
        <v>160</v>
      </c>
      <c r="H44" s="12">
        <v>5.3</v>
      </c>
    </row>
    <row r="45" spans="6:18" x14ac:dyDescent="0.25">
      <c r="G45" s="12">
        <v>200</v>
      </c>
      <c r="H45" s="12">
        <v>5.6</v>
      </c>
      <c r="P45" t="s">
        <v>65</v>
      </c>
      <c r="Q45">
        <v>0</v>
      </c>
      <c r="R45">
        <v>0.4</v>
      </c>
    </row>
    <row r="46" spans="6:18" x14ac:dyDescent="0.25">
      <c r="G46" s="12">
        <v>240</v>
      </c>
      <c r="H46" s="12">
        <v>5.9</v>
      </c>
      <c r="Q46">
        <v>0.5</v>
      </c>
      <c r="R46">
        <v>0.2</v>
      </c>
    </row>
    <row r="47" spans="6:18" x14ac:dyDescent="0.25">
      <c r="G47" s="12">
        <v>280</v>
      </c>
      <c r="H47" s="12">
        <v>6.1</v>
      </c>
      <c r="Q47">
        <v>1</v>
      </c>
      <c r="R47">
        <v>0.1</v>
      </c>
    </row>
    <row r="48" spans="6:18" x14ac:dyDescent="0.25">
      <c r="G48" s="12">
        <v>320</v>
      </c>
      <c r="H48" s="12">
        <v>6.35</v>
      </c>
      <c r="Q48">
        <v>1.5</v>
      </c>
      <c r="R48">
        <v>2.5000000000000001E-2</v>
      </c>
    </row>
    <row r="49" spans="7:25" x14ac:dyDescent="0.25">
      <c r="G49" s="12">
        <v>360</v>
      </c>
      <c r="H49" s="12">
        <v>6.6</v>
      </c>
      <c r="Q49">
        <v>2</v>
      </c>
      <c r="R49">
        <v>0</v>
      </c>
    </row>
    <row r="50" spans="7:25" x14ac:dyDescent="0.25">
      <c r="G50" s="12">
        <v>400</v>
      </c>
      <c r="H50" s="12">
        <v>6.9</v>
      </c>
    </row>
    <row r="51" spans="7:25" x14ac:dyDescent="0.25">
      <c r="G51" s="12">
        <v>440</v>
      </c>
      <c r="H51" s="12">
        <v>7.2</v>
      </c>
    </row>
    <row r="52" spans="7:25" x14ac:dyDescent="0.25">
      <c r="G52" s="12">
        <v>480</v>
      </c>
      <c r="H52" s="12">
        <v>7.4</v>
      </c>
    </row>
    <row r="53" spans="7:25" x14ac:dyDescent="0.25">
      <c r="G53" s="12">
        <v>520</v>
      </c>
      <c r="H53" s="12">
        <v>7.6</v>
      </c>
    </row>
    <row r="54" spans="7:25" x14ac:dyDescent="0.25">
      <c r="G54" s="12">
        <v>560</v>
      </c>
      <c r="H54" s="12">
        <v>7.8</v>
      </c>
    </row>
    <row r="55" spans="7:25" x14ac:dyDescent="0.25">
      <c r="G55" s="12">
        <v>600</v>
      </c>
      <c r="H55" s="12">
        <v>8</v>
      </c>
      <c r="P55" t="s">
        <v>49</v>
      </c>
      <c r="Q55" s="12">
        <v>0</v>
      </c>
      <c r="R55" s="12">
        <v>0</v>
      </c>
      <c r="V55" t="s">
        <v>74</v>
      </c>
      <c r="X55">
        <v>0</v>
      </c>
      <c r="Y55">
        <v>0</v>
      </c>
    </row>
    <row r="56" spans="7:25" x14ac:dyDescent="0.25">
      <c r="G56" s="12">
        <v>640</v>
      </c>
      <c r="H56" s="12">
        <v>8.1999999999999993</v>
      </c>
      <c r="Q56" s="12">
        <v>0.25</v>
      </c>
      <c r="R56" s="12">
        <v>0.05</v>
      </c>
      <c r="X56">
        <v>1</v>
      </c>
      <c r="Y56">
        <v>0.04</v>
      </c>
    </row>
    <row r="57" spans="7:25" x14ac:dyDescent="0.25">
      <c r="G57" s="12">
        <v>680</v>
      </c>
      <c r="H57" s="12">
        <v>8.4</v>
      </c>
      <c r="Q57" s="12">
        <v>0.5</v>
      </c>
      <c r="R57" s="12">
        <v>0.15</v>
      </c>
      <c r="X57">
        <v>2</v>
      </c>
      <c r="Y57">
        <v>7.0000000000000007E-2</v>
      </c>
    </row>
    <row r="58" spans="7:25" x14ac:dyDescent="0.25">
      <c r="G58" s="12">
        <v>720</v>
      </c>
      <c r="H58" s="12">
        <v>8.6</v>
      </c>
      <c r="Q58" s="12">
        <v>0.75</v>
      </c>
      <c r="R58" s="12">
        <v>0.3</v>
      </c>
      <c r="X58">
        <v>3</v>
      </c>
      <c r="Y58">
        <v>0.09</v>
      </c>
    </row>
    <row r="59" spans="7:25" x14ac:dyDescent="0.25">
      <c r="G59" s="12">
        <v>760</v>
      </c>
      <c r="H59" s="12">
        <v>8.8000000000000007</v>
      </c>
      <c r="Q59" s="12">
        <v>1</v>
      </c>
      <c r="R59" s="12">
        <v>0.5</v>
      </c>
      <c r="X59">
        <v>4</v>
      </c>
      <c r="Y59">
        <v>0.1</v>
      </c>
    </row>
    <row r="60" spans="7:25" x14ac:dyDescent="0.25">
      <c r="G60" s="12">
        <v>800</v>
      </c>
      <c r="H60" s="12">
        <v>9</v>
      </c>
      <c r="Q60" s="12">
        <v>1.25</v>
      </c>
      <c r="R60" s="12">
        <v>0.7</v>
      </c>
    </row>
    <row r="61" spans="7:25" x14ac:dyDescent="0.25">
      <c r="G61" s="12">
        <v>840</v>
      </c>
      <c r="H61" s="12">
        <v>9.1999999999999993</v>
      </c>
      <c r="Q61" s="12">
        <v>1.5</v>
      </c>
      <c r="R61" s="12">
        <v>0.85</v>
      </c>
    </row>
    <row r="62" spans="7:25" x14ac:dyDescent="0.25">
      <c r="G62" s="12">
        <v>880</v>
      </c>
      <c r="H62" s="12">
        <v>9.4</v>
      </c>
      <c r="J62" t="s">
        <v>48</v>
      </c>
      <c r="K62" s="12"/>
      <c r="L62" s="12"/>
      <c r="Q62" s="12">
        <v>1.75</v>
      </c>
      <c r="R62" s="12">
        <v>0.95</v>
      </c>
    </row>
    <row r="63" spans="7:25" x14ac:dyDescent="0.25">
      <c r="G63" s="12">
        <v>920</v>
      </c>
      <c r="H63" s="12">
        <v>9.6</v>
      </c>
      <c r="K63" s="12">
        <v>40</v>
      </c>
      <c r="L63" s="12">
        <v>0.03</v>
      </c>
      <c r="Q63" s="12">
        <v>2</v>
      </c>
      <c r="R63" s="12">
        <v>1</v>
      </c>
    </row>
    <row r="64" spans="7:25" x14ac:dyDescent="0.25">
      <c r="G64" s="12">
        <v>960</v>
      </c>
      <c r="H64" s="12">
        <v>9.8000000000000007</v>
      </c>
      <c r="K64" s="12">
        <v>80</v>
      </c>
      <c r="L64" s="12">
        <v>1.4999999999999999E-2</v>
      </c>
    </row>
    <row r="65" spans="5:12" x14ac:dyDescent="0.25">
      <c r="G65" s="12">
        <v>1000</v>
      </c>
      <c r="H65" s="12">
        <v>10</v>
      </c>
      <c r="K65" s="12">
        <v>120</v>
      </c>
      <c r="L65" s="12">
        <v>1.0999999999999999E-2</v>
      </c>
    </row>
    <row r="66" spans="5:12" x14ac:dyDescent="0.25">
      <c r="K66" s="12">
        <v>160</v>
      </c>
      <c r="L66" s="12">
        <v>8.9999999999999993E-3</v>
      </c>
    </row>
    <row r="67" spans="5:12" x14ac:dyDescent="0.25">
      <c r="K67" s="12">
        <v>200</v>
      </c>
      <c r="L67" s="12">
        <v>8.0000000000000002E-3</v>
      </c>
    </row>
    <row r="68" spans="5:12" x14ac:dyDescent="0.25">
      <c r="K68" s="12">
        <v>240</v>
      </c>
      <c r="L68" s="12">
        <v>7.0000000000000001E-3</v>
      </c>
    </row>
    <row r="69" spans="5:12" x14ac:dyDescent="0.25">
      <c r="K69" s="12">
        <v>280</v>
      </c>
      <c r="L69" s="12">
        <v>6.0000000000000001E-3</v>
      </c>
    </row>
    <row r="70" spans="5:12" x14ac:dyDescent="0.25">
      <c r="K70" s="12">
        <v>320</v>
      </c>
      <c r="L70" s="12">
        <v>5.0000000000000001E-3</v>
      </c>
    </row>
    <row r="71" spans="5:12" x14ac:dyDescent="0.25">
      <c r="K71" s="12">
        <v>360</v>
      </c>
      <c r="L71" s="12">
        <v>5.0000000000000001E-3</v>
      </c>
    </row>
    <row r="72" spans="5:12" x14ac:dyDescent="0.25">
      <c r="K72" s="12">
        <v>600</v>
      </c>
      <c r="L72" s="12">
        <v>5.0000000000000001E-3</v>
      </c>
    </row>
    <row r="75" spans="5:12" x14ac:dyDescent="0.25">
      <c r="E75" t="s">
        <v>61</v>
      </c>
    </row>
    <row r="76" spans="5:12" x14ac:dyDescent="0.25">
      <c r="E76">
        <v>0</v>
      </c>
      <c r="F76">
        <v>230</v>
      </c>
    </row>
    <row r="77" spans="5:12" x14ac:dyDescent="0.25">
      <c r="E77">
        <v>200</v>
      </c>
      <c r="F77">
        <v>480</v>
      </c>
    </row>
    <row r="78" spans="5:12" x14ac:dyDescent="0.25">
      <c r="E78">
        <v>400</v>
      </c>
      <c r="F78">
        <v>690</v>
      </c>
    </row>
    <row r="79" spans="5:12" x14ac:dyDescent="0.25">
      <c r="E79">
        <v>600</v>
      </c>
      <c r="F79">
        <v>850</v>
      </c>
    </row>
    <row r="80" spans="5:12" x14ac:dyDescent="0.25">
      <c r="E80">
        <v>800</v>
      </c>
      <c r="F80">
        <v>970</v>
      </c>
    </row>
    <row r="81" spans="5:6" x14ac:dyDescent="0.25">
      <c r="E81">
        <v>1000</v>
      </c>
      <c r="F81">
        <v>1070</v>
      </c>
    </row>
    <row r="82" spans="5:6" x14ac:dyDescent="0.25">
      <c r="E82">
        <v>1200</v>
      </c>
      <c r="F82">
        <v>1150</v>
      </c>
    </row>
    <row r="83" spans="5:6" x14ac:dyDescent="0.25">
      <c r="E83">
        <v>1400</v>
      </c>
      <c r="F83">
        <v>1210</v>
      </c>
    </row>
    <row r="84" spans="5:6" x14ac:dyDescent="0.25">
      <c r="E84">
        <v>1600</v>
      </c>
      <c r="F84">
        <v>1250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BA2E-D0E5-439C-A567-5E72B17275F5}">
  <sheetPr codeName="Sheet1"/>
  <dimension ref="A1:X58"/>
  <sheetViews>
    <sheetView workbookViewId="0">
      <selection activeCell="B6" sqref="B6"/>
    </sheetView>
  </sheetViews>
  <sheetFormatPr defaultRowHeight="15" x14ac:dyDescent="0.25"/>
  <cols>
    <col min="1" max="1" width="3.28515625" customWidth="1"/>
    <col min="2" max="2" width="26.42578125" customWidth="1"/>
    <col min="3" max="3" width="3.28515625" customWidth="1"/>
    <col min="4" max="4" width="26.42578125" customWidth="1"/>
    <col min="5" max="5" width="3.28515625" customWidth="1"/>
    <col min="6" max="6" width="26.42578125" customWidth="1"/>
    <col min="7" max="7" width="3.28515625" customWidth="1"/>
    <col min="8" max="8" width="26.42578125" customWidth="1"/>
    <col min="9" max="9" width="3.140625" customWidth="1"/>
    <col min="10" max="10" width="26.42578125" customWidth="1"/>
    <col min="11" max="11" width="3.140625" customWidth="1"/>
    <col min="12" max="12" width="23" bestFit="1" customWidth="1"/>
    <col min="13" max="13" width="27.5703125" bestFit="1" customWidth="1"/>
  </cols>
  <sheetData>
    <row r="1" spans="1:2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A2" s="4"/>
      <c r="B2" s="4" t="s">
        <v>32</v>
      </c>
      <c r="C2" s="4"/>
      <c r="D2" s="4" t="s">
        <v>33</v>
      </c>
      <c r="E2" s="4"/>
      <c r="F2" s="4" t="s">
        <v>34</v>
      </c>
      <c r="G2" s="4"/>
      <c r="H2" s="4" t="s">
        <v>35</v>
      </c>
      <c r="I2" s="4"/>
      <c r="J2" s="4" t="s">
        <v>36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thickBo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thickBot="1" x14ac:dyDescent="0.3">
      <c r="A4" s="4"/>
      <c r="B4" s="7">
        <f>B7*1000</f>
        <v>300000</v>
      </c>
      <c r="C4" s="4"/>
      <c r="D4" s="7">
        <f>D7*1000</f>
        <v>100000</v>
      </c>
      <c r="E4" s="4"/>
      <c r="F4" s="11">
        <v>2100</v>
      </c>
      <c r="G4" s="4"/>
      <c r="H4" s="6">
        <v>2100</v>
      </c>
      <c r="I4" s="4"/>
      <c r="J4" s="6">
        <v>2100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 s="4"/>
      <c r="B7" s="8">
        <v>300</v>
      </c>
      <c r="C7" s="8"/>
      <c r="D7" s="8">
        <v>100</v>
      </c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 s="4"/>
      <c r="B8" s="9"/>
      <c r="C8" s="8"/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5">
      <c r="A9" s="4"/>
      <c r="B9" s="8"/>
      <c r="C9" s="8"/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25">
      <c r="A10" s="4"/>
      <c r="B10" s="8"/>
      <c r="C10" s="8"/>
      <c r="D10" s="8"/>
      <c r="E10" s="8"/>
      <c r="F10" s="8"/>
      <c r="G10" s="4"/>
      <c r="H10" s="4"/>
      <c r="I10" s="4"/>
      <c r="J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5">
      <c r="A11" s="4"/>
      <c r="B11" s="8"/>
      <c r="C11" s="8"/>
      <c r="D11" s="8"/>
      <c r="E11" s="8"/>
      <c r="F11" s="8"/>
      <c r="G11" s="4"/>
      <c r="H11" s="4"/>
      <c r="I11" s="4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25">
      <c r="A12" s="4"/>
      <c r="B12" s="8"/>
      <c r="C12" s="8"/>
      <c r="D12" s="8"/>
      <c r="E12" s="8"/>
      <c r="F12" s="8"/>
      <c r="G12" s="4"/>
      <c r="H12" s="4"/>
      <c r="I12" s="4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5">
      <c r="A13" s="4"/>
      <c r="B13" s="8"/>
      <c r="C13" s="8"/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5">
      <c r="A14" s="4"/>
      <c r="B14" s="8"/>
      <c r="C14" s="8"/>
      <c r="D14" s="8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5"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5"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5"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5"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5"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2:24" x14ac:dyDescent="0.25"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2:24" x14ac:dyDescent="0.25"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2:24" x14ac:dyDescent="0.25"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2:24" x14ac:dyDescent="0.25"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2:24" x14ac:dyDescent="0.25"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2:24" x14ac:dyDescent="0.25"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2:24" x14ac:dyDescent="0.25"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2:24" x14ac:dyDescent="0.25"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2:24" x14ac:dyDescent="0.25"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2:24" x14ac:dyDescent="0.25"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2:24" x14ac:dyDescent="0.25"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2:24" x14ac:dyDescent="0.25"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2:24" x14ac:dyDescent="0.25"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2:24" x14ac:dyDescent="0.25"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2:24" x14ac:dyDescent="0.25"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2:24" x14ac:dyDescent="0.25"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2:24" x14ac:dyDescent="0.25"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2:24" x14ac:dyDescent="0.25"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2:24" x14ac:dyDescent="0.25"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2:24" x14ac:dyDescent="0.25"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2:24" x14ac:dyDescent="0.25"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2:24" x14ac:dyDescent="0.25"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2:24" x14ac:dyDescent="0.25"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2:24" x14ac:dyDescent="0.25"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2:24" x14ac:dyDescent="0.25"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2:24" x14ac:dyDescent="0.25"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</sheetData>
  <protectedRanges>
    <protectedRange sqref="F4" name="Range1"/>
  </protectedRange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croll Bar 1">
              <controlPr locked="0" defaultSize="0" autoPict="0">
                <anchor moveWithCells="1">
                  <from>
                    <xdr:col>1</xdr:col>
                    <xdr:colOff>28575</xdr:colOff>
                    <xdr:row>4</xdr:row>
                    <xdr:rowOff>161925</xdr:rowOff>
                  </from>
                  <to>
                    <xdr:col>1</xdr:col>
                    <xdr:colOff>1685925</xdr:colOff>
                    <xdr:row>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Scroll Bar 2">
              <controlPr locked="0" defaultSize="0" autoPict="0">
                <anchor moveWithCells="1">
                  <from>
                    <xdr:col>2</xdr:col>
                    <xdr:colOff>209550</xdr:colOff>
                    <xdr:row>4</xdr:row>
                    <xdr:rowOff>142875</xdr:rowOff>
                  </from>
                  <to>
                    <xdr:col>3</xdr:col>
                    <xdr:colOff>1752600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Scroll Bar 3">
              <controlPr locked="0" defaultSize="0" autoPict="0">
                <anchor moveWithCells="1">
                  <from>
                    <xdr:col>5</xdr:col>
                    <xdr:colOff>0</xdr:colOff>
                    <xdr:row>4</xdr:row>
                    <xdr:rowOff>161925</xdr:rowOff>
                  </from>
                  <to>
                    <xdr:col>5</xdr:col>
                    <xdr:colOff>1752600</xdr:colOff>
                    <xdr:row>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Scroll Bar 4">
              <controlPr locked="0" defaultSize="0" autoPict="0">
                <anchor moveWithCells="1">
                  <from>
                    <xdr:col>7</xdr:col>
                    <xdr:colOff>19050</xdr:colOff>
                    <xdr:row>5</xdr:row>
                    <xdr:rowOff>0</xdr:rowOff>
                  </from>
                  <to>
                    <xdr:col>7</xdr:col>
                    <xdr:colOff>1752600</xdr:colOff>
                    <xdr:row>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Scroll Bar 5">
              <controlPr locked="0" defaultSize="0" autoPict="0">
                <anchor moveWithCells="1">
                  <from>
                    <xdr:col>9</xdr:col>
                    <xdr:colOff>19050</xdr:colOff>
                    <xdr:row>5</xdr:row>
                    <xdr:rowOff>0</xdr:rowOff>
                  </from>
                  <to>
                    <xdr:col>10</xdr:col>
                    <xdr:colOff>57150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Urban1</vt:lpstr>
      <vt:lpstr>World3</vt:lpstr>
      <vt:lpstr>Calculations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Purvis</dc:creator>
  <cp:lastModifiedBy>Ben Purvis</cp:lastModifiedBy>
  <dcterms:created xsi:type="dcterms:W3CDTF">2015-06-05T18:17:20Z</dcterms:created>
  <dcterms:modified xsi:type="dcterms:W3CDTF">2020-07-29T14:53:34Z</dcterms:modified>
</cp:coreProperties>
</file>