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adey/Library/Mobile Documents/com~apple~CloudDocs/UCT/Buoy sensors/Power Budget/"/>
    </mc:Choice>
  </mc:AlternateContent>
  <xr:revisionPtr revIDLastSave="0" documentId="13_ncr:1_{80AB6B58-3724-FE40-B3B2-EF44E27CFA9C}" xr6:coauthVersionLast="43" xr6:coauthVersionMax="43" xr10:uidLastSave="{00000000-0000-0000-0000-000000000000}"/>
  <bookViews>
    <workbookView xWindow="0" yWindow="460" windowWidth="25600" windowHeight="15540" activeTab="1" xr2:uid="{86EFB17B-45E0-5045-BD29-C4C625ECCAF7}"/>
  </bookViews>
  <sheets>
    <sheet name="Data tables" sheetId="2" r:id="rId1"/>
    <sheet name="Procedures" sheetId="8" r:id="rId2"/>
    <sheet name="Table reference" sheetId="14" r:id="rId3"/>
  </sheets>
  <definedNames>
    <definedName name="acc_duration">Procedures!#REF!</definedName>
    <definedName name="acc_inc_1">Procedures!$D$69</definedName>
    <definedName name="acc_ODR">'Data tables'!$C$38</definedName>
    <definedName name="active_mode_GPS">'Data tables'!$B$72:$B$73</definedName>
    <definedName name="ctive_ACC">Procedures!#REF!</definedName>
    <definedName name="device_list">#REF!</definedName>
    <definedName name="eff_sect">#REF!</definedName>
    <definedName name="eff_select">#REF!</definedName>
    <definedName name="GPS_active_duration">Procedures!#REF!</definedName>
    <definedName name="GPS_active_mode">Procedures!#REF!</definedName>
    <definedName name="GPS_inactive_mode">Procedures!#REF!</definedName>
    <definedName name="GPS_inc_1">Procedures!$D$71</definedName>
    <definedName name="GPS_start_type">Procedures!#REF!</definedName>
    <definedName name="gyro_duration">Procedures!#REF!</definedName>
    <definedName name="gyro_inc_1">Procedures!$D$68</definedName>
    <definedName name="gyro_ODR">'Data tables'!$C$13</definedName>
    <definedName name="I_ACC_boot">'Data tables'!#REF!</definedName>
    <definedName name="I_ACC_hybrid">'Data tables'!$D$45</definedName>
    <definedName name="I_ACC_standby">'Data tables'!$D$46</definedName>
    <definedName name="I_GPS_acquisition">'Data tables'!$D$68</definedName>
    <definedName name="I_GPS_max">'Data tables'!#REF!</definedName>
    <definedName name="I_GPS_tracking_cont">'Data tables'!$D$72</definedName>
    <definedName name="I_GPS_tracking_ps">'Data tables'!$D$73</definedName>
    <definedName name="I_GYRO_active">'Data tables'!$D$17</definedName>
    <definedName name="I_GYRO_ready">'Data tables'!$D$18</definedName>
    <definedName name="I_GYRO_standby">'Data tables'!$D$19</definedName>
    <definedName name="I_TEMP_active">'Data tables'!#REF!</definedName>
    <definedName name="I_TEMP_standby">'Data tables'!#REF!</definedName>
    <definedName name="I_µC_run">'Data tables'!$D$92</definedName>
    <definedName name="I_µC_sleep">'Data tables'!$D$93</definedName>
    <definedName name="I_µC_standby">'Data tables'!$D$95</definedName>
    <definedName name="I_µC_stop">'Data tables'!$D$94</definedName>
    <definedName name="inactive_mode_GPS">'Data tables'!$B$74</definedName>
    <definedName name="inactive_modes_GYRO">'Data tables'!$B$18:$B$19</definedName>
    <definedName name="Microcontroller_inc_1">Procedures!$D$73</definedName>
    <definedName name="options_ACC">Acc_Mag[Average supply current (A)]</definedName>
    <definedName name="options_GPS">GPS[Average supply current (A)]</definedName>
    <definedName name="options_GYRO">Gyro[Average supply current (A)]</definedName>
    <definedName name="options_Rockblock">Rockblock[Average supply current (A)]</definedName>
    <definedName name="options_TEMP">Temp_sensor[Average supply current (A)]</definedName>
    <definedName name="options_µC">Microcontroller[Average supply current (A)]</definedName>
    <definedName name="P_ACC_boot">'Data tables'!#REF!</definedName>
    <definedName name="P_ACC_hybrid">'Data tables'!$E$45</definedName>
    <definedName name="P_ACC_standby">'Data tables'!$E$46</definedName>
    <definedName name="P_GPS_acquisition">'Data tables'!$E$68</definedName>
    <definedName name="P_GPS_max">'Data tables'!#REF!</definedName>
    <definedName name="P_GPS_tracking_cont">'Data tables'!$E$72</definedName>
    <definedName name="P_GPS_tracking_ps">'Data tables'!$E$73</definedName>
    <definedName name="P_GYRO_active">'Data tables'!$E$17</definedName>
    <definedName name="P_GYRO_ready">'Data tables'!$E$18</definedName>
    <definedName name="P_GYRO_standby">'Data tables'!$E$19</definedName>
    <definedName name="P_TEMP_active">'Data tables'!#REF!</definedName>
    <definedName name="P_TEMP_standby">'Data tables'!#REF!</definedName>
    <definedName name="P_µC_run">'Data tables'!#REF!</definedName>
    <definedName name="P_µC_sleep">'Data tables'!$E$93</definedName>
    <definedName name="P_µC_standby">'Data tables'!$E$95</definedName>
    <definedName name="P_µC_stop">'Data tables'!$E$94</definedName>
    <definedName name="processes_ACC">Acc_Mag[Process]</definedName>
    <definedName name="processes_GPS">GPS[Process]</definedName>
    <definedName name="processes_gyro">Gyro[Process]</definedName>
    <definedName name="processes_microcontroller">Microcontroller[Process]</definedName>
    <definedName name="processes_Rockblock">Rockblock[Process]</definedName>
    <definedName name="processes_TEMP">Temp_sensor[Process]</definedName>
    <definedName name="processes_µC">Microcontroller[Process]</definedName>
    <definedName name="Ps_GPS">'Data tables'!#REF!</definedName>
    <definedName name="Read_from_Gyro">#REF!</definedName>
    <definedName name="Rockblock_inc_1">Procedures!$D$72</definedName>
    <definedName name="start_type_GPS">'Data tables'!$B$68:$B$71</definedName>
    <definedName name="t_active_GYRO">Procedures!#REF!</definedName>
    <definedName name="t_GPS_aided">'Data tables'!#REF!</definedName>
    <definedName name="t_GPS_cold">'Data tables'!#REF!</definedName>
    <definedName name="t_GPS_hot">'Data tables'!#REF!</definedName>
    <definedName name="t_GPS_warm">'Data tables'!#REF!</definedName>
    <definedName name="Temp_duration">Procedures!#REF!</definedName>
    <definedName name="Temp_inc_1">Procedures!$D$70</definedName>
    <definedName name="V_in_range">#REF!</definedName>
    <definedName name="Vdd_ACC">'Data tables'!$C$37</definedName>
    <definedName name="Vdd_COMM">'Data tables'!$C$132</definedName>
    <definedName name="Vdd_GPS">'Data tables'!$C$64</definedName>
    <definedName name="Vdd_GYRO">'Data tables'!$C$12</definedName>
    <definedName name="Vdd_Iridium">'Data tables'!$C$132</definedName>
    <definedName name="Vdd_ROCK">'Data tables'!$C$132</definedName>
    <definedName name="Vdd_TEMP">'Data tables'!$C$111</definedName>
    <definedName name="Vdd_µC">'Data tables'!$C$88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8" i="8" l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B108" i="8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K121" i="8" l="1"/>
  <c r="K122" i="8" l="1"/>
  <c r="K123" i="8" l="1"/>
  <c r="K124" i="8" l="1"/>
  <c r="K125" i="8" l="1"/>
  <c r="G96" i="2"/>
  <c r="D96" i="2"/>
  <c r="G94" i="2"/>
  <c r="D94" i="2"/>
  <c r="G93" i="2"/>
  <c r="D93" i="2"/>
  <c r="G92" i="2"/>
  <c r="D92" i="2"/>
  <c r="K126" i="8" l="1"/>
  <c r="B23" i="8"/>
  <c r="B24" i="8"/>
  <c r="B25" i="8"/>
  <c r="B26" i="8"/>
  <c r="B27" i="8"/>
  <c r="B28" i="8"/>
  <c r="B29" i="8"/>
  <c r="B30" i="8"/>
  <c r="H23" i="8"/>
  <c r="K127" i="8" l="1"/>
  <c r="I23" i="8"/>
  <c r="H24" i="8"/>
  <c r="K128" i="8" l="1"/>
  <c r="I24" i="8"/>
  <c r="E69" i="2"/>
  <c r="E70" i="2"/>
  <c r="E71" i="2"/>
  <c r="E74" i="2"/>
  <c r="H25" i="8"/>
  <c r="K129" i="8" l="1"/>
  <c r="I25" i="8"/>
  <c r="B61" i="8"/>
  <c r="B52" i="8"/>
  <c r="B51" i="8"/>
  <c r="B50" i="8"/>
  <c r="B49" i="8"/>
  <c r="B48" i="8"/>
  <c r="D141" i="2"/>
  <c r="B39" i="8"/>
  <c r="B38" i="8"/>
  <c r="B37" i="8"/>
  <c r="B60" i="8"/>
  <c r="B59" i="8"/>
  <c r="B16" i="8"/>
  <c r="B7" i="8"/>
  <c r="G51" i="8"/>
  <c r="F39" i="8"/>
  <c r="F50" i="8"/>
  <c r="H59" i="8"/>
  <c r="G49" i="8"/>
  <c r="D48" i="8"/>
  <c r="G38" i="8"/>
  <c r="D52" i="8"/>
  <c r="K130" i="8" l="1"/>
  <c r="I59" i="8"/>
  <c r="D62" i="8"/>
  <c r="B47" i="8"/>
  <c r="G115" i="2"/>
  <c r="G116" i="2"/>
  <c r="G95" i="2"/>
  <c r="G46" i="2"/>
  <c r="G45" i="2"/>
  <c r="G44" i="2"/>
  <c r="G43" i="2"/>
  <c r="G42" i="2"/>
  <c r="G21" i="2"/>
  <c r="G20" i="2"/>
  <c r="G19" i="2"/>
  <c r="G18" i="2"/>
  <c r="G17" i="2"/>
  <c r="D115" i="2"/>
  <c r="D116" i="2"/>
  <c r="B15" i="8"/>
  <c r="B14" i="8"/>
  <c r="B13" i="8"/>
  <c r="B5" i="8"/>
  <c r="B6" i="8"/>
  <c r="F44" i="2"/>
  <c r="F43" i="2"/>
  <c r="D44" i="2"/>
  <c r="E44" i="2" s="1"/>
  <c r="D43" i="2"/>
  <c r="E43" i="2" s="1"/>
  <c r="D42" i="2"/>
  <c r="E42" i="2" s="1"/>
  <c r="F21" i="2"/>
  <c r="F20" i="2"/>
  <c r="D21" i="2"/>
  <c r="E21" i="2" s="1"/>
  <c r="D20" i="2"/>
  <c r="E20" i="2" s="1"/>
  <c r="G37" i="8"/>
  <c r="F26" i="8"/>
  <c r="G25" i="8"/>
  <c r="G30" i="8"/>
  <c r="F24" i="8"/>
  <c r="G59" i="8"/>
  <c r="F14" i="8"/>
  <c r="F23" i="8"/>
  <c r="F29" i="8"/>
  <c r="G15" i="8"/>
  <c r="D50" i="8"/>
  <c r="H37" i="8"/>
  <c r="F28" i="8"/>
  <c r="D51" i="8"/>
  <c r="F30" i="8"/>
  <c r="G39" i="8"/>
  <c r="G16" i="8"/>
  <c r="G24" i="8"/>
  <c r="F52" i="8"/>
  <c r="G26" i="8"/>
  <c r="G60" i="8"/>
  <c r="F27" i="8"/>
  <c r="G52" i="8"/>
  <c r="F51" i="8"/>
  <c r="D49" i="8"/>
  <c r="F25" i="8"/>
  <c r="F49" i="8"/>
  <c r="G48" i="8"/>
  <c r="H26" i="8"/>
  <c r="G7" i="8"/>
  <c r="G28" i="8"/>
  <c r="G27" i="8"/>
  <c r="G29" i="8"/>
  <c r="G61" i="8"/>
  <c r="G6" i="8"/>
  <c r="G13" i="8"/>
  <c r="G50" i="8"/>
  <c r="G23" i="8"/>
  <c r="G47" i="8"/>
  <c r="D5" i="8"/>
  <c r="K131" i="8" l="1"/>
  <c r="I26" i="8"/>
  <c r="G62" i="8"/>
  <c r="G53" i="8"/>
  <c r="G40" i="8"/>
  <c r="G31" i="8"/>
  <c r="F31" i="8"/>
  <c r="I37" i="8"/>
  <c r="D40" i="8"/>
  <c r="D31" i="8"/>
  <c r="D8" i="8"/>
  <c r="E116" i="2"/>
  <c r="E115" i="2"/>
  <c r="E136" i="2"/>
  <c r="E137" i="2"/>
  <c r="E138" i="2"/>
  <c r="E139" i="2"/>
  <c r="D140" i="2"/>
  <c r="G14" i="8"/>
  <c r="H47" i="8"/>
  <c r="E52" i="8"/>
  <c r="F47" i="8"/>
  <c r="H27" i="8"/>
  <c r="F48" i="8"/>
  <c r="E5" i="8"/>
  <c r="E49" i="8"/>
  <c r="E30" i="8"/>
  <c r="E39" i="8"/>
  <c r="E26" i="8"/>
  <c r="E28" i="8"/>
  <c r="H13" i="8"/>
  <c r="E51" i="8"/>
  <c r="E25" i="8"/>
  <c r="H5" i="8"/>
  <c r="D47" i="8"/>
  <c r="E50" i="8"/>
  <c r="H38" i="8"/>
  <c r="E24" i="8"/>
  <c r="G5" i="8"/>
  <c r="D13" i="8"/>
  <c r="E29" i="8"/>
  <c r="H60" i="8"/>
  <c r="E27" i="8"/>
  <c r="E23" i="8"/>
  <c r="F13" i="8"/>
  <c r="D14" i="8"/>
  <c r="K132" i="8" l="1"/>
  <c r="I27" i="8"/>
  <c r="I60" i="8"/>
  <c r="D53" i="8"/>
  <c r="I47" i="8"/>
  <c r="F53" i="8"/>
  <c r="G17" i="8"/>
  <c r="G8" i="8"/>
  <c r="I5" i="8"/>
  <c r="D17" i="8"/>
  <c r="I13" i="8"/>
  <c r="I38" i="8"/>
  <c r="E31" i="8"/>
  <c r="C70" i="8" s="1"/>
  <c r="E140" i="2"/>
  <c r="E141" i="2"/>
  <c r="D45" i="2"/>
  <c r="E47" i="8"/>
  <c r="H14" i="8"/>
  <c r="H6" i="8"/>
  <c r="H28" i="8"/>
  <c r="E14" i="8"/>
  <c r="H48" i="8"/>
  <c r="F15" i="8"/>
  <c r="H39" i="8"/>
  <c r="E13" i="8"/>
  <c r="E48" i="8"/>
  <c r="K133" i="8" l="1"/>
  <c r="I28" i="8"/>
  <c r="I48" i="8"/>
  <c r="I14" i="8"/>
  <c r="I39" i="8"/>
  <c r="I6" i="8"/>
  <c r="E53" i="8"/>
  <c r="C72" i="8" s="1"/>
  <c r="E45" i="2"/>
  <c r="E96" i="2"/>
  <c r="D95" i="2"/>
  <c r="E95" i="2" s="1"/>
  <c r="E93" i="2"/>
  <c r="D73" i="2"/>
  <c r="E73" i="2" s="1"/>
  <c r="D72" i="2"/>
  <c r="D68" i="2"/>
  <c r="D46" i="2"/>
  <c r="D19" i="2"/>
  <c r="D18" i="2"/>
  <c r="E18" i="2" s="1"/>
  <c r="D17" i="2"/>
  <c r="F16" i="8"/>
  <c r="F60" i="8"/>
  <c r="H15" i="8"/>
  <c r="F59" i="8"/>
  <c r="H29" i="8"/>
  <c r="F7" i="8"/>
  <c r="H7" i="8"/>
  <c r="F5" i="8"/>
  <c r="F38" i="8"/>
  <c r="F37" i="8"/>
  <c r="F61" i="8"/>
  <c r="F6" i="8"/>
  <c r="H49" i="8"/>
  <c r="E15" i="8"/>
  <c r="K134" i="8" l="1"/>
  <c r="I29" i="8"/>
  <c r="I49" i="8"/>
  <c r="F62" i="8"/>
  <c r="F40" i="8"/>
  <c r="F17" i="8"/>
  <c r="F8" i="8"/>
  <c r="I7" i="8"/>
  <c r="I15" i="8"/>
  <c r="E68" i="2"/>
  <c r="E72" i="2"/>
  <c r="E46" i="2"/>
  <c r="E94" i="2"/>
  <c r="E92" i="2"/>
  <c r="E19" i="2"/>
  <c r="E17" i="2"/>
  <c r="E61" i="8"/>
  <c r="E60" i="8"/>
  <c r="E59" i="8"/>
  <c r="E38" i="8"/>
  <c r="E7" i="8"/>
  <c r="E37" i="8"/>
  <c r="E6" i="8"/>
  <c r="H16" i="8"/>
  <c r="E16" i="8"/>
  <c r="H50" i="8"/>
  <c r="H30" i="8"/>
  <c r="L108" i="8" l="1"/>
  <c r="L116" i="8"/>
  <c r="L131" i="8"/>
  <c r="L119" i="8"/>
  <c r="L133" i="8"/>
  <c r="L110" i="8"/>
  <c r="L111" i="8"/>
  <c r="L113" i="8"/>
  <c r="L125" i="8"/>
  <c r="L121" i="8"/>
  <c r="L115" i="8"/>
  <c r="L109" i="8"/>
  <c r="L123" i="8"/>
  <c r="L124" i="8"/>
  <c r="K135" i="8"/>
  <c r="L120" i="8"/>
  <c r="L112" i="8"/>
  <c r="L127" i="8"/>
  <c r="L128" i="8"/>
  <c r="L122" i="8"/>
  <c r="L117" i="8"/>
  <c r="L132" i="8"/>
  <c r="L130" i="8"/>
  <c r="L114" i="8"/>
  <c r="L126" i="8"/>
  <c r="L118" i="8"/>
  <c r="L129" i="8"/>
  <c r="C112" i="8"/>
  <c r="C153" i="8"/>
  <c r="C118" i="8"/>
  <c r="C121" i="8"/>
  <c r="C140" i="8"/>
  <c r="C114" i="8"/>
  <c r="C133" i="8"/>
  <c r="C111" i="8"/>
  <c r="C126" i="8"/>
  <c r="C145" i="8"/>
  <c r="C109" i="8"/>
  <c r="C122" i="8"/>
  <c r="C141" i="8"/>
  <c r="C155" i="8"/>
  <c r="C135" i="8"/>
  <c r="C124" i="8"/>
  <c r="C147" i="8"/>
  <c r="C108" i="8"/>
  <c r="C117" i="8"/>
  <c r="C136" i="8"/>
  <c r="C151" i="8"/>
  <c r="C129" i="8"/>
  <c r="C148" i="8"/>
  <c r="C119" i="8"/>
  <c r="C152" i="8"/>
  <c r="C125" i="8"/>
  <c r="C144" i="8"/>
  <c r="C131" i="8"/>
  <c r="C146" i="8"/>
  <c r="C120" i="8"/>
  <c r="C143" i="8"/>
  <c r="C113" i="8"/>
  <c r="C132" i="8"/>
  <c r="C134" i="8"/>
  <c r="C139" i="8"/>
  <c r="C128" i="8"/>
  <c r="C150" i="8"/>
  <c r="C137" i="8"/>
  <c r="C156" i="8"/>
  <c r="C115" i="8"/>
  <c r="C130" i="8"/>
  <c r="C149" i="8"/>
  <c r="C127" i="8"/>
  <c r="C142" i="8"/>
  <c r="C110" i="8"/>
  <c r="C116" i="8"/>
  <c r="C123" i="8"/>
  <c r="C138" i="8"/>
  <c r="C154" i="8"/>
  <c r="I30" i="8"/>
  <c r="I50" i="8"/>
  <c r="I16" i="8"/>
  <c r="E17" i="8"/>
  <c r="C69" i="8" s="1"/>
  <c r="E8" i="8"/>
  <c r="E40" i="8"/>
  <c r="C71" i="8" s="1"/>
  <c r="E62" i="8"/>
  <c r="C73" i="8" s="1"/>
  <c r="H51" i="8"/>
  <c r="O116" i="8" l="1"/>
  <c r="F111" i="8"/>
  <c r="F116" i="8"/>
  <c r="F108" i="8"/>
  <c r="F149" i="8"/>
  <c r="O126" i="8"/>
  <c r="F138" i="8"/>
  <c r="O125" i="8"/>
  <c r="F141" i="8"/>
  <c r="F118" i="8"/>
  <c r="O112" i="8"/>
  <c r="F128" i="8"/>
  <c r="O111" i="8"/>
  <c r="O110" i="8"/>
  <c r="F109" i="8"/>
  <c r="F146" i="8"/>
  <c r="F139" i="8"/>
  <c r="F113" i="8"/>
  <c r="O117" i="8"/>
  <c r="O123" i="8"/>
  <c r="F126" i="8"/>
  <c r="F121" i="8"/>
  <c r="F153" i="8"/>
  <c r="F152" i="8"/>
  <c r="F120" i="8"/>
  <c r="F137" i="8"/>
  <c r="O114" i="8"/>
  <c r="F151" i="8"/>
  <c r="F112" i="8"/>
  <c r="O130" i="8"/>
  <c r="F119" i="8"/>
  <c r="O119" i="8"/>
  <c r="F115" i="8"/>
  <c r="F156" i="8"/>
  <c r="F132" i="8"/>
  <c r="O121" i="8"/>
  <c r="F124" i="8"/>
  <c r="O109" i="8"/>
  <c r="O128" i="8"/>
  <c r="F125" i="8"/>
  <c r="F143" i="8"/>
  <c r="F134" i="8"/>
  <c r="F142" i="8"/>
  <c r="F136" i="8"/>
  <c r="O129" i="8"/>
  <c r="O122" i="8"/>
  <c r="F144" i="8"/>
  <c r="F150" i="8"/>
  <c r="F145" i="8"/>
  <c r="O132" i="8"/>
  <c r="O113" i="8"/>
  <c r="F130" i="8"/>
  <c r="F123" i="8"/>
  <c r="F155" i="8"/>
  <c r="O124" i="8"/>
  <c r="F135" i="8"/>
  <c r="O118" i="8"/>
  <c r="F131" i="8"/>
  <c r="F122" i="8"/>
  <c r="F114" i="8"/>
  <c r="F117" i="8"/>
  <c r="O108" i="8"/>
  <c r="F127" i="8"/>
  <c r="O131" i="8"/>
  <c r="O127" i="8"/>
  <c r="F133" i="8"/>
  <c r="F148" i="8"/>
  <c r="F140" i="8"/>
  <c r="O115" i="8"/>
  <c r="O120" i="8"/>
  <c r="F110" i="8"/>
  <c r="F154" i="8"/>
  <c r="F129" i="8"/>
  <c r="F147" i="8"/>
  <c r="O133" i="8"/>
  <c r="N121" i="8"/>
  <c r="M125" i="8"/>
  <c r="N134" i="8"/>
  <c r="O134" i="8"/>
  <c r="M134" i="8"/>
  <c r="M114" i="8"/>
  <c r="M110" i="8"/>
  <c r="M128" i="8"/>
  <c r="N131" i="8"/>
  <c r="N108" i="8"/>
  <c r="N115" i="8"/>
  <c r="N118" i="8"/>
  <c r="N116" i="8"/>
  <c r="N123" i="8"/>
  <c r="M111" i="8"/>
  <c r="M117" i="8"/>
  <c r="M129" i="8"/>
  <c r="N132" i="8"/>
  <c r="N110" i="8"/>
  <c r="N114" i="8"/>
  <c r="N117" i="8"/>
  <c r="N125" i="8"/>
  <c r="N120" i="8"/>
  <c r="M118" i="8"/>
  <c r="M116" i="8"/>
  <c r="M126" i="8"/>
  <c r="N130" i="8"/>
  <c r="N129" i="8"/>
  <c r="N119" i="8"/>
  <c r="N127" i="8"/>
  <c r="N112" i="8"/>
  <c r="N126" i="8"/>
  <c r="N122" i="8"/>
  <c r="M108" i="8"/>
  <c r="M131" i="8"/>
  <c r="M122" i="8"/>
  <c r="N133" i="8"/>
  <c r="N128" i="8"/>
  <c r="N113" i="8"/>
  <c r="N111" i="8"/>
  <c r="N109" i="8"/>
  <c r="N124" i="8"/>
  <c r="M133" i="8"/>
  <c r="M109" i="8"/>
  <c r="M112" i="8"/>
  <c r="M130" i="8"/>
  <c r="M123" i="8"/>
  <c r="M121" i="8"/>
  <c r="M127" i="8"/>
  <c r="L134" i="8"/>
  <c r="M132" i="8"/>
  <c r="M119" i="8"/>
  <c r="M113" i="8"/>
  <c r="M115" i="8"/>
  <c r="M120" i="8"/>
  <c r="M124" i="8"/>
  <c r="K136" i="8"/>
  <c r="D156" i="8"/>
  <c r="D118" i="8"/>
  <c r="D153" i="8"/>
  <c r="D146" i="8"/>
  <c r="D143" i="8"/>
  <c r="D136" i="8"/>
  <c r="D125" i="8"/>
  <c r="D115" i="8"/>
  <c r="D108" i="8"/>
  <c r="D135" i="8"/>
  <c r="D144" i="8"/>
  <c r="D133" i="8"/>
  <c r="D126" i="8"/>
  <c r="D123" i="8"/>
  <c r="E108" i="8"/>
  <c r="E130" i="8"/>
  <c r="E155" i="8"/>
  <c r="E143" i="8"/>
  <c r="E144" i="8"/>
  <c r="E132" i="8"/>
  <c r="E109" i="8"/>
  <c r="E119" i="8"/>
  <c r="E152" i="8"/>
  <c r="E124" i="8"/>
  <c r="E129" i="8"/>
  <c r="D129" i="8"/>
  <c r="D141" i="8"/>
  <c r="D149" i="8"/>
  <c r="D152" i="8"/>
  <c r="D132" i="8"/>
  <c r="D137" i="8"/>
  <c r="D130" i="8"/>
  <c r="D127" i="8"/>
  <c r="D155" i="8"/>
  <c r="D145" i="8"/>
  <c r="D138" i="8"/>
  <c r="D119" i="8"/>
  <c r="D128" i="8"/>
  <c r="D117" i="8"/>
  <c r="D110" i="8"/>
  <c r="E120" i="8"/>
  <c r="E150" i="8"/>
  <c r="E133" i="8"/>
  <c r="E146" i="8"/>
  <c r="E151" i="8"/>
  <c r="E135" i="8"/>
  <c r="E125" i="8"/>
  <c r="E127" i="8"/>
  <c r="E138" i="8"/>
  <c r="E154" i="8"/>
  <c r="E128" i="8"/>
  <c r="E126" i="8"/>
  <c r="E140" i="8"/>
  <c r="E112" i="8"/>
  <c r="D122" i="8"/>
  <c r="D147" i="8"/>
  <c r="D112" i="8"/>
  <c r="D142" i="8"/>
  <c r="D120" i="8"/>
  <c r="D109" i="8"/>
  <c r="D148" i="8"/>
  <c r="D134" i="8"/>
  <c r="D150" i="8"/>
  <c r="D140" i="8"/>
  <c r="E149" i="8"/>
  <c r="E122" i="8"/>
  <c r="E116" i="8"/>
  <c r="E114" i="8"/>
  <c r="E113" i="8"/>
  <c r="E142" i="8"/>
  <c r="E139" i="8"/>
  <c r="E117" i="8"/>
  <c r="E134" i="8"/>
  <c r="E123" i="8"/>
  <c r="E156" i="8"/>
  <c r="E131" i="8"/>
  <c r="E111" i="8"/>
  <c r="D154" i="8"/>
  <c r="D131" i="8"/>
  <c r="D124" i="8"/>
  <c r="D113" i="8"/>
  <c r="D151" i="8"/>
  <c r="D139" i="8"/>
  <c r="D116" i="8"/>
  <c r="D121" i="8"/>
  <c r="D114" i="8"/>
  <c r="D111" i="8"/>
  <c r="E110" i="8"/>
  <c r="E153" i="8"/>
  <c r="E136" i="8"/>
  <c r="E118" i="8"/>
  <c r="E121" i="8"/>
  <c r="E145" i="8"/>
  <c r="E137" i="8"/>
  <c r="E148" i="8"/>
  <c r="E115" i="8"/>
  <c r="E141" i="8"/>
  <c r="E147" i="8"/>
  <c r="C68" i="8"/>
  <c r="I51" i="8"/>
  <c r="H52" i="8"/>
  <c r="N135" i="8" l="1"/>
  <c r="O135" i="8"/>
  <c r="L135" i="8"/>
  <c r="M135" i="8"/>
  <c r="K137" i="8"/>
  <c r="C74" i="8"/>
  <c r="G72" i="8" s="1"/>
  <c r="I52" i="8"/>
  <c r="P124" i="8" s="1"/>
  <c r="P135" i="8" l="1"/>
  <c r="P119" i="8"/>
  <c r="P122" i="8"/>
  <c r="P111" i="8"/>
  <c r="P133" i="8"/>
  <c r="P108" i="8"/>
  <c r="P114" i="8"/>
  <c r="P121" i="8"/>
  <c r="P126" i="8"/>
  <c r="P125" i="8"/>
  <c r="P117" i="8"/>
  <c r="P123" i="8"/>
  <c r="P132" i="8"/>
  <c r="P115" i="8"/>
  <c r="P109" i="8"/>
  <c r="P113" i="8"/>
  <c r="P131" i="8"/>
  <c r="P120" i="8"/>
  <c r="P129" i="8"/>
  <c r="P112" i="8"/>
  <c r="P128" i="8"/>
  <c r="P136" i="8"/>
  <c r="P134" i="8"/>
  <c r="P116" i="8"/>
  <c r="P118" i="8"/>
  <c r="P110" i="8"/>
  <c r="P130" i="8"/>
  <c r="P127" i="8"/>
  <c r="O136" i="8"/>
  <c r="N136" i="8"/>
  <c r="L136" i="8"/>
  <c r="M136" i="8"/>
  <c r="K138" i="8"/>
  <c r="G148" i="8"/>
  <c r="G143" i="8"/>
  <c r="G149" i="8"/>
  <c r="G122" i="8"/>
  <c r="G124" i="8"/>
  <c r="G147" i="8"/>
  <c r="G126" i="8"/>
  <c r="G140" i="8"/>
  <c r="G111" i="8"/>
  <c r="G118" i="8"/>
  <c r="G150" i="8"/>
  <c r="G125" i="8"/>
  <c r="G142" i="8"/>
  <c r="G133" i="8"/>
  <c r="G132" i="8"/>
  <c r="G154" i="8"/>
  <c r="G134" i="8"/>
  <c r="G112" i="8"/>
  <c r="G109" i="8"/>
  <c r="G110" i="8"/>
  <c r="G141" i="8"/>
  <c r="G116" i="8"/>
  <c r="G115" i="8"/>
  <c r="G156" i="8"/>
  <c r="G119" i="8"/>
  <c r="G120" i="8"/>
  <c r="G135" i="8"/>
  <c r="G139" i="8"/>
  <c r="G128" i="8"/>
  <c r="G146" i="8"/>
  <c r="G130" i="8"/>
  <c r="G155" i="8"/>
  <c r="G138" i="8"/>
  <c r="G137" i="8"/>
  <c r="G117" i="8"/>
  <c r="G151" i="8"/>
  <c r="G121" i="8"/>
  <c r="G144" i="8"/>
  <c r="G152" i="8"/>
  <c r="G127" i="8"/>
  <c r="G136" i="8"/>
  <c r="G113" i="8"/>
  <c r="G123" i="8"/>
  <c r="G114" i="8"/>
  <c r="G153" i="8"/>
  <c r="G131" i="8"/>
  <c r="G145" i="8"/>
  <c r="G129" i="8"/>
  <c r="G108" i="8"/>
  <c r="H61" i="8"/>
  <c r="P137" i="8" l="1"/>
  <c r="M137" i="8"/>
  <c r="O137" i="8"/>
  <c r="N137" i="8"/>
  <c r="L137" i="8"/>
  <c r="K139" i="8"/>
  <c r="I61" i="8"/>
  <c r="H112" i="8" s="1"/>
  <c r="I112" i="8" s="1"/>
  <c r="Q138" i="8" l="1"/>
  <c r="Q130" i="8"/>
  <c r="R130" i="8" s="1"/>
  <c r="Q135" i="8"/>
  <c r="R135" i="8" s="1"/>
  <c r="Q108" i="8"/>
  <c r="R108" i="8" s="1"/>
  <c r="Q123" i="8"/>
  <c r="R123" i="8" s="1"/>
  <c r="Q122" i="8"/>
  <c r="R122" i="8" s="1"/>
  <c r="Q112" i="8"/>
  <c r="R112" i="8" s="1"/>
  <c r="Q128" i="8"/>
  <c r="R128" i="8" s="1"/>
  <c r="Q137" i="8"/>
  <c r="R137" i="8" s="1"/>
  <c r="Q134" i="8"/>
  <c r="R134" i="8" s="1"/>
  <c r="Q131" i="8"/>
  <c r="R131" i="8" s="1"/>
  <c r="Q126" i="8"/>
  <c r="R126" i="8" s="1"/>
  <c r="Q113" i="8"/>
  <c r="R113" i="8" s="1"/>
  <c r="Q127" i="8"/>
  <c r="R127" i="8" s="1"/>
  <c r="Q115" i="8"/>
  <c r="R115" i="8" s="1"/>
  <c r="Q117" i="8"/>
  <c r="R117" i="8" s="1"/>
  <c r="Q133" i="8"/>
  <c r="R133" i="8" s="1"/>
  <c r="Q114" i="8"/>
  <c r="R114" i="8" s="1"/>
  <c r="Q119" i="8"/>
  <c r="R119" i="8" s="1"/>
  <c r="Q116" i="8"/>
  <c r="R116" i="8" s="1"/>
  <c r="Q110" i="8"/>
  <c r="R110" i="8" s="1"/>
  <c r="Q129" i="8"/>
  <c r="R129" i="8" s="1"/>
  <c r="Q124" i="8"/>
  <c r="R124" i="8" s="1"/>
  <c r="Q136" i="8"/>
  <c r="R136" i="8" s="1"/>
  <c r="Q132" i="8"/>
  <c r="R132" i="8" s="1"/>
  <c r="Q125" i="8"/>
  <c r="R125" i="8" s="1"/>
  <c r="Q120" i="8"/>
  <c r="R120" i="8" s="1"/>
  <c r="Q121" i="8"/>
  <c r="R121" i="8" s="1"/>
  <c r="Q118" i="8"/>
  <c r="R118" i="8" s="1"/>
  <c r="Q109" i="8"/>
  <c r="R109" i="8" s="1"/>
  <c r="Q111" i="8"/>
  <c r="R111" i="8" s="1"/>
  <c r="P138" i="8"/>
  <c r="O138" i="8"/>
  <c r="M138" i="8"/>
  <c r="N138" i="8"/>
  <c r="L138" i="8"/>
  <c r="K140" i="8"/>
  <c r="Q139" i="8" s="1"/>
  <c r="H152" i="8"/>
  <c r="I152" i="8" s="1"/>
  <c r="H149" i="8"/>
  <c r="I149" i="8" s="1"/>
  <c r="H116" i="8"/>
  <c r="I116" i="8" s="1"/>
  <c r="H127" i="8"/>
  <c r="I127" i="8" s="1"/>
  <c r="H124" i="8"/>
  <c r="I124" i="8" s="1"/>
  <c r="H108" i="8"/>
  <c r="I108" i="8" s="1"/>
  <c r="H137" i="8"/>
  <c r="I137" i="8" s="1"/>
  <c r="H111" i="8"/>
  <c r="I111" i="8" s="1"/>
  <c r="H110" i="8"/>
  <c r="I110" i="8" s="1"/>
  <c r="H119" i="8"/>
  <c r="I119" i="8" s="1"/>
  <c r="H118" i="8"/>
  <c r="I118" i="8" s="1"/>
  <c r="H146" i="8"/>
  <c r="I146" i="8" s="1"/>
  <c r="H133" i="8"/>
  <c r="I133" i="8" s="1"/>
  <c r="H138" i="8"/>
  <c r="I138" i="8" s="1"/>
  <c r="H141" i="8"/>
  <c r="I141" i="8" s="1"/>
  <c r="H130" i="8"/>
  <c r="I130" i="8" s="1"/>
  <c r="H150" i="8"/>
  <c r="I150" i="8" s="1"/>
  <c r="H139" i="8"/>
  <c r="I139" i="8" s="1"/>
  <c r="H155" i="8"/>
  <c r="I155" i="8" s="1"/>
  <c r="H117" i="8"/>
  <c r="I117" i="8" s="1"/>
  <c r="H136" i="8"/>
  <c r="I136" i="8" s="1"/>
  <c r="H114" i="8"/>
  <c r="I114" i="8" s="1"/>
  <c r="H122" i="8"/>
  <c r="I122" i="8" s="1"/>
  <c r="H145" i="8"/>
  <c r="I145" i="8" s="1"/>
  <c r="H147" i="8"/>
  <c r="I147" i="8" s="1"/>
  <c r="H143" i="8"/>
  <c r="I143" i="8" s="1"/>
  <c r="H140" i="8"/>
  <c r="I140" i="8" s="1"/>
  <c r="H148" i="8"/>
  <c r="I148" i="8" s="1"/>
  <c r="H125" i="8"/>
  <c r="I125" i="8" s="1"/>
  <c r="H144" i="8"/>
  <c r="I144" i="8" s="1"/>
  <c r="H123" i="8"/>
  <c r="I123" i="8" s="1"/>
  <c r="H142" i="8"/>
  <c r="I142" i="8" s="1"/>
  <c r="H154" i="8"/>
  <c r="I154" i="8" s="1"/>
  <c r="H120" i="8"/>
  <c r="I120" i="8" s="1"/>
  <c r="H121" i="8"/>
  <c r="I121" i="8" s="1"/>
  <c r="H129" i="8"/>
  <c r="I129" i="8" s="1"/>
  <c r="H153" i="8"/>
  <c r="I153" i="8" s="1"/>
  <c r="H131" i="8"/>
  <c r="I131" i="8" s="1"/>
  <c r="H109" i="8"/>
  <c r="I109" i="8" s="1"/>
  <c r="H128" i="8"/>
  <c r="I128" i="8" s="1"/>
  <c r="H126" i="8"/>
  <c r="I126" i="8" s="1"/>
  <c r="H135" i="8"/>
  <c r="I135" i="8" s="1"/>
  <c r="H156" i="8"/>
  <c r="I156" i="8" s="1"/>
  <c r="H113" i="8"/>
  <c r="I113" i="8" s="1"/>
  <c r="H132" i="8"/>
  <c r="I132" i="8" s="1"/>
  <c r="H115" i="8"/>
  <c r="I115" i="8" s="1"/>
  <c r="H134" i="8"/>
  <c r="I134" i="8" s="1"/>
  <c r="H151" i="8"/>
  <c r="I151" i="8" s="1"/>
  <c r="P139" i="8" l="1"/>
  <c r="O139" i="8"/>
  <c r="M139" i="8"/>
  <c r="N139" i="8"/>
  <c r="R138" i="8"/>
  <c r="L139" i="8"/>
  <c r="K141" i="8"/>
  <c r="Q140" i="8" l="1"/>
  <c r="P140" i="8"/>
  <c r="O140" i="8"/>
  <c r="N140" i="8"/>
  <c r="L140" i="8"/>
  <c r="M140" i="8"/>
  <c r="R139" i="8"/>
  <c r="K142" i="8"/>
  <c r="Q141" i="8" l="1"/>
  <c r="P141" i="8"/>
  <c r="O141" i="8"/>
  <c r="N141" i="8"/>
  <c r="L141" i="8"/>
  <c r="M141" i="8"/>
  <c r="R140" i="8"/>
  <c r="K143" i="8"/>
  <c r="Q142" i="8" l="1"/>
  <c r="P142" i="8"/>
  <c r="O142" i="8"/>
  <c r="M142" i="8"/>
  <c r="N142" i="8"/>
  <c r="L142" i="8"/>
  <c r="R141" i="8"/>
  <c r="K144" i="8"/>
  <c r="Q143" i="8" l="1"/>
  <c r="P143" i="8"/>
  <c r="N143" i="8"/>
  <c r="O143" i="8"/>
  <c r="M143" i="8"/>
  <c r="R142" i="8"/>
  <c r="L143" i="8"/>
  <c r="K145" i="8"/>
  <c r="Q144" i="8" l="1"/>
  <c r="P144" i="8"/>
  <c r="O144" i="8"/>
  <c r="N144" i="8"/>
  <c r="L144" i="8"/>
  <c r="M144" i="8"/>
  <c r="R143" i="8"/>
  <c r="K146" i="8"/>
  <c r="Q145" i="8" l="1"/>
  <c r="P145" i="8"/>
  <c r="O145" i="8"/>
  <c r="M145" i="8"/>
  <c r="N145" i="8"/>
  <c r="L145" i="8"/>
  <c r="R144" i="8"/>
  <c r="K147" i="8"/>
  <c r="Q146" i="8" l="1"/>
  <c r="P146" i="8"/>
  <c r="O146" i="8"/>
  <c r="N146" i="8"/>
  <c r="M146" i="8"/>
  <c r="R145" i="8"/>
  <c r="L146" i="8"/>
  <c r="K148" i="8"/>
  <c r="Q147" i="8" l="1"/>
  <c r="P147" i="8"/>
  <c r="O147" i="8"/>
  <c r="N147" i="8"/>
  <c r="L147" i="8"/>
  <c r="M147" i="8"/>
  <c r="R146" i="8"/>
  <c r="K149" i="8"/>
  <c r="Q148" i="8" l="1"/>
  <c r="P148" i="8"/>
  <c r="M148" i="8"/>
  <c r="O148" i="8"/>
  <c r="N148" i="8"/>
  <c r="K150" i="8"/>
  <c r="L148" i="8"/>
  <c r="R147" i="8"/>
  <c r="P149" i="8" l="1"/>
  <c r="Q149" i="8"/>
  <c r="N149" i="8"/>
  <c r="O149" i="8"/>
  <c r="L149" i="8"/>
  <c r="M149" i="8"/>
  <c r="R148" i="8"/>
  <c r="K151" i="8"/>
  <c r="Q150" i="8" s="1"/>
  <c r="P150" i="8" l="1"/>
  <c r="O150" i="8"/>
  <c r="M150" i="8"/>
  <c r="N150" i="8"/>
  <c r="R149" i="8"/>
  <c r="L150" i="8"/>
  <c r="K152" i="8"/>
  <c r="Q151" i="8" l="1"/>
  <c r="P151" i="8"/>
  <c r="O151" i="8"/>
  <c r="N151" i="8"/>
  <c r="L151" i="8"/>
  <c r="M151" i="8"/>
  <c r="R150" i="8"/>
  <c r="K153" i="8"/>
  <c r="Q152" i="8" l="1"/>
  <c r="P152" i="8"/>
  <c r="M152" i="8"/>
  <c r="O152" i="8"/>
  <c r="N152" i="8"/>
  <c r="L152" i="8"/>
  <c r="R151" i="8"/>
  <c r="K154" i="8"/>
  <c r="Q153" i="8" l="1"/>
  <c r="P153" i="8"/>
  <c r="M153" i="8"/>
  <c r="O153" i="8"/>
  <c r="N153" i="8"/>
  <c r="R152" i="8"/>
  <c r="K155" i="8"/>
  <c r="L153" i="8"/>
  <c r="Q154" i="8" l="1"/>
  <c r="P154" i="8"/>
  <c r="M154" i="8"/>
  <c r="O154" i="8"/>
  <c r="N154" i="8"/>
  <c r="L154" i="8"/>
  <c r="R153" i="8"/>
  <c r="K156" i="8"/>
  <c r="Q156" i="8" s="1"/>
  <c r="Q155" i="8" l="1"/>
  <c r="O155" i="8"/>
  <c r="P156" i="8"/>
  <c r="P155" i="8"/>
  <c r="N156" i="8"/>
  <c r="O156" i="8"/>
  <c r="N155" i="8"/>
  <c r="L155" i="8"/>
  <c r="M156" i="8"/>
  <c r="M155" i="8"/>
  <c r="R154" i="8"/>
  <c r="L156" i="8"/>
  <c r="R155" i="8" l="1"/>
  <c r="R156" i="8"/>
</calcChain>
</file>

<file path=xl/sharedStrings.xml><?xml version="1.0" encoding="utf-8"?>
<sst xmlns="http://schemas.openxmlformats.org/spreadsheetml/2006/main" count="295" uniqueCount="117">
  <si>
    <t>Gyro</t>
  </si>
  <si>
    <t>Voltage supply</t>
  </si>
  <si>
    <t>Active</t>
  </si>
  <si>
    <t>Ready</t>
  </si>
  <si>
    <t>Standby</t>
  </si>
  <si>
    <t>Power consumption</t>
  </si>
  <si>
    <t>Parameters</t>
  </si>
  <si>
    <t>Average supply current (A)</t>
  </si>
  <si>
    <t>Average power consumption (W)</t>
  </si>
  <si>
    <t>Accelerometer / Magnetometer</t>
  </si>
  <si>
    <t>Notes</t>
  </si>
  <si>
    <t>Standby @ 25°C</t>
  </si>
  <si>
    <t>Boot sequence</t>
  </si>
  <si>
    <t>GPS</t>
  </si>
  <si>
    <t>Acquisition</t>
  </si>
  <si>
    <r>
      <t xml:space="preserve">Tracking
</t>
    </r>
    <r>
      <rPr>
        <sz val="9"/>
        <color theme="1"/>
        <rFont val="Arial (Body)"/>
      </rPr>
      <t>(continuous mode)</t>
    </r>
  </si>
  <si>
    <r>
      <t xml:space="preserve">Tracking
</t>
    </r>
    <r>
      <rPr>
        <sz val="9"/>
        <color theme="1"/>
        <rFont val="Arial (Body)"/>
      </rPr>
      <t>(power save mode / 1 Hz)</t>
    </r>
  </si>
  <si>
    <t>Microcontroller</t>
  </si>
  <si>
    <t>Run</t>
  </si>
  <si>
    <t>Sleep</t>
  </si>
  <si>
    <t>Stop</t>
  </si>
  <si>
    <t>Backup domain</t>
  </si>
  <si>
    <t>Temperature Sensor</t>
  </si>
  <si>
    <t>Communications Module (RockBLOCK)</t>
  </si>
  <si>
    <t>Charging</t>
  </si>
  <si>
    <t>When the device is first powered or after a long period of disuse (typically more than a week)</t>
  </si>
  <si>
    <t>Idle</t>
  </si>
  <si>
    <t>Powered-up, but not executing any commands.</t>
  </si>
  <si>
    <t xml:space="preserve"> </t>
  </si>
  <si>
    <t>ODR (Hz)</t>
  </si>
  <si>
    <t>Time (s)</t>
  </si>
  <si>
    <t>Energy used (J)</t>
  </si>
  <si>
    <t>Process</t>
  </si>
  <si>
    <t>Active mode</t>
  </si>
  <si>
    <t>Device</t>
  </si>
  <si>
    <t>Schedule</t>
  </si>
  <si>
    <t>Hybrid (ODR = 25 Hz)</t>
  </si>
  <si>
    <t>Average current (mA)</t>
  </si>
  <si>
    <t>Hybrid mode</t>
  </si>
  <si>
    <t>Run mode</t>
  </si>
  <si>
    <t>Temp sensor</t>
  </si>
  <si>
    <t>GPS read</t>
  </si>
  <si>
    <t>Cold start</t>
  </si>
  <si>
    <t>Warm start</t>
  </si>
  <si>
    <t>Hot start</t>
  </si>
  <si>
    <t>Aided start</t>
  </si>
  <si>
    <t>Rockblock</t>
  </si>
  <si>
    <t>Description</t>
  </si>
  <si>
    <t>Charge</t>
  </si>
  <si>
    <t>SBD success</t>
  </si>
  <si>
    <t>SBD fail</t>
  </si>
  <si>
    <t>Sleep steady</t>
  </si>
  <si>
    <t>Sleep transition</t>
  </si>
  <si>
    <t>Average current after 1 hour in sleep mode</t>
  </si>
  <si>
    <t>Average current during first hour in sleep mode after active mode</t>
  </si>
  <si>
    <t>Active mode - Succesful SBD transmission</t>
  </si>
  <si>
    <t>Ready mode</t>
  </si>
  <si>
    <t>Standby mode</t>
  </si>
  <si>
    <t>Duration (s)</t>
  </si>
  <si>
    <t>Standby to Active</t>
  </si>
  <si>
    <t>Ready to Active</t>
  </si>
  <si>
    <t>Transition from Standby mode to Active mode</t>
  </si>
  <si>
    <t>Transition from Ready mode to Active mode</t>
  </si>
  <si>
    <t>Powered down</t>
  </si>
  <si>
    <t>Total</t>
  </si>
  <si>
    <t>Powered-down to active</t>
  </si>
  <si>
    <t>Time to obtain valid data from power-down mode to active mode</t>
  </si>
  <si>
    <t>Standby to active</t>
  </si>
  <si>
    <t>Time to obtain valid data from standby mode to active mode</t>
  </si>
  <si>
    <t>Temp Sensor</t>
  </si>
  <si>
    <t>Acc_Mag</t>
  </si>
  <si>
    <t>Sleep mode</t>
  </si>
  <si>
    <t>Stop mode</t>
  </si>
  <si>
    <t>Peak current (A)</t>
  </si>
  <si>
    <t>Active Mode</t>
  </si>
  <si>
    <t>Supply current during active temperature conversions or EEPROM writes</t>
  </si>
  <si>
    <t>Peak current (mA)</t>
  </si>
  <si>
    <t>Tracking power save</t>
  </si>
  <si>
    <t>*error* peak current not given</t>
  </si>
  <si>
    <t>turned off</t>
  </si>
  <si>
    <t>*error* no standby mode specified on datasheet</t>
  </si>
  <si>
    <t>Active mode - Failed SBD transmission</t>
  </si>
  <si>
    <t>Total energy used (J)</t>
  </si>
  <si>
    <t>Total (per 4 hours)</t>
  </si>
  <si>
    <t>Number of batteries</t>
  </si>
  <si>
    <t>Battery voltage (V)</t>
  </si>
  <si>
    <t>Battery charge (Ah)</t>
  </si>
  <si>
    <t>GPS (Datasheet)</t>
  </si>
  <si>
    <t>Start</t>
  </si>
  <si>
    <t>End</t>
  </si>
  <si>
    <t>Energy tables</t>
  </si>
  <si>
    <t>Temp_sensor</t>
  </si>
  <si>
    <t>Table name</t>
  </si>
  <si>
    <t>table_energy_GYRO</t>
  </si>
  <si>
    <t>table_energy_ACC</t>
  </si>
  <si>
    <t>table_energy_TEMP</t>
  </si>
  <si>
    <t>table_energy_GPS</t>
  </si>
  <si>
    <t>table_energy_Rockblock</t>
  </si>
  <si>
    <t>table_energy_µC</t>
  </si>
  <si>
    <t>Total peak current (mA)</t>
  </si>
  <si>
    <t>Gyro data</t>
  </si>
  <si>
    <t>Acc_Mag data</t>
  </si>
  <si>
    <t>Temp sensor data</t>
  </si>
  <si>
    <t>GPS data</t>
  </si>
  <si>
    <t>Transmit (Rockblock)</t>
  </si>
  <si>
    <t>Total average current (mA)</t>
  </si>
  <si>
    <t>Energy Summary</t>
  </si>
  <si>
    <t>Rockblock data</t>
  </si>
  <si>
    <t>Microcontroller data</t>
  </si>
  <si>
    <t>Expected operation</t>
  </si>
  <si>
    <t>Peak Current Schedule</t>
  </si>
  <si>
    <t>Average Current Schedule</t>
  </si>
  <si>
    <t>Efficiency (%)</t>
  </si>
  <si>
    <t>Include in calculation</t>
  </si>
  <si>
    <t>Power data</t>
  </si>
  <si>
    <t>Tracking continuous</t>
  </si>
  <si>
    <t>Expected operation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</si>
</sst>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6">
    <font>
      <sz val="12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2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1"/>
      <name val="Arial (Body)"/>
    </font>
    <font>
      <sz val="9"/>
      <color rgb="FFFF0000"/>
      <name val="Arial"/>
      <family val="2"/>
      <scheme val="minor"/>
    </font>
    <font>
      <sz val="9"/>
      <name val="Arial (Body)"/>
    </font>
    <font>
      <sz val="12"/>
      <name val="Arial"/>
      <family val="2"/>
      <scheme val="minor"/>
    </font>
    <font>
      <b/>
      <sz val="13"/>
      <color rgb="FF44546A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rgb="FFFFFFCC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67955565050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8" fillId="2" borderId="7" applyNumberFormat="0" applyAlignment="0" applyProtection="0"/>
    <xf numFmtId="0" fontId="11" fillId="3" borderId="10" applyNumberFormat="0" applyFont="0" applyAlignment="0" applyProtection="0"/>
    <xf numFmtId="0" fontId="12" fillId="0" borderId="0" applyNumberFormat="0" applyFill="0" applyBorder="0" applyAlignment="0" applyProtection="0"/>
    <xf numFmtId="0" fontId="8" fillId="4" borderId="13" applyNumberFormat="0" applyAlignment="0" applyProtection="0"/>
    <xf numFmtId="0" fontId="11" fillId="0" borderId="0" applyNumberFormat="0" applyFont="0" applyBorder="0" applyProtection="0">
      <alignment horizontal="left" vertical="top" wrapText="1"/>
    </xf>
  </cellStyleXfs>
  <cellXfs count="77">
    <xf numFmtId="0" fontId="0" fillId="0" borderId="0" xfId="0"/>
    <xf numFmtId="0" fontId="0" fillId="0" borderId="5" xfId="0" applyBorder="1"/>
    <xf numFmtId="0" fontId="0" fillId="0" borderId="0" xfId="0" applyFill="1" applyBorder="1"/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NumberFormat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10" fillId="0" borderId="0" xfId="0" applyFont="1" applyBorder="1" applyAlignment="1">
      <alignment vertical="top"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164" fontId="0" fillId="0" borderId="0" xfId="0" applyNumberFormat="1" applyFill="1" applyAlignment="1">
      <alignment horizontal="left"/>
    </xf>
    <xf numFmtId="2" fontId="0" fillId="0" borderId="0" xfId="0" applyNumberFormat="1"/>
    <xf numFmtId="0" fontId="0" fillId="3" borderId="10" xfId="4" applyFont="1" applyAlignment="1">
      <alignment horizontal="left"/>
    </xf>
    <xf numFmtId="0" fontId="0" fillId="0" borderId="3" xfId="0" applyBorder="1"/>
    <xf numFmtId="0" fontId="0" fillId="3" borderId="10" xfId="4" applyFont="1"/>
    <xf numFmtId="0" fontId="0" fillId="3" borderId="11" xfId="4" applyFont="1" applyBorder="1" applyAlignment="1">
      <alignment horizontal="left"/>
    </xf>
    <xf numFmtId="0" fontId="0" fillId="3" borderId="12" xfId="4" applyFont="1" applyBorder="1" applyAlignment="1">
      <alignment horizontal="left"/>
    </xf>
    <xf numFmtId="0" fontId="12" fillId="3" borderId="10" xfId="5" applyFill="1" applyBorder="1"/>
    <xf numFmtId="0" fontId="12" fillId="3" borderId="10" xfId="4" applyFont="1"/>
    <xf numFmtId="0" fontId="0" fillId="0" borderId="0" xfId="0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1" fontId="13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3" borderId="10" xfId="4" applyNumberFormat="1" applyFont="1" applyAlignment="1">
      <alignment horizontal="left"/>
    </xf>
    <xf numFmtId="0" fontId="0" fillId="3" borderId="14" xfId="4" applyFont="1" applyBorder="1" applyAlignment="1">
      <alignment horizontal="left"/>
    </xf>
    <xf numFmtId="0" fontId="14" fillId="0" borderId="0" xfId="0" applyFont="1"/>
    <xf numFmtId="2" fontId="14" fillId="3" borderId="10" xfId="4" applyNumberFormat="1" applyFont="1" applyAlignment="1">
      <alignment horizontal="left"/>
    </xf>
    <xf numFmtId="0" fontId="0" fillId="0" borderId="0" xfId="0" applyAlignment="1">
      <alignment vertical="top" wrapText="1"/>
    </xf>
    <xf numFmtId="0" fontId="8" fillId="4" borderId="13" xfId="6" applyAlignment="1">
      <alignment horizontal="left" vertical="top"/>
    </xf>
    <xf numFmtId="0" fontId="11" fillId="0" borderId="0" xfId="7" applyBorder="1">
      <alignment horizontal="left" vertical="top" wrapText="1"/>
    </xf>
    <xf numFmtId="0" fontId="11" fillId="0" borderId="10" xfId="7" applyBorder="1">
      <alignment horizontal="left" vertical="top" wrapText="1"/>
    </xf>
    <xf numFmtId="0" fontId="15" fillId="0" borderId="0" xfId="7" applyFont="1" applyBorder="1">
      <alignment horizontal="left" vertical="top" wrapText="1"/>
    </xf>
    <xf numFmtId="0" fontId="8" fillId="4" borderId="13" xfId="6" applyNumberFormat="1" applyAlignment="1">
      <alignment horizontal="left" vertical="top" wrapText="1"/>
    </xf>
    <xf numFmtId="0" fontId="8" fillId="4" borderId="13" xfId="6" applyAlignment="1">
      <alignment horizontal="left" vertical="top" wrapText="1"/>
    </xf>
    <xf numFmtId="0" fontId="0" fillId="3" borderId="15" xfId="4" applyFont="1" applyBorder="1" applyAlignment="1">
      <alignment horizontal="left"/>
    </xf>
    <xf numFmtId="0" fontId="0" fillId="0" borderId="0" xfId="7" applyFont="1" applyBorder="1">
      <alignment horizontal="left" vertical="top" wrapText="1"/>
    </xf>
    <xf numFmtId="0" fontId="0" fillId="0" borderId="10" xfId="7" applyFont="1" applyBorder="1">
      <alignment horizontal="left" vertical="top" wrapText="1"/>
    </xf>
    <xf numFmtId="0" fontId="4" fillId="0" borderId="0" xfId="7" applyFont="1" applyBorder="1">
      <alignment horizontal="left" vertical="top" wrapText="1"/>
    </xf>
    <xf numFmtId="0" fontId="0" fillId="0" borderId="0" xfId="7" applyFont="1">
      <alignment horizontal="left" vertical="top" wrapText="1"/>
    </xf>
    <xf numFmtId="0" fontId="4" fillId="0" borderId="0" xfId="7" applyFont="1">
      <alignment horizontal="left" vertical="top" wrapText="1"/>
    </xf>
    <xf numFmtId="0" fontId="5" fillId="0" borderId="0" xfId="7" applyFont="1" applyBorder="1">
      <alignment horizontal="left" vertical="top" wrapText="1"/>
    </xf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/>
  </cellXfs>
  <cellStyles count="8">
    <cellStyle name="Buoy table cells" xfId="7" xr:uid="{ADE9BCF1-3BD6-6D4A-ADEF-7E7CF0F7727A}"/>
    <cellStyle name="Heading 1" xfId="1" builtinId="16"/>
    <cellStyle name="Heading 2" xfId="2" builtinId="17"/>
    <cellStyle name="Hyperlink" xfId="5" builtinId="8"/>
    <cellStyle name="Input" xfId="3" builtinId="20" customBuiltin="1"/>
    <cellStyle name="Normal" xfId="0" builtinId="0"/>
    <cellStyle name="Note" xfId="4" builtinId="10"/>
    <cellStyle name="Output" xfId="6" builtinId="21" customBuiltin="1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CC"/>
        <name val="Arial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  <border outline="0">
        <right style="thin">
          <color rgb="FFB2B2B2"/>
        </right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[$-F400]h:mm:ss\ AM/P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minor"/>
      </font>
    </dxf>
    <dxf>
      <numFmt numFmtId="0" formatCode="General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minor"/>
      </font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</font>
      <alignment horizontal="general" vertical="top" textRotation="0" wrapText="1" indent="0" justifyLastLine="0" shrinkToFit="0" readingOrder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left" vertical="top" textRotation="0" wrapText="0" indent="0" justifyLastLine="0" shrinkToFit="0" readingOrder="0"/>
      <border outline="0">
        <left style="thin">
          <color rgb="FF3F3F3F"/>
        </left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ill>
        <patternFill>
          <bgColor rgb="FFFF7E79"/>
        </patternFill>
      </fill>
    </dxf>
    <dxf>
      <font>
        <b/>
        <i val="0"/>
        <color theme="0"/>
      </font>
      <fill>
        <patternFill>
          <bgColor rgb="FFD70018"/>
        </patternFill>
      </fill>
    </dxf>
    <dxf>
      <font>
        <color theme="0"/>
      </font>
      <fill>
        <patternFill>
          <bgColor rgb="FFD70018"/>
        </patternFill>
      </fill>
    </dxf>
    <dxf>
      <fill>
        <patternFill>
          <bgColor rgb="FFFFD6D3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Danger_Red" pivot="0" count="3" xr9:uid="{E5D5A562-1EB1-1A41-B837-629858322FDC}">
      <tableStyleElement type="wholeTable" dxfId="160"/>
      <tableStyleElement type="headerRow" dxfId="159"/>
      <tableStyleElement type="totalRow" dxfId="158"/>
    </tableStyle>
    <tableStyle name="Table Style 1" pivot="0" count="1" xr9:uid="{3798956A-DA29-7044-B5DB-0A61C7546F4D}">
      <tableStyleElement type="wholeTable" dxfId="157"/>
    </tableStyle>
  </tableStyles>
  <colors>
    <mruColors>
      <color rgb="FFFFFFCC"/>
      <color rgb="FFD70018"/>
      <color rgb="FFFFD6D3"/>
      <color rgb="FFFFADB0"/>
      <color rgb="FFFF7E79"/>
      <color rgb="FFFCE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current</a:t>
            </a:r>
            <a:r>
              <a:rPr lang="en-US" baseline="0"/>
              <a:t>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Procedures!$B$108:$B$156</c:f>
              <c:numCache>
                <c:formatCode>[$-F400]h:mm:ss\ AM/PM</c:formatCode>
                <c:ptCount val="49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</c:numCache>
            </c:numRef>
          </c:cat>
          <c:val>
            <c:numRef>
              <c:f>Procedures!$I$108:$I$156</c:f>
              <c:numCache>
                <c:formatCode>General</c:formatCode>
                <c:ptCount val="49"/>
                <c:pt idx="0">
                  <c:v>136.06799999999998</c:v>
                </c:pt>
                <c:pt idx="1">
                  <c:v>6.4691999999999998</c:v>
                </c:pt>
                <c:pt idx="2">
                  <c:v>6.4691999999999998</c:v>
                </c:pt>
                <c:pt idx="3">
                  <c:v>6.4691999999999998</c:v>
                </c:pt>
                <c:pt idx="4">
                  <c:v>3.13896</c:v>
                </c:pt>
                <c:pt idx="5">
                  <c:v>3.13896</c:v>
                </c:pt>
                <c:pt idx="6">
                  <c:v>3.13896</c:v>
                </c:pt>
                <c:pt idx="7">
                  <c:v>3.13896</c:v>
                </c:pt>
                <c:pt idx="8">
                  <c:v>3.13896</c:v>
                </c:pt>
                <c:pt idx="9">
                  <c:v>3.13896</c:v>
                </c:pt>
                <c:pt idx="10">
                  <c:v>3.13896</c:v>
                </c:pt>
                <c:pt idx="11">
                  <c:v>4.9377599999999999</c:v>
                </c:pt>
                <c:pt idx="12">
                  <c:v>4.9377599999999999</c:v>
                </c:pt>
                <c:pt idx="13">
                  <c:v>1.92696</c:v>
                </c:pt>
                <c:pt idx="14">
                  <c:v>1.92696</c:v>
                </c:pt>
                <c:pt idx="15">
                  <c:v>1.92696</c:v>
                </c:pt>
                <c:pt idx="16">
                  <c:v>1.92696</c:v>
                </c:pt>
                <c:pt idx="17">
                  <c:v>1.92696</c:v>
                </c:pt>
                <c:pt idx="18">
                  <c:v>1.92696</c:v>
                </c:pt>
                <c:pt idx="19">
                  <c:v>1.92696</c:v>
                </c:pt>
                <c:pt idx="20">
                  <c:v>1.92696</c:v>
                </c:pt>
                <c:pt idx="21">
                  <c:v>1.92696</c:v>
                </c:pt>
                <c:pt idx="22">
                  <c:v>1.92696</c:v>
                </c:pt>
                <c:pt idx="23">
                  <c:v>3.7257600000000002</c:v>
                </c:pt>
                <c:pt idx="24">
                  <c:v>3.7257600000000002</c:v>
                </c:pt>
                <c:pt idx="25">
                  <c:v>1.92696</c:v>
                </c:pt>
                <c:pt idx="26">
                  <c:v>1.92696</c:v>
                </c:pt>
                <c:pt idx="27">
                  <c:v>1.92696</c:v>
                </c:pt>
                <c:pt idx="28">
                  <c:v>1.92696</c:v>
                </c:pt>
                <c:pt idx="29">
                  <c:v>1.92696</c:v>
                </c:pt>
                <c:pt idx="30">
                  <c:v>1.92696</c:v>
                </c:pt>
                <c:pt idx="31">
                  <c:v>1.92696</c:v>
                </c:pt>
                <c:pt idx="32">
                  <c:v>1.92696</c:v>
                </c:pt>
                <c:pt idx="33">
                  <c:v>1.92696</c:v>
                </c:pt>
                <c:pt idx="34">
                  <c:v>1.92696</c:v>
                </c:pt>
                <c:pt idx="35">
                  <c:v>3.7257600000000002</c:v>
                </c:pt>
                <c:pt idx="36">
                  <c:v>3.7257600000000002</c:v>
                </c:pt>
                <c:pt idx="37">
                  <c:v>1.92696</c:v>
                </c:pt>
                <c:pt idx="38">
                  <c:v>1.92696</c:v>
                </c:pt>
                <c:pt idx="39">
                  <c:v>1.92696</c:v>
                </c:pt>
                <c:pt idx="40">
                  <c:v>1.92696</c:v>
                </c:pt>
                <c:pt idx="41">
                  <c:v>1.92696</c:v>
                </c:pt>
                <c:pt idx="42">
                  <c:v>1.92696</c:v>
                </c:pt>
                <c:pt idx="43">
                  <c:v>1.92696</c:v>
                </c:pt>
                <c:pt idx="44">
                  <c:v>1.92696</c:v>
                </c:pt>
                <c:pt idx="45">
                  <c:v>565.80696</c:v>
                </c:pt>
                <c:pt idx="46">
                  <c:v>613.20696000000009</c:v>
                </c:pt>
                <c:pt idx="47">
                  <c:v>49.206960000000002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F-3A4E-908B-969361DF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306607"/>
        <c:axId val="317981151"/>
      </c:lineChart>
      <c:catAx>
        <c:axId val="27130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1151"/>
        <c:crosses val="autoZero"/>
        <c:auto val="1"/>
        <c:lblAlgn val="ctr"/>
        <c:lblOffset val="100"/>
        <c:noMultiLvlLbl val="0"/>
      </c:catAx>
      <c:valAx>
        <c:axId val="3179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current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current versus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Procedures!$K$108:$K$156</c:f>
              <c:numCache>
                <c:formatCode>[$-F400]h:mm:ss\ AM/PM</c:formatCode>
                <c:ptCount val="49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2.0833333333333336E-2</c:v>
                </c:pt>
                <c:pt idx="7">
                  <c:v>2.4305555555555559E-2</c:v>
                </c:pt>
                <c:pt idx="8">
                  <c:v>2.7777777777777783E-2</c:v>
                </c:pt>
                <c:pt idx="9">
                  <c:v>3.1250000000000007E-2</c:v>
                </c:pt>
                <c:pt idx="10">
                  <c:v>3.4722222222222231E-2</c:v>
                </c:pt>
                <c:pt idx="11">
                  <c:v>3.8194444444444454E-2</c:v>
                </c:pt>
                <c:pt idx="12">
                  <c:v>4.1666666666666678E-2</c:v>
                </c:pt>
                <c:pt idx="13">
                  <c:v>4.5138888888888902E-2</c:v>
                </c:pt>
                <c:pt idx="14">
                  <c:v>4.8611111111111126E-2</c:v>
                </c:pt>
                <c:pt idx="15">
                  <c:v>5.208333333333335E-2</c:v>
                </c:pt>
                <c:pt idx="16">
                  <c:v>5.5555555555555573E-2</c:v>
                </c:pt>
                <c:pt idx="17">
                  <c:v>5.9027777777777797E-2</c:v>
                </c:pt>
                <c:pt idx="18">
                  <c:v>6.2500000000000014E-2</c:v>
                </c:pt>
                <c:pt idx="19">
                  <c:v>6.5972222222222238E-2</c:v>
                </c:pt>
                <c:pt idx="20">
                  <c:v>6.9444444444444461E-2</c:v>
                </c:pt>
                <c:pt idx="21">
                  <c:v>7.2916666666666685E-2</c:v>
                </c:pt>
                <c:pt idx="22">
                  <c:v>7.6388888888888909E-2</c:v>
                </c:pt>
                <c:pt idx="23">
                  <c:v>7.9861111111111133E-2</c:v>
                </c:pt>
                <c:pt idx="24">
                  <c:v>8.3333333333333356E-2</c:v>
                </c:pt>
                <c:pt idx="25">
                  <c:v>8.680555555555558E-2</c:v>
                </c:pt>
                <c:pt idx="26">
                  <c:v>9.0277777777777804E-2</c:v>
                </c:pt>
                <c:pt idx="27">
                  <c:v>9.3750000000000028E-2</c:v>
                </c:pt>
                <c:pt idx="28">
                  <c:v>9.7222222222222252E-2</c:v>
                </c:pt>
                <c:pt idx="29">
                  <c:v>0.10069444444444448</c:v>
                </c:pt>
                <c:pt idx="30">
                  <c:v>0.1041666666666667</c:v>
                </c:pt>
                <c:pt idx="31">
                  <c:v>0.10763888888888892</c:v>
                </c:pt>
                <c:pt idx="32">
                  <c:v>0.11111111111111115</c:v>
                </c:pt>
                <c:pt idx="33">
                  <c:v>0.11458333333333337</c:v>
                </c:pt>
                <c:pt idx="34">
                  <c:v>0.11805555555555559</c:v>
                </c:pt>
                <c:pt idx="35">
                  <c:v>0.12152777777777782</c:v>
                </c:pt>
                <c:pt idx="36">
                  <c:v>0.12500000000000003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0.13888888888888887</c:v>
                </c:pt>
                <c:pt idx="41">
                  <c:v>0.14236111111111108</c:v>
                </c:pt>
                <c:pt idx="42">
                  <c:v>0.14583333333333329</c:v>
                </c:pt>
                <c:pt idx="43">
                  <c:v>0.1493055555555555</c:v>
                </c:pt>
                <c:pt idx="44">
                  <c:v>0.15277777777777771</c:v>
                </c:pt>
                <c:pt idx="45">
                  <c:v>0.15624999999999992</c:v>
                </c:pt>
                <c:pt idx="46">
                  <c:v>0.15972222222222213</c:v>
                </c:pt>
                <c:pt idx="47">
                  <c:v>0.16319444444444434</c:v>
                </c:pt>
                <c:pt idx="48">
                  <c:v>0.16666666666666655</c:v>
                </c:pt>
              </c:numCache>
            </c:numRef>
          </c:cat>
          <c:val>
            <c:numRef>
              <c:f>Procedures!$R$108:$R$156</c:f>
              <c:numCache>
                <c:formatCode>General</c:formatCode>
                <c:ptCount val="49"/>
                <c:pt idx="0">
                  <c:v>59.267999999999994</c:v>
                </c:pt>
                <c:pt idx="1">
                  <c:v>5.2092000000000001</c:v>
                </c:pt>
                <c:pt idx="2">
                  <c:v>5.2092000000000001</c:v>
                </c:pt>
                <c:pt idx="3">
                  <c:v>5.2092000000000001</c:v>
                </c:pt>
                <c:pt idx="4">
                  <c:v>1.8789600000000002</c:v>
                </c:pt>
                <c:pt idx="5">
                  <c:v>1.8789600000000002</c:v>
                </c:pt>
                <c:pt idx="6">
                  <c:v>1.8789600000000002</c:v>
                </c:pt>
                <c:pt idx="7">
                  <c:v>1.8789600000000002</c:v>
                </c:pt>
                <c:pt idx="8">
                  <c:v>1.8789600000000002</c:v>
                </c:pt>
                <c:pt idx="9">
                  <c:v>1.8789600000000002</c:v>
                </c:pt>
                <c:pt idx="10">
                  <c:v>1.8789600000000002</c:v>
                </c:pt>
                <c:pt idx="11">
                  <c:v>3.6777600000000001</c:v>
                </c:pt>
                <c:pt idx="12">
                  <c:v>3.6777600000000001</c:v>
                </c:pt>
                <c:pt idx="13">
                  <c:v>0.66696</c:v>
                </c:pt>
                <c:pt idx="14">
                  <c:v>0.66696</c:v>
                </c:pt>
                <c:pt idx="15">
                  <c:v>0.66696</c:v>
                </c:pt>
                <c:pt idx="16">
                  <c:v>0.66696</c:v>
                </c:pt>
                <c:pt idx="17">
                  <c:v>0.66696</c:v>
                </c:pt>
                <c:pt idx="18">
                  <c:v>0.66696</c:v>
                </c:pt>
                <c:pt idx="19">
                  <c:v>0.66696</c:v>
                </c:pt>
                <c:pt idx="20">
                  <c:v>0.66696</c:v>
                </c:pt>
                <c:pt idx="21">
                  <c:v>0.66696</c:v>
                </c:pt>
                <c:pt idx="22">
                  <c:v>0.66696</c:v>
                </c:pt>
                <c:pt idx="23">
                  <c:v>2.46576</c:v>
                </c:pt>
                <c:pt idx="24">
                  <c:v>2.46576</c:v>
                </c:pt>
                <c:pt idx="25">
                  <c:v>0.66696</c:v>
                </c:pt>
                <c:pt idx="26">
                  <c:v>0.66696</c:v>
                </c:pt>
                <c:pt idx="27">
                  <c:v>0.66696</c:v>
                </c:pt>
                <c:pt idx="28">
                  <c:v>0.66696</c:v>
                </c:pt>
                <c:pt idx="29">
                  <c:v>0.66696</c:v>
                </c:pt>
                <c:pt idx="30">
                  <c:v>0.66696</c:v>
                </c:pt>
                <c:pt idx="31">
                  <c:v>0.66696</c:v>
                </c:pt>
                <c:pt idx="32">
                  <c:v>0.66696</c:v>
                </c:pt>
                <c:pt idx="33">
                  <c:v>0.66696</c:v>
                </c:pt>
                <c:pt idx="34">
                  <c:v>0.66696</c:v>
                </c:pt>
                <c:pt idx="35">
                  <c:v>2.46576</c:v>
                </c:pt>
                <c:pt idx="36">
                  <c:v>2.46576</c:v>
                </c:pt>
                <c:pt idx="37">
                  <c:v>0.66696</c:v>
                </c:pt>
                <c:pt idx="38">
                  <c:v>0.66696</c:v>
                </c:pt>
                <c:pt idx="39">
                  <c:v>0.66696</c:v>
                </c:pt>
                <c:pt idx="40">
                  <c:v>0.66696</c:v>
                </c:pt>
                <c:pt idx="41">
                  <c:v>0.66696</c:v>
                </c:pt>
                <c:pt idx="42">
                  <c:v>0.66696</c:v>
                </c:pt>
                <c:pt idx="43">
                  <c:v>0.66696</c:v>
                </c:pt>
                <c:pt idx="44">
                  <c:v>0.66696</c:v>
                </c:pt>
                <c:pt idx="45">
                  <c:v>78.546960000000013</c:v>
                </c:pt>
                <c:pt idx="46">
                  <c:v>104.40696</c:v>
                </c:pt>
                <c:pt idx="47">
                  <c:v>26.406959999999998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B-174C-9269-1591F40C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11279"/>
        <c:axId val="315912959"/>
      </c:lineChart>
      <c:catAx>
        <c:axId val="31591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2959"/>
        <c:crosses val="autoZero"/>
        <c:auto val="1"/>
        <c:lblAlgn val="ctr"/>
        <c:lblOffset val="100"/>
        <c:noMultiLvlLbl val="0"/>
      </c:catAx>
      <c:valAx>
        <c:axId val="315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current</a:t>
                </a:r>
                <a:r>
                  <a:rPr lang="en-US" baseline="0"/>
                  <a:t>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D$68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fmlaLink="$D$70" lockText="1" noThreeD="1"/>
</file>

<file path=xl/ctrlProps/ctrlProp4.xml><?xml version="1.0" encoding="utf-8"?>
<formControlPr xmlns="http://schemas.microsoft.com/office/spreadsheetml/2009/9/main" objectType="CheckBox" checked="Checked" fmlaLink="$D$71" lockText="1" noThreeD="1"/>
</file>

<file path=xl/ctrlProps/ctrlProp5.xml><?xml version="1.0" encoding="utf-8"?>
<formControlPr xmlns="http://schemas.microsoft.com/office/spreadsheetml/2009/9/main" objectType="CheckBox" checked="Checked" fmlaLink="$D$72" lockText="1" noThreeD="1"/>
</file>

<file path=xl/ctrlProps/ctrlProp6.xml><?xml version="1.0" encoding="utf-8"?>
<formControlPr xmlns="http://schemas.microsoft.com/office/spreadsheetml/2009/9/main" objectType="CheckBox" checked="Checked" fmlaLink="$D$73" lockText="1" noThreeD="1"/>
</file>

<file path=xl/ctrlProps/ctrlProp7.xml><?xml version="1.0" encoding="utf-8"?>
<formControlPr xmlns="http://schemas.microsoft.com/office/spreadsheetml/2009/9/main" objectType="CheckBox" checked="Checked" fmlaLink="$D$69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29</xdr:row>
      <xdr:rowOff>50801</xdr:rowOff>
    </xdr:from>
    <xdr:to>
      <xdr:col>4</xdr:col>
      <xdr:colOff>1498600</xdr:colOff>
      <xdr:row>33</xdr:row>
      <xdr:rowOff>162129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68109" y="7089844"/>
          <a:ext cx="6067087" cy="9219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FXOS8700</a:t>
          </a:r>
        </a:p>
      </xdr:txBody>
    </xdr:sp>
    <xdr:clientData/>
  </xdr:twoCellAnchor>
  <xdr:twoCellAnchor>
    <xdr:from>
      <xdr:col>1</xdr:col>
      <xdr:colOff>54043</xdr:colOff>
      <xdr:row>4</xdr:row>
      <xdr:rowOff>27022</xdr:rowOff>
    </xdr:from>
    <xdr:to>
      <xdr:col>4</xdr:col>
      <xdr:colOff>1459150</xdr:colOff>
      <xdr:row>8</xdr:row>
      <xdr:rowOff>135107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80852" y="905213"/>
          <a:ext cx="6214894" cy="918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FXAS21002</a:t>
          </a:r>
        </a:p>
        <a:p>
          <a:endParaRPr lang="en-US" sz="1100"/>
        </a:p>
      </xdr:txBody>
    </xdr:sp>
    <xdr:clientData/>
  </xdr:twoCellAnchor>
  <xdr:twoCellAnchor>
    <xdr:from>
      <xdr:col>1</xdr:col>
      <xdr:colOff>99708</xdr:colOff>
      <xdr:row>54</xdr:row>
      <xdr:rowOff>74579</xdr:rowOff>
    </xdr:from>
    <xdr:to>
      <xdr:col>4</xdr:col>
      <xdr:colOff>1418617</xdr:colOff>
      <xdr:row>60</xdr:row>
      <xdr:rowOff>112679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26517" y="14125643"/>
          <a:ext cx="6128696" cy="1254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NEO-7M-0-000</a:t>
          </a:r>
        </a:p>
      </xdr:txBody>
    </xdr:sp>
    <xdr:clientData/>
  </xdr:twoCellAnchor>
  <xdr:twoCellAnchor>
    <xdr:from>
      <xdr:col>1</xdr:col>
      <xdr:colOff>215900</xdr:colOff>
      <xdr:row>122</xdr:row>
      <xdr:rowOff>76200</xdr:rowOff>
    </xdr:from>
    <xdr:to>
      <xdr:col>4</xdr:col>
      <xdr:colOff>1432127</xdr:colOff>
      <xdr:row>127</xdr:row>
      <xdr:rowOff>148617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42709" y="30461626"/>
          <a:ext cx="6026014" cy="1085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RockBLOCK</a:t>
          </a:r>
          <a:r>
            <a:rPr lang="en-US" sz="1100" baseline="0"/>
            <a:t> 9603d</a:t>
          </a:r>
        </a:p>
      </xdr:txBody>
    </xdr:sp>
    <xdr:clientData/>
  </xdr:twoCellAnchor>
  <xdr:twoCellAnchor>
    <xdr:from>
      <xdr:col>1</xdr:col>
      <xdr:colOff>99708</xdr:colOff>
      <xdr:row>79</xdr:row>
      <xdr:rowOff>49989</xdr:rowOff>
    </xdr:from>
    <xdr:to>
      <xdr:col>4</xdr:col>
      <xdr:colOff>1460499</xdr:colOff>
      <xdr:row>84</xdr:row>
      <xdr:rowOff>126189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126517" y="20478074"/>
          <a:ext cx="6170578" cy="10894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STMF405QD</a:t>
          </a:r>
        </a:p>
        <a:p>
          <a:endParaRPr lang="en-US" sz="1100"/>
        </a:p>
        <a:p>
          <a:r>
            <a:rPr lang="en-US" sz="1100"/>
            <a:t>Running</a:t>
          </a:r>
          <a:r>
            <a:rPr lang="en-US" sz="1100" baseline="0"/>
            <a:t> at 60 MHz, all peripherals disabled</a:t>
          </a:r>
        </a:p>
        <a:p>
          <a:r>
            <a:rPr lang="en-US" sz="1100" baseline="0"/>
            <a:t>Assuming ART Accelerator disabled</a:t>
          </a:r>
          <a:endParaRPr lang="en-US" sz="1100"/>
        </a:p>
      </xdr:txBody>
    </xdr:sp>
    <xdr:clientData/>
  </xdr:twoCellAnchor>
  <xdr:twoCellAnchor>
    <xdr:from>
      <xdr:col>1</xdr:col>
      <xdr:colOff>79983</xdr:colOff>
      <xdr:row>101</xdr:row>
      <xdr:rowOff>49990</xdr:rowOff>
    </xdr:from>
    <xdr:to>
      <xdr:col>4</xdr:col>
      <xdr:colOff>1445638</xdr:colOff>
      <xdr:row>106</xdr:row>
      <xdr:rowOff>113490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06792" y="25558075"/>
          <a:ext cx="6175442" cy="10767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DS18B20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67</xdr:row>
          <xdr:rowOff>12700</xdr:rowOff>
        </xdr:from>
        <xdr:to>
          <xdr:col>3</xdr:col>
          <xdr:colOff>965200</xdr:colOff>
          <xdr:row>67</xdr:row>
          <xdr:rowOff>177800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68</xdr:row>
          <xdr:rowOff>12700</xdr:rowOff>
        </xdr:from>
        <xdr:to>
          <xdr:col>3</xdr:col>
          <xdr:colOff>965200</xdr:colOff>
          <xdr:row>68</xdr:row>
          <xdr:rowOff>177800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69</xdr:row>
          <xdr:rowOff>12700</xdr:rowOff>
        </xdr:from>
        <xdr:to>
          <xdr:col>3</xdr:col>
          <xdr:colOff>965200</xdr:colOff>
          <xdr:row>69</xdr:row>
          <xdr:rowOff>177800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70</xdr:row>
          <xdr:rowOff>12700</xdr:rowOff>
        </xdr:from>
        <xdr:to>
          <xdr:col>3</xdr:col>
          <xdr:colOff>965200</xdr:colOff>
          <xdr:row>70</xdr:row>
          <xdr:rowOff>177800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71</xdr:row>
          <xdr:rowOff>12700</xdr:rowOff>
        </xdr:from>
        <xdr:to>
          <xdr:col>3</xdr:col>
          <xdr:colOff>965200</xdr:colOff>
          <xdr:row>71</xdr:row>
          <xdr:rowOff>177800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72</xdr:row>
          <xdr:rowOff>12700</xdr:rowOff>
        </xdr:from>
        <xdr:to>
          <xdr:col>3</xdr:col>
          <xdr:colOff>965200</xdr:colOff>
          <xdr:row>72</xdr:row>
          <xdr:rowOff>177800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68</xdr:row>
          <xdr:rowOff>12700</xdr:rowOff>
        </xdr:from>
        <xdr:to>
          <xdr:col>3</xdr:col>
          <xdr:colOff>965200</xdr:colOff>
          <xdr:row>68</xdr:row>
          <xdr:rowOff>177800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59448</xdr:colOff>
      <xdr:row>76</xdr:row>
      <xdr:rowOff>118894</xdr:rowOff>
    </xdr:from>
    <xdr:to>
      <xdr:col>5</xdr:col>
      <xdr:colOff>1824713</xdr:colOff>
      <xdr:row>101</xdr:row>
      <xdr:rowOff>116782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631681</xdr:colOff>
      <xdr:row>76</xdr:row>
      <xdr:rowOff>116116</xdr:rowOff>
    </xdr:from>
    <xdr:to>
      <xdr:col>13</xdr:col>
      <xdr:colOff>211667</xdr:colOff>
      <xdr:row>101</xdr:row>
      <xdr:rowOff>115452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</xdr:row>
      <xdr:rowOff>76200</xdr:rowOff>
    </xdr:from>
    <xdr:to>
      <xdr:col>4</xdr:col>
      <xdr:colOff>698500</xdr:colOff>
      <xdr:row>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41400" y="279400"/>
          <a:ext cx="45085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sheet</a:t>
          </a:r>
          <a:r>
            <a:rPr lang="en-US" sz="1100" baseline="0"/>
            <a:t> provides references for some formulas</a:t>
          </a:r>
        </a:p>
        <a:p>
          <a:r>
            <a:rPr lang="en-US" sz="1200" b="1" baseline="0">
              <a:solidFill>
                <a:srgbClr val="FF0000"/>
              </a:solidFill>
            </a:rPr>
            <a:t>Do not delete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A3AFC1-8FFF-604C-8F57-79D40B1968A7}" name="Gyro" displayName="Gyro" ref="B16:H21" totalsRowShown="0" headerRowDxfId="156" dataDxfId="155" tableBorderDxfId="154" dataCellStyle="Normal">
  <autoFilter ref="B16:H21" xr:uid="{9402A9F0-6C98-BD4E-B59F-21B5D89A39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57358081-F690-2449-9293-DE72E43F1399}" name="Process" dataDxfId="153" dataCellStyle="Normal"/>
    <tableColumn id="1" xr3:uid="{F9FC5625-4DC3-CB40-A5DA-755DFDBE0CCA}" name="Description" dataDxfId="152" dataCellStyle="Normal"/>
    <tableColumn id="2" xr3:uid="{E3D52F2C-B529-B142-9222-DFBD26D7CFA2}" name="Average supply current (A)" dataDxfId="151" dataCellStyle="Normal"/>
    <tableColumn id="3" xr3:uid="{6239158B-CDF4-1D4D-895A-CC32043FE281}" name="Average power consumption (W)" dataDxfId="150" dataCellStyle="Output">
      <calculatedColumnFormula>Gyro[[#This Row],[Average supply current (A)]]*Vdd_GYRO*1.2</calculatedColumnFormula>
    </tableColumn>
    <tableColumn id="6" xr3:uid="{B066291E-D0B1-224A-8CD6-3A2EC911E6A5}" name="Duration (s)" dataCellStyle="Buoy table cells"/>
    <tableColumn id="7" xr3:uid="{72585455-0CAD-DB42-AF33-39B92D501C4F}" name="Peak current (A)" dataDxfId="149" dataCellStyle="Normal"/>
    <tableColumn id="4" xr3:uid="{2E35022C-20CA-804D-A276-19AAB251E9D9}" name="Notes" dataDxfId="148" dataCellStyle="Normal"/>
  </tableColumns>
  <tableStyleInfo name="TableStyleLight13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6C21078-80A8-9F4C-800D-1D1BE042C2A3}" name="table_energy_ACC" displayName="table_energy_ACC" ref="B12:J17" totalsRowCount="1" headerRowCellStyle="Normal" dataCellStyle="Normal">
  <autoFilter ref="B12:J16" xr:uid="{E3F8A226-BFEE-5845-BE96-9B496C9E4E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330643F-DCEE-9749-86C0-28CC840E9499}" name="Device" totalsRowLabel="Total" totalsRowDxfId="83" dataCellStyle="Normal">
      <calculatedColumnFormula>"Acc_Mag"</calculatedColumnFormula>
    </tableColumn>
    <tableColumn id="2" xr3:uid="{A9EA172F-46D3-3641-AB96-61F286E97225}" name="Process" totalsRowDxfId="82" dataCellStyle="Note"/>
    <tableColumn id="3" xr3:uid="{9BEB604C-22AA-974E-BD48-B4F00EFB9734}" name="Time (s)" totalsRowFunction="sum" dataDxfId="81" totalsRowDxfId="80" dataCellStyle="Note">
      <calculatedColumnFormula>VLOOKUP(table_energy_ACC[[#This Row],[Process]],INDIRECT(table_energy_ACC[[#This Row],[Device]]),5,FALSE)</calculatedColumnFormula>
    </tableColumn>
    <tableColumn id="4" xr3:uid="{D2241662-38D2-024C-A2CF-D72922B42838}" name="Energy used (J)" totalsRowFunction="sum" dataDxfId="79" totalsRowDxfId="78" dataCellStyle="Normal">
      <calculatedColumnFormula>VLOOKUP(table_energy_ACC[[#This Row],[Process]],INDIRECT(table_energy_ACC[[#This Row],[Device]]),4,FALSE)*table_energy_ACC[[#This Row],[Time (s)]]</calculatedColumnFormula>
    </tableColumn>
    <tableColumn id="5" xr3:uid="{F4B1000E-3289-3544-A324-A23A96749B78}" name="Average current (mA)" totalsRowFunction="max" dataDxfId="77" totalsRowDxfId="76" dataCellStyle="Normal">
      <calculatedColumnFormula>VLOOKUP(table_energy_ACC[[#This Row],[Process]],INDIRECT(table_energy_ACC[[#This Row],[Device]]),3,FALSE)*1200</calculatedColumnFormula>
    </tableColumn>
    <tableColumn id="7" xr3:uid="{84DC4569-0ADC-7943-AF6E-459EBEEC36CF}" name="Peak current (mA)" totalsRowFunction="max" dataDxfId="75" totalsRowDxfId="74" dataCellStyle="Normal">
      <calculatedColumnFormula>VLOOKUP(table_energy_ACC[[#This Row],[Process]],INDIRECT(table_energy_ACC[[#This Row],[Device]]),6,FALSE)*1200</calculatedColumnFormula>
    </tableColumn>
    <tableColumn id="6" xr3:uid="{C49122FF-DC0C-CE4A-A370-5CAF7A72E6FE}" name="Start" dataDxfId="73" totalsRowDxfId="72" dataCellStyle="Normal">
      <calculatedColumnFormula>IF(ROW()=ROW(INDIRECT(VLOOKUP(table_energy_ACC[[#This Row],[Device]],table_reference[],2,FALSE))), TIME(,,), OFFSET(table_energy_ACC[[#This Row],[End]],-1,,,))</calculatedColumnFormula>
    </tableColumn>
    <tableColumn id="9" xr3:uid="{DBFCE80C-74E6-284D-A2F9-122A958096CF}" name="End" dataDxfId="71" totalsRowDxfId="70">
      <calculatedColumnFormula>table_energy_ACC[[#This Row],[Start]]+TIME(,,table_energy_ACC[[#This Row],[Time (s)]])</calculatedColumnFormula>
    </tableColumn>
    <tableColumn id="8" xr3:uid="{2BD7AA37-93B6-0240-8943-7F9B2B341558}" name="Notes" dataDxfId="69" totalsRowDxfId="68" dataCellStyle="Normal"/>
  </tableColumns>
  <tableStyleInfo name="TableStyleMedium13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89B86A1-ECDD-FC4D-95DC-0CDC707D4911}" name="table_energy_TEMP" displayName="table_energy_TEMP" ref="B22:J31" totalsRowCount="1" headerRowCellStyle="Normal" dataCellStyle="Normal">
  <autoFilter ref="B22:J30" xr:uid="{B896763F-11C1-DF43-A75F-1F53E67396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7A63BED-43E9-AE45-834B-ECCD05552406}" name="Device" totalsRowLabel="Total" totalsRowDxfId="67" dataCellStyle="Normal">
      <calculatedColumnFormula>"Temp_sensor"</calculatedColumnFormula>
    </tableColumn>
    <tableColumn id="2" xr3:uid="{88CD1F4E-7087-2F48-81E8-F456E159F715}" name="Process" totalsRowDxfId="66" dataCellStyle="Note"/>
    <tableColumn id="3" xr3:uid="{B1666315-A232-7B43-89CE-5324A1502D4E}" name="Time (s)" totalsRowFunction="sum" dataDxfId="65" totalsRowDxfId="64" dataCellStyle="Note">
      <calculatedColumnFormula>VLOOKUP(table_energy_TEMP[[#This Row],[Process]],INDIRECT(table_energy_TEMP[[#This Row],[Device]]),5,FALSE)</calculatedColumnFormula>
    </tableColumn>
    <tableColumn id="4" xr3:uid="{452D3D5B-723F-5545-B119-F63B6235A405}" name="Energy used (J)" totalsRowFunction="sum" dataDxfId="63" totalsRowDxfId="62" dataCellStyle="Normal">
      <calculatedColumnFormula>VLOOKUP(table_energy_TEMP[[#This Row],[Process]],INDIRECT(table_energy_TEMP[[#This Row],[Device]]),4,FALSE)*table_energy_TEMP[[#This Row],[Time (s)]]</calculatedColumnFormula>
    </tableColumn>
    <tableColumn id="5" xr3:uid="{1D029C5F-FBCA-AF48-920A-F7AE03F60F44}" name="Average current (mA)" totalsRowFunction="max" dataDxfId="61" totalsRowDxfId="60" dataCellStyle="Normal">
      <calculatedColumnFormula>VLOOKUP(table_energy_TEMP[[#This Row],[Process]],INDIRECT(table_energy_TEMP[[#This Row],[Device]]),3,FALSE)*1200</calculatedColumnFormula>
    </tableColumn>
    <tableColumn id="6" xr3:uid="{7E31812F-8699-D94D-B5BC-4E65394BB909}" name="Peak current (mA)" totalsRowFunction="max" dataDxfId="59" totalsRowDxfId="58" dataCellStyle="Normal">
      <calculatedColumnFormula>VLOOKUP(table_energy_TEMP[[#This Row],[Process]],INDIRECT(table_energy_TEMP[[#This Row],[Device]]),6,FALSE)*1200</calculatedColumnFormula>
    </tableColumn>
    <tableColumn id="7" xr3:uid="{7D6C1E4B-F34D-6A49-8276-00483F1E1FE2}" name="Start" dataDxfId="57" totalsRowDxfId="56" dataCellStyle="Normal">
      <calculatedColumnFormula>IF(ROW()=ROW(INDIRECT(VLOOKUP(table_energy_TEMP[[#This Row],[Device]],table_reference[],2,FALSE))), TIME(,,), OFFSET(table_energy_TEMP[[#This Row],[End]],-1,,,))</calculatedColumnFormula>
    </tableColumn>
    <tableColumn id="9" xr3:uid="{9D7A4374-EA9A-6D4C-88CA-41164DFC7B46}" name="End" dataDxfId="55" totalsRowDxfId="54">
      <calculatedColumnFormula>table_energy_TEMP[[#This Row],[Start]]+TIME(,,table_energy_TEMP[[#This Row],[Time (s)]])</calculatedColumnFormula>
    </tableColumn>
    <tableColumn id="8" xr3:uid="{7147A004-5FD1-264A-912C-17A20320B55F}" name="Notes" dataDxfId="53" totalsRowDxfId="52" dataCellStyle="Normal"/>
  </tableColumns>
  <tableStyleInfo name="TableStyleMedium13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61BF22E-7F5B-0848-9EEE-508CAE19D606}" name="table_energy_µC" displayName="table_energy_µC" ref="B58:J62" totalsRowCount="1" headerRowCellStyle="Normal" dataCellStyle="Normal">
  <autoFilter ref="B58:J61" xr:uid="{D41F24AA-0BF4-FF4F-B304-DE2A193F8E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35C6350-85F7-8342-A617-BFBD425360C7}" name="Device" totalsRowLabel="Total" totalsRowDxfId="51" dataCellStyle="Normal">
      <calculatedColumnFormula>"Microcontroller"</calculatedColumnFormula>
    </tableColumn>
    <tableColumn id="2" xr3:uid="{72C34DD3-746E-BC41-AF1D-1DCA19C4ACED}" name="Process" totalsRowDxfId="50" dataCellStyle="Note"/>
    <tableColumn id="3" xr3:uid="{5A9DBA4F-0B78-674A-B5F3-A3A70DC9E923}" name="Time (s)" totalsRowFunction="sum" dataDxfId="49" totalsRowDxfId="48" dataCellStyle="Note">
      <calculatedColumnFormula>VLOOKUP(table_energy_µC[[#This Row],[Process]],INDIRECT(table_energy_µC[[#This Row],[Device]]),5,FALSE)</calculatedColumnFormula>
    </tableColumn>
    <tableColumn id="4" xr3:uid="{7E912E2B-82A1-CD41-B74A-8C640A3CF48D}" name="Energy used (J)" totalsRowFunction="sum" dataDxfId="47" totalsRowDxfId="46" dataCellStyle="Normal">
      <calculatedColumnFormula>VLOOKUP(table_energy_µC[[#This Row],[Process]],INDIRECT(table_energy_µC[[#This Row],[Device]]),4,FALSE)*table_energy_µC[[#This Row],[Time (s)]]</calculatedColumnFormula>
    </tableColumn>
    <tableColumn id="5" xr3:uid="{AB9EDA5E-E49C-4541-9220-54C9426D7053}" name="Average current (mA)" totalsRowFunction="max" dataDxfId="45" totalsRowDxfId="44" dataCellStyle="Normal">
      <calculatedColumnFormula>VLOOKUP(table_energy_µC[[#This Row],[Process]],INDIRECT(table_energy_µC[[#This Row],[Device]]),3,FALSE)*1200</calculatedColumnFormula>
    </tableColumn>
    <tableColumn id="7" xr3:uid="{A3829860-F3F6-BB46-9257-57E1137D5EF8}" name="Peak current (mA)" totalsRowFunction="max" dataDxfId="43" totalsRowDxfId="42" dataCellStyle="Normal">
      <calculatedColumnFormula>VLOOKUP(table_energy_µC[[#This Row],[Process]],INDIRECT(table_energy_µC[[#This Row],[Device]]),6,FALSE)*1200</calculatedColumnFormula>
    </tableColumn>
    <tableColumn id="6" xr3:uid="{35CED7AD-B203-994C-9B51-36FAECD300BE}" name="Start" dataDxfId="41" totalsRowDxfId="40" dataCellStyle="Normal">
      <calculatedColumnFormula>IF(ROW()=ROW(INDIRECT(VLOOKUP(table_energy_µC[[#This Row],[Device]],table_reference[],2,FALSE))), TIME(,,), OFFSET(table_energy_µC[[#This Row],[End]],-1,,,))</calculatedColumnFormula>
    </tableColumn>
    <tableColumn id="8" xr3:uid="{36ED949F-D09F-E940-A23E-DD9A1B44FF89}" name="End" dataDxfId="39" totalsRowDxfId="38">
      <calculatedColumnFormula>table_energy_µC[[#This Row],[Start]]+TIME(,,table_energy_µC[[#This Row],[Time (s)]])</calculatedColumnFormula>
    </tableColumn>
    <tableColumn id="9" xr3:uid="{2A6B0047-7F21-6A4A-947D-420E3BAA7587}" name="Notes" dataDxfId="37" totalsRowDxfId="36" dataCellStyle="Normal"/>
  </tableColumns>
  <tableStyleInfo name="TableStyleMedium13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246461-7689-9E4E-9C2E-AEDF2768F407}" name="table_summary_1" displayName="table_summary_1" ref="B67:D74" totalsRowCount="1" dataDxfId="12">
  <autoFilter ref="B67:D73" xr:uid="{CCCB5CEE-B6FD-274B-A1CF-A1E8BD81FD44}">
    <filterColumn colId="0" hiddenButton="1"/>
    <filterColumn colId="1" hiddenButton="1"/>
    <filterColumn colId="2" hiddenButton="1"/>
  </autoFilter>
  <tableColumns count="3">
    <tableColumn id="1" xr3:uid="{90CCE0A5-BCBB-5A4E-B669-200F31FBE04E}" name="Device" totalsRowLabel="Total (per 4 hours)" dataDxfId="11" totalsRowDxfId="8"/>
    <tableColumn id="2" xr3:uid="{A42683F7-DD84-344E-9DE8-735F605884A7}" name="Total energy used (J)" totalsRowFunction="custom" dataDxfId="10" totalsRowDxfId="7">
      <totalsRowFormula>SUMIF(table_summary_1[Include in calculation], TRUE, table_summary_1[Total energy used (J)])</totalsRowFormula>
    </tableColumn>
    <tableColumn id="3" xr3:uid="{EC89CE47-855A-2046-BD1B-639AF47D26B2}" name="Include in calculation" dataDxfId="9" dataCellStyle="Note"/>
  </tableColumns>
  <tableStyleInfo name="TableStyleMedium10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4E51BE-DF90-BE47-A6A7-9842C0775331}" name="Table18" displayName="Table18" ref="F68:G72" headerRowCount="0" totalsRowCount="1" headerRowDxfId="35" dataDxfId="34">
  <tableColumns count="2">
    <tableColumn id="1" xr3:uid="{4393B6A9-9EBC-064C-AC9C-88351857A56A}" name="Column1" totalsRowLabel="Expected operation" headerRowDxfId="33" dataDxfId="32" totalsRowDxfId="31"/>
    <tableColumn id="2" xr3:uid="{D66C2909-A71B-EC4A-90F8-F13F2A788857}" name="Column2" totalsRowFunction="custom" headerRowDxfId="30" dataDxfId="29" totalsRowDxfId="28">
      <totalsRowFormula>ROUND((G68*G69*G70*3600)*(4/24)*(G71/100)/table_summary_1[[#Totals],[Total energy used (J)]], 1)&amp;" days"</totalsRowFormula>
    </tableColumn>
  </tableColumns>
  <tableStyleInfo name="TableStyleMedium10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96B6E-D411-0548-B10A-C5CCDDD8AA28}" name="table_peak_current1" displayName="table_peak_current1" ref="B107:I156" totalsRowShown="0">
  <autoFilter ref="B107:I156" xr:uid="{5EA9DAB1-68B3-4B4A-BCC4-88641C5392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2866213-1F30-FE42-BE57-D7AB6031308A}" name="Schedule" dataDxfId="27">
      <calculatedColumnFormula>IF(ROW()=ROW(table_peak_current1[]),TIME(,,),OFFSET(table_peak_current1[[#This Row],[Schedule]],-1,,,)+TIME(,5,))</calculatedColumnFormula>
    </tableColumn>
    <tableColumn id="2" xr3:uid="{AE441AE7-5E33-8444-906D-D52AC2AA768A}" name="Gyro" dataDxfId="26">
      <calculatedColumnFormula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calculatedColumnFormula>
    </tableColumn>
    <tableColumn id="3" xr3:uid="{B196A50A-4BAC-0946-808D-92CC9C3F2A90}" name="Acc_Mag" dataDxfId="25">
      <calculatedColumnFormula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calculatedColumnFormula>
    </tableColumn>
    <tableColumn id="4" xr3:uid="{3462692C-8F5A-334D-A995-62F670DEDEF0}" name="Temp_sensor" dataDxfId="24">
      <calculatedColumnFormula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calculatedColumnFormula>
    </tableColumn>
    <tableColumn id="5" xr3:uid="{23049986-DD3B-AF42-AAD7-A4763D4E3613}" name="GPS" dataDxfId="23">
      <calculatedColumnFormula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calculatedColumnFormula>
    </tableColumn>
    <tableColumn id="6" xr3:uid="{1BE733BC-671D-1849-9C6B-3F7F1BE7D176}" name="Rockblock" dataDxfId="22">
      <calculatedColumnFormula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calculatedColumnFormula>
    </tableColumn>
    <tableColumn id="7" xr3:uid="{62CFE9C1-8B75-0942-9770-69E99A242E9E}" name="Microcontroller" dataDxfId="21">
      <calculatedColumnFormula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calculatedColumnFormula>
    </tableColumn>
    <tableColumn id="8" xr3:uid="{19459525-B376-FF49-B0DC-815F58C7A903}" name="Total peak current (mA)" dataDxfId="20">
      <calculatedColumnFormula>SUM(table_peak_current1[[#This Row],[Gyro]:[Microcontroller]])</calculatedColumnFormula>
    </tableColumn>
  </tableColumns>
  <tableStyleInfo name="TableStyleMedium11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2A2E95-1AC7-C44E-9C0A-606411B707E4}" name="table_avg_current1" displayName="table_avg_current1" ref="K107:R156" totalsRowShown="0">
  <autoFilter ref="K107:R156" xr:uid="{6BD35ACB-9EAC-0B4E-A2AF-5B205FCE313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6AE5F3F-7550-BE48-BB40-4BB647B5310F}" name="Schedule" dataDxfId="19">
      <calculatedColumnFormula>IF(ROW()=ROW(table_avg_current1[]),TIME(,,),OFFSET(table_avg_current1[[#This Row],[Schedule]],-1,,,)+TIME(,5,))</calculatedColumnFormula>
    </tableColumn>
    <tableColumn id="2" xr3:uid="{3C039A7D-0448-D343-99BA-2E98AE6C429C}" name="Gyro" dataDxfId="18">
      <calculatedColumnFormula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calculatedColumnFormula>
    </tableColumn>
    <tableColumn id="3" xr3:uid="{1B44F78E-3800-1547-806C-65E82FA26490}" name="Acc_Mag" dataDxfId="17">
      <calculatedColumnFormula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calculatedColumnFormula>
    </tableColumn>
    <tableColumn id="4" xr3:uid="{B0F6D5B9-099E-0B4E-BF40-CB3FCFEDC2AB}" name="Temp_sensor" dataDxfId="16">
      <calculatedColumnFormula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calculatedColumnFormula>
    </tableColumn>
    <tableColumn id="5" xr3:uid="{7E059E7E-3C2A-8049-B055-03E8D7148278}" name="GPS" dataDxfId="15">
      <calculatedColumnFormula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calculatedColumnFormula>
    </tableColumn>
    <tableColumn id="6" xr3:uid="{B9927005-7918-224C-A5E9-ACDEB1E4D868}" name="Rockblock" dataDxfId="14">
      <calculatedColumnFormula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calculatedColumnFormula>
    </tableColumn>
    <tableColumn id="7" xr3:uid="{6508D5DF-72A1-C949-85CB-0A47B8EFEFBE}" name="Microcontroller" dataDxfId="13">
      <calculatedColumnFormula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calculatedColumnFormula>
    </tableColumn>
    <tableColumn id="8" xr3:uid="{5868CA0B-72DB-8446-BE57-6D0B7187F897}" name="Total average current (mA)">
      <calculatedColumnFormula>SUM(table_avg_current1[[#This Row],[Gyro]:[Microcontroller]])</calculatedColumnFormula>
    </tableColumn>
  </tableColumns>
  <tableStyleInfo name="TableStyleMedium11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29865A-36F9-324D-A7ED-F3C5C08ACF6A}" name="table_reference" displayName="table_reference" ref="B7:C13" totalsRowShown="0">
  <autoFilter ref="B7:C13" xr:uid="{EA8C5065-619D-7E43-A8D2-594E9ACBA82C}">
    <filterColumn colId="0" hiddenButton="1"/>
    <filterColumn colId="1" hiddenButton="1"/>
  </autoFilter>
  <tableColumns count="2">
    <tableColumn id="1" xr3:uid="{A1BE2D74-80DD-A846-92D3-F7227D9AF09D}" name="Device"/>
    <tableColumn id="2" xr3:uid="{FB3A7902-3658-E641-95ED-BE07658263AA}" name="Table nam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AA61AC-3CA4-F448-9429-930628B14F25}" name="GPS" displayName="GPS" ref="B67:H74" totalsRowShown="0" headerRowDxfId="147" tableBorderDxfId="146">
  <autoFilter ref="B67:H74" xr:uid="{6DD9D203-B53A-5B4E-BED4-1CD392E977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5009890F-265C-9740-9A3E-491AB99964AD}" name="Process" dataCellStyle="Buoy table cells"/>
    <tableColumn id="1" xr3:uid="{BE6E4D7F-5919-FC4A-9AB1-068B92720EA9}" name="Description" dataCellStyle="Buoy table cells"/>
    <tableColumn id="2" xr3:uid="{FF9A3438-3849-2F44-B2E1-CE94153F47CC}" name="Average supply current (A)" dataCellStyle="Buoy table cells"/>
    <tableColumn id="3" xr3:uid="{D247DE78-EB63-8B44-9934-677FE93D2330}" name="Average power consumption (W)" dataDxfId="145" dataCellStyle="Output">
      <calculatedColumnFormula>GPS[[#This Row],[Average supply current (A)]]*Vdd_GPS*1.2</calculatedColumnFormula>
    </tableColumn>
    <tableColumn id="7" xr3:uid="{DEDDF259-9901-464E-97CA-6C7018B2F139}" name="Duration (s)" dataCellStyle="Buoy table cells"/>
    <tableColumn id="6" xr3:uid="{B2120DB3-7977-A54B-A279-79FE09637061}" name="Peak current (A)" dataCellStyle="Buoy table cells"/>
    <tableColumn id="4" xr3:uid="{82685E94-8404-C440-BC5C-ED563FF8C2DE}" name="Notes" dataDxfId="144"/>
  </tableColumns>
  <tableStyleInfo name="TableStyleLight1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082ED1A-389B-2C47-A264-C9E16A451DBD}" name="Rockblock" displayName="Rockblock" ref="B135:H141" totalsRowShown="0" headerRowDxfId="143" tableBorderDxfId="142" dataCellStyle="Buoy table cells">
  <autoFilter ref="B135:H141" xr:uid="{D0D1BEB9-B113-B144-AE9C-8473DB1C902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55589ADB-4380-604A-8280-BA661997F5EB}" name="Process" dataCellStyle="Buoy table cells"/>
    <tableColumn id="1" xr3:uid="{71E0C67D-09A8-5F4C-B307-4165D52F4B2B}" name="Description" dataCellStyle="Buoy table cells"/>
    <tableColumn id="2" xr3:uid="{97007C55-01C3-C041-8571-CD5F18BD9DFB}" name="Average supply current (A)" dataCellStyle="Buoy table cells"/>
    <tableColumn id="3" xr3:uid="{66A55B24-F316-6D49-A211-29FDFBDE000F}" name="Average power consumption (W)" dataDxfId="141" dataCellStyle="Output">
      <calculatedColumnFormula>Rockblock[[#This Row],[Average supply current (A)]]*Vdd_COMM*1.2</calculatedColumnFormula>
    </tableColumn>
    <tableColumn id="7" xr3:uid="{F7786192-2559-7F4F-BAFB-1FF0CC11F3EF}" name="Duration (s)" dataCellStyle="Buoy table cells"/>
    <tableColumn id="6" xr3:uid="{DCE39871-454C-144C-B065-8A08CE4A2B7C}" name="Peak current (A)" dataCellStyle="Buoy table cells"/>
    <tableColumn id="4" xr3:uid="{6D712765-57BD-0840-A023-4C567930EA23}" name="Notes" dataDxfId="140" dataCellStyle="Buoy table cells"/>
  </tableColumns>
  <tableStyleInfo name="TableStyleLight1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0BA708-AB6F-B54F-B423-D447C9B87BC1}" name="Acc_Mag" displayName="Acc_Mag" ref="B41:H46" totalsRowShown="0" headerRowDxfId="139" tableBorderDxfId="138" dataCellStyle="Buoy table cells">
  <autoFilter ref="B41:H46" xr:uid="{714986B4-7558-A345-8398-6D43C57CFD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3A9C5BDA-16A0-4B4F-84FF-7F2DB79FAD87}" name="Process" dataCellStyle="Buoy table cells"/>
    <tableColumn id="1" xr3:uid="{1AE87899-72B6-1C47-AB14-D3EBCD670434}" name="Description" dataCellStyle="Buoy table cells"/>
    <tableColumn id="2" xr3:uid="{E3969D34-34B0-8244-8D14-019543903FD7}" name="Average supply current (A)" dataCellStyle="Buoy table cells"/>
    <tableColumn id="3" xr3:uid="{10F71894-FF99-D54E-8A8A-1912DE39EBDA}" name="Average power consumption (W)" dataDxfId="137" dataCellStyle="Output">
      <calculatedColumnFormula>Acc_Mag[[#This Row],[Average supply current (A)]]*Vdd_ACC*1.2</calculatedColumnFormula>
    </tableColumn>
    <tableColumn id="6" xr3:uid="{8F681767-9BD2-2543-B4B4-B6FEBB8752E9}" name="Duration (s)" dataCellStyle="Buoy table cells"/>
    <tableColumn id="7" xr3:uid="{30CEB152-0219-2541-B44F-6FF93F1BEAF2}" name="Peak current (A)" dataCellStyle="Buoy table cells"/>
    <tableColumn id="4" xr3:uid="{A525E6AC-1364-1F44-AF63-E0608F15752B}" name="Notes" dataCellStyle="Buoy table cells"/>
  </tableColumns>
  <tableStyleInfo name="TableStyleLight13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B91F2D4-38D8-C84F-93DD-9392666EC39D}" name="Microcontroller" displayName="Microcontroller" ref="B91:H96" totalsRowShown="0" headerRowDxfId="136" tableBorderDxfId="135" dataCellStyle="Buoy table cells">
  <autoFilter ref="B91:H96" xr:uid="{4EEACA30-89B6-8B4D-B0BA-B038926CAE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9" xr3:uid="{8E09E218-A100-9640-A937-4A21E1760928}" name="Process" dataCellStyle="Buoy table cells"/>
    <tableColumn id="1" xr3:uid="{D4CB5463-8BF7-D741-BF5F-9C1FC83F9B96}" name="Description" dataCellStyle="Buoy table cells"/>
    <tableColumn id="2" xr3:uid="{B2E0A809-EDB1-8C4A-A0D2-D2D2BD4F5E7B}" name="Average supply current (A)" dataCellStyle="Buoy table cells"/>
    <tableColumn id="3" xr3:uid="{74BF3ECE-3B88-6146-A6EF-4D9D34E2326A}" name="Average power consumption (W)" dataDxfId="134" dataCellStyle="Output">
      <calculatedColumnFormula>Microcontroller[[#This Row],[Average supply current (A)]]*Vdd_µC*1.2</calculatedColumnFormula>
    </tableColumn>
    <tableColumn id="10" xr3:uid="{95E52818-1F1F-4D4B-B4CA-E1ED36EB1E97}" name="Duration (s)" dataCellStyle="Buoy table cells"/>
    <tableColumn id="11" xr3:uid="{960DBFED-306E-B843-AE79-D26A3FC1EDF4}" name="Peak current (A)" dataDxfId="133" dataCellStyle="Buoy table cells">
      <calculatedColumnFormula>21 * 10^-3</calculatedColumnFormula>
    </tableColumn>
    <tableColumn id="4" xr3:uid="{980A0043-CBF4-8540-9FF7-D7A96FF68DFC}" name="Notes" dataDxfId="132" dataCellStyle="Buoy table cells"/>
  </tableColumns>
  <tableStyleInfo name="TableStyleLight13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635057D-BD7E-414C-925D-34A504297071}" name="Temp_sensor" displayName="Temp_sensor" ref="B114:H116" totalsRowShown="0" headerRowCellStyle="Normal" dataCellStyle="Buoy table cells">
  <autoFilter ref="B114:H116" xr:uid="{3344119C-7892-324B-BB56-3E267581AD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4AEA495-1FF4-3D43-BA1C-BA8604226E49}" name="Process" dataCellStyle="Buoy table cells"/>
    <tableColumn id="2" xr3:uid="{1E087956-5DDD-234B-976D-BE85D06D6C28}" name="Description" dataCellStyle="Buoy table cells"/>
    <tableColumn id="3" xr3:uid="{0551AA83-17D4-4C42-BD24-C8DD2FA6CEE3}" name="Average supply current (A)" dataCellStyle="Buoy table cells"/>
    <tableColumn id="4" xr3:uid="{6556A93E-544C-5E42-AFC3-9D5575F2970B}" name="Average power consumption (W)" dataDxfId="131" dataCellStyle="Output">
      <calculatedColumnFormula>Temp_sensor[[#This Row],[Average supply current (A)]]*Vdd_TEMP*1.2</calculatedColumnFormula>
    </tableColumn>
    <tableColumn id="5" xr3:uid="{3A822449-38D2-2544-8C2A-9306E34CF14B}" name="Duration (s)" dataCellStyle="Buoy table cells"/>
    <tableColumn id="7" xr3:uid="{CFD64D30-88E4-9649-AEDD-6758F5D66789}" name="Peak current (A)" dataCellStyle="Buoy table cells">
      <calculatedColumnFormula>1.5*10^-3</calculatedColumnFormula>
    </tableColumn>
    <tableColumn id="6" xr3:uid="{47309E16-054C-D144-8712-60C709A094FF}" name="Notes" dataCellStyle="Buoy table cells"/>
  </tableColumns>
  <tableStyleInfo name="TableStyleLight13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CEDB6EF-8D87-B84E-9083-8E0BE9CA6E79}" name="table_energy_GPS" displayName="table_energy_GPS" ref="B36:J40" totalsRowCount="1" dataDxfId="130">
  <autoFilter ref="B36:J39" xr:uid="{A31EBEBB-633B-334E-A5CF-7382C4E631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F6DF57A-37EC-1647-9273-AEC04B155953}" name="Device" totalsRowLabel="Total" dataDxfId="129">
      <calculatedColumnFormula>"GPS"</calculatedColumnFormula>
    </tableColumn>
    <tableColumn id="2" xr3:uid="{254D8157-0AB9-9540-990B-F68C8F342821}" name="Process" dataDxfId="128" dataCellStyle="Note">
      <calculatedColumnFormula>"Tracking continuous"</calculatedColumnFormula>
    </tableColumn>
    <tableColumn id="3" xr3:uid="{F81512B1-BCAE-704F-B3E5-0D9F326563A0}" name="Time (s)" totalsRowFunction="sum" dataDxfId="127" totalsRowDxfId="126" dataCellStyle="Note">
      <calculatedColumnFormula>VLOOKUP(table_energy_GPS[[#This Row],[Process]],INDIRECT(table_energy_GPS[[#This Row],[Device]]),5,FALSE)</calculatedColumnFormula>
    </tableColumn>
    <tableColumn id="4" xr3:uid="{CC86E8E1-BB64-B14B-BE25-D7CEB3821AFE}" name="Energy used (J)" totalsRowFunction="sum" dataDxfId="125" totalsRowDxfId="124">
      <calculatedColumnFormula>VLOOKUP(table_energy_GPS[[#This Row],[Process]],INDIRECT(table_energy_GPS[[#This Row],[Device]]),4,FALSE)*table_energy_GPS[[#This Row],[Time (s)]]</calculatedColumnFormula>
    </tableColumn>
    <tableColumn id="5" xr3:uid="{12B117B0-22FF-4840-9C23-AD0C7FCB0081}" name="Average current (mA)" totalsRowFunction="max" dataDxfId="123" totalsRowDxfId="122">
      <calculatedColumnFormula>VLOOKUP(table_energy_GPS[[#This Row],[Process]],INDIRECT(table_energy_GPS[[#This Row],[Device]]),3,FALSE)*1200</calculatedColumnFormula>
    </tableColumn>
    <tableColumn id="7" xr3:uid="{1D2342C5-13A2-6342-AD51-DB78FC5621A9}" name="Peak current (mA)" totalsRowFunction="max" dataDxfId="121" totalsRowDxfId="120">
      <calculatedColumnFormula>VLOOKUP(table_energy_GPS[[#This Row],[Process]],INDIRECT(table_energy_GPS[[#This Row],[Device]]),6,FALSE)*1200</calculatedColumnFormula>
    </tableColumn>
    <tableColumn id="6" xr3:uid="{A1138D61-ADC3-1846-BD10-1181EB28EBE5}" name="Start" dataDxfId="119" totalsRowDxfId="118">
      <calculatedColumnFormula>IF(ROW()=ROW(INDIRECT(VLOOKUP(table_energy_GPS[[#This Row],[Device]],table_reference[],2,FALSE))), TIME(,,), OFFSET(table_energy_GPS[[#This Row],[End]],-1,,,))</calculatedColumnFormula>
    </tableColumn>
    <tableColumn id="9" xr3:uid="{5644ECDD-A067-BB49-853D-526CA1EB10C6}" name="End" dataDxfId="117" totalsRowDxfId="116">
      <calculatedColumnFormula>table_energy_GPS[[#This Row],[Start]]+TIME(,,table_energy_GPS[[#This Row],[Time (s)]])</calculatedColumnFormula>
    </tableColumn>
    <tableColumn id="8" xr3:uid="{6221A275-4318-284E-A377-308B3EE0BA10}" name="Notes" dataDxfId="115" totalsRowDxfId="114"/>
  </tableColumns>
  <tableStyleInfo name="TableStyleMedium13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FBAE69-A62C-AB42-8EEF-67E27CC1B7A3}" name="table_energy_Rockblock" displayName="table_energy_Rockblock" ref="B46:J53" totalsRowCount="1" headerRowCellStyle="Normal" dataCellStyle="Normal">
  <autoFilter ref="B46:J52" xr:uid="{AA0CC28E-0F4B-1346-9E6B-C141EED622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05D9E9F-1BDD-464B-9262-8930F51DA546}" name="Device" totalsRowLabel="Total" totalsRowDxfId="113" dataCellStyle="Normal">
      <calculatedColumnFormula>"Rockblock"</calculatedColumnFormula>
    </tableColumn>
    <tableColumn id="2" xr3:uid="{D480BBD8-9743-C844-9683-18FCF18FE642}" name="Process" totalsRowDxfId="112" dataCellStyle="Note"/>
    <tableColumn id="3" xr3:uid="{64443C39-9E79-944D-A7E0-BCAD238E86AE}" name="Time (s)" totalsRowFunction="sum" dataDxfId="111" totalsRowDxfId="110" dataCellStyle="Note">
      <calculatedColumnFormula>VLOOKUP(table_energy_Rockblock[[#This Row],[Process]],INDIRECT(table_energy_Rockblock[[#This Row],[Device]]),5,FALSE)</calculatedColumnFormula>
    </tableColumn>
    <tableColumn id="4" xr3:uid="{B803414E-7EBB-A845-BDAE-15532B75A662}" name="Energy used (J)" totalsRowFunction="sum" dataDxfId="109" totalsRowDxfId="108" dataCellStyle="Normal">
      <calculatedColumnFormula>VLOOKUP(table_energy_Rockblock[[#This Row],[Process]],INDIRECT(table_energy_Rockblock[[#This Row],[Device]]),4,FALSE)*table_energy_Rockblock[[#This Row],[Time (s)]]</calculatedColumnFormula>
    </tableColumn>
    <tableColumn id="5" xr3:uid="{0972ADC3-1672-C04E-94C7-D5565C555760}" name="Average current (mA)" totalsRowFunction="max" dataDxfId="107" totalsRowDxfId="106" dataCellStyle="Normal">
      <calculatedColumnFormula>VLOOKUP(table_energy_Rockblock[[#This Row],[Process]],INDIRECT(table_energy_Rockblock[[#This Row],[Device]]),3,FALSE)*1200</calculatedColumnFormula>
    </tableColumn>
    <tableColumn id="7" xr3:uid="{21446E61-4E48-2448-AFCA-FE2C6053D56B}" name="Peak current (mA)" totalsRowFunction="max" dataDxfId="105" totalsRowDxfId="104" dataCellStyle="Normal">
      <calculatedColumnFormula>VLOOKUP(table_energy_Rockblock[[#This Row],[Process]],INDIRECT(table_energy_Rockblock[[#This Row],[Device]]),6,FALSE)*1200</calculatedColumnFormula>
    </tableColumn>
    <tableColumn id="6" xr3:uid="{78FFDE07-5A10-9D49-A089-556F6FC241D4}" name="Start" dataDxfId="103" totalsRowDxfId="102" dataCellStyle="Normal">
      <calculatedColumnFormula>IF(ROW()=ROW(INDIRECT(VLOOKUP(table_energy_Rockblock[[#This Row],[Device]],table_reference[],2,FALSE))), TIME(,,), OFFSET(table_energy_Rockblock[[#This Row],[End]],-1,,,))</calculatedColumnFormula>
    </tableColumn>
    <tableColumn id="9" xr3:uid="{993505F0-90B3-0040-BE3D-DB6483B32BCC}" name="End" dataDxfId="101" totalsRowDxfId="100">
      <calculatedColumnFormula>table_energy_Rockblock[[#This Row],[Start]]+TIME(,,table_energy_Rockblock[[#This Row],[Time (s)]])</calculatedColumnFormula>
    </tableColumn>
    <tableColumn id="8" xr3:uid="{B753B496-B695-3245-868F-79DE2335ED11}" name="Notes" dataDxfId="99" totalsRowDxfId="98" dataCellStyle="Normal"/>
  </tableColumns>
  <tableStyleInfo name="TableStyleMedium13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83DC96-3B5F-B147-85D8-7F7065A83140}" name="table_energy_GYRO" displayName="table_energy_GYRO" ref="B4:J8" totalsRowCount="1" headerRowCellStyle="Normal" dataCellStyle="Normal" totalsRowCellStyle="Normal">
  <autoFilter ref="B4:J7" xr:uid="{FB2B6861-94B6-9E44-8C84-065CEEE8F7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5BAD90E-99BC-5740-A72A-5C14C697E017}" name="Device" totalsRowLabel="Total" dataCellStyle="Normal">
      <calculatedColumnFormula>"Gyro"</calculatedColumnFormula>
    </tableColumn>
    <tableColumn id="2" xr3:uid="{67E2AA40-64C2-9E45-8FF4-8473C4A5FE35}" name="Process" dataCellStyle="Note"/>
    <tableColumn id="3" xr3:uid="{C7CB3583-A54F-B445-829B-4CC1024AEE1F}" name="Time (s)" totalsRowFunction="sum" dataDxfId="97" totalsRowDxfId="96" dataCellStyle="Note">
      <calculatedColumnFormula>VLOOKUP(table_energy_GYRO[[#This Row],[Process]],INDIRECT(table_energy_GYRO[[#This Row],[Device]]),5,FALSE)</calculatedColumnFormula>
    </tableColumn>
    <tableColumn id="4" xr3:uid="{C7EC62C9-5129-AC4B-9227-500754D62139}" name="Energy used (J)" totalsRowFunction="sum" dataDxfId="95" totalsRowDxfId="94" dataCellStyle="Normal">
      <calculatedColumnFormula>VLOOKUP(table_energy_GYRO[[#This Row],[Process]],INDIRECT(table_energy_GYRO[[#This Row],[Device]]),4,FALSE)*table_energy_GYRO[[#This Row],[Time (s)]]</calculatedColumnFormula>
    </tableColumn>
    <tableColumn id="5" xr3:uid="{F537DF9C-1CD0-794C-9F52-247D3C2CE71C}" name="Average current (mA)" totalsRowFunction="max" dataDxfId="93" totalsRowDxfId="92" dataCellStyle="Normal">
      <calculatedColumnFormula>VLOOKUP(table_energy_GYRO[[#This Row],[Process]],INDIRECT(table_energy_GYRO[[#This Row],[Device]]),3,FALSE)*1200</calculatedColumnFormula>
    </tableColumn>
    <tableColumn id="8" xr3:uid="{B0A15E3B-F2D1-4349-A374-88B51A907FAA}" name="Peak current (mA)" totalsRowFunction="max" dataDxfId="91" totalsRowDxfId="90" dataCellStyle="Normal">
      <calculatedColumnFormula>VLOOKUP(table_energy_GYRO[[#This Row],[Process]],INDIRECT(table_energy_GYRO[[#This Row],[Device]]),6,FALSE)*1200</calculatedColumnFormula>
    </tableColumn>
    <tableColumn id="6" xr3:uid="{C41F4F13-3CA3-E34A-A03D-4E47EE8D419D}" name="Start" dataDxfId="89" totalsRowDxfId="88" dataCellStyle="Normal">
      <calculatedColumnFormula>IF(ROW()=ROW(INDIRECT(VLOOKUP(table_energy_GYRO[[#This Row],[Device]],table_reference[],2,FALSE))), TIME(,,), OFFSET(table_energy_GYRO[[#This Row],[End]],-1,,,))</calculatedColumnFormula>
    </tableColumn>
    <tableColumn id="7" xr3:uid="{646A436C-B866-6A47-A917-EA210A8674D3}" name="End" dataDxfId="87" totalsRowDxfId="86">
      <calculatedColumnFormula>table_energy_GYRO[[#This Row],[Start]]+TIME(,,table_energy_GYRO[[#This Row],[Time (s)]])</calculatedColumnFormula>
    </tableColumn>
    <tableColumn id="9" xr3:uid="{6AA5E2FB-D56C-A54E-B9D1-52EFF93BBF59}" name="Notes" dataDxfId="85" totalsRowDxfId="84" dataCellStyle="Normal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table" Target="../tables/table8.xml"/><Relationship Id="rId5" Type="http://schemas.openxmlformats.org/officeDocument/2006/relationships/ctrlProp" Target="../ctrlProps/ctrlProp3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2:I145"/>
  <sheetViews>
    <sheetView topLeftCell="A118" zoomScale="94" workbookViewId="0">
      <selection activeCell="D24" sqref="D24"/>
    </sheetView>
  </sheetViews>
  <sheetFormatPr baseColWidth="10" defaultColWidth="11.5703125" defaultRowHeight="16"/>
  <cols>
    <col min="2" max="2" width="19.85546875" bestFit="1" customWidth="1"/>
    <col min="3" max="3" width="18.140625" bestFit="1" customWidth="1"/>
    <col min="4" max="4" width="16.140625" customWidth="1"/>
    <col min="5" max="5" width="17" customWidth="1"/>
    <col min="6" max="6" width="16.140625" customWidth="1"/>
  </cols>
  <sheetData>
    <row r="2" spans="2:9" ht="20" thickBot="1">
      <c r="B2" s="69" t="s">
        <v>0</v>
      </c>
      <c r="C2" s="69"/>
      <c r="D2" s="69"/>
      <c r="E2" s="69"/>
      <c r="F2" s="69"/>
      <c r="G2" s="69"/>
      <c r="H2" s="69"/>
      <c r="I2" s="48"/>
    </row>
    <row r="3" spans="2:9" ht="17" thickTop="1"/>
    <row r="4" spans="2:9" s="48" customFormat="1">
      <c r="B4" s="70" t="s">
        <v>10</v>
      </c>
      <c r="C4" s="70"/>
      <c r="D4" s="70"/>
      <c r="E4" s="70"/>
    </row>
    <row r="10" spans="2:9" s="48" customFormat="1"/>
    <row r="11" spans="2:9">
      <c r="B11" s="72" t="s">
        <v>6</v>
      </c>
      <c r="C11" s="73"/>
    </row>
    <row r="12" spans="2:9">
      <c r="B12" s="12" t="s">
        <v>1</v>
      </c>
      <c r="C12" s="61">
        <v>3.3</v>
      </c>
    </row>
    <row r="13" spans="2:9">
      <c r="B13" s="1" t="s">
        <v>29</v>
      </c>
      <c r="C13" s="38">
        <v>12.5</v>
      </c>
    </row>
    <row r="15" spans="2:9" ht="17">
      <c r="B15" s="68" t="s">
        <v>5</v>
      </c>
      <c r="C15" s="68"/>
      <c r="D15" s="68"/>
      <c r="E15" s="68"/>
      <c r="F15" s="68"/>
      <c r="G15" s="68"/>
      <c r="H15" s="68"/>
    </row>
    <row r="16" spans="2:9" ht="39" customHeight="1">
      <c r="B16" s="4" t="s">
        <v>32</v>
      </c>
      <c r="C16" s="4" t="s">
        <v>47</v>
      </c>
      <c r="D16" s="4" t="s">
        <v>7</v>
      </c>
      <c r="E16" s="4" t="s">
        <v>8</v>
      </c>
      <c r="F16" s="4" t="s">
        <v>58</v>
      </c>
      <c r="G16" s="4" t="s">
        <v>73</v>
      </c>
      <c r="H16" s="19" t="s">
        <v>10</v>
      </c>
    </row>
    <row r="17" spans="2:9" ht="17">
      <c r="B17" s="42" t="s">
        <v>33</v>
      </c>
      <c r="C17" s="54" t="s">
        <v>2</v>
      </c>
      <c r="D17" s="17">
        <f>2.7 * 10^-3</f>
        <v>2.7000000000000001E-3</v>
      </c>
      <c r="E17" s="55">
        <f>Gyro[[#This Row],[Average supply current (A)]]*Vdd_GYRO*1.2</f>
        <v>1.0691999999999998E-2</v>
      </c>
      <c r="F17" s="65">
        <v>0</v>
      </c>
      <c r="G17" s="17">
        <f>2.7 * 10^-3</f>
        <v>2.7000000000000001E-3</v>
      </c>
      <c r="H17" s="42"/>
    </row>
    <row r="18" spans="2:9" ht="17">
      <c r="B18" s="42" t="s">
        <v>56</v>
      </c>
      <c r="C18" s="54" t="s">
        <v>3</v>
      </c>
      <c r="D18" s="17">
        <f>1.6*10^-3</f>
        <v>1.6000000000000001E-3</v>
      </c>
      <c r="E18" s="55">
        <f>Gyro[[#This Row],[Average supply current (A)]]*Vdd_GYRO*1.2</f>
        <v>6.3359999999999996E-3</v>
      </c>
      <c r="F18" s="65">
        <v>0</v>
      </c>
      <c r="G18" s="17">
        <f>1.6*10^-3</f>
        <v>1.6000000000000001E-3</v>
      </c>
      <c r="H18" s="42"/>
    </row>
    <row r="19" spans="2:9" ht="17">
      <c r="B19" s="42" t="s">
        <v>57</v>
      </c>
      <c r="C19" s="54" t="s">
        <v>4</v>
      </c>
      <c r="D19" s="17">
        <f>2.8*10^-6</f>
        <v>2.7999999999999999E-6</v>
      </c>
      <c r="E19" s="55">
        <f>Gyro[[#This Row],[Average supply current (A)]]*Vdd_GYRO*1.2</f>
        <v>1.1088E-5</v>
      </c>
      <c r="F19" s="65">
        <v>0</v>
      </c>
      <c r="G19" s="17">
        <f>2.8*10^-6</f>
        <v>2.7999999999999999E-6</v>
      </c>
      <c r="H19" s="42"/>
    </row>
    <row r="20" spans="2:9" ht="51">
      <c r="B20" s="42" t="s">
        <v>60</v>
      </c>
      <c r="C20" s="54" t="s">
        <v>62</v>
      </c>
      <c r="D20" s="17">
        <f>2.7 * 10^-3</f>
        <v>2.7000000000000001E-3</v>
      </c>
      <c r="E20" s="55">
        <f>Gyro[[#This Row],[Average supply current (A)]]*Vdd_GYRO*1.2</f>
        <v>1.0691999999999998E-2</v>
      </c>
      <c r="F20" s="65">
        <f>1/gyro_ODR+0.005</f>
        <v>8.5000000000000006E-2</v>
      </c>
      <c r="G20" s="17">
        <f>2.7 * 10^-3</f>
        <v>2.7000000000000001E-3</v>
      </c>
      <c r="H20" s="42"/>
    </row>
    <row r="21" spans="2:9" ht="51">
      <c r="B21" s="42" t="s">
        <v>59</v>
      </c>
      <c r="C21" s="54" t="s">
        <v>61</v>
      </c>
      <c r="D21" s="17">
        <f>2.7 * 10^-3</f>
        <v>2.7000000000000001E-3</v>
      </c>
      <c r="E21" s="55">
        <f>Gyro[[#This Row],[Average supply current (A)]]*Vdd_GYRO*1.2</f>
        <v>1.0691999999999998E-2</v>
      </c>
      <c r="F21" s="65">
        <f>1/gyro_ODR+0.06</f>
        <v>0.14000000000000001</v>
      </c>
      <c r="G21" s="17">
        <f>2.7 * 10^-3</f>
        <v>2.7000000000000001E-3</v>
      </c>
      <c r="H21" s="42"/>
    </row>
    <row r="22" spans="2:9">
      <c r="B22" s="9"/>
      <c r="C22" s="7"/>
      <c r="D22" s="3"/>
      <c r="E22" s="3"/>
      <c r="F22" s="10"/>
    </row>
    <row r="23" spans="2:9">
      <c r="B23" s="9"/>
      <c r="C23" s="7"/>
      <c r="D23" s="3"/>
      <c r="E23" s="3"/>
      <c r="F23" s="10"/>
    </row>
    <row r="24" spans="2:9">
      <c r="B24" s="9"/>
      <c r="C24" s="7"/>
      <c r="D24" s="3"/>
      <c r="E24" s="3"/>
      <c r="F24" s="10"/>
    </row>
    <row r="26" spans="2:9">
      <c r="B26" s="15"/>
      <c r="C26" s="15"/>
    </row>
    <row r="27" spans="2:9" ht="20" thickBot="1">
      <c r="B27" s="69" t="s">
        <v>9</v>
      </c>
      <c r="C27" s="69"/>
      <c r="D27" s="69"/>
      <c r="E27" s="69"/>
      <c r="F27" s="69"/>
      <c r="G27" s="69"/>
      <c r="H27" s="69"/>
    </row>
    <row r="28" spans="2:9" ht="17" thickTop="1">
      <c r="I28" s="48"/>
    </row>
    <row r="29" spans="2:9">
      <c r="B29" s="70" t="s">
        <v>10</v>
      </c>
      <c r="C29" s="70"/>
      <c r="D29" s="70"/>
      <c r="E29" s="70"/>
      <c r="F29" s="48"/>
      <c r="G29" s="48"/>
      <c r="H29" s="48"/>
    </row>
    <row r="30" spans="2:9" s="48" customFormat="1">
      <c r="B30"/>
      <c r="C30"/>
      <c r="D30"/>
      <c r="E30"/>
      <c r="F30"/>
      <c r="G30"/>
      <c r="H30"/>
    </row>
    <row r="36" spans="2:8">
      <c r="B36" s="72" t="s">
        <v>6</v>
      </c>
      <c r="C36" s="73"/>
    </row>
    <row r="37" spans="2:8">
      <c r="B37" s="12" t="s">
        <v>1</v>
      </c>
      <c r="C37" s="37">
        <v>3.3</v>
      </c>
    </row>
    <row r="38" spans="2:8">
      <c r="B38" s="1" t="s">
        <v>29</v>
      </c>
      <c r="C38" s="38">
        <v>25</v>
      </c>
    </row>
    <row r="40" spans="2:8" ht="17">
      <c r="B40" s="68" t="s">
        <v>5</v>
      </c>
      <c r="C40" s="68"/>
      <c r="D40" s="68"/>
      <c r="E40" s="68"/>
      <c r="F40" s="68"/>
      <c r="G40" s="68"/>
      <c r="H40" s="68"/>
    </row>
    <row r="41" spans="2:8" ht="34">
      <c r="B41" s="4" t="s">
        <v>32</v>
      </c>
      <c r="C41" s="4" t="s">
        <v>47</v>
      </c>
      <c r="D41" s="4" t="s">
        <v>7</v>
      </c>
      <c r="E41" s="4" t="s">
        <v>8</v>
      </c>
      <c r="F41" s="4" t="s">
        <v>58</v>
      </c>
      <c r="G41" s="4" t="s">
        <v>73</v>
      </c>
      <c r="H41" s="19" t="s">
        <v>10</v>
      </c>
    </row>
    <row r="42" spans="2:8" ht="17">
      <c r="B42" s="56" t="s">
        <v>12</v>
      </c>
      <c r="C42" s="56" t="s">
        <v>12</v>
      </c>
      <c r="D42" s="57">
        <f>3*10^-6</f>
        <v>3.0000000000000001E-6</v>
      </c>
      <c r="E42" s="59">
        <f>Acc_Mag[[#This Row],[Average supply current (A)]]*Vdd_ACC*1.2</f>
        <v>1.188E-5</v>
      </c>
      <c r="F42" s="57">
        <v>1E-3</v>
      </c>
      <c r="G42" s="57">
        <f>3*10^-6</f>
        <v>3.0000000000000001E-6</v>
      </c>
      <c r="H42" s="56"/>
    </row>
    <row r="43" spans="2:8" ht="42">
      <c r="B43" s="56" t="s">
        <v>65</v>
      </c>
      <c r="C43" s="58" t="s">
        <v>66</v>
      </c>
      <c r="D43" s="57">
        <f>80*10^-6</f>
        <v>7.9999999999999993E-5</v>
      </c>
      <c r="E43" s="60">
        <f>Acc_Mag[[#This Row],[Average supply current (A)]]*Vdd_ACC*1.2</f>
        <v>3.1679999999999995E-4</v>
      </c>
      <c r="F43" s="57">
        <f>2/acc_ODR+0.002</f>
        <v>8.2000000000000003E-2</v>
      </c>
      <c r="G43" s="57">
        <f>80*10^-6</f>
        <v>7.9999999999999993E-5</v>
      </c>
      <c r="H43" s="56"/>
    </row>
    <row r="44" spans="2:8" ht="41" customHeight="1">
      <c r="B44" s="56" t="s">
        <v>67</v>
      </c>
      <c r="C44" s="58" t="s">
        <v>68</v>
      </c>
      <c r="D44" s="57">
        <f>80*10^-6</f>
        <v>7.9999999999999993E-5</v>
      </c>
      <c r="E44" s="60">
        <f>Acc_Mag[[#This Row],[Average supply current (A)]]*Vdd_ACC*1.2</f>
        <v>3.1679999999999995E-4</v>
      </c>
      <c r="F44" s="57">
        <f>2/acc_ODR+0.001</f>
        <v>8.1000000000000003E-2</v>
      </c>
      <c r="G44" s="57">
        <f>80*10^-6</f>
        <v>7.9999999999999993E-5</v>
      </c>
      <c r="H44" s="56"/>
    </row>
    <row r="45" spans="2:8" ht="17">
      <c r="B45" s="56" t="s">
        <v>38</v>
      </c>
      <c r="C45" s="56" t="s">
        <v>36</v>
      </c>
      <c r="D45" s="57">
        <f>80*10^-6</f>
        <v>7.9999999999999993E-5</v>
      </c>
      <c r="E45" s="60">
        <f>Acc_Mag[[#This Row],[Average supply current (A)]]*Vdd_ACC*1.2</f>
        <v>3.1679999999999995E-4</v>
      </c>
      <c r="F45" s="57">
        <v>0</v>
      </c>
      <c r="G45" s="57">
        <f>80*10^-6</f>
        <v>7.9999999999999993E-5</v>
      </c>
      <c r="H45" s="56"/>
    </row>
    <row r="46" spans="2:8" ht="17">
      <c r="B46" s="56" t="s">
        <v>57</v>
      </c>
      <c r="C46" s="56" t="s">
        <v>11</v>
      </c>
      <c r="D46" s="57">
        <f>2*10^-6</f>
        <v>1.9999999999999999E-6</v>
      </c>
      <c r="E46" s="60">
        <f>Acc_Mag[[#This Row],[Average supply current (A)]]*Vdd_ACC*1.2</f>
        <v>7.9199999999999987E-6</v>
      </c>
      <c r="F46" s="57">
        <v>0</v>
      </c>
      <c r="G46" s="57">
        <f>2*10^-6</f>
        <v>1.9999999999999999E-6</v>
      </c>
      <c r="H46" s="56"/>
    </row>
    <row r="47" spans="2:8">
      <c r="B47" s="2"/>
    </row>
    <row r="48" spans="2:8">
      <c r="B48" s="76"/>
      <c r="C48" s="76"/>
    </row>
    <row r="52" spans="2:9" ht="20" thickBot="1">
      <c r="B52" s="69" t="s">
        <v>87</v>
      </c>
      <c r="C52" s="69"/>
      <c r="D52" s="69"/>
      <c r="E52" s="69"/>
      <c r="F52" s="69"/>
      <c r="G52" s="69"/>
      <c r="H52" s="69"/>
    </row>
    <row r="53" spans="2:9" ht="17" thickTop="1"/>
    <row r="54" spans="2:9">
      <c r="B54" s="70" t="s">
        <v>10</v>
      </c>
      <c r="C54" s="70"/>
      <c r="D54" s="70"/>
      <c r="E54" s="70"/>
      <c r="F54" s="48"/>
      <c r="G54" s="48"/>
      <c r="H54" s="48"/>
      <c r="I54" s="48"/>
    </row>
    <row r="56" spans="2:9" s="48" customFormat="1">
      <c r="B56"/>
      <c r="C56"/>
      <c r="D56"/>
      <c r="E56"/>
      <c r="F56"/>
      <c r="G56"/>
      <c r="H56"/>
    </row>
    <row r="63" spans="2:9">
      <c r="B63" s="74" t="s">
        <v>6</v>
      </c>
      <c r="C63" s="75"/>
    </row>
    <row r="64" spans="2:9">
      <c r="B64" s="1" t="s">
        <v>1</v>
      </c>
      <c r="C64" s="38">
        <v>3.3</v>
      </c>
    </row>
    <row r="66" spans="2:9" ht="17">
      <c r="B66" s="68" t="s">
        <v>5</v>
      </c>
      <c r="C66" s="68"/>
      <c r="D66" s="68"/>
      <c r="E66" s="68"/>
      <c r="F66" s="68"/>
      <c r="G66" s="68"/>
      <c r="H66" s="68"/>
    </row>
    <row r="67" spans="2:9" ht="34">
      <c r="B67" s="4" t="s">
        <v>32</v>
      </c>
      <c r="C67" s="4" t="s">
        <v>47</v>
      </c>
      <c r="D67" s="4" t="s">
        <v>7</v>
      </c>
      <c r="E67" s="4" t="s">
        <v>8</v>
      </c>
      <c r="F67" s="4" t="s">
        <v>58</v>
      </c>
      <c r="G67" s="4" t="s">
        <v>73</v>
      </c>
      <c r="H67" s="19" t="s">
        <v>10</v>
      </c>
    </row>
    <row r="68" spans="2:9" ht="17">
      <c r="B68" s="62" t="s">
        <v>42</v>
      </c>
      <c r="C68" s="62" t="s">
        <v>14</v>
      </c>
      <c r="D68" s="63">
        <f>22 * 10^-3</f>
        <v>2.1999999999999999E-2</v>
      </c>
      <c r="E68" s="60">
        <f>GPS[[#This Row],[Average supply current (A)]]*Vdd_GPS*1.2</f>
        <v>8.7119999999999989E-2</v>
      </c>
      <c r="F68" s="63">
        <v>30</v>
      </c>
      <c r="G68" s="63">
        <v>6.7000000000000004E-2</v>
      </c>
      <c r="H68" s="11"/>
    </row>
    <row r="69" spans="2:9" ht="17">
      <c r="B69" s="62" t="s">
        <v>43</v>
      </c>
      <c r="C69" s="62" t="s">
        <v>14</v>
      </c>
      <c r="D69" s="63">
        <v>2.1999999999999999E-2</v>
      </c>
      <c r="E69" s="60">
        <f>GPS[[#This Row],[Average supply current (A)]]*Vdd_GPS*1.2</f>
        <v>8.7119999999999989E-2</v>
      </c>
      <c r="F69" s="63">
        <v>28</v>
      </c>
      <c r="G69" s="63">
        <v>6.7000000000000004E-2</v>
      </c>
      <c r="H69" s="11"/>
    </row>
    <row r="70" spans="2:9" ht="17">
      <c r="B70" s="62" t="s">
        <v>44</v>
      </c>
      <c r="C70" s="62" t="s">
        <v>14</v>
      </c>
      <c r="D70" s="63">
        <v>2.1999999999999999E-2</v>
      </c>
      <c r="E70" s="60">
        <f>GPS[[#This Row],[Average supply current (A)]]*Vdd_GPS*1.2</f>
        <v>8.7119999999999989E-2</v>
      </c>
      <c r="F70" s="63">
        <v>1</v>
      </c>
      <c r="G70" s="63">
        <v>6.7000000000000004E-2</v>
      </c>
      <c r="H70" s="11"/>
    </row>
    <row r="71" spans="2:9" ht="31" customHeight="1">
      <c r="B71" s="62" t="s">
        <v>45</v>
      </c>
      <c r="C71" s="62" t="s">
        <v>14</v>
      </c>
      <c r="D71" s="63">
        <v>2.1999999999999999E-2</v>
      </c>
      <c r="E71" s="60">
        <f>GPS[[#This Row],[Average supply current (A)]]*Vdd_GPS*1.2</f>
        <v>8.7119999999999989E-2</v>
      </c>
      <c r="F71" s="63">
        <v>5</v>
      </c>
      <c r="G71" s="63">
        <v>6.7000000000000004E-2</v>
      </c>
      <c r="H71" s="11"/>
    </row>
    <row r="72" spans="2:9" ht="30">
      <c r="B72" s="62" t="s">
        <v>115</v>
      </c>
      <c r="C72" s="62" t="s">
        <v>15</v>
      </c>
      <c r="D72" s="63">
        <f>17*10^-3</f>
        <v>1.7000000000000001E-2</v>
      </c>
      <c r="E72" s="60">
        <f>GPS[[#This Row],[Average supply current (A)]]*Vdd_GPS*1.2</f>
        <v>6.7320000000000005E-2</v>
      </c>
      <c r="F72" s="63">
        <v>0</v>
      </c>
      <c r="G72" s="63">
        <v>6.7000000000000004E-2</v>
      </c>
      <c r="H72" s="22"/>
    </row>
    <row r="73" spans="2:9" ht="30">
      <c r="B73" s="62" t="s">
        <v>77</v>
      </c>
      <c r="C73" s="62" t="s">
        <v>16</v>
      </c>
      <c r="D73" s="63">
        <f>5*10^-3</f>
        <v>5.0000000000000001E-3</v>
      </c>
      <c r="E73" s="60">
        <f>GPS[[#This Row],[Average supply current (A)]]*Vdd_GPS*1.2</f>
        <v>1.9800000000000002E-2</v>
      </c>
      <c r="F73" s="63">
        <v>0</v>
      </c>
      <c r="G73" s="63">
        <v>6.7000000000000004E-2</v>
      </c>
      <c r="H73" s="22"/>
    </row>
    <row r="74" spans="2:9" ht="52">
      <c r="B74" s="62" t="s">
        <v>63</v>
      </c>
      <c r="C74" s="62" t="s">
        <v>79</v>
      </c>
      <c r="D74" s="63">
        <v>0</v>
      </c>
      <c r="E74" s="60">
        <f>GPS[[#This Row],[Average supply current (A)]]*Vdd_GPS*1.2</f>
        <v>0</v>
      </c>
      <c r="F74" s="63">
        <v>0</v>
      </c>
      <c r="G74" s="63">
        <v>0</v>
      </c>
      <c r="H74" s="22" t="s">
        <v>80</v>
      </c>
    </row>
    <row r="75" spans="2:9">
      <c r="B75" s="7"/>
      <c r="C75" s="3"/>
      <c r="D75" s="3"/>
      <c r="E75" s="8"/>
    </row>
    <row r="77" spans="2:9" ht="20" thickBot="1">
      <c r="B77" s="69" t="s">
        <v>17</v>
      </c>
      <c r="C77" s="69"/>
      <c r="D77" s="69"/>
      <c r="E77" s="69"/>
      <c r="F77" s="69"/>
      <c r="G77" s="69"/>
      <c r="H77" s="69"/>
    </row>
    <row r="78" spans="2:9" s="30" customFormat="1" ht="17" thickTop="1">
      <c r="B78"/>
      <c r="C78"/>
      <c r="D78"/>
      <c r="E78"/>
      <c r="F78"/>
      <c r="G78"/>
      <c r="H78"/>
    </row>
    <row r="79" spans="2:9" s="30" customFormat="1">
      <c r="B79" s="70" t="s">
        <v>10</v>
      </c>
      <c r="C79" s="70"/>
      <c r="D79" s="70"/>
      <c r="E79" s="70"/>
      <c r="F79" s="48"/>
      <c r="G79" s="48"/>
      <c r="H79" s="48"/>
      <c r="I79" s="48"/>
    </row>
    <row r="81" spans="2:8" s="48" customFormat="1">
      <c r="B81"/>
      <c r="C81"/>
      <c r="D81"/>
      <c r="E81"/>
      <c r="F81"/>
      <c r="G81"/>
      <c r="H81"/>
    </row>
    <row r="87" spans="2:8">
      <c r="B87" s="74" t="s">
        <v>6</v>
      </c>
      <c r="C87" s="75"/>
    </row>
    <row r="88" spans="2:8">
      <c r="B88" s="1" t="s">
        <v>1</v>
      </c>
      <c r="C88" s="38">
        <v>3.3</v>
      </c>
    </row>
    <row r="90" spans="2:8" ht="17">
      <c r="B90" s="68" t="s">
        <v>5</v>
      </c>
      <c r="C90" s="68"/>
      <c r="D90" s="68"/>
      <c r="E90" s="68"/>
      <c r="F90" s="68"/>
      <c r="G90" s="68"/>
      <c r="H90" s="68"/>
    </row>
    <row r="91" spans="2:8" ht="34">
      <c r="B91" s="4" t="s">
        <v>32</v>
      </c>
      <c r="C91" s="4" t="s">
        <v>47</v>
      </c>
      <c r="D91" s="4" t="s">
        <v>7</v>
      </c>
      <c r="E91" s="4" t="s">
        <v>8</v>
      </c>
      <c r="F91" s="4" t="s">
        <v>58</v>
      </c>
      <c r="G91" s="4" t="s">
        <v>73</v>
      </c>
      <c r="H91" s="19" t="s">
        <v>10</v>
      </c>
    </row>
    <row r="92" spans="2:8" ht="17">
      <c r="B92" s="62" t="s">
        <v>39</v>
      </c>
      <c r="C92" s="62" t="s">
        <v>18</v>
      </c>
      <c r="D92" s="63">
        <f>22 * 10^-3</f>
        <v>2.1999999999999999E-2</v>
      </c>
      <c r="E92" s="60">
        <f>Microcontroller[[#This Row],[Average supply current (A)]]*Vdd_µC*1.2</f>
        <v>8.7119999999999989E-2</v>
      </c>
      <c r="F92" s="63">
        <v>90</v>
      </c>
      <c r="G92" s="63">
        <f>41 * 10^-3</f>
        <v>4.1000000000000002E-2</v>
      </c>
      <c r="H92" s="64"/>
    </row>
    <row r="93" spans="2:8" ht="17">
      <c r="B93" s="62" t="s">
        <v>71</v>
      </c>
      <c r="C93" s="62" t="s">
        <v>19</v>
      </c>
      <c r="D93" s="63">
        <f>5*10^-3</f>
        <v>5.0000000000000001E-3</v>
      </c>
      <c r="E93" s="60">
        <f>Microcontroller[[#This Row],[Average supply current (A)]]*Vdd_µC*1.2</f>
        <v>1.9800000000000002E-2</v>
      </c>
      <c r="F93" s="63">
        <v>0</v>
      </c>
      <c r="G93" s="63">
        <f>24*10^-3</f>
        <v>2.4E-2</v>
      </c>
      <c r="H93" s="64"/>
    </row>
    <row r="94" spans="2:8" ht="17">
      <c r="B94" s="62" t="s">
        <v>72</v>
      </c>
      <c r="C94" s="62" t="s">
        <v>20</v>
      </c>
      <c r="D94" s="63">
        <f>450*10^-6</f>
        <v>4.4999999999999999E-4</v>
      </c>
      <c r="E94" s="60">
        <f>Microcontroller[[#This Row],[Average supply current (A)]]*Vdd_µC*1.2</f>
        <v>1.7819999999999997E-3</v>
      </c>
      <c r="F94" s="63">
        <v>630</v>
      </c>
      <c r="G94" s="63">
        <f>1.5*10^-3</f>
        <v>1.5E-3</v>
      </c>
      <c r="H94" s="64"/>
    </row>
    <row r="95" spans="2:8" ht="17">
      <c r="B95" s="62" t="s">
        <v>57</v>
      </c>
      <c r="C95" s="62" t="s">
        <v>4</v>
      </c>
      <c r="D95" s="63">
        <f>3.1*10^-6</f>
        <v>3.1E-6</v>
      </c>
      <c r="E95" s="60">
        <f>Microcontroller[[#This Row],[Average supply current (A)]]*Vdd_µC*1.2</f>
        <v>1.2275999999999997E-5</v>
      </c>
      <c r="F95" s="63">
        <v>0</v>
      </c>
      <c r="G95" s="63">
        <f>3.1*10^-6</f>
        <v>3.1E-6</v>
      </c>
      <c r="H95" s="64"/>
    </row>
    <row r="96" spans="2:8" ht="17">
      <c r="B96" s="62" t="s">
        <v>21</v>
      </c>
      <c r="C96" s="62" t="s">
        <v>21</v>
      </c>
      <c r="D96" s="63">
        <f>4*10^-6</f>
        <v>3.9999999999999998E-6</v>
      </c>
      <c r="E96" s="60">
        <f>Microcontroller[[#This Row],[Average supply current (A)]]*Vdd_µC*1.2</f>
        <v>1.5839999999999997E-5</v>
      </c>
      <c r="F96" s="63">
        <v>0</v>
      </c>
      <c r="G96" s="63">
        <f>20*10^-6</f>
        <v>1.9999999999999998E-5</v>
      </c>
      <c r="H96" s="64"/>
    </row>
    <row r="97" spans="2:9" ht="36" customHeight="1"/>
    <row r="99" spans="2:9" ht="20" thickBot="1">
      <c r="B99" s="69" t="s">
        <v>22</v>
      </c>
      <c r="C99" s="69"/>
      <c r="D99" s="69"/>
      <c r="E99" s="69"/>
      <c r="F99" s="69"/>
      <c r="G99" s="69"/>
      <c r="H99" s="69"/>
    </row>
    <row r="100" spans="2:9" ht="17" thickTop="1"/>
    <row r="101" spans="2:9">
      <c r="B101" s="70" t="s">
        <v>10</v>
      </c>
      <c r="C101" s="70"/>
      <c r="D101" s="70"/>
      <c r="E101" s="70"/>
      <c r="F101" s="48"/>
      <c r="G101" s="48"/>
      <c r="H101" s="48"/>
      <c r="I101" s="48"/>
    </row>
    <row r="103" spans="2:9" s="48" customFormat="1">
      <c r="B103"/>
      <c r="C103"/>
      <c r="D103"/>
      <c r="E103"/>
      <c r="F103"/>
      <c r="G103"/>
      <c r="H103"/>
    </row>
    <row r="110" spans="2:9">
      <c r="B110" s="74" t="s">
        <v>6</v>
      </c>
      <c r="C110" s="75"/>
    </row>
    <row r="111" spans="2:9">
      <c r="B111" s="1" t="s">
        <v>1</v>
      </c>
      <c r="C111" s="38">
        <v>3.3</v>
      </c>
    </row>
    <row r="112" spans="2:9">
      <c r="B112" s="13"/>
      <c r="C112" s="14"/>
    </row>
    <row r="113" spans="2:9" ht="17">
      <c r="B113" s="71" t="s">
        <v>5</v>
      </c>
      <c r="C113" s="71"/>
      <c r="D113" s="71"/>
      <c r="E113" s="71"/>
      <c r="F113" s="71"/>
      <c r="G113" s="71"/>
      <c r="H113" s="71"/>
    </row>
    <row r="114" spans="2:9" ht="34">
      <c r="B114" t="s">
        <v>32</v>
      </c>
      <c r="C114" t="s">
        <v>47</v>
      </c>
      <c r="D114" s="16" t="s">
        <v>7</v>
      </c>
      <c r="E114" s="16" t="s">
        <v>8</v>
      </c>
      <c r="F114" t="s">
        <v>58</v>
      </c>
      <c r="G114" s="16" t="s">
        <v>73</v>
      </c>
      <c r="H114" t="s">
        <v>10</v>
      </c>
    </row>
    <row r="115" spans="2:9" ht="39">
      <c r="B115" s="65" t="s">
        <v>74</v>
      </c>
      <c r="C115" s="66" t="s">
        <v>75</v>
      </c>
      <c r="D115" s="63">
        <f>1.5*10^-3</f>
        <v>1.5E-3</v>
      </c>
      <c r="E115" s="60">
        <f>Temp_sensor[[#This Row],[Average supply current (A)]]*Vdd_TEMP*1.2</f>
        <v>5.9399999999999991E-3</v>
      </c>
      <c r="F115" s="63">
        <v>0</v>
      </c>
      <c r="G115" s="63">
        <f>1.5*10^-3</f>
        <v>1.5E-3</v>
      </c>
      <c r="H115" s="65"/>
    </row>
    <row r="116" spans="2:9" ht="17">
      <c r="B116" s="65" t="s">
        <v>57</v>
      </c>
      <c r="C116" s="65" t="s">
        <v>4</v>
      </c>
      <c r="D116" s="63">
        <f>1 * 10^-6</f>
        <v>9.9999999999999995E-7</v>
      </c>
      <c r="E116" s="60">
        <f>Temp_sensor[[#This Row],[Average supply current (A)]]*Vdd_TEMP*1.2</f>
        <v>3.9599999999999994E-6</v>
      </c>
      <c r="F116" s="63">
        <v>0</v>
      </c>
      <c r="G116" s="63">
        <f>1 * 10^-6</f>
        <v>9.9999999999999995E-7</v>
      </c>
      <c r="H116" s="65"/>
    </row>
    <row r="117" spans="2:9">
      <c r="B117" s="13"/>
      <c r="C117" s="14"/>
    </row>
    <row r="120" spans="2:9" ht="20" thickBot="1">
      <c r="B120" s="69" t="s">
        <v>23</v>
      </c>
      <c r="C120" s="69"/>
      <c r="D120" s="69"/>
      <c r="E120" s="69"/>
      <c r="F120" s="69"/>
      <c r="G120" s="69"/>
      <c r="H120" s="69"/>
    </row>
    <row r="121" spans="2:9" ht="17" thickTop="1"/>
    <row r="122" spans="2:9">
      <c r="B122" s="70" t="s">
        <v>10</v>
      </c>
      <c r="C122" s="70"/>
      <c r="D122" s="70"/>
      <c r="E122" s="70"/>
      <c r="F122" s="48"/>
      <c r="G122" s="48"/>
      <c r="H122" s="48"/>
      <c r="I122" s="48"/>
    </row>
    <row r="124" spans="2:9" s="48" customFormat="1">
      <c r="B124"/>
      <c r="C124"/>
      <c r="D124"/>
      <c r="E124"/>
      <c r="F124"/>
      <c r="G124"/>
      <c r="H124"/>
    </row>
    <row r="131" spans="2:8">
      <c r="B131" s="72" t="s">
        <v>6</v>
      </c>
      <c r="C131" s="73"/>
    </row>
    <row r="132" spans="2:8">
      <c r="B132" s="1" t="s">
        <v>1</v>
      </c>
      <c r="C132" s="51">
        <v>5</v>
      </c>
    </row>
    <row r="133" spans="2:8">
      <c r="B133" s="13"/>
      <c r="C133" s="14"/>
    </row>
    <row r="134" spans="2:8" ht="17">
      <c r="B134" s="68" t="s">
        <v>5</v>
      </c>
      <c r="C134" s="68"/>
      <c r="D134" s="68"/>
      <c r="E134" s="68"/>
      <c r="F134" s="68"/>
      <c r="G134" s="68"/>
      <c r="H134" s="68"/>
    </row>
    <row r="135" spans="2:8" ht="34">
      <c r="B135" s="4" t="s">
        <v>32</v>
      </c>
      <c r="C135" s="4" t="s">
        <v>47</v>
      </c>
      <c r="D135" s="4" t="s">
        <v>7</v>
      </c>
      <c r="E135" s="4" t="s">
        <v>8</v>
      </c>
      <c r="F135" s="4" t="s">
        <v>58</v>
      </c>
      <c r="G135" s="4" t="s">
        <v>73</v>
      </c>
      <c r="H135" s="19" t="s">
        <v>10</v>
      </c>
    </row>
    <row r="136" spans="2:8" ht="78">
      <c r="B136" s="62" t="s">
        <v>48</v>
      </c>
      <c r="C136" s="62" t="s">
        <v>24</v>
      </c>
      <c r="D136" s="63">
        <v>0.5</v>
      </c>
      <c r="E136" s="60">
        <f>Rockblock[[#This Row],[Average supply current (A)]]*Vdd_COMM*1.2</f>
        <v>3</v>
      </c>
      <c r="F136" s="63">
        <v>0</v>
      </c>
      <c r="G136" s="63">
        <v>0.5</v>
      </c>
      <c r="H136" s="64" t="s">
        <v>25</v>
      </c>
    </row>
    <row r="137" spans="2:8" ht="39">
      <c r="B137" s="62" t="s">
        <v>26</v>
      </c>
      <c r="C137" s="62" t="s">
        <v>26</v>
      </c>
      <c r="D137" s="63">
        <v>0.05</v>
      </c>
      <c r="E137" s="60">
        <f>Rockblock[[#This Row],[Average supply current (A)]]*Vdd_COMM*1.2</f>
        <v>0.3</v>
      </c>
      <c r="F137" s="63">
        <v>0</v>
      </c>
      <c r="G137" s="63">
        <v>0.47</v>
      </c>
      <c r="H137" s="64" t="s">
        <v>27</v>
      </c>
    </row>
    <row r="138" spans="2:8" ht="51">
      <c r="B138" s="62" t="s">
        <v>49</v>
      </c>
      <c r="C138" s="62" t="s">
        <v>55</v>
      </c>
      <c r="D138" s="63">
        <v>0.05</v>
      </c>
      <c r="E138" s="60">
        <f>Rockblock[[#This Row],[Average supply current (A)]]*Vdd_COMM*1.2</f>
        <v>0.3</v>
      </c>
      <c r="F138" s="63">
        <v>60</v>
      </c>
      <c r="G138" s="63">
        <v>0.47</v>
      </c>
      <c r="H138" s="64"/>
    </row>
    <row r="139" spans="2:8" ht="34">
      <c r="B139" s="62" t="s">
        <v>50</v>
      </c>
      <c r="C139" s="62" t="s">
        <v>81</v>
      </c>
      <c r="D139" s="63">
        <v>6.5000000000000002E-2</v>
      </c>
      <c r="E139" s="60">
        <f>Rockblock[[#This Row],[Average supply current (A)]]*Vdd_COMM*1.2</f>
        <v>0.39</v>
      </c>
      <c r="F139" s="63">
        <v>60</v>
      </c>
      <c r="G139" s="63">
        <v>0.47</v>
      </c>
      <c r="H139" s="64"/>
    </row>
    <row r="140" spans="2:8" ht="34">
      <c r="B140" s="62" t="s">
        <v>51</v>
      </c>
      <c r="C140" s="62" t="s">
        <v>53</v>
      </c>
      <c r="D140" s="63">
        <f>100*10^-6</f>
        <v>9.9999999999999991E-5</v>
      </c>
      <c r="E140" s="60">
        <f>Rockblock[[#This Row],[Average supply current (A)]]*Vdd_COMM*1.2</f>
        <v>5.9999999999999995E-4</v>
      </c>
      <c r="F140" s="63">
        <v>10200</v>
      </c>
      <c r="G140" s="63">
        <v>1E-4</v>
      </c>
      <c r="H140" s="64" t="s">
        <v>78</v>
      </c>
    </row>
    <row r="141" spans="2:8" ht="39">
      <c r="B141" s="62" t="s">
        <v>52</v>
      </c>
      <c r="C141" s="67" t="s">
        <v>54</v>
      </c>
      <c r="D141" s="63">
        <f>0.00111</f>
        <v>1.1100000000000001E-3</v>
      </c>
      <c r="E141" s="60">
        <f>Rockblock[[#This Row],[Average supply current (A)]]*Vdd_COMM*1.2</f>
        <v>6.6600000000000001E-3</v>
      </c>
      <c r="F141" s="63">
        <v>3600</v>
      </c>
      <c r="G141" s="63">
        <v>1.1100000000000001E-3</v>
      </c>
      <c r="H141" s="64" t="s">
        <v>78</v>
      </c>
    </row>
    <row r="143" spans="2:8">
      <c r="B143" s="31"/>
      <c r="C143" s="31"/>
      <c r="D143" s="31"/>
      <c r="E143" s="31"/>
      <c r="F143" s="31"/>
      <c r="G143" s="31"/>
      <c r="H143" s="31"/>
    </row>
    <row r="145" spans="2:8" s="31" customFormat="1">
      <c r="B145"/>
      <c r="C145"/>
      <c r="D145"/>
      <c r="E145"/>
      <c r="F145"/>
      <c r="G145"/>
      <c r="H145"/>
    </row>
  </sheetData>
  <mergeCells count="25">
    <mergeCell ref="B110:C110"/>
    <mergeCell ref="B87:C87"/>
    <mergeCell ref="B11:C11"/>
    <mergeCell ref="B36:C36"/>
    <mergeCell ref="B48:C48"/>
    <mergeCell ref="B63:C63"/>
    <mergeCell ref="B66:H66"/>
    <mergeCell ref="B79:E79"/>
    <mergeCell ref="B90:H90"/>
    <mergeCell ref="B134:H134"/>
    <mergeCell ref="B2:H2"/>
    <mergeCell ref="B27:H27"/>
    <mergeCell ref="B52:H52"/>
    <mergeCell ref="B77:H77"/>
    <mergeCell ref="B99:H99"/>
    <mergeCell ref="B120:H120"/>
    <mergeCell ref="B101:E101"/>
    <mergeCell ref="B122:E122"/>
    <mergeCell ref="B113:H113"/>
    <mergeCell ref="B15:H15"/>
    <mergeCell ref="B40:H40"/>
    <mergeCell ref="B4:E4"/>
    <mergeCell ref="B29:E29"/>
    <mergeCell ref="B54:E54"/>
    <mergeCell ref="B131:C131"/>
  </mergeCells>
  <conditionalFormatting sqref="H74 H17:H21">
    <cfRule type="containsText" dxfId="6" priority="13" operator="containsText" text="*error*">
      <formula>NOT(ISERROR(SEARCH("*error*",H17)))</formula>
    </cfRule>
  </conditionalFormatting>
  <conditionalFormatting sqref="H42:H46 H115:H116">
    <cfRule type="containsText" dxfId="5" priority="12" operator="containsText" text="*error*">
      <formula>NOT(ISERROR(SEARCH("*error*",H42)))</formula>
    </cfRule>
  </conditionalFormatting>
  <conditionalFormatting sqref="H92:H96">
    <cfRule type="containsText" dxfId="4" priority="11" operator="containsText" text="*error*">
      <formula>NOT(ISERROR(SEARCH("*error*",H92)))</formula>
    </cfRule>
  </conditionalFormatting>
  <conditionalFormatting sqref="H136:H141">
    <cfRule type="containsText" dxfId="3" priority="7" operator="containsText" text="*error*">
      <formula>NOT(ISERROR(SEARCH("*error*",H136)))</formula>
    </cfRule>
    <cfRule type="cellIs" dxfId="2" priority="9" operator="equal">
      <formula>"*error*"</formula>
    </cfRule>
  </conditionalFormatting>
  <conditionalFormatting sqref="H138">
    <cfRule type="containsText" dxfId="1" priority="8" operator="containsText" text="*error*">
      <formula>NOT(ISERROR(SEARCH("*error*",H138)))</formula>
    </cfRule>
  </conditionalFormatting>
  <conditionalFormatting sqref="H68:H74">
    <cfRule type="containsText" dxfId="0" priority="6" operator="containsText" text="*error*">
      <formula>NOT(ISERROR(SEARCH("*error*",H68)))</formula>
    </cfRule>
  </conditionalFormatting>
  <pageMargins left="0.7" right="0.7" top="0.75" bottom="0.75" header="0.3" footer="0.3"/>
  <pageSetup paperSize="9" orientation="portrait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713D-7E96-CE49-80C3-F12B8AE71969}">
  <sheetPr>
    <pageSetUpPr autoPageBreaks="0"/>
  </sheetPr>
  <dimension ref="A1:R156"/>
  <sheetViews>
    <sheetView tabSelected="1" topLeftCell="A52" zoomScale="69" workbookViewId="0">
      <selection activeCell="H75" sqref="H75"/>
    </sheetView>
  </sheetViews>
  <sheetFormatPr baseColWidth="10" defaultRowHeight="16"/>
  <cols>
    <col min="2" max="2" width="18.42578125" bestFit="1" customWidth="1"/>
    <col min="3" max="3" width="21.85546875" bestFit="1" customWidth="1"/>
    <col min="4" max="4" width="19" bestFit="1" customWidth="1"/>
    <col min="5" max="5" width="17" bestFit="1" customWidth="1"/>
    <col min="6" max="6" width="20.85546875" customWidth="1"/>
    <col min="7" max="7" width="16.140625" bestFit="1" customWidth="1"/>
    <col min="8" max="8" width="13.42578125" bestFit="1" customWidth="1"/>
    <col min="9" max="9" width="11.42578125" bestFit="1" customWidth="1"/>
    <col min="13" max="13" width="11.5703125" bestFit="1" customWidth="1"/>
    <col min="14" max="14" width="15.140625" bestFit="1" customWidth="1"/>
    <col min="16" max="16" width="12.7109375" bestFit="1" customWidth="1"/>
    <col min="17" max="17" width="16.5703125" bestFit="1" customWidth="1"/>
    <col min="18" max="18" width="16.140625" customWidth="1"/>
  </cols>
  <sheetData>
    <row r="1" spans="2:10" s="31" customFormat="1"/>
    <row r="2" spans="2:10" s="31" customFormat="1" ht="20" thickBot="1">
      <c r="B2" s="69" t="s">
        <v>0</v>
      </c>
      <c r="C2" s="69"/>
      <c r="D2" s="69"/>
      <c r="E2" s="69"/>
      <c r="F2" s="69"/>
    </row>
    <row r="3" spans="2:10" s="31" customFormat="1" ht="17" thickTop="1">
      <c r="B3" s="35" t="s">
        <v>114</v>
      </c>
      <c r="C3" s="39" t="s">
        <v>100</v>
      </c>
    </row>
    <row r="4" spans="2:10">
      <c r="B4" t="s">
        <v>34</v>
      </c>
      <c r="C4" t="s">
        <v>32</v>
      </c>
      <c r="D4" t="s">
        <v>30</v>
      </c>
      <c r="E4" t="s">
        <v>31</v>
      </c>
      <c r="F4" t="s">
        <v>37</v>
      </c>
      <c r="G4" t="s">
        <v>76</v>
      </c>
      <c r="H4" t="s">
        <v>88</v>
      </c>
      <c r="I4" s="30" t="s">
        <v>89</v>
      </c>
      <c r="J4" t="s">
        <v>10</v>
      </c>
    </row>
    <row r="5" spans="2:10">
      <c r="B5" t="str">
        <f t="shared" ref="B5:B6" si="0">"Gyro"</f>
        <v>Gyro</v>
      </c>
      <c r="C5" s="36" t="s">
        <v>59</v>
      </c>
      <c r="D5" s="34">
        <f ca="1">VLOOKUP(table_energy_GYRO[[#This Row],[Process]],INDIRECT(table_energy_GYRO[[#This Row],[Device]]),5,FALSE)</f>
        <v>0.14000000000000001</v>
      </c>
      <c r="E5" s="5">
        <f ca="1">VLOOKUP(table_energy_GYRO[[#This Row],[Process]],INDIRECT(table_energy_GYRO[[#This Row],[Device]]),4,FALSE)*table_energy_GYRO[[#This Row],[Time (s)]]</f>
        <v>1.4968799999999999E-3</v>
      </c>
      <c r="F5" s="5">
        <f ca="1">VLOOKUP(table_energy_GYRO[[#This Row],[Process]],INDIRECT(table_energy_GYRO[[#This Row],[Device]]),3,FALSE)*1200</f>
        <v>3.24</v>
      </c>
      <c r="G5" s="5">
        <f ca="1">VLOOKUP(table_energy_GYRO[[#This Row],[Process]],INDIRECT(table_energy_GYRO[[#This Row],[Device]]),6,FALSE)*1200</f>
        <v>3.24</v>
      </c>
      <c r="H5" s="6">
        <f ca="1">IF(ROW()=ROW(INDIRECT(VLOOKUP(table_energy_GYRO[[#This Row],[Device]],table_reference[],2,FALSE))), TIME(,,), OFFSET(table_energy_GYRO[[#This Row],[End]],-1,,,))</f>
        <v>0</v>
      </c>
      <c r="I5" s="6">
        <f ca="1">table_energy_GYRO[[#This Row],[Start]]+TIME(,,table_energy_GYRO[[#This Row],[Time (s)]])</f>
        <v>0</v>
      </c>
      <c r="J5" s="5"/>
    </row>
    <row r="6" spans="2:10">
      <c r="B6" t="str">
        <f t="shared" si="0"/>
        <v>Gyro</v>
      </c>
      <c r="C6" s="36" t="s">
        <v>33</v>
      </c>
      <c r="D6" s="34">
        <v>900</v>
      </c>
      <c r="E6" s="5">
        <f ca="1">VLOOKUP(table_energy_GYRO[[#This Row],[Process]],INDIRECT(table_energy_GYRO[[#This Row],[Device]]),4,FALSE)*table_energy_GYRO[[#This Row],[Time (s)]]</f>
        <v>9.622799999999998</v>
      </c>
      <c r="F6" s="5">
        <f ca="1">VLOOKUP(table_energy_GYRO[[#This Row],[Process]],INDIRECT(table_energy_GYRO[[#This Row],[Device]]),3,FALSE)*1200</f>
        <v>3.24</v>
      </c>
      <c r="G6" s="5">
        <f ca="1">VLOOKUP(table_energy_GYRO[[#This Row],[Process]],INDIRECT(table_energy_GYRO[[#This Row],[Device]]),6,FALSE)*1200</f>
        <v>3.24</v>
      </c>
      <c r="H6" s="6">
        <f ca="1">IF(ROW()=ROW(INDIRECT(VLOOKUP(table_energy_GYRO[[#This Row],[Device]],table_reference[],2,FALSE))), TIME(,,), OFFSET(table_energy_GYRO[[#This Row],[End]],-1,,,))</f>
        <v>0</v>
      </c>
      <c r="I6" s="6">
        <f ca="1">table_energy_GYRO[[#This Row],[Start]]+TIME(,,table_energy_GYRO[[#This Row],[Time (s)]])</f>
        <v>1.0416666666666666E-2</v>
      </c>
      <c r="J6" s="5"/>
    </row>
    <row r="7" spans="2:10">
      <c r="B7" t="str">
        <f>"Gyro"</f>
        <v>Gyro</v>
      </c>
      <c r="C7" s="36" t="s">
        <v>57</v>
      </c>
      <c r="D7" s="34">
        <v>13500</v>
      </c>
      <c r="E7" s="5">
        <f ca="1">VLOOKUP(table_energy_GYRO[[#This Row],[Process]],INDIRECT(table_energy_GYRO[[#This Row],[Device]]),4,FALSE)*table_energy_GYRO[[#This Row],[Time (s)]]</f>
        <v>0.14968799999999999</v>
      </c>
      <c r="F7" s="5">
        <f ca="1">VLOOKUP(table_energy_GYRO[[#This Row],[Process]],INDIRECT(table_energy_GYRO[[#This Row],[Device]]),3,FALSE)*1200</f>
        <v>3.3599999999999997E-3</v>
      </c>
      <c r="G7" s="5">
        <f ca="1">VLOOKUP(table_energy_GYRO[[#This Row],[Process]],INDIRECT(table_energy_GYRO[[#This Row],[Device]]),6,FALSE)*1200</f>
        <v>3.3599999999999997E-3</v>
      </c>
      <c r="H7" s="6">
        <f ca="1">IF(ROW()=ROW(INDIRECT(VLOOKUP(table_energy_GYRO[[#This Row],[Device]],table_reference[],2,FALSE))), TIME(,,), OFFSET(table_energy_GYRO[[#This Row],[End]],-1,,,))</f>
        <v>1.0416666666666666E-2</v>
      </c>
      <c r="I7" s="6">
        <f ca="1">table_energy_GYRO[[#This Row],[Start]]+TIME(,,table_energy_GYRO[[#This Row],[Time (s)]])</f>
        <v>0.16666666666666666</v>
      </c>
      <c r="J7" s="5"/>
    </row>
    <row r="8" spans="2:10">
      <c r="B8" t="s">
        <v>64</v>
      </c>
      <c r="D8" s="5">
        <f ca="1">SUBTOTAL(109,table_energy_GYRO[Time (s)])</f>
        <v>14400.14</v>
      </c>
      <c r="E8" s="5">
        <f ca="1">SUBTOTAL(109,table_energy_GYRO[Energy used (J)])</f>
        <v>9.7739848799999969</v>
      </c>
      <c r="F8" s="5">
        <f ca="1">SUBTOTAL(104,table_energy_GYRO[Average current (mA)])</f>
        <v>3.24</v>
      </c>
      <c r="G8" s="5">
        <f ca="1">SUBTOTAL(104,table_energy_GYRO[Peak current (mA)])</f>
        <v>3.24</v>
      </c>
      <c r="H8" s="5"/>
      <c r="I8" s="5"/>
      <c r="J8" s="5"/>
    </row>
    <row r="10" spans="2:10" ht="20" thickBot="1">
      <c r="B10" s="69" t="s">
        <v>9</v>
      </c>
      <c r="C10" s="69"/>
      <c r="D10" s="69"/>
      <c r="E10" s="69"/>
      <c r="F10" s="69"/>
    </row>
    <row r="11" spans="2:10" s="31" customFormat="1" ht="17" thickTop="1">
      <c r="B11" s="48" t="s">
        <v>114</v>
      </c>
      <c r="C11" s="39" t="s">
        <v>101</v>
      </c>
    </row>
    <row r="12" spans="2:10">
      <c r="B12" t="s">
        <v>34</v>
      </c>
      <c r="C12" t="s">
        <v>32</v>
      </c>
      <c r="D12" t="s">
        <v>30</v>
      </c>
      <c r="E12" t="s">
        <v>31</v>
      </c>
      <c r="F12" t="s">
        <v>37</v>
      </c>
      <c r="G12" t="s">
        <v>76</v>
      </c>
      <c r="H12" t="s">
        <v>88</v>
      </c>
      <c r="I12" s="30" t="s">
        <v>89</v>
      </c>
      <c r="J12" t="s">
        <v>10</v>
      </c>
    </row>
    <row r="13" spans="2:10">
      <c r="B13" t="str">
        <f>"Acc_Mag"</f>
        <v>Acc_Mag</v>
      </c>
      <c r="C13" s="36" t="s">
        <v>12</v>
      </c>
      <c r="D13" s="34">
        <f ca="1">VLOOKUP(table_energy_ACC[[#This Row],[Process]],INDIRECT(table_energy_ACC[[#This Row],[Device]]),5,FALSE)</f>
        <v>1E-3</v>
      </c>
      <c r="E13" s="5">
        <f ca="1">VLOOKUP(table_energy_ACC[[#This Row],[Process]],INDIRECT(table_energy_ACC[[#This Row],[Device]]),4,FALSE)*table_energy_ACC[[#This Row],[Time (s)]]</f>
        <v>1.188E-8</v>
      </c>
      <c r="F13" s="5">
        <f ca="1">VLOOKUP(table_energy_ACC[[#This Row],[Process]],INDIRECT(table_energy_ACC[[#This Row],[Device]]),3,FALSE)*1200</f>
        <v>3.5999999999999999E-3</v>
      </c>
      <c r="G13" s="5">
        <f ca="1">VLOOKUP(table_energy_ACC[[#This Row],[Process]],INDIRECT(table_energy_ACC[[#This Row],[Device]]),6,FALSE)*1200</f>
        <v>3.5999999999999999E-3</v>
      </c>
      <c r="H13" s="6">
        <f ca="1">IF(ROW()=ROW(INDIRECT(VLOOKUP(table_energy_ACC[[#This Row],[Device]],table_reference[],2,FALSE))), TIME(,,), OFFSET(table_energy_ACC[[#This Row],[End]],-1,,,))</f>
        <v>0</v>
      </c>
      <c r="I13" s="6">
        <f ca="1">table_energy_ACC[[#This Row],[Start]]+TIME(,,table_energy_ACC[[#This Row],[Time (s)]])</f>
        <v>0</v>
      </c>
      <c r="J13" s="5"/>
    </row>
    <row r="14" spans="2:10">
      <c r="B14" t="str">
        <f>"Acc_Mag"</f>
        <v>Acc_Mag</v>
      </c>
      <c r="C14" s="36" t="s">
        <v>67</v>
      </c>
      <c r="D14" s="34">
        <f ca="1">VLOOKUP(table_energy_ACC[[#This Row],[Process]],INDIRECT(table_energy_ACC[[#This Row],[Device]]),5,FALSE)</f>
        <v>8.1000000000000003E-2</v>
      </c>
      <c r="E14" s="5">
        <f ca="1">VLOOKUP(table_energy_ACC[[#This Row],[Process]],INDIRECT(table_energy_ACC[[#This Row],[Device]]),4,FALSE)*table_energy_ACC[[#This Row],[Time (s)]]</f>
        <v>2.5660799999999997E-5</v>
      </c>
      <c r="F14" s="5">
        <f ca="1">VLOOKUP(table_energy_ACC[[#This Row],[Process]],INDIRECT(table_energy_ACC[[#This Row],[Device]]),3,FALSE)*1200</f>
        <v>9.5999999999999988E-2</v>
      </c>
      <c r="G14" s="5">
        <f ca="1">VLOOKUP(table_energy_ACC[[#This Row],[Process]],INDIRECT(table_energy_ACC[[#This Row],[Device]]),6,FALSE)*1200</f>
        <v>9.5999999999999988E-2</v>
      </c>
      <c r="H14" s="6">
        <f ca="1">IF(ROW()=ROW(INDIRECT(VLOOKUP(table_energy_ACC[[#This Row],[Device]],table_reference[],2,FALSE))), TIME(,,), OFFSET(table_energy_ACC[[#This Row],[End]],-1,,,))</f>
        <v>0</v>
      </c>
      <c r="I14" s="6">
        <f ca="1">table_energy_ACC[[#This Row],[Start]]+TIME(,,table_energy_ACC[[#This Row],[Time (s)]])</f>
        <v>0</v>
      </c>
      <c r="J14" s="5"/>
    </row>
    <row r="15" spans="2:10">
      <c r="B15" t="str">
        <f>"Acc_Mag"</f>
        <v>Acc_Mag</v>
      </c>
      <c r="C15" s="36" t="s">
        <v>38</v>
      </c>
      <c r="D15" s="34">
        <v>900</v>
      </c>
      <c r="E15" s="5">
        <f ca="1">VLOOKUP(table_energy_ACC[[#This Row],[Process]],INDIRECT(table_energy_ACC[[#This Row],[Device]]),4,FALSE)*table_energy_ACC[[#This Row],[Time (s)]]</f>
        <v>0.28511999999999993</v>
      </c>
      <c r="F15" s="5">
        <f ca="1">VLOOKUP(table_energy_ACC[[#This Row],[Process]],INDIRECT(table_energy_ACC[[#This Row],[Device]]),3,FALSE)*1200</f>
        <v>9.5999999999999988E-2</v>
      </c>
      <c r="G15" s="5">
        <f ca="1">VLOOKUP(table_energy_ACC[[#This Row],[Process]],INDIRECT(table_energy_ACC[[#This Row],[Device]]),6,FALSE)*1200</f>
        <v>9.5999999999999988E-2</v>
      </c>
      <c r="H15" s="6">
        <f ca="1">IF(ROW()=ROW(INDIRECT(VLOOKUP(table_energy_ACC[[#This Row],[Device]],table_reference[],2,FALSE))), TIME(,,), OFFSET(table_energy_ACC[[#This Row],[End]],-1,,,))</f>
        <v>0</v>
      </c>
      <c r="I15" s="6">
        <f ca="1">table_energy_ACC[[#This Row],[Start]]+TIME(,,table_energy_ACC[[#This Row],[Time (s)]])</f>
        <v>1.0416666666666666E-2</v>
      </c>
      <c r="J15" s="5"/>
    </row>
    <row r="16" spans="2:10">
      <c r="B16" t="str">
        <f>"Acc_Mag"</f>
        <v>Acc_Mag</v>
      </c>
      <c r="C16" s="36" t="s">
        <v>57</v>
      </c>
      <c r="D16" s="34">
        <v>13500</v>
      </c>
      <c r="E16" s="5">
        <f ca="1">VLOOKUP(table_energy_ACC[[#This Row],[Process]],INDIRECT(table_energy_ACC[[#This Row],[Device]]),4,FALSE)*table_energy_ACC[[#This Row],[Time (s)]]</f>
        <v>0.10691999999999999</v>
      </c>
      <c r="F16" s="5">
        <f ca="1">VLOOKUP(table_energy_ACC[[#This Row],[Process]],INDIRECT(table_energy_ACC[[#This Row],[Device]]),3,FALSE)*1200</f>
        <v>2.3999999999999998E-3</v>
      </c>
      <c r="G16" s="5">
        <f ca="1">VLOOKUP(table_energy_ACC[[#This Row],[Process]],INDIRECT(table_energy_ACC[[#This Row],[Device]]),6,FALSE)*1200</f>
        <v>2.3999999999999998E-3</v>
      </c>
      <c r="H16" s="6">
        <f ca="1">IF(ROW()=ROW(INDIRECT(VLOOKUP(table_energy_ACC[[#This Row],[Device]],table_reference[],2,FALSE))), TIME(,,), OFFSET(table_energy_ACC[[#This Row],[End]],-1,,,))</f>
        <v>1.0416666666666666E-2</v>
      </c>
      <c r="I16" s="6">
        <f ca="1">table_energy_ACC[[#This Row],[Start]]+TIME(,,table_energy_ACC[[#This Row],[Time (s)]])</f>
        <v>0.16666666666666666</v>
      </c>
      <c r="J16" s="5"/>
    </row>
    <row r="17" spans="2:10">
      <c r="B17" s="26" t="s">
        <v>64</v>
      </c>
      <c r="C17" s="26"/>
      <c r="D17" s="27">
        <f ca="1">SUBTOTAL(109,table_energy_ACC[Time (s)])</f>
        <v>14400.082</v>
      </c>
      <c r="E17" s="27">
        <f ca="1">SUBTOTAL(109,table_energy_ACC[Energy used (J)])</f>
        <v>0.39206567267999992</v>
      </c>
      <c r="F17" s="27">
        <f ca="1">SUBTOTAL(104,table_energy_ACC[Average current (mA)])</f>
        <v>9.5999999999999988E-2</v>
      </c>
      <c r="G17" s="27">
        <f ca="1">SUBTOTAL(104,table_energy_ACC[Peak current (mA)])</f>
        <v>9.5999999999999988E-2</v>
      </c>
      <c r="H17" s="27"/>
      <c r="I17" s="27"/>
      <c r="J17" s="27"/>
    </row>
    <row r="20" spans="2:10" ht="20" thickBot="1">
      <c r="B20" s="69" t="s">
        <v>40</v>
      </c>
      <c r="C20" s="69"/>
      <c r="D20" s="69"/>
      <c r="E20" s="69"/>
      <c r="F20" s="69"/>
      <c r="G20" s="31"/>
    </row>
    <row r="21" spans="2:10" ht="17" thickTop="1">
      <c r="B21" s="49" t="s">
        <v>114</v>
      </c>
      <c r="C21" s="39" t="s">
        <v>102</v>
      </c>
    </row>
    <row r="22" spans="2:10">
      <c r="B22" t="s">
        <v>34</v>
      </c>
      <c r="C22" t="s">
        <v>32</v>
      </c>
      <c r="D22" t="s">
        <v>30</v>
      </c>
      <c r="E22" t="s">
        <v>31</v>
      </c>
      <c r="F22" t="s">
        <v>37</v>
      </c>
      <c r="G22" t="s">
        <v>76</v>
      </c>
      <c r="H22" t="s">
        <v>88</v>
      </c>
      <c r="I22" s="30" t="s">
        <v>89</v>
      </c>
      <c r="J22" t="s">
        <v>10</v>
      </c>
    </row>
    <row r="23" spans="2:10">
      <c r="B23" s="20" t="str">
        <f t="shared" ref="B23:B30" si="1">"Temp_sensor"</f>
        <v>Temp_sensor</v>
      </c>
      <c r="C23" s="36" t="s">
        <v>74</v>
      </c>
      <c r="D23" s="50">
        <v>2</v>
      </c>
      <c r="E23" s="21">
        <f ca="1">VLOOKUP(table_energy_TEMP[[#This Row],[Process]],INDIRECT(table_energy_TEMP[[#This Row],[Device]]),4,FALSE)*table_energy_TEMP[[#This Row],[Time (s)]]</f>
        <v>1.1879999999999998E-2</v>
      </c>
      <c r="F23" s="21">
        <f ca="1">VLOOKUP(table_energy_TEMP[[#This Row],[Process]],INDIRECT(table_energy_TEMP[[#This Row],[Device]]),3,FALSE)*1200</f>
        <v>1.8</v>
      </c>
      <c r="G23" s="21">
        <f ca="1">VLOOKUP(table_energy_TEMP[[#This Row],[Process]],INDIRECT(table_energy_TEMP[[#This Row],[Device]]),6,FALSE)*1200</f>
        <v>1.8</v>
      </c>
      <c r="H23" s="32">
        <f ca="1">IF(ROW()=ROW(INDIRECT(VLOOKUP(table_energy_TEMP[[#This Row],[Device]],table_reference[],2,FALSE))), TIME(,,), OFFSET(table_energy_TEMP[[#This Row],[End]],-1,,,))</f>
        <v>0</v>
      </c>
      <c r="I23" s="6">
        <f ca="1">table_energy_TEMP[[#This Row],[Start]]+TIME(,,table_energy_TEMP[[#This Row],[Time (s)]])</f>
        <v>2.3148148148148147E-5</v>
      </c>
      <c r="J23" s="21"/>
    </row>
    <row r="24" spans="2:10">
      <c r="B24" s="20" t="str">
        <f t="shared" si="1"/>
        <v>Temp_sensor</v>
      </c>
      <c r="C24" s="36" t="s">
        <v>57</v>
      </c>
      <c r="D24" s="50">
        <v>3598</v>
      </c>
      <c r="E24" s="21">
        <f ca="1">VLOOKUP(table_energy_TEMP[[#This Row],[Process]],INDIRECT(table_energy_TEMP[[#This Row],[Device]]),4,FALSE)*table_energy_TEMP[[#This Row],[Time (s)]]</f>
        <v>1.4248079999999998E-2</v>
      </c>
      <c r="F24" s="21">
        <f ca="1">VLOOKUP(table_energy_TEMP[[#This Row],[Process]],INDIRECT(table_energy_TEMP[[#This Row],[Device]]),3,FALSE)*1200</f>
        <v>1.1999999999999999E-3</v>
      </c>
      <c r="G24" s="21">
        <f ca="1">VLOOKUP(table_energy_TEMP[[#This Row],[Process]],INDIRECT(table_energy_TEMP[[#This Row],[Device]]),6,FALSE)*1200</f>
        <v>1.1999999999999999E-3</v>
      </c>
      <c r="H24" s="32">
        <f ca="1">IF(ROW()=ROW(INDIRECT(VLOOKUP(table_energy_TEMP[[#This Row],[Device]],table_reference[],2,FALSE))), TIME(,,), OFFSET(table_energy_TEMP[[#This Row],[End]],-1,,,))</f>
        <v>2.3148148148148147E-5</v>
      </c>
      <c r="I24" s="6">
        <f ca="1">table_energy_TEMP[[#This Row],[Start]]+TIME(,,table_energy_TEMP[[#This Row],[Time (s)]])</f>
        <v>4.1666666666666664E-2</v>
      </c>
      <c r="J24" s="21"/>
    </row>
    <row r="25" spans="2:10">
      <c r="B25" s="20" t="str">
        <f t="shared" si="1"/>
        <v>Temp_sensor</v>
      </c>
      <c r="C25" s="36" t="s">
        <v>74</v>
      </c>
      <c r="D25" s="50">
        <v>2</v>
      </c>
      <c r="E25" s="21">
        <f ca="1">VLOOKUP(table_energy_TEMP[[#This Row],[Process]],INDIRECT(table_energy_TEMP[[#This Row],[Device]]),4,FALSE)*table_energy_TEMP[[#This Row],[Time (s)]]</f>
        <v>1.1879999999999998E-2</v>
      </c>
      <c r="F25" s="21">
        <f ca="1">VLOOKUP(table_energy_TEMP[[#This Row],[Process]],INDIRECT(table_energy_TEMP[[#This Row],[Device]]),3,FALSE)*1200</f>
        <v>1.8</v>
      </c>
      <c r="G25" s="21">
        <f ca="1">VLOOKUP(table_energy_TEMP[[#This Row],[Process]],INDIRECT(table_energy_TEMP[[#This Row],[Device]]),6,FALSE)*1200</f>
        <v>1.8</v>
      </c>
      <c r="H25" s="32">
        <f ca="1">IF(ROW()=ROW(INDIRECT(VLOOKUP(table_energy_TEMP[[#This Row],[Device]],table_reference[],2,FALSE))), TIME(,,), OFFSET(table_energy_TEMP[[#This Row],[End]],-1,,,))</f>
        <v>4.1666666666666664E-2</v>
      </c>
      <c r="I25" s="6">
        <f ca="1">table_energy_TEMP[[#This Row],[Start]]+TIME(,,table_energy_TEMP[[#This Row],[Time (s)]])</f>
        <v>4.1689814814814811E-2</v>
      </c>
      <c r="J25" s="21"/>
    </row>
    <row r="26" spans="2:10">
      <c r="B26" s="20" t="str">
        <f t="shared" si="1"/>
        <v>Temp_sensor</v>
      </c>
      <c r="C26" s="36" t="s">
        <v>57</v>
      </c>
      <c r="D26" s="50">
        <v>3598</v>
      </c>
      <c r="E26" s="21">
        <f ca="1">VLOOKUP(table_energy_TEMP[[#This Row],[Process]],INDIRECT(table_energy_TEMP[[#This Row],[Device]]),4,FALSE)*table_energy_TEMP[[#This Row],[Time (s)]]</f>
        <v>1.4248079999999998E-2</v>
      </c>
      <c r="F26" s="21">
        <f ca="1">VLOOKUP(table_energy_TEMP[[#This Row],[Process]],INDIRECT(table_energy_TEMP[[#This Row],[Device]]),3,FALSE)*1200</f>
        <v>1.1999999999999999E-3</v>
      </c>
      <c r="G26" s="21">
        <f ca="1">VLOOKUP(table_energy_TEMP[[#This Row],[Process]],INDIRECT(table_energy_TEMP[[#This Row],[Device]]),6,FALSE)*1200</f>
        <v>1.1999999999999999E-3</v>
      </c>
      <c r="H26" s="32">
        <f ca="1">IF(ROW()=ROW(INDIRECT(VLOOKUP(table_energy_TEMP[[#This Row],[Device]],table_reference[],2,FALSE))), TIME(,,), OFFSET(table_energy_TEMP[[#This Row],[End]],-1,,,))</f>
        <v>4.1689814814814811E-2</v>
      </c>
      <c r="I26" s="6">
        <f ca="1">table_energy_TEMP[[#This Row],[Start]]+TIME(,,table_energy_TEMP[[#This Row],[Time (s)]])</f>
        <v>8.3333333333333329E-2</v>
      </c>
      <c r="J26" s="21"/>
    </row>
    <row r="27" spans="2:10">
      <c r="B27" s="20" t="str">
        <f t="shared" si="1"/>
        <v>Temp_sensor</v>
      </c>
      <c r="C27" s="36" t="s">
        <v>74</v>
      </c>
      <c r="D27" s="50">
        <v>2</v>
      </c>
      <c r="E27" s="21">
        <f ca="1">VLOOKUP(table_energy_TEMP[[#This Row],[Process]],INDIRECT(table_energy_TEMP[[#This Row],[Device]]),4,FALSE)*table_energy_TEMP[[#This Row],[Time (s)]]</f>
        <v>1.1879999999999998E-2</v>
      </c>
      <c r="F27" s="21">
        <f ca="1">VLOOKUP(table_energy_TEMP[[#This Row],[Process]],INDIRECT(table_energy_TEMP[[#This Row],[Device]]),3,FALSE)*1200</f>
        <v>1.8</v>
      </c>
      <c r="G27" s="21">
        <f ca="1">VLOOKUP(table_energy_TEMP[[#This Row],[Process]],INDIRECT(table_energy_TEMP[[#This Row],[Device]]),6,FALSE)*1200</f>
        <v>1.8</v>
      </c>
      <c r="H27" s="32">
        <f ca="1">IF(ROW()=ROW(INDIRECT(VLOOKUP(table_energy_TEMP[[#This Row],[Device]],table_reference[],2,FALSE))), TIME(,,), OFFSET(table_energy_TEMP[[#This Row],[End]],-1,,,))</f>
        <v>8.3333333333333329E-2</v>
      </c>
      <c r="I27" s="6">
        <f ca="1">table_energy_TEMP[[#This Row],[Start]]+TIME(,,table_energy_TEMP[[#This Row],[Time (s)]])</f>
        <v>8.3356481481481476E-2</v>
      </c>
      <c r="J27" s="21"/>
    </row>
    <row r="28" spans="2:10">
      <c r="B28" s="20" t="str">
        <f t="shared" si="1"/>
        <v>Temp_sensor</v>
      </c>
      <c r="C28" s="36" t="s">
        <v>57</v>
      </c>
      <c r="D28" s="50">
        <v>3598</v>
      </c>
      <c r="E28" s="21">
        <f ca="1">VLOOKUP(table_energy_TEMP[[#This Row],[Process]],INDIRECT(table_energy_TEMP[[#This Row],[Device]]),4,FALSE)*table_energy_TEMP[[#This Row],[Time (s)]]</f>
        <v>1.4248079999999998E-2</v>
      </c>
      <c r="F28" s="21">
        <f ca="1">VLOOKUP(table_energy_TEMP[[#This Row],[Process]],INDIRECT(table_energy_TEMP[[#This Row],[Device]]),3,FALSE)*1200</f>
        <v>1.1999999999999999E-3</v>
      </c>
      <c r="G28" s="21">
        <f ca="1">VLOOKUP(table_energy_TEMP[[#This Row],[Process]],INDIRECT(table_energy_TEMP[[#This Row],[Device]]),6,FALSE)*1200</f>
        <v>1.1999999999999999E-3</v>
      </c>
      <c r="H28" s="32">
        <f ca="1">IF(ROW()=ROW(INDIRECT(VLOOKUP(table_energy_TEMP[[#This Row],[Device]],table_reference[],2,FALSE))), TIME(,,), OFFSET(table_energy_TEMP[[#This Row],[End]],-1,,,))</f>
        <v>8.3356481481481476E-2</v>
      </c>
      <c r="I28" s="6">
        <f ca="1">table_energy_TEMP[[#This Row],[Start]]+TIME(,,table_energy_TEMP[[#This Row],[Time (s)]])</f>
        <v>0.125</v>
      </c>
      <c r="J28" s="21"/>
    </row>
    <row r="29" spans="2:10">
      <c r="B29" s="20" t="str">
        <f t="shared" si="1"/>
        <v>Temp_sensor</v>
      </c>
      <c r="C29" s="36" t="s">
        <v>74</v>
      </c>
      <c r="D29" s="50">
        <v>2</v>
      </c>
      <c r="E29" s="21">
        <f ca="1">VLOOKUP(table_energy_TEMP[[#This Row],[Process]],INDIRECT(table_energy_TEMP[[#This Row],[Device]]),4,FALSE)*table_energy_TEMP[[#This Row],[Time (s)]]</f>
        <v>1.1879999999999998E-2</v>
      </c>
      <c r="F29" s="21">
        <f ca="1">VLOOKUP(table_energy_TEMP[[#This Row],[Process]],INDIRECT(table_energy_TEMP[[#This Row],[Device]]),3,FALSE)*1200</f>
        <v>1.8</v>
      </c>
      <c r="G29" s="21">
        <f ca="1">VLOOKUP(table_energy_TEMP[[#This Row],[Process]],INDIRECT(table_energy_TEMP[[#This Row],[Device]]),6,FALSE)*1200</f>
        <v>1.8</v>
      </c>
      <c r="H29" s="32">
        <f ca="1">IF(ROW()=ROW(INDIRECT(VLOOKUP(table_energy_TEMP[[#This Row],[Device]],table_reference[],2,FALSE))), TIME(,,), OFFSET(table_energy_TEMP[[#This Row],[End]],-1,,,))</f>
        <v>0.125</v>
      </c>
      <c r="I29" s="6">
        <f ca="1">table_energy_TEMP[[#This Row],[Start]]+TIME(,,table_energy_TEMP[[#This Row],[Time (s)]])</f>
        <v>0.12502314814814816</v>
      </c>
      <c r="J29" s="21"/>
    </row>
    <row r="30" spans="2:10">
      <c r="B30" s="20" t="str">
        <f t="shared" si="1"/>
        <v>Temp_sensor</v>
      </c>
      <c r="C30" s="36" t="s">
        <v>57</v>
      </c>
      <c r="D30" s="50">
        <v>3598</v>
      </c>
      <c r="E30" s="21">
        <f ca="1">VLOOKUP(table_energy_TEMP[[#This Row],[Process]],INDIRECT(table_energy_TEMP[[#This Row],[Device]]),4,FALSE)*table_energy_TEMP[[#This Row],[Time (s)]]</f>
        <v>1.4248079999999998E-2</v>
      </c>
      <c r="F30" s="21">
        <f ca="1">VLOOKUP(table_energy_TEMP[[#This Row],[Process]],INDIRECT(table_energy_TEMP[[#This Row],[Device]]),3,FALSE)*1200</f>
        <v>1.1999999999999999E-3</v>
      </c>
      <c r="G30" s="21">
        <f ca="1">VLOOKUP(table_energy_TEMP[[#This Row],[Process]],INDIRECT(table_energy_TEMP[[#This Row],[Device]]),6,FALSE)*1200</f>
        <v>1.1999999999999999E-3</v>
      </c>
      <c r="H30" s="32">
        <f ca="1">IF(ROW()=ROW(INDIRECT(VLOOKUP(table_energy_TEMP[[#This Row],[Device]],table_reference[],2,FALSE))), TIME(,,), OFFSET(table_energy_TEMP[[#This Row],[End]],-1,,,))</f>
        <v>0.12502314814814816</v>
      </c>
      <c r="I30" s="6">
        <f ca="1">table_energy_TEMP[[#This Row],[Start]]+TIME(,,table_energy_TEMP[[#This Row],[Time (s)]])</f>
        <v>0.16666666666666669</v>
      </c>
      <c r="J30" s="21"/>
    </row>
    <row r="31" spans="2:10">
      <c r="B31" s="26" t="s">
        <v>64</v>
      </c>
      <c r="C31" s="26"/>
      <c r="D31" s="27">
        <f>SUBTOTAL(109,table_energy_TEMP[Time (s)])</f>
        <v>14400</v>
      </c>
      <c r="E31" s="27">
        <f ca="1">SUBTOTAL(109,table_energy_TEMP[Energy used (J)])</f>
        <v>0.10451231999999999</v>
      </c>
      <c r="F31" s="27">
        <f ca="1">SUBTOTAL(104,table_energy_TEMP[Average current (mA)])</f>
        <v>1.8</v>
      </c>
      <c r="G31" s="27">
        <f ca="1">SUBTOTAL(104,table_energy_TEMP[Peak current (mA)])</f>
        <v>1.8</v>
      </c>
      <c r="H31" s="27"/>
      <c r="I31" s="27"/>
      <c r="J31" s="27"/>
    </row>
    <row r="33" spans="1:10">
      <c r="A33" t="s">
        <v>28</v>
      </c>
    </row>
    <row r="34" spans="1:10" ht="20" thickBot="1">
      <c r="B34" s="69" t="s">
        <v>41</v>
      </c>
      <c r="C34" s="69"/>
      <c r="D34" s="69"/>
      <c r="E34" s="69"/>
      <c r="F34" s="69"/>
      <c r="G34" s="69"/>
    </row>
    <row r="35" spans="1:10" ht="17" thickTop="1">
      <c r="B35" s="49" t="s">
        <v>114</v>
      </c>
      <c r="C35" s="40" t="s">
        <v>103</v>
      </c>
      <c r="D35" s="31"/>
      <c r="E35" s="31"/>
      <c r="F35" s="31"/>
      <c r="G35" s="31"/>
      <c r="H35" s="31"/>
      <c r="I35" s="31"/>
      <c r="J35" s="31"/>
    </row>
    <row r="36" spans="1:10" s="31" customFormat="1">
      <c r="B36" t="s">
        <v>34</v>
      </c>
      <c r="C36" t="s">
        <v>32</v>
      </c>
      <c r="D36" t="s">
        <v>30</v>
      </c>
      <c r="E36" t="s">
        <v>31</v>
      </c>
      <c r="F36" t="s">
        <v>37</v>
      </c>
      <c r="G36" t="s">
        <v>76</v>
      </c>
      <c r="H36" t="s">
        <v>88</v>
      </c>
      <c r="I36" s="30" t="s">
        <v>89</v>
      </c>
      <c r="J36" t="s">
        <v>10</v>
      </c>
    </row>
    <row r="37" spans="1:10" s="31" customFormat="1">
      <c r="B37" s="18" t="str">
        <f t="shared" ref="B37:B39" si="2">"GPS"</f>
        <v>GPS</v>
      </c>
      <c r="C37" s="36" t="s">
        <v>42</v>
      </c>
      <c r="D37" s="34">
        <v>30</v>
      </c>
      <c r="E37" s="5">
        <f ca="1">VLOOKUP(table_energy_GPS[[#This Row],[Process]],INDIRECT(table_energy_GPS[[#This Row],[Device]]),4,FALSE)*table_energy_GPS[[#This Row],[Time (s)]]</f>
        <v>2.6135999999999995</v>
      </c>
      <c r="F37" s="5">
        <f ca="1">VLOOKUP(table_energy_GPS[[#This Row],[Process]],INDIRECT(table_energy_GPS[[#This Row],[Device]]),3,FALSE)*1200</f>
        <v>26.4</v>
      </c>
      <c r="G37" s="5">
        <f ca="1">VLOOKUP(table_energy_GPS[[#This Row],[Process]],INDIRECT(table_energy_GPS[[#This Row],[Device]]),6,FALSE)*1200</f>
        <v>80.400000000000006</v>
      </c>
      <c r="H37" s="6">
        <f ca="1">IF(ROW()=ROW(INDIRECT(VLOOKUP(table_energy_GPS[[#This Row],[Device]],table_reference[],2,FALSE))), TIME(,,), OFFSET(table_energy_GPS[[#This Row],[End]],-1,,,))</f>
        <v>0</v>
      </c>
      <c r="I37" s="6">
        <f ca="1">table_energy_GPS[[#This Row],[Start]]+TIME(,,table_energy_GPS[[#This Row],[Time (s)]])</f>
        <v>3.4722222222222224E-4</v>
      </c>
      <c r="J37" s="25"/>
    </row>
    <row r="38" spans="1:10">
      <c r="B38" s="18" t="str">
        <f t="shared" si="2"/>
        <v>GPS</v>
      </c>
      <c r="C38" s="36" t="s">
        <v>77</v>
      </c>
      <c r="D38" s="34">
        <v>120</v>
      </c>
      <c r="E38" s="5">
        <f ca="1">VLOOKUP(table_energy_GPS[[#This Row],[Process]],INDIRECT(table_energy_GPS[[#This Row],[Device]]),4,FALSE)*table_energy_GPS[[#This Row],[Time (s)]]</f>
        <v>2.3760000000000003</v>
      </c>
      <c r="F38" s="5">
        <f ca="1">VLOOKUP(table_energy_GPS[[#This Row],[Process]],INDIRECT(table_energy_GPS[[#This Row],[Device]]),3,FALSE)*1200</f>
        <v>6</v>
      </c>
      <c r="G38" s="5">
        <f ca="1">VLOOKUP(table_energy_GPS[[#This Row],[Process]],INDIRECT(table_energy_GPS[[#This Row],[Device]]),6,FALSE)*1200</f>
        <v>80.400000000000006</v>
      </c>
      <c r="H38" s="6">
        <f ca="1">IF(ROW()=ROW(INDIRECT(VLOOKUP(table_energy_GPS[[#This Row],[Device]],table_reference[],2,FALSE))), TIME(,,), OFFSET(table_energy_GPS[[#This Row],[End]],-1,,,))</f>
        <v>3.4722222222222224E-4</v>
      </c>
      <c r="I38" s="6">
        <f ca="1">table_energy_GPS[[#This Row],[Start]]+TIME(,,table_energy_GPS[[#This Row],[Time (s)]])</f>
        <v>1.7361111111111112E-3</v>
      </c>
      <c r="J38" s="5"/>
    </row>
    <row r="39" spans="1:10">
      <c r="B39" s="18" t="str">
        <f t="shared" si="2"/>
        <v>GPS</v>
      </c>
      <c r="C39" s="36" t="s">
        <v>63</v>
      </c>
      <c r="D39" s="34">
        <v>14250</v>
      </c>
      <c r="E39" s="5">
        <f ca="1">VLOOKUP(table_energy_GPS[[#This Row],[Process]],INDIRECT(table_energy_GPS[[#This Row],[Device]]),4,FALSE)*table_energy_GPS[[#This Row],[Time (s)]]</f>
        <v>0</v>
      </c>
      <c r="F39" s="5">
        <f ca="1">VLOOKUP(table_energy_GPS[[#This Row],[Process]],INDIRECT(table_energy_GPS[[#This Row],[Device]]),3,FALSE)*1200</f>
        <v>0</v>
      </c>
      <c r="G39" s="5">
        <f ca="1">VLOOKUP(table_energy_GPS[[#This Row],[Process]],INDIRECT(table_energy_GPS[[#This Row],[Device]]),6,FALSE)*1200</f>
        <v>0</v>
      </c>
      <c r="H39" s="6">
        <f ca="1">IF(ROW()=ROW(INDIRECT(VLOOKUP(table_energy_GPS[[#This Row],[Device]],table_reference[],2,FALSE))), TIME(,,), OFFSET(table_energy_GPS[[#This Row],[End]],-1,,,))</f>
        <v>1.7361111111111112E-3</v>
      </c>
      <c r="I39" s="6">
        <f ca="1">table_energy_GPS[[#This Row],[Start]]+TIME(,,table_energy_GPS[[#This Row],[Time (s)]])</f>
        <v>0.16666666666666666</v>
      </c>
      <c r="J39" s="5"/>
    </row>
    <row r="40" spans="1:10">
      <c r="B40" t="s">
        <v>64</v>
      </c>
      <c r="D40" s="5">
        <f>SUBTOTAL(109,table_energy_GPS[Time (s)])</f>
        <v>14400</v>
      </c>
      <c r="E40" s="5">
        <f ca="1">SUBTOTAL(109,table_energy_GPS[Energy used (J)])</f>
        <v>4.9895999999999994</v>
      </c>
      <c r="F40" s="5">
        <f ca="1">SUBTOTAL(104,table_energy_GPS[Average current (mA)])</f>
        <v>26.4</v>
      </c>
      <c r="G40" s="5">
        <f ca="1">SUBTOTAL(104,table_energy_GPS[Peak current (mA)])</f>
        <v>80.400000000000006</v>
      </c>
      <c r="H40" s="5"/>
      <c r="I40" s="5"/>
      <c r="J40" s="5"/>
    </row>
    <row r="44" spans="1:10" ht="20" thickBot="1">
      <c r="B44" s="69" t="s">
        <v>104</v>
      </c>
      <c r="C44" s="69"/>
      <c r="D44" s="69"/>
      <c r="E44" s="69"/>
      <c r="F44" s="69"/>
      <c r="G44" s="69"/>
    </row>
    <row r="45" spans="1:10" ht="17" thickTop="1">
      <c r="B45" s="49" t="s">
        <v>114</v>
      </c>
      <c r="C45" s="40" t="s">
        <v>107</v>
      </c>
    </row>
    <row r="46" spans="1:10">
      <c r="B46" t="s">
        <v>34</v>
      </c>
      <c r="C46" t="s">
        <v>32</v>
      </c>
      <c r="D46" t="s">
        <v>30</v>
      </c>
      <c r="E46" t="s">
        <v>31</v>
      </c>
      <c r="F46" t="s">
        <v>37</v>
      </c>
      <c r="G46" t="s">
        <v>76</v>
      </c>
      <c r="H46" t="s">
        <v>88</v>
      </c>
      <c r="I46" s="30" t="s">
        <v>89</v>
      </c>
      <c r="J46" t="s">
        <v>10</v>
      </c>
    </row>
    <row r="47" spans="1:10">
      <c r="B47" t="str">
        <f t="shared" ref="B47" si="3">"Rockblock"</f>
        <v>Rockblock</v>
      </c>
      <c r="C47" s="36" t="s">
        <v>52</v>
      </c>
      <c r="D47" s="34">
        <f ca="1">VLOOKUP(table_energy_Rockblock[[#This Row],[Process]],INDIRECT(table_energy_Rockblock[[#This Row],[Device]]),5,FALSE)</f>
        <v>3600</v>
      </c>
      <c r="E47" s="5">
        <f ca="1">VLOOKUP(table_energy_Rockblock[[#This Row],[Process]],INDIRECT(table_energy_Rockblock[[#This Row],[Device]]),4,FALSE)*table_energy_Rockblock[[#This Row],[Time (s)]]</f>
        <v>23.975999999999999</v>
      </c>
      <c r="F47" s="5">
        <f ca="1">VLOOKUP(table_energy_Rockblock[[#This Row],[Process]],INDIRECT(table_energy_Rockblock[[#This Row],[Device]]),3,FALSE)*1200</f>
        <v>1.3320000000000001</v>
      </c>
      <c r="G47" s="5">
        <f ca="1">VLOOKUP(table_energy_Rockblock[[#This Row],[Process]],INDIRECT(table_energy_Rockblock[[#This Row],[Device]]),6,FALSE)*1200</f>
        <v>1.3320000000000001</v>
      </c>
      <c r="H47" s="6">
        <f ca="1">IF(ROW()=ROW(INDIRECT(VLOOKUP(table_energy_Rockblock[[#This Row],[Device]],table_reference[],2,FALSE))), TIME(,,), OFFSET(table_energy_Rockblock[[#This Row],[End]],-1,,,))</f>
        <v>0</v>
      </c>
      <c r="I47" s="6">
        <f ca="1">table_energy_Rockblock[[#This Row],[Start]]+TIME(,,table_energy_Rockblock[[#This Row],[Time (s)]])</f>
        <v>4.1666666666666664E-2</v>
      </c>
      <c r="J47" s="5"/>
    </row>
    <row r="48" spans="1:10">
      <c r="B48" t="str">
        <f>"Rockblock"</f>
        <v>Rockblock</v>
      </c>
      <c r="C48" s="36" t="s">
        <v>51</v>
      </c>
      <c r="D48" s="34">
        <f ca="1">VLOOKUP(table_energy_Rockblock[[#This Row],[Process]],INDIRECT(table_energy_Rockblock[[#This Row],[Device]]),5,FALSE)</f>
        <v>10200</v>
      </c>
      <c r="E48" s="5">
        <f ca="1">VLOOKUP(table_energy_Rockblock[[#This Row],[Process]],INDIRECT(table_energy_Rockblock[[#This Row],[Device]]),4,FALSE)*table_energy_Rockblock[[#This Row],[Time (s)]]</f>
        <v>6.1199999999999992</v>
      </c>
      <c r="F48" s="5">
        <f ca="1">VLOOKUP(table_energy_Rockblock[[#This Row],[Process]],INDIRECT(table_energy_Rockblock[[#This Row],[Device]]),3,FALSE)*1200</f>
        <v>0.12</v>
      </c>
      <c r="G48" s="5">
        <f ca="1">VLOOKUP(table_energy_Rockblock[[#This Row],[Process]],INDIRECT(table_energy_Rockblock[[#This Row],[Device]]),6,FALSE)*1200</f>
        <v>0.12000000000000001</v>
      </c>
      <c r="H48" s="6">
        <f ca="1">IF(ROW()=ROW(INDIRECT(VLOOKUP(table_energy_Rockblock[[#This Row],[Device]],table_reference[],2,FALSE))), TIME(,,), OFFSET(table_energy_Rockblock[[#This Row],[End]],-1,,,))</f>
        <v>4.1666666666666664E-2</v>
      </c>
      <c r="I48" s="6">
        <f ca="1">table_energy_Rockblock[[#This Row],[Start]]+TIME(,,table_energy_Rockblock[[#This Row],[Time (s)]])</f>
        <v>0.15972222222222224</v>
      </c>
      <c r="J48" s="5"/>
    </row>
    <row r="49" spans="2:10">
      <c r="B49" t="str">
        <f>"Rockblock"</f>
        <v>Rockblock</v>
      </c>
      <c r="C49" s="36" t="s">
        <v>50</v>
      </c>
      <c r="D49" s="34">
        <f ca="1">VLOOKUP(table_energy_Rockblock[[#This Row],[Process]],INDIRECT(table_energy_Rockblock[[#This Row],[Device]]),5,FALSE)</f>
        <v>60</v>
      </c>
      <c r="E49" s="5">
        <f ca="1">VLOOKUP(table_energy_Rockblock[[#This Row],[Process]],INDIRECT(table_energy_Rockblock[[#This Row],[Device]]),4,FALSE)*table_energy_Rockblock[[#This Row],[Time (s)]]</f>
        <v>23.400000000000002</v>
      </c>
      <c r="F49" s="5">
        <f ca="1">VLOOKUP(table_energy_Rockblock[[#This Row],[Process]],INDIRECT(table_energy_Rockblock[[#This Row],[Device]]),3,FALSE)*1200</f>
        <v>78</v>
      </c>
      <c r="G49" s="5">
        <f ca="1">VLOOKUP(table_energy_Rockblock[[#This Row],[Process]],INDIRECT(table_energy_Rockblock[[#This Row],[Device]]),6,FALSE)*1200</f>
        <v>564</v>
      </c>
      <c r="H49" s="6">
        <f ca="1">IF(ROW()=ROW(INDIRECT(VLOOKUP(table_energy_Rockblock[[#This Row],[Device]],table_reference[],2,FALSE))), TIME(,,), OFFSET(table_energy_Rockblock[[#This Row],[End]],-1,,,))</f>
        <v>0.15972222222222224</v>
      </c>
      <c r="I49" s="6">
        <f ca="1">table_energy_Rockblock[[#This Row],[Start]]+TIME(,,table_energy_Rockblock[[#This Row],[Time (s)]])</f>
        <v>0.16041666666666668</v>
      </c>
      <c r="J49" s="5"/>
    </row>
    <row r="50" spans="2:10">
      <c r="B50" t="str">
        <f>"Rockblock"</f>
        <v>Rockblock</v>
      </c>
      <c r="C50" s="36" t="s">
        <v>50</v>
      </c>
      <c r="D50" s="34">
        <f ca="1">VLOOKUP(table_energy_Rockblock[[#This Row],[Process]],INDIRECT(table_energy_Rockblock[[#This Row],[Device]]),5,FALSE)</f>
        <v>60</v>
      </c>
      <c r="E50" s="5">
        <f ca="1">VLOOKUP(table_energy_Rockblock[[#This Row],[Process]],INDIRECT(table_energy_Rockblock[[#This Row],[Device]]),4,FALSE)*table_energy_Rockblock[[#This Row],[Time (s)]]</f>
        <v>23.400000000000002</v>
      </c>
      <c r="F50" s="5">
        <f ca="1">VLOOKUP(table_energy_Rockblock[[#This Row],[Process]],INDIRECT(table_energy_Rockblock[[#This Row],[Device]]),3,FALSE)*1200</f>
        <v>78</v>
      </c>
      <c r="G50" s="5">
        <f ca="1">VLOOKUP(table_energy_Rockblock[[#This Row],[Process]],INDIRECT(table_energy_Rockblock[[#This Row],[Device]]),6,FALSE)*1200</f>
        <v>564</v>
      </c>
      <c r="H50" s="6">
        <f ca="1">IF(ROW()=ROW(INDIRECT(VLOOKUP(table_energy_Rockblock[[#This Row],[Device]],table_reference[],2,FALSE))), TIME(,,), OFFSET(table_energy_Rockblock[[#This Row],[End]],-1,,,))</f>
        <v>0.16041666666666668</v>
      </c>
      <c r="I50" s="6">
        <f ca="1">table_energy_Rockblock[[#This Row],[Start]]+TIME(,,table_energy_Rockblock[[#This Row],[Time (s)]])</f>
        <v>0.16111111111111112</v>
      </c>
      <c r="J50" s="5"/>
    </row>
    <row r="51" spans="2:10">
      <c r="B51" t="str">
        <f>"Rockblock"</f>
        <v>Rockblock</v>
      </c>
      <c r="C51" s="36" t="s">
        <v>50</v>
      </c>
      <c r="D51" s="34">
        <f ca="1">VLOOKUP(table_energy_Rockblock[[#This Row],[Process]],INDIRECT(table_energy_Rockblock[[#This Row],[Device]]),5,FALSE)</f>
        <v>60</v>
      </c>
      <c r="E51" s="5">
        <f ca="1">VLOOKUP(table_energy_Rockblock[[#This Row],[Process]],INDIRECT(table_energy_Rockblock[[#This Row],[Device]]),4,FALSE)*table_energy_Rockblock[[#This Row],[Time (s)]]</f>
        <v>23.400000000000002</v>
      </c>
      <c r="F51" s="5">
        <f ca="1">VLOOKUP(table_energy_Rockblock[[#This Row],[Process]],INDIRECT(table_energy_Rockblock[[#This Row],[Device]]),3,FALSE)*1200</f>
        <v>78</v>
      </c>
      <c r="G51" s="5">
        <f ca="1">VLOOKUP(table_energy_Rockblock[[#This Row],[Process]],INDIRECT(table_energy_Rockblock[[#This Row],[Device]]),6,FALSE)*1200</f>
        <v>564</v>
      </c>
      <c r="H51" s="6">
        <f ca="1">IF(ROW()=ROW(INDIRECT(VLOOKUP(table_energy_Rockblock[[#This Row],[Device]],table_reference[],2,FALSE))), TIME(,,), OFFSET(table_energy_Rockblock[[#This Row],[End]],-1,,,))</f>
        <v>0.16111111111111112</v>
      </c>
      <c r="I51" s="6">
        <f ca="1">table_energy_Rockblock[[#This Row],[Start]]+TIME(,,table_energy_Rockblock[[#This Row],[Time (s)]])</f>
        <v>0.16180555555555556</v>
      </c>
      <c r="J51" s="5"/>
    </row>
    <row r="52" spans="2:10">
      <c r="B52" t="str">
        <f>"Rockblock"</f>
        <v>Rockblock</v>
      </c>
      <c r="C52" s="36" t="s">
        <v>49</v>
      </c>
      <c r="D52" s="34">
        <f ca="1">VLOOKUP(table_energy_Rockblock[[#This Row],[Process]],INDIRECT(table_energy_Rockblock[[#This Row],[Device]]),5,FALSE)</f>
        <v>60</v>
      </c>
      <c r="E52" s="5">
        <f ca="1">VLOOKUP(table_energy_Rockblock[[#This Row],[Process]],INDIRECT(table_energy_Rockblock[[#This Row],[Device]]),4,FALSE)*table_energy_Rockblock[[#This Row],[Time (s)]]</f>
        <v>18</v>
      </c>
      <c r="F52" s="5">
        <f ca="1">VLOOKUP(table_energy_Rockblock[[#This Row],[Process]],INDIRECT(table_energy_Rockblock[[#This Row],[Device]]),3,FALSE)*1200</f>
        <v>60</v>
      </c>
      <c r="G52" s="5">
        <f ca="1">VLOOKUP(table_energy_Rockblock[[#This Row],[Process]],INDIRECT(table_energy_Rockblock[[#This Row],[Device]]),6,FALSE)*1200</f>
        <v>564</v>
      </c>
      <c r="H52" s="6">
        <f ca="1">IF(ROW()=ROW(INDIRECT(VLOOKUP(table_energy_Rockblock[[#This Row],[Device]],table_reference[],2,FALSE))), TIME(,,), OFFSET(table_energy_Rockblock[[#This Row],[End]],-1,,,))</f>
        <v>0.16180555555555556</v>
      </c>
      <c r="I52" s="6">
        <f ca="1">table_energy_Rockblock[[#This Row],[Start]]+TIME(,,table_energy_Rockblock[[#This Row],[Time (s)]])</f>
        <v>0.16250000000000001</v>
      </c>
      <c r="J52" s="5"/>
    </row>
    <row r="53" spans="2:10">
      <c r="B53" s="26" t="s">
        <v>64</v>
      </c>
      <c r="C53" s="26"/>
      <c r="D53" s="27">
        <f ca="1">SUBTOTAL(109,table_energy_Rockblock[Time (s)])</f>
        <v>14040</v>
      </c>
      <c r="E53" s="27">
        <f ca="1">SUBTOTAL(109,table_energy_Rockblock[Energy used (J)])</f>
        <v>118.29600000000001</v>
      </c>
      <c r="F53" s="27">
        <f ca="1">SUBTOTAL(104,table_energy_Rockblock[Average current (mA)])</f>
        <v>78</v>
      </c>
      <c r="G53" s="27">
        <f ca="1">SUBTOTAL(104,table_energy_Rockblock[Peak current (mA)])</f>
        <v>564</v>
      </c>
      <c r="H53" s="27"/>
      <c r="I53" s="27"/>
      <c r="J53" s="27"/>
    </row>
    <row r="56" spans="2:10" ht="20" thickBot="1">
      <c r="B56" s="69" t="s">
        <v>17</v>
      </c>
      <c r="C56" s="69"/>
      <c r="D56" s="69"/>
      <c r="E56" s="69"/>
      <c r="F56" s="69"/>
      <c r="G56" s="69"/>
    </row>
    <row r="57" spans="2:10" ht="17" thickTop="1">
      <c r="B57" s="49" t="s">
        <v>114</v>
      </c>
      <c r="C57" s="40" t="s">
        <v>108</v>
      </c>
    </row>
    <row r="58" spans="2:10">
      <c r="B58" t="s">
        <v>34</v>
      </c>
      <c r="C58" t="s">
        <v>32</v>
      </c>
      <c r="D58" t="s">
        <v>30</v>
      </c>
      <c r="E58" t="s">
        <v>31</v>
      </c>
      <c r="F58" t="s">
        <v>37</v>
      </c>
      <c r="G58" t="s">
        <v>76</v>
      </c>
      <c r="H58" t="s">
        <v>88</v>
      </c>
      <c r="I58" s="30" t="s">
        <v>89</v>
      </c>
      <c r="J58" t="s">
        <v>10</v>
      </c>
    </row>
    <row r="59" spans="2:10">
      <c r="B59" t="str">
        <f>"Microcontroller"</f>
        <v>Microcontroller</v>
      </c>
      <c r="C59" s="36" t="s">
        <v>39</v>
      </c>
      <c r="D59" s="34">
        <v>140</v>
      </c>
      <c r="E59" s="5">
        <f ca="1">VLOOKUP(table_energy_µC[[#This Row],[Process]],INDIRECT(table_energy_µC[[#This Row],[Device]]),4,FALSE)*table_energy_µC[[#This Row],[Time (s)]]</f>
        <v>12.196799999999998</v>
      </c>
      <c r="F59" s="5">
        <f ca="1">VLOOKUP(table_energy_µC[[#This Row],[Process]],INDIRECT(table_energy_µC[[#This Row],[Device]]),3,FALSE)*1200</f>
        <v>26.4</v>
      </c>
      <c r="G59" s="5">
        <f ca="1">VLOOKUP(table_energy_µC[[#This Row],[Process]],INDIRECT(table_energy_µC[[#This Row],[Device]]),6,FALSE)*1200</f>
        <v>49.2</v>
      </c>
      <c r="H59" s="6">
        <f ca="1">IF(ROW()=ROW(INDIRECT(VLOOKUP(table_energy_µC[[#This Row],[Device]],table_reference[],2,FALSE))), TIME(,,), OFFSET(table_energy_µC[[#This Row],[End]],-1,,,))</f>
        <v>0</v>
      </c>
      <c r="I59" s="6">
        <f ca="1">table_energy_µC[[#This Row],[Start]]+TIME(,,table_energy_µC[[#This Row],[Time (s)]])</f>
        <v>1.6203703703703703E-3</v>
      </c>
      <c r="J59" s="23"/>
    </row>
    <row r="60" spans="2:10">
      <c r="B60" t="str">
        <f>"Microcontroller"</f>
        <v>Microcontroller</v>
      </c>
      <c r="C60" s="36" t="s">
        <v>72</v>
      </c>
      <c r="D60" s="34">
        <v>13810</v>
      </c>
      <c r="E60" s="5">
        <f ca="1">VLOOKUP(table_energy_µC[[#This Row],[Process]],INDIRECT(table_energy_µC[[#This Row],[Device]]),4,FALSE)*table_energy_µC[[#This Row],[Time (s)]]</f>
        <v>24.609419999999997</v>
      </c>
      <c r="F60" s="5">
        <f ca="1">VLOOKUP(table_energy_µC[[#This Row],[Process]],INDIRECT(table_energy_µC[[#This Row],[Device]]),3,FALSE)*1200</f>
        <v>0.54</v>
      </c>
      <c r="G60" s="5">
        <f ca="1">VLOOKUP(table_energy_µC[[#This Row],[Process]],INDIRECT(table_energy_µC[[#This Row],[Device]]),6,FALSE)*1200</f>
        <v>1.8</v>
      </c>
      <c r="H60" s="6">
        <f ca="1">IF(ROW()=ROW(INDIRECT(VLOOKUP(table_energy_µC[[#This Row],[Device]],table_reference[],2,FALSE))), TIME(,,), OFFSET(table_energy_µC[[#This Row],[End]],-1,,,))</f>
        <v>1.6203703703703703E-3</v>
      </c>
      <c r="I60" s="6">
        <f ca="1">table_energy_µC[[#This Row],[Start]]+TIME(,,table_energy_µC[[#This Row],[Time (s)]])</f>
        <v>0.16145833333333334</v>
      </c>
      <c r="J60" s="23"/>
    </row>
    <row r="61" spans="2:10">
      <c r="B61" s="20" t="str">
        <f>"Microcontroller"</f>
        <v>Microcontroller</v>
      </c>
      <c r="C61" s="36" t="s">
        <v>39</v>
      </c>
      <c r="D61" s="50">
        <v>450</v>
      </c>
      <c r="E61" s="21">
        <f ca="1">VLOOKUP(table_energy_µC[[#This Row],[Process]],INDIRECT(table_energy_µC[[#This Row],[Device]]),4,FALSE)*table_energy_µC[[#This Row],[Time (s)]]</f>
        <v>39.203999999999994</v>
      </c>
      <c r="F61" s="21">
        <f ca="1">VLOOKUP(table_energy_µC[[#This Row],[Process]],INDIRECT(table_energy_µC[[#This Row],[Device]]),3,FALSE)*1200</f>
        <v>26.4</v>
      </c>
      <c r="G61" s="21">
        <f ca="1">VLOOKUP(table_energy_µC[[#This Row],[Process]],INDIRECT(table_energy_µC[[#This Row],[Device]]),6,FALSE)*1200</f>
        <v>49.2</v>
      </c>
      <c r="H61" s="32">
        <f ca="1">IF(ROW()=ROW(INDIRECT(VLOOKUP(table_energy_µC[[#This Row],[Device]],table_reference[],2,FALSE))), TIME(,,), OFFSET(table_energy_µC[[#This Row],[End]],-1,,,))</f>
        <v>0.16145833333333334</v>
      </c>
      <c r="I61" s="32">
        <f ca="1">table_energy_µC[[#This Row],[Start]]+TIME(,,table_energy_µC[[#This Row],[Time (s)]])</f>
        <v>0.16666666666666669</v>
      </c>
      <c r="J61" s="24"/>
    </row>
    <row r="62" spans="2:10">
      <c r="B62" s="26" t="s">
        <v>64</v>
      </c>
      <c r="C62" s="26"/>
      <c r="D62" s="27">
        <f>SUBTOTAL(109,table_energy_µC[Time (s)])</f>
        <v>14400</v>
      </c>
      <c r="E62" s="27">
        <f ca="1">SUBTOTAL(109,table_energy_µC[Energy used (J)])</f>
        <v>76.01021999999999</v>
      </c>
      <c r="F62" s="27">
        <f ca="1">SUBTOTAL(104,table_energy_µC[Average current (mA)])</f>
        <v>26.4</v>
      </c>
      <c r="G62" s="27">
        <f ca="1">SUBTOTAL(104,table_energy_µC[Peak current (mA)])</f>
        <v>49.2</v>
      </c>
      <c r="H62" s="27"/>
      <c r="I62" s="27"/>
      <c r="J62" s="28"/>
    </row>
    <row r="65" spans="2:7" ht="20" thickBot="1">
      <c r="B65" s="69" t="s">
        <v>106</v>
      </c>
      <c r="C65" s="69"/>
      <c r="D65" s="69"/>
      <c r="E65" s="69"/>
      <c r="F65" s="69"/>
      <c r="G65" s="69"/>
    </row>
    <row r="66" spans="2:7" ht="17" thickTop="1"/>
    <row r="67" spans="2:7">
      <c r="B67" s="41" t="s">
        <v>34</v>
      </c>
      <c r="C67" s="41" t="s">
        <v>82</v>
      </c>
      <c r="D67" s="43" t="s">
        <v>113</v>
      </c>
      <c r="F67" s="70" t="s">
        <v>116</v>
      </c>
      <c r="G67" s="70"/>
    </row>
    <row r="68" spans="2:7" ht="16" customHeight="1">
      <c r="B68" s="41" t="s">
        <v>0</v>
      </c>
      <c r="C68" s="29">
        <f ca="1">table_energy_GYRO[[#Totals],[Energy used (J)]]</f>
        <v>9.7739848799999969</v>
      </c>
      <c r="D68" s="53" t="b">
        <v>1</v>
      </c>
      <c r="F68" s="14" t="s">
        <v>84</v>
      </c>
      <c r="G68" s="34">
        <v>4</v>
      </c>
    </row>
    <row r="69" spans="2:7" ht="16" customHeight="1">
      <c r="B69" s="41" t="s">
        <v>70</v>
      </c>
      <c r="C69" s="29">
        <f ca="1">table_energy_ACC[[#Totals],[Energy used (J)]]</f>
        <v>0.39206567267999992</v>
      </c>
      <c r="D69" s="53" t="b">
        <v>1</v>
      </c>
      <c r="F69" s="14" t="s">
        <v>85</v>
      </c>
      <c r="G69" s="34">
        <v>2.8</v>
      </c>
    </row>
    <row r="70" spans="2:7" ht="16" customHeight="1">
      <c r="B70" s="5" t="s">
        <v>69</v>
      </c>
      <c r="C70" s="29">
        <f ca="1">table_energy_TEMP[[#Totals],[Energy used (J)]]</f>
        <v>0.10451231999999999</v>
      </c>
      <c r="D70" s="53" t="b">
        <v>1</v>
      </c>
      <c r="F70" s="14" t="s">
        <v>86</v>
      </c>
      <c r="G70" s="34">
        <v>1</v>
      </c>
    </row>
    <row r="71" spans="2:7" ht="16" customHeight="1">
      <c r="B71" s="5" t="s">
        <v>13</v>
      </c>
      <c r="C71" s="29">
        <f ca="1">table_energy_GPS[[#Totals],[Energy used (J)]]</f>
        <v>4.9895999999999994</v>
      </c>
      <c r="D71" s="53" t="b">
        <v>1</v>
      </c>
      <c r="F71" s="14" t="s">
        <v>112</v>
      </c>
      <c r="G71" s="34">
        <v>88</v>
      </c>
    </row>
    <row r="72" spans="2:7" ht="16" customHeight="1">
      <c r="B72" s="5" t="s">
        <v>46</v>
      </c>
      <c r="C72" s="29">
        <f ca="1">table_energy_Rockblock[[#Totals],[Energy used (J)]]</f>
        <v>118.29600000000001</v>
      </c>
      <c r="D72" s="53" t="b">
        <v>1</v>
      </c>
      <c r="F72" s="46" t="s">
        <v>109</v>
      </c>
      <c r="G72" s="45" t="str">
        <f ca="1">ROUND((G68*G69*G70*3600)*(4/24)*(G71/100)/table_summary_1[[#Totals],[Total energy used (J)]], 1)&amp;" days"</f>
        <v>28.2 days</v>
      </c>
    </row>
    <row r="73" spans="2:7" ht="16" customHeight="1">
      <c r="B73" s="5" t="s">
        <v>17</v>
      </c>
      <c r="C73" s="29">
        <f ca="1">table_energy_µC[[#Totals],[Energy used (J)]]</f>
        <v>76.01021999999999</v>
      </c>
      <c r="D73" s="53" t="b">
        <v>1</v>
      </c>
      <c r="E73" s="52"/>
    </row>
    <row r="74" spans="2:7">
      <c r="B74" s="5" t="s">
        <v>83</v>
      </c>
      <c r="C74" s="29">
        <f ca="1">SUMIF(table_summary_1[Include in calculation], TRUE, table_summary_1[Total energy used (J)])</f>
        <v>209.56638287267998</v>
      </c>
    </row>
    <row r="76" spans="2:7" s="47" customFormat="1"/>
    <row r="83" s="43" customFormat="1"/>
    <row r="84" s="43" customFormat="1"/>
    <row r="85" s="43" customFormat="1"/>
    <row r="86" s="43" customFormat="1"/>
    <row r="87" s="43" customFormat="1"/>
    <row r="88" s="43" customFormat="1"/>
    <row r="89" s="43" customFormat="1"/>
    <row r="90" s="43" customFormat="1"/>
    <row r="91" s="43" customFormat="1"/>
    <row r="93" s="44" customFormat="1"/>
    <row r="94" s="44" customFormat="1"/>
    <row r="95" s="44" customFormat="1"/>
    <row r="96" s="44" customFormat="1"/>
    <row r="97" spans="2:18" s="44" customFormat="1"/>
    <row r="98" spans="2:18" s="44" customFormat="1"/>
    <row r="99" spans="2:18" s="44" customFormat="1"/>
    <row r="100" spans="2:18" s="44" customFormat="1"/>
    <row r="101" spans="2:18" s="44" customFormat="1"/>
    <row r="102" spans="2:18" s="44" customFormat="1"/>
    <row r="103" spans="2:18" s="44" customFormat="1"/>
    <row r="104" spans="2:18" s="44" customFormat="1"/>
    <row r="105" spans="2:18" s="44" customFormat="1"/>
    <row r="106" spans="2:18" s="44" customFormat="1" ht="20" thickBot="1">
      <c r="B106" s="69" t="s">
        <v>110</v>
      </c>
      <c r="C106" s="69"/>
      <c r="D106" s="69"/>
      <c r="E106" s="69"/>
      <c r="F106" s="69"/>
      <c r="G106" s="69"/>
      <c r="H106" s="69"/>
      <c r="I106" s="69"/>
      <c r="K106" s="69" t="s">
        <v>111</v>
      </c>
      <c r="L106" s="69"/>
      <c r="M106" s="69"/>
      <c r="N106" s="69"/>
      <c r="O106" s="69"/>
      <c r="P106" s="69"/>
      <c r="Q106" s="69"/>
      <c r="R106" s="69"/>
    </row>
    <row r="107" spans="2:18" ht="35" thickTop="1">
      <c r="B107" s="43" t="s">
        <v>35</v>
      </c>
      <c r="C107" s="43" t="s">
        <v>0</v>
      </c>
      <c r="D107" s="43" t="s">
        <v>70</v>
      </c>
      <c r="E107" s="43" t="s">
        <v>91</v>
      </c>
      <c r="F107" s="43" t="s">
        <v>13</v>
      </c>
      <c r="G107" s="43" t="s">
        <v>46</v>
      </c>
      <c r="H107" s="43" t="s">
        <v>17</v>
      </c>
      <c r="I107" s="16" t="s">
        <v>99</v>
      </c>
      <c r="K107" s="44" t="s">
        <v>35</v>
      </c>
      <c r="L107" s="44" t="s">
        <v>0</v>
      </c>
      <c r="M107" s="44" t="s">
        <v>70</v>
      </c>
      <c r="N107" s="44" t="s">
        <v>91</v>
      </c>
      <c r="O107" s="44" t="s">
        <v>13</v>
      </c>
      <c r="P107" s="44" t="s">
        <v>46</v>
      </c>
      <c r="Q107" s="44" t="s">
        <v>17</v>
      </c>
      <c r="R107" s="16" t="s">
        <v>105</v>
      </c>
    </row>
    <row r="108" spans="2:18">
      <c r="B108" s="6">
        <f ca="1">IF(ROW()=ROW(table_peak_current1[]),TIME(,,),OFFSET(table_peak_current1[[#This Row],[Schedule]],-1,,,)+TIME(,5,))</f>
        <v>0</v>
      </c>
      <c r="C10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3.24</v>
      </c>
      <c r="D108" s="43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9.5999999999999988E-2</v>
      </c>
      <c r="E108" s="43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08" s="43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80.400000000000006</v>
      </c>
      <c r="G108" s="43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08" s="43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49.2</v>
      </c>
      <c r="I108" s="18">
        <f ca="1">SUM(table_peak_current1[[#This Row],[Gyro]:[Microcontroller]])</f>
        <v>136.06799999999998</v>
      </c>
      <c r="K108" s="6">
        <f ca="1">IF(ROW()=ROW(table_avg_current1[]),TIME(,,),OFFSET(table_avg_current1[[#This Row],[Schedule]],-1,,,)+TIME(,5,))</f>
        <v>0</v>
      </c>
      <c r="L10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3.24</v>
      </c>
      <c r="M10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9.5999999999999988E-2</v>
      </c>
      <c r="N10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0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26.4</v>
      </c>
      <c r="P10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0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26.4</v>
      </c>
      <c r="R108" s="44">
        <f ca="1">SUM(table_avg_current1[[#This Row],[Gyro]:[Microcontroller]])</f>
        <v>59.267999999999994</v>
      </c>
    </row>
    <row r="109" spans="2:18">
      <c r="B109" s="6">
        <f ca="1">IF(ROW()=ROW(table_peak_current1[]),TIME(,,),OFFSET(table_peak_current1[[#This Row],[Schedule]],-1,,,)+TIME(,5,))</f>
        <v>3.472222222222222E-3</v>
      </c>
      <c r="C10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3.24</v>
      </c>
      <c r="D10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9.5999999999999988E-2</v>
      </c>
      <c r="E10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0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0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0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09" s="18">
        <f ca="1">SUM(table_peak_current1[[#This Row],[Gyro]:[Microcontroller]])</f>
        <v>6.4691999999999998</v>
      </c>
      <c r="K109" s="6">
        <f ca="1">IF(ROW()=ROW(table_avg_current1[]),TIME(,,),OFFSET(table_avg_current1[[#This Row],[Schedule]],-1,,,)+TIME(,5,))</f>
        <v>3.472222222222222E-3</v>
      </c>
      <c r="L10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3.24</v>
      </c>
      <c r="M10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9.5999999999999988E-2</v>
      </c>
      <c r="N10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0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0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0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09" s="44">
        <f ca="1">SUM(table_avg_current1[[#This Row],[Gyro]:[Microcontroller]])</f>
        <v>5.2092000000000001</v>
      </c>
    </row>
    <row r="110" spans="2:18">
      <c r="B110" s="6">
        <f ca="1">IF(ROW()=ROW(table_peak_current1[]),TIME(,,),OFFSET(table_peak_current1[[#This Row],[Schedule]],-1,,,)+TIME(,5,))</f>
        <v>6.9444444444444441E-3</v>
      </c>
      <c r="C11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3.24</v>
      </c>
      <c r="D11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9.5999999999999988E-2</v>
      </c>
      <c r="E11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0" s="18">
        <f ca="1">SUM(table_peak_current1[[#This Row],[Gyro]:[Microcontroller]])</f>
        <v>6.4691999999999998</v>
      </c>
      <c r="K110" s="6">
        <f ca="1">IF(ROW()=ROW(table_avg_current1[]),TIME(,,),OFFSET(table_avg_current1[[#This Row],[Schedule]],-1,,,)+TIME(,5,))</f>
        <v>6.9444444444444441E-3</v>
      </c>
      <c r="L11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3.24</v>
      </c>
      <c r="M11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9.5999999999999988E-2</v>
      </c>
      <c r="N11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0" s="44">
        <f ca="1">SUM(table_avg_current1[[#This Row],[Gyro]:[Microcontroller]])</f>
        <v>5.2092000000000001</v>
      </c>
    </row>
    <row r="111" spans="2:18">
      <c r="B111" s="6">
        <f ca="1">IF(ROW()=ROW(table_peak_current1[]),TIME(,,),OFFSET(table_peak_current1[[#This Row],[Schedule]],-1,,,)+TIME(,5,))</f>
        <v>1.0416666666666666E-2</v>
      </c>
      <c r="C11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3.24</v>
      </c>
      <c r="D11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9.5999999999999988E-2</v>
      </c>
      <c r="E11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1" s="18">
        <f ca="1">SUM(table_peak_current1[[#This Row],[Gyro]:[Microcontroller]])</f>
        <v>6.4691999999999998</v>
      </c>
      <c r="K111" s="6">
        <f ca="1">IF(ROW()=ROW(table_avg_current1[]),TIME(,,),OFFSET(table_avg_current1[[#This Row],[Schedule]],-1,,,)+TIME(,5,))</f>
        <v>1.0416666666666666E-2</v>
      </c>
      <c r="L11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3.24</v>
      </c>
      <c r="M11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9.5999999999999988E-2</v>
      </c>
      <c r="N11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1" s="44">
        <f ca="1">SUM(table_avg_current1[[#This Row],[Gyro]:[Microcontroller]])</f>
        <v>5.2092000000000001</v>
      </c>
    </row>
    <row r="112" spans="2:18">
      <c r="B112" s="6">
        <f ca="1">IF(ROW()=ROW(table_peak_current1[]),TIME(,,),OFFSET(table_peak_current1[[#This Row],[Schedule]],-1,,,)+TIME(,5,))</f>
        <v>1.3888888888888888E-2</v>
      </c>
      <c r="C11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2" s="18">
        <f ca="1">SUM(table_peak_current1[[#This Row],[Gyro]:[Microcontroller]])</f>
        <v>3.13896</v>
      </c>
      <c r="K112" s="6">
        <f ca="1">IF(ROW()=ROW(table_avg_current1[]),TIME(,,),OFFSET(table_avg_current1[[#This Row],[Schedule]],-1,,,)+TIME(,5,))</f>
        <v>1.3888888888888888E-2</v>
      </c>
      <c r="L11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2" s="44">
        <f ca="1">SUM(table_avg_current1[[#This Row],[Gyro]:[Microcontroller]])</f>
        <v>1.8789600000000002</v>
      </c>
    </row>
    <row r="113" spans="2:18">
      <c r="B113" s="6">
        <f ca="1">IF(ROW()=ROW(table_peak_current1[]),TIME(,,),OFFSET(table_peak_current1[[#This Row],[Schedule]],-1,,,)+TIME(,5,))</f>
        <v>1.7361111111111112E-2</v>
      </c>
      <c r="C11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3" s="18">
        <f ca="1">SUM(table_peak_current1[[#This Row],[Gyro]:[Microcontroller]])</f>
        <v>3.13896</v>
      </c>
      <c r="K113" s="6">
        <f ca="1">IF(ROW()=ROW(table_avg_current1[]),TIME(,,),OFFSET(table_avg_current1[[#This Row],[Schedule]],-1,,,)+TIME(,5,))</f>
        <v>1.7361111111111112E-2</v>
      </c>
      <c r="L11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3" s="44">
        <f ca="1">SUM(table_avg_current1[[#This Row],[Gyro]:[Microcontroller]])</f>
        <v>1.8789600000000002</v>
      </c>
    </row>
    <row r="114" spans="2:18">
      <c r="B114" s="6">
        <f ca="1">IF(ROW()=ROW(table_peak_current1[]),TIME(,,),OFFSET(table_peak_current1[[#This Row],[Schedule]],-1,,,)+TIME(,5,))</f>
        <v>2.0833333333333336E-2</v>
      </c>
      <c r="C11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4" s="18">
        <f ca="1">SUM(table_peak_current1[[#This Row],[Gyro]:[Microcontroller]])</f>
        <v>3.13896</v>
      </c>
      <c r="K114" s="6">
        <f ca="1">IF(ROW()=ROW(table_avg_current1[]),TIME(,,),OFFSET(table_avg_current1[[#This Row],[Schedule]],-1,,,)+TIME(,5,))</f>
        <v>2.0833333333333336E-2</v>
      </c>
      <c r="L11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4" s="44">
        <f ca="1">SUM(table_avg_current1[[#This Row],[Gyro]:[Microcontroller]])</f>
        <v>1.8789600000000002</v>
      </c>
    </row>
    <row r="115" spans="2:18">
      <c r="B115" s="6">
        <f ca="1">IF(ROW()=ROW(table_peak_current1[]),TIME(,,),OFFSET(table_peak_current1[[#This Row],[Schedule]],-1,,,)+TIME(,5,))</f>
        <v>2.4305555555555559E-2</v>
      </c>
      <c r="C11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5" s="18">
        <f ca="1">SUM(table_peak_current1[[#This Row],[Gyro]:[Microcontroller]])</f>
        <v>3.13896</v>
      </c>
      <c r="K115" s="6">
        <f ca="1">IF(ROW()=ROW(table_avg_current1[]),TIME(,,),OFFSET(table_avg_current1[[#This Row],[Schedule]],-1,,,)+TIME(,5,))</f>
        <v>2.4305555555555559E-2</v>
      </c>
      <c r="L11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5" s="44">
        <f ca="1">SUM(table_avg_current1[[#This Row],[Gyro]:[Microcontroller]])</f>
        <v>1.8789600000000002</v>
      </c>
    </row>
    <row r="116" spans="2:18">
      <c r="B116" s="6">
        <f ca="1">IF(ROW()=ROW(table_peak_current1[]),TIME(,,),OFFSET(table_peak_current1[[#This Row],[Schedule]],-1,,,)+TIME(,5,))</f>
        <v>2.7777777777777783E-2</v>
      </c>
      <c r="C11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6" s="18">
        <f ca="1">SUM(table_peak_current1[[#This Row],[Gyro]:[Microcontroller]])</f>
        <v>3.13896</v>
      </c>
      <c r="K116" s="6">
        <f ca="1">IF(ROW()=ROW(table_avg_current1[]),TIME(,,),OFFSET(table_avg_current1[[#This Row],[Schedule]],-1,,,)+TIME(,5,))</f>
        <v>2.7777777777777783E-2</v>
      </c>
      <c r="L11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6" s="44">
        <f ca="1">SUM(table_avg_current1[[#This Row],[Gyro]:[Microcontroller]])</f>
        <v>1.8789600000000002</v>
      </c>
    </row>
    <row r="117" spans="2:18">
      <c r="B117" s="6">
        <f ca="1">IF(ROW()=ROW(table_peak_current1[]),TIME(,,),OFFSET(table_peak_current1[[#This Row],[Schedule]],-1,,,)+TIME(,5,))</f>
        <v>3.1250000000000007E-2</v>
      </c>
      <c r="C117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7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7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7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7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7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7" s="18">
        <f ca="1">SUM(table_peak_current1[[#This Row],[Gyro]:[Microcontroller]])</f>
        <v>3.13896</v>
      </c>
      <c r="K117" s="6">
        <f ca="1">IF(ROW()=ROW(table_avg_current1[]),TIME(,,),OFFSET(table_avg_current1[[#This Row],[Schedule]],-1,,,)+TIME(,5,))</f>
        <v>3.1250000000000007E-2</v>
      </c>
      <c r="L117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7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7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7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7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7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7" s="44">
        <f ca="1">SUM(table_avg_current1[[#This Row],[Gyro]:[Microcontroller]])</f>
        <v>1.8789600000000002</v>
      </c>
    </row>
    <row r="118" spans="2:18">
      <c r="B118" s="6">
        <f ca="1">IF(ROW()=ROW(table_peak_current1[]),TIME(,,),OFFSET(table_peak_current1[[#This Row],[Schedule]],-1,,,)+TIME(,5,))</f>
        <v>3.4722222222222231E-2</v>
      </c>
      <c r="C11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8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8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18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8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8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8" s="18">
        <f ca="1">SUM(table_peak_current1[[#This Row],[Gyro]:[Microcontroller]])</f>
        <v>3.13896</v>
      </c>
      <c r="K118" s="6">
        <f ca="1">IF(ROW()=ROW(table_avg_current1[]),TIME(,,),OFFSET(table_avg_current1[[#This Row],[Schedule]],-1,,,)+TIME(,5,))</f>
        <v>3.4722222222222231E-2</v>
      </c>
      <c r="L11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1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8" s="44">
        <f ca="1">SUM(table_avg_current1[[#This Row],[Gyro]:[Microcontroller]])</f>
        <v>1.8789600000000002</v>
      </c>
    </row>
    <row r="119" spans="2:18">
      <c r="B119" s="6">
        <f ca="1">IF(ROW()=ROW(table_peak_current1[]),TIME(,,),OFFSET(table_peak_current1[[#This Row],[Schedule]],-1,,,)+TIME(,5,))</f>
        <v>3.8194444444444454E-2</v>
      </c>
      <c r="C11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1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1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1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1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1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19" s="18">
        <f ca="1">SUM(table_peak_current1[[#This Row],[Gyro]:[Microcontroller]])</f>
        <v>4.9377599999999999</v>
      </c>
      <c r="K119" s="6">
        <f ca="1">IF(ROW()=ROW(table_avg_current1[]),TIME(,,),OFFSET(table_avg_current1[[#This Row],[Schedule]],-1,,,)+TIME(,5,))</f>
        <v>3.8194444444444454E-2</v>
      </c>
      <c r="L11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1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1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1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1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1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19" s="44">
        <f ca="1">SUM(table_avg_current1[[#This Row],[Gyro]:[Microcontroller]])</f>
        <v>3.6777600000000001</v>
      </c>
    </row>
    <row r="120" spans="2:18">
      <c r="B120" s="6">
        <f ca="1">IF(ROW()=ROW(table_peak_current1[]),TIME(,,),OFFSET(table_peak_current1[[#This Row],[Schedule]],-1,,,)+TIME(,5,))</f>
        <v>4.1666666666666678E-2</v>
      </c>
      <c r="C12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2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1.3320000000000001</v>
      </c>
      <c r="H12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0" s="18">
        <f ca="1">SUM(table_peak_current1[[#This Row],[Gyro]:[Microcontroller]])</f>
        <v>4.9377599999999999</v>
      </c>
      <c r="K120" s="6">
        <f ca="1">IF(ROW()=ROW(table_avg_current1[]),TIME(,,),OFFSET(table_avg_current1[[#This Row],[Schedule]],-1,,,)+TIME(,5,))</f>
        <v>4.1666666666666678E-2</v>
      </c>
      <c r="L12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2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1.3320000000000001</v>
      </c>
      <c r="Q12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0" s="44">
        <f ca="1">SUM(table_avg_current1[[#This Row],[Gyro]:[Microcontroller]])</f>
        <v>3.6777600000000001</v>
      </c>
    </row>
    <row r="121" spans="2:18">
      <c r="B121" s="6">
        <f ca="1">IF(ROW()=ROW(table_peak_current1[]),TIME(,,),OFFSET(table_peak_current1[[#This Row],[Schedule]],-1,,,)+TIME(,5,))</f>
        <v>4.5138888888888902E-2</v>
      </c>
      <c r="C12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1" s="18">
        <f ca="1">SUM(table_peak_current1[[#This Row],[Gyro]:[Microcontroller]])</f>
        <v>1.92696</v>
      </c>
      <c r="K121" s="6">
        <f ca="1">IF(ROW()=ROW(table_avg_current1[]),TIME(,,),OFFSET(table_avg_current1[[#This Row],[Schedule]],-1,,,)+TIME(,5,))</f>
        <v>4.5138888888888902E-2</v>
      </c>
      <c r="L12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1" s="44">
        <f ca="1">SUM(table_avg_current1[[#This Row],[Gyro]:[Microcontroller]])</f>
        <v>0.66696</v>
      </c>
    </row>
    <row r="122" spans="2:18">
      <c r="B122" s="6">
        <f ca="1">IF(ROW()=ROW(table_peak_current1[]),TIME(,,),OFFSET(table_peak_current1[[#This Row],[Schedule]],-1,,,)+TIME(,5,))</f>
        <v>4.8611111111111126E-2</v>
      </c>
      <c r="C12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2" s="18">
        <f ca="1">SUM(table_peak_current1[[#This Row],[Gyro]:[Microcontroller]])</f>
        <v>1.92696</v>
      </c>
      <c r="K122" s="6">
        <f ca="1">IF(ROW()=ROW(table_avg_current1[]),TIME(,,),OFFSET(table_avg_current1[[#This Row],[Schedule]],-1,,,)+TIME(,5,))</f>
        <v>4.8611111111111126E-2</v>
      </c>
      <c r="L12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2" s="44">
        <f ca="1">SUM(table_avg_current1[[#This Row],[Gyro]:[Microcontroller]])</f>
        <v>0.66696</v>
      </c>
    </row>
    <row r="123" spans="2:18">
      <c r="B123" s="6">
        <f ca="1">IF(ROW()=ROW(table_peak_current1[]),TIME(,,),OFFSET(table_peak_current1[[#This Row],[Schedule]],-1,,,)+TIME(,5,))</f>
        <v>5.208333333333335E-2</v>
      </c>
      <c r="C12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3" s="18">
        <f ca="1">SUM(table_peak_current1[[#This Row],[Gyro]:[Microcontroller]])</f>
        <v>1.92696</v>
      </c>
      <c r="K123" s="6">
        <f ca="1">IF(ROW()=ROW(table_avg_current1[]),TIME(,,),OFFSET(table_avg_current1[[#This Row],[Schedule]],-1,,,)+TIME(,5,))</f>
        <v>5.208333333333335E-2</v>
      </c>
      <c r="L12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3" s="44">
        <f ca="1">SUM(table_avg_current1[[#This Row],[Gyro]:[Microcontroller]])</f>
        <v>0.66696</v>
      </c>
    </row>
    <row r="124" spans="2:18">
      <c r="B124" s="6">
        <f ca="1">IF(ROW()=ROW(table_peak_current1[]),TIME(,,),OFFSET(table_peak_current1[[#This Row],[Schedule]],-1,,,)+TIME(,5,))</f>
        <v>5.5555555555555573E-2</v>
      </c>
      <c r="C12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4" s="18">
        <f ca="1">SUM(table_peak_current1[[#This Row],[Gyro]:[Microcontroller]])</f>
        <v>1.92696</v>
      </c>
      <c r="K124" s="6">
        <f ca="1">IF(ROW()=ROW(table_avg_current1[]),TIME(,,),OFFSET(table_avg_current1[[#This Row],[Schedule]],-1,,,)+TIME(,5,))</f>
        <v>5.5555555555555573E-2</v>
      </c>
      <c r="L12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4" s="44">
        <f ca="1">SUM(table_avg_current1[[#This Row],[Gyro]:[Microcontroller]])</f>
        <v>0.66696</v>
      </c>
    </row>
    <row r="125" spans="2:18">
      <c r="B125" s="6">
        <f ca="1">IF(ROW()=ROW(table_peak_current1[]),TIME(,,),OFFSET(table_peak_current1[[#This Row],[Schedule]],-1,,,)+TIME(,5,))</f>
        <v>5.9027777777777797E-2</v>
      </c>
      <c r="C12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5" s="18">
        <f ca="1">SUM(table_peak_current1[[#This Row],[Gyro]:[Microcontroller]])</f>
        <v>1.92696</v>
      </c>
      <c r="K125" s="6">
        <f ca="1">IF(ROW()=ROW(table_avg_current1[]),TIME(,,),OFFSET(table_avg_current1[[#This Row],[Schedule]],-1,,,)+TIME(,5,))</f>
        <v>5.9027777777777797E-2</v>
      </c>
      <c r="L12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5" s="44">
        <f ca="1">SUM(table_avg_current1[[#This Row],[Gyro]:[Microcontroller]])</f>
        <v>0.66696</v>
      </c>
    </row>
    <row r="126" spans="2:18">
      <c r="B126" s="6">
        <f ca="1">IF(ROW()=ROW(table_peak_current1[]),TIME(,,),OFFSET(table_peak_current1[[#This Row],[Schedule]],-1,,,)+TIME(,5,))</f>
        <v>6.2500000000000014E-2</v>
      </c>
      <c r="C12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6" s="18">
        <f ca="1">SUM(table_peak_current1[[#This Row],[Gyro]:[Microcontroller]])</f>
        <v>1.92696</v>
      </c>
      <c r="K126" s="6">
        <f ca="1">IF(ROW()=ROW(table_avg_current1[]),TIME(,,),OFFSET(table_avg_current1[[#This Row],[Schedule]],-1,,,)+TIME(,5,))</f>
        <v>6.2500000000000014E-2</v>
      </c>
      <c r="L12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6" s="44">
        <f ca="1">SUM(table_avg_current1[[#This Row],[Gyro]:[Microcontroller]])</f>
        <v>0.66696</v>
      </c>
    </row>
    <row r="127" spans="2:18">
      <c r="B127" s="6">
        <f ca="1">IF(ROW()=ROW(table_peak_current1[]),TIME(,,),OFFSET(table_peak_current1[[#This Row],[Schedule]],-1,,,)+TIME(,5,))</f>
        <v>6.5972222222222238E-2</v>
      </c>
      <c r="C127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7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7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7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7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7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7" s="18">
        <f ca="1">SUM(table_peak_current1[[#This Row],[Gyro]:[Microcontroller]])</f>
        <v>1.92696</v>
      </c>
      <c r="K127" s="6">
        <f ca="1">IF(ROW()=ROW(table_avg_current1[]),TIME(,,),OFFSET(table_avg_current1[[#This Row],[Schedule]],-1,,,)+TIME(,5,))</f>
        <v>6.5972222222222238E-2</v>
      </c>
      <c r="L127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7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7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7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7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7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7" s="44">
        <f ca="1">SUM(table_avg_current1[[#This Row],[Gyro]:[Microcontroller]])</f>
        <v>0.66696</v>
      </c>
    </row>
    <row r="128" spans="2:18">
      <c r="B128" s="6">
        <f ca="1">IF(ROW()=ROW(table_peak_current1[]),TIME(,,),OFFSET(table_peak_current1[[#This Row],[Schedule]],-1,,,)+TIME(,5,))</f>
        <v>6.9444444444444461E-2</v>
      </c>
      <c r="C12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8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8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8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8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8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8" s="18">
        <f ca="1">SUM(table_peak_current1[[#This Row],[Gyro]:[Microcontroller]])</f>
        <v>1.92696</v>
      </c>
      <c r="K128" s="6">
        <f ca="1">IF(ROW()=ROW(table_avg_current1[]),TIME(,,),OFFSET(table_avg_current1[[#This Row],[Schedule]],-1,,,)+TIME(,5,))</f>
        <v>6.9444444444444461E-2</v>
      </c>
      <c r="L12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8" s="44">
        <f ca="1">SUM(table_avg_current1[[#This Row],[Gyro]:[Microcontroller]])</f>
        <v>0.66696</v>
      </c>
    </row>
    <row r="129" spans="2:18">
      <c r="B129" s="6">
        <f ca="1">IF(ROW()=ROW(table_peak_current1[]),TIME(,,),OFFSET(table_peak_current1[[#This Row],[Schedule]],-1,,,)+TIME(,5,))</f>
        <v>7.2916666666666685E-2</v>
      </c>
      <c r="C12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2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2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2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2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2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29" s="18">
        <f ca="1">SUM(table_peak_current1[[#This Row],[Gyro]:[Microcontroller]])</f>
        <v>1.92696</v>
      </c>
      <c r="K129" s="6">
        <f ca="1">IF(ROW()=ROW(table_avg_current1[]),TIME(,,),OFFSET(table_avg_current1[[#This Row],[Schedule]],-1,,,)+TIME(,5,))</f>
        <v>7.2916666666666685E-2</v>
      </c>
      <c r="L12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2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2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2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2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2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29" s="44">
        <f ca="1">SUM(table_avg_current1[[#This Row],[Gyro]:[Microcontroller]])</f>
        <v>0.66696</v>
      </c>
    </row>
    <row r="130" spans="2:18">
      <c r="B130" s="6">
        <f ca="1">IF(ROW()=ROW(table_peak_current1[]),TIME(,,),OFFSET(table_peak_current1[[#This Row],[Schedule]],-1,,,)+TIME(,5,))</f>
        <v>7.6388888888888909E-2</v>
      </c>
      <c r="C13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0" s="18">
        <f ca="1">SUM(table_peak_current1[[#This Row],[Gyro]:[Microcontroller]])</f>
        <v>1.92696</v>
      </c>
      <c r="K130" s="6">
        <f ca="1">IF(ROW()=ROW(table_avg_current1[]),TIME(,,),OFFSET(table_avg_current1[[#This Row],[Schedule]],-1,,,)+TIME(,5,))</f>
        <v>7.6388888888888909E-2</v>
      </c>
      <c r="L13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0" s="44">
        <f ca="1">SUM(table_avg_current1[[#This Row],[Gyro]:[Microcontroller]])</f>
        <v>0.66696</v>
      </c>
    </row>
    <row r="131" spans="2:18">
      <c r="B131" s="6">
        <f ca="1">IF(ROW()=ROW(table_peak_current1[]),TIME(,,),OFFSET(table_peak_current1[[#This Row],[Schedule]],-1,,,)+TIME(,5,))</f>
        <v>7.9861111111111133E-2</v>
      </c>
      <c r="C13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3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1" s="18">
        <f ca="1">SUM(table_peak_current1[[#This Row],[Gyro]:[Microcontroller]])</f>
        <v>3.7257600000000002</v>
      </c>
      <c r="K131" s="6">
        <f ca="1">IF(ROW()=ROW(table_avg_current1[]),TIME(,,),OFFSET(table_avg_current1[[#This Row],[Schedule]],-1,,,)+TIME(,5,))</f>
        <v>7.9861111111111133E-2</v>
      </c>
      <c r="L13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3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1" s="44">
        <f ca="1">SUM(table_avg_current1[[#This Row],[Gyro]:[Microcontroller]])</f>
        <v>2.46576</v>
      </c>
    </row>
    <row r="132" spans="2:18">
      <c r="B132" s="6">
        <f ca="1">IF(ROW()=ROW(table_peak_current1[]),TIME(,,),OFFSET(table_peak_current1[[#This Row],[Schedule]],-1,,,)+TIME(,5,))</f>
        <v>8.3333333333333356E-2</v>
      </c>
      <c r="C13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3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2" s="18">
        <f ca="1">SUM(table_peak_current1[[#This Row],[Gyro]:[Microcontroller]])</f>
        <v>3.7257600000000002</v>
      </c>
      <c r="K132" s="6">
        <f ca="1">IF(ROW()=ROW(table_avg_current1[]),TIME(,,),OFFSET(table_avg_current1[[#This Row],[Schedule]],-1,,,)+TIME(,5,))</f>
        <v>8.3333333333333356E-2</v>
      </c>
      <c r="L13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3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2" s="44">
        <f ca="1">SUM(table_avg_current1[[#This Row],[Gyro]:[Microcontroller]])</f>
        <v>2.46576</v>
      </c>
    </row>
    <row r="133" spans="2:18">
      <c r="B133" s="6">
        <f ca="1">IF(ROW()=ROW(table_peak_current1[]),TIME(,,),OFFSET(table_peak_current1[[#This Row],[Schedule]],-1,,,)+TIME(,5,))</f>
        <v>8.680555555555558E-2</v>
      </c>
      <c r="C13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3" s="18">
        <f ca="1">SUM(table_peak_current1[[#This Row],[Gyro]:[Microcontroller]])</f>
        <v>1.92696</v>
      </c>
      <c r="K133" s="6">
        <f ca="1">IF(ROW()=ROW(table_avg_current1[]),TIME(,,),OFFSET(table_avg_current1[[#This Row],[Schedule]],-1,,,)+TIME(,5,))</f>
        <v>8.680555555555558E-2</v>
      </c>
      <c r="L13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3" s="44">
        <f ca="1">SUM(table_avg_current1[[#This Row],[Gyro]:[Microcontroller]])</f>
        <v>0.66696</v>
      </c>
    </row>
    <row r="134" spans="2:18">
      <c r="B134" s="6">
        <f ca="1">IF(ROW()=ROW(table_peak_current1[]),TIME(,,),OFFSET(table_peak_current1[[#This Row],[Schedule]],-1,,,)+TIME(,5,))</f>
        <v>9.0277777777777804E-2</v>
      </c>
      <c r="C13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4" s="18">
        <f ca="1">SUM(table_peak_current1[[#This Row],[Gyro]:[Microcontroller]])</f>
        <v>1.92696</v>
      </c>
      <c r="K134" s="6">
        <f ca="1">IF(ROW()=ROW(table_avg_current1[]),TIME(,,),OFFSET(table_avg_current1[[#This Row],[Schedule]],-1,,,)+TIME(,5,))</f>
        <v>9.0277777777777804E-2</v>
      </c>
      <c r="L13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4" s="44">
        <f ca="1">SUM(table_avg_current1[[#This Row],[Gyro]:[Microcontroller]])</f>
        <v>0.66696</v>
      </c>
    </row>
    <row r="135" spans="2:18">
      <c r="B135" s="6">
        <f ca="1">IF(ROW()=ROW(table_peak_current1[]),TIME(,,),OFFSET(table_peak_current1[[#This Row],[Schedule]],-1,,,)+TIME(,5,))</f>
        <v>9.3750000000000028E-2</v>
      </c>
      <c r="C13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5" s="18">
        <f ca="1">SUM(table_peak_current1[[#This Row],[Gyro]:[Microcontroller]])</f>
        <v>1.92696</v>
      </c>
      <c r="K135" s="6">
        <f ca="1">IF(ROW()=ROW(table_avg_current1[]),TIME(,,),OFFSET(table_avg_current1[[#This Row],[Schedule]],-1,,,)+TIME(,5,))</f>
        <v>9.3750000000000028E-2</v>
      </c>
      <c r="L13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5" s="44">
        <f ca="1">SUM(table_avg_current1[[#This Row],[Gyro]:[Microcontroller]])</f>
        <v>0.66696</v>
      </c>
    </row>
    <row r="136" spans="2:18">
      <c r="B136" s="6">
        <f ca="1">IF(ROW()=ROW(table_peak_current1[]),TIME(,,),OFFSET(table_peak_current1[[#This Row],[Schedule]],-1,,,)+TIME(,5,))</f>
        <v>9.7222222222222252E-2</v>
      </c>
      <c r="C13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6" s="18">
        <f ca="1">SUM(table_peak_current1[[#This Row],[Gyro]:[Microcontroller]])</f>
        <v>1.92696</v>
      </c>
      <c r="K136" s="6">
        <f ca="1">IF(ROW()=ROW(table_avg_current1[]),TIME(,,),OFFSET(table_avg_current1[[#This Row],[Schedule]],-1,,,)+TIME(,5,))</f>
        <v>9.7222222222222252E-2</v>
      </c>
      <c r="L13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6" s="44">
        <f ca="1">SUM(table_avg_current1[[#This Row],[Gyro]:[Microcontroller]])</f>
        <v>0.66696</v>
      </c>
    </row>
    <row r="137" spans="2:18">
      <c r="B137" s="6">
        <f ca="1">IF(ROW()=ROW(table_peak_current1[]),TIME(,,),OFFSET(table_peak_current1[[#This Row],[Schedule]],-1,,,)+TIME(,5,))</f>
        <v>0.10069444444444448</v>
      </c>
      <c r="C137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7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7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7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7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7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7" s="18">
        <f ca="1">SUM(table_peak_current1[[#This Row],[Gyro]:[Microcontroller]])</f>
        <v>1.92696</v>
      </c>
      <c r="K137" s="6">
        <f ca="1">IF(ROW()=ROW(table_avg_current1[]),TIME(,,),OFFSET(table_avg_current1[[#This Row],[Schedule]],-1,,,)+TIME(,5,))</f>
        <v>0.10069444444444448</v>
      </c>
      <c r="L137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7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7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7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7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7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7" s="44">
        <f ca="1">SUM(table_avg_current1[[#This Row],[Gyro]:[Microcontroller]])</f>
        <v>0.66696</v>
      </c>
    </row>
    <row r="138" spans="2:18">
      <c r="B138" s="6">
        <f ca="1">IF(ROW()=ROW(table_peak_current1[]),TIME(,,),OFFSET(table_peak_current1[[#This Row],[Schedule]],-1,,,)+TIME(,5,))</f>
        <v>0.1041666666666667</v>
      </c>
      <c r="C13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8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8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8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8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8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8" s="18">
        <f ca="1">SUM(table_peak_current1[[#This Row],[Gyro]:[Microcontroller]])</f>
        <v>1.92696</v>
      </c>
      <c r="K138" s="6">
        <f ca="1">IF(ROW()=ROW(table_avg_current1[]),TIME(,,),OFFSET(table_avg_current1[[#This Row],[Schedule]],-1,,,)+TIME(,5,))</f>
        <v>0.1041666666666667</v>
      </c>
      <c r="L13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8" s="44">
        <f ca="1">SUM(table_avg_current1[[#This Row],[Gyro]:[Microcontroller]])</f>
        <v>0.66696</v>
      </c>
    </row>
    <row r="139" spans="2:18">
      <c r="B139" s="6">
        <f ca="1">IF(ROW()=ROW(table_peak_current1[]),TIME(,,),OFFSET(table_peak_current1[[#This Row],[Schedule]],-1,,,)+TIME(,5,))</f>
        <v>0.10763888888888892</v>
      </c>
      <c r="C13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3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3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3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3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3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39" s="18">
        <f ca="1">SUM(table_peak_current1[[#This Row],[Gyro]:[Microcontroller]])</f>
        <v>1.92696</v>
      </c>
      <c r="K139" s="6">
        <f ca="1">IF(ROW()=ROW(table_avg_current1[]),TIME(,,),OFFSET(table_avg_current1[[#This Row],[Schedule]],-1,,,)+TIME(,5,))</f>
        <v>0.10763888888888892</v>
      </c>
      <c r="L13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3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3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3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3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3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39" s="44">
        <f ca="1">SUM(table_avg_current1[[#This Row],[Gyro]:[Microcontroller]])</f>
        <v>0.66696</v>
      </c>
    </row>
    <row r="140" spans="2:18">
      <c r="B140" s="6">
        <f ca="1">IF(ROW()=ROW(table_peak_current1[]),TIME(,,),OFFSET(table_peak_current1[[#This Row],[Schedule]],-1,,,)+TIME(,5,))</f>
        <v>0.11111111111111115</v>
      </c>
      <c r="C14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0" s="18">
        <f ca="1">SUM(table_peak_current1[[#This Row],[Gyro]:[Microcontroller]])</f>
        <v>1.92696</v>
      </c>
      <c r="K140" s="6">
        <f ca="1">IF(ROW()=ROW(table_avg_current1[]),TIME(,,),OFFSET(table_avg_current1[[#This Row],[Schedule]],-1,,,)+TIME(,5,))</f>
        <v>0.11111111111111115</v>
      </c>
      <c r="L14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0" s="44">
        <f ca="1">SUM(table_avg_current1[[#This Row],[Gyro]:[Microcontroller]])</f>
        <v>0.66696</v>
      </c>
    </row>
    <row r="141" spans="2:18">
      <c r="B141" s="6">
        <f ca="1">IF(ROW()=ROW(table_peak_current1[]),TIME(,,),OFFSET(table_peak_current1[[#This Row],[Schedule]],-1,,,)+TIME(,5,))</f>
        <v>0.11458333333333337</v>
      </c>
      <c r="C14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1" s="18">
        <f ca="1">SUM(table_peak_current1[[#This Row],[Gyro]:[Microcontroller]])</f>
        <v>1.92696</v>
      </c>
      <c r="K141" s="6">
        <f ca="1">IF(ROW()=ROW(table_avg_current1[]),TIME(,,),OFFSET(table_avg_current1[[#This Row],[Schedule]],-1,,,)+TIME(,5,))</f>
        <v>0.11458333333333337</v>
      </c>
      <c r="L14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1" s="44">
        <f ca="1">SUM(table_avg_current1[[#This Row],[Gyro]:[Microcontroller]])</f>
        <v>0.66696</v>
      </c>
    </row>
    <row r="142" spans="2:18">
      <c r="B142" s="6">
        <f ca="1">IF(ROW()=ROW(table_peak_current1[]),TIME(,,),OFFSET(table_peak_current1[[#This Row],[Schedule]],-1,,,)+TIME(,5,))</f>
        <v>0.11805555555555559</v>
      </c>
      <c r="C14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2" s="18">
        <f ca="1">SUM(table_peak_current1[[#This Row],[Gyro]:[Microcontroller]])</f>
        <v>1.92696</v>
      </c>
      <c r="K142" s="6">
        <f ca="1">IF(ROW()=ROW(table_avg_current1[]),TIME(,,),OFFSET(table_avg_current1[[#This Row],[Schedule]],-1,,,)+TIME(,5,))</f>
        <v>0.11805555555555559</v>
      </c>
      <c r="L14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2" s="44">
        <f ca="1">SUM(table_avg_current1[[#This Row],[Gyro]:[Microcontroller]])</f>
        <v>0.66696</v>
      </c>
    </row>
    <row r="143" spans="2:18">
      <c r="B143" s="6">
        <f ca="1">IF(ROW()=ROW(table_peak_current1[]),TIME(,,),OFFSET(table_peak_current1[[#This Row],[Schedule]],-1,,,)+TIME(,5,))</f>
        <v>0.12152777777777782</v>
      </c>
      <c r="C14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4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3" s="18">
        <f ca="1">SUM(table_peak_current1[[#This Row],[Gyro]:[Microcontroller]])</f>
        <v>3.7257600000000002</v>
      </c>
      <c r="K143" s="6">
        <f ca="1">IF(ROW()=ROW(table_avg_current1[]),TIME(,,),OFFSET(table_avg_current1[[#This Row],[Schedule]],-1,,,)+TIME(,5,))</f>
        <v>0.12152777777777782</v>
      </c>
      <c r="L14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4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3" s="44">
        <f ca="1">SUM(table_avg_current1[[#This Row],[Gyro]:[Microcontroller]])</f>
        <v>2.46576</v>
      </c>
    </row>
    <row r="144" spans="2:18">
      <c r="B144" s="6">
        <f ca="1">IF(ROW()=ROW(table_peak_current1[]),TIME(,,),OFFSET(table_peak_current1[[#This Row],[Schedule]],-1,,,)+TIME(,5,))</f>
        <v>0.12500000000000003</v>
      </c>
      <c r="C14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1.8</v>
      </c>
      <c r="F14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4" s="18">
        <f ca="1">SUM(table_peak_current1[[#This Row],[Gyro]:[Microcontroller]])</f>
        <v>3.7257600000000002</v>
      </c>
      <c r="K144" s="6">
        <f ca="1">IF(ROW()=ROW(table_avg_current1[]),TIME(,,),OFFSET(table_avg_current1[[#This Row],[Schedule]],-1,,,)+TIME(,5,))</f>
        <v>0.12500000000000003</v>
      </c>
      <c r="L14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1.8</v>
      </c>
      <c r="O14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4" s="44">
        <f ca="1">SUM(table_avg_current1[[#This Row],[Gyro]:[Microcontroller]])</f>
        <v>2.46576</v>
      </c>
    </row>
    <row r="145" spans="2:18">
      <c r="B145" s="6">
        <f ca="1">IF(ROW()=ROW(table_peak_current1[]),TIME(,,),OFFSET(table_peak_current1[[#This Row],[Schedule]],-1,,,)+TIME(,5,))</f>
        <v>0.12847222222222224</v>
      </c>
      <c r="C14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5" s="18">
        <f ca="1">SUM(table_peak_current1[[#This Row],[Gyro]:[Microcontroller]])</f>
        <v>1.92696</v>
      </c>
      <c r="K145" s="6">
        <f ca="1">IF(ROW()=ROW(table_avg_current1[]),TIME(,,),OFFSET(table_avg_current1[[#This Row],[Schedule]],-1,,,)+TIME(,5,))</f>
        <v>0.12847222222222224</v>
      </c>
      <c r="L14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5" s="44">
        <f ca="1">SUM(table_avg_current1[[#This Row],[Gyro]:[Microcontroller]])</f>
        <v>0.66696</v>
      </c>
    </row>
    <row r="146" spans="2:18">
      <c r="B146" s="6">
        <f ca="1">IF(ROW()=ROW(table_peak_current1[]),TIME(,,),OFFSET(table_peak_current1[[#This Row],[Schedule]],-1,,,)+TIME(,5,))</f>
        <v>0.13194444444444445</v>
      </c>
      <c r="C14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6" s="18">
        <f ca="1">SUM(table_peak_current1[[#This Row],[Gyro]:[Microcontroller]])</f>
        <v>1.92696</v>
      </c>
      <c r="K146" s="6">
        <f ca="1">IF(ROW()=ROW(table_avg_current1[]),TIME(,,),OFFSET(table_avg_current1[[#This Row],[Schedule]],-1,,,)+TIME(,5,))</f>
        <v>0.13194444444444445</v>
      </c>
      <c r="L14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6" s="44">
        <f ca="1">SUM(table_avg_current1[[#This Row],[Gyro]:[Microcontroller]])</f>
        <v>0.66696</v>
      </c>
    </row>
    <row r="147" spans="2:18">
      <c r="B147" s="6">
        <f ca="1">IF(ROW()=ROW(table_peak_current1[]),TIME(,,),OFFSET(table_peak_current1[[#This Row],[Schedule]],-1,,,)+TIME(,5,))</f>
        <v>0.13541666666666666</v>
      </c>
      <c r="C147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7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7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7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7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7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7" s="18">
        <f ca="1">SUM(table_peak_current1[[#This Row],[Gyro]:[Microcontroller]])</f>
        <v>1.92696</v>
      </c>
      <c r="K147" s="6">
        <f ca="1">IF(ROW()=ROW(table_avg_current1[]),TIME(,,),OFFSET(table_avg_current1[[#This Row],[Schedule]],-1,,,)+TIME(,5,))</f>
        <v>0.13541666666666666</v>
      </c>
      <c r="L147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7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7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7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7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7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7" s="44">
        <f ca="1">SUM(table_avg_current1[[#This Row],[Gyro]:[Microcontroller]])</f>
        <v>0.66696</v>
      </c>
    </row>
    <row r="148" spans="2:18">
      <c r="B148" s="6">
        <f ca="1">IF(ROW()=ROW(table_peak_current1[]),TIME(,,),OFFSET(table_peak_current1[[#This Row],[Schedule]],-1,,,)+TIME(,5,))</f>
        <v>0.13888888888888887</v>
      </c>
      <c r="C148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8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8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8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8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8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8" s="18">
        <f ca="1">SUM(table_peak_current1[[#This Row],[Gyro]:[Microcontroller]])</f>
        <v>1.92696</v>
      </c>
      <c r="K148" s="6">
        <f ca="1">IF(ROW()=ROW(table_avg_current1[]),TIME(,,),OFFSET(table_avg_current1[[#This Row],[Schedule]],-1,,,)+TIME(,5,))</f>
        <v>0.13888888888888887</v>
      </c>
      <c r="L148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8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8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8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8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8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8" s="44">
        <f ca="1">SUM(table_avg_current1[[#This Row],[Gyro]:[Microcontroller]])</f>
        <v>0.66696</v>
      </c>
    </row>
    <row r="149" spans="2:18">
      <c r="B149" s="6">
        <f ca="1">IF(ROW()=ROW(table_peak_current1[]),TIME(,,),OFFSET(table_peak_current1[[#This Row],[Schedule]],-1,,,)+TIME(,5,))</f>
        <v>0.14236111111111108</v>
      </c>
      <c r="C149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49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49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49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49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49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49" s="18">
        <f ca="1">SUM(table_peak_current1[[#This Row],[Gyro]:[Microcontroller]])</f>
        <v>1.92696</v>
      </c>
      <c r="K149" s="6">
        <f ca="1">IF(ROW()=ROW(table_avg_current1[]),TIME(,,),OFFSET(table_avg_current1[[#This Row],[Schedule]],-1,,,)+TIME(,5,))</f>
        <v>0.14236111111111108</v>
      </c>
      <c r="L149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49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49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49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49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49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49" s="44">
        <f ca="1">SUM(table_avg_current1[[#This Row],[Gyro]:[Microcontroller]])</f>
        <v>0.66696</v>
      </c>
    </row>
    <row r="150" spans="2:18">
      <c r="B150" s="6">
        <f ca="1">IF(ROW()=ROW(table_peak_current1[]),TIME(,,),OFFSET(table_peak_current1[[#This Row],[Schedule]],-1,,,)+TIME(,5,))</f>
        <v>0.14583333333333329</v>
      </c>
      <c r="C150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0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0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0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0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50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50" s="18">
        <f ca="1">SUM(table_peak_current1[[#This Row],[Gyro]:[Microcontroller]])</f>
        <v>1.92696</v>
      </c>
      <c r="K150" s="6">
        <f ca="1">IF(ROW()=ROW(table_avg_current1[]),TIME(,,),OFFSET(table_avg_current1[[#This Row],[Schedule]],-1,,,)+TIME(,5,))</f>
        <v>0.14583333333333329</v>
      </c>
      <c r="L150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0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0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0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0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50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50" s="44">
        <f ca="1">SUM(table_avg_current1[[#This Row],[Gyro]:[Microcontroller]])</f>
        <v>0.66696</v>
      </c>
    </row>
    <row r="151" spans="2:18">
      <c r="B151" s="6">
        <f ca="1">IF(ROW()=ROW(table_peak_current1[]),TIME(,,),OFFSET(table_peak_current1[[#This Row],[Schedule]],-1,,,)+TIME(,5,))</f>
        <v>0.1493055555555555</v>
      </c>
      <c r="C151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1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1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1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1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51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51" s="18">
        <f ca="1">SUM(table_peak_current1[[#This Row],[Gyro]:[Microcontroller]])</f>
        <v>1.92696</v>
      </c>
      <c r="K151" s="6">
        <f ca="1">IF(ROW()=ROW(table_avg_current1[]),TIME(,,),OFFSET(table_avg_current1[[#This Row],[Schedule]],-1,,,)+TIME(,5,))</f>
        <v>0.1493055555555555</v>
      </c>
      <c r="L151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1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1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1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1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51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51" s="44">
        <f ca="1">SUM(table_avg_current1[[#This Row],[Gyro]:[Microcontroller]])</f>
        <v>0.66696</v>
      </c>
    </row>
    <row r="152" spans="2:18">
      <c r="B152" s="6">
        <f ca="1">IF(ROW()=ROW(table_peak_current1[]),TIME(,,),OFFSET(table_peak_current1[[#This Row],[Schedule]],-1,,,)+TIME(,5,))</f>
        <v>0.15277777777777771</v>
      </c>
      <c r="C152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2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2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2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2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0.12000000000000001</v>
      </c>
      <c r="H152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52" s="18">
        <f ca="1">SUM(table_peak_current1[[#This Row],[Gyro]:[Microcontroller]])</f>
        <v>1.92696</v>
      </c>
      <c r="K152" s="6">
        <f ca="1">IF(ROW()=ROW(table_avg_current1[]),TIME(,,),OFFSET(table_avg_current1[[#This Row],[Schedule]],-1,,,)+TIME(,5,))</f>
        <v>0.15277777777777771</v>
      </c>
      <c r="L152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2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2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2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2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0.12</v>
      </c>
      <c r="Q152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52" s="44">
        <f ca="1">SUM(table_avg_current1[[#This Row],[Gyro]:[Microcontroller]])</f>
        <v>0.66696</v>
      </c>
    </row>
    <row r="153" spans="2:18">
      <c r="B153" s="6">
        <f ca="1">IF(ROW()=ROW(table_peak_current1[]),TIME(,,),OFFSET(table_peak_current1[[#This Row],[Schedule]],-1,,,)+TIME(,5,))</f>
        <v>0.15624999999999992</v>
      </c>
      <c r="C153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3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3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3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3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564</v>
      </c>
      <c r="H153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1.8</v>
      </c>
      <c r="I153" s="18">
        <f ca="1">SUM(table_peak_current1[[#This Row],[Gyro]:[Microcontroller]])</f>
        <v>565.80696</v>
      </c>
      <c r="K153" s="6">
        <f ca="1">IF(ROW()=ROW(table_avg_current1[]),TIME(,,),OFFSET(table_avg_current1[[#This Row],[Schedule]],-1,,,)+TIME(,5,))</f>
        <v>0.15624999999999992</v>
      </c>
      <c r="L153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3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3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3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3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78</v>
      </c>
      <c r="Q153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0.54</v>
      </c>
      <c r="R153" s="44">
        <f ca="1">SUM(table_avg_current1[[#This Row],[Gyro]:[Microcontroller]])</f>
        <v>78.546960000000013</v>
      </c>
    </row>
    <row r="154" spans="2:18">
      <c r="B154" s="6">
        <f ca="1">IF(ROW()=ROW(table_peak_current1[]),TIME(,,),OFFSET(table_peak_current1[[#This Row],[Schedule]],-1,,,)+TIME(,5,))</f>
        <v>0.15972222222222213</v>
      </c>
      <c r="C154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4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4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4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4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564</v>
      </c>
      <c r="H154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49.2</v>
      </c>
      <c r="I154" s="18">
        <f ca="1">SUM(table_peak_current1[[#This Row],[Gyro]:[Microcontroller]])</f>
        <v>613.20696000000009</v>
      </c>
      <c r="K154" s="6">
        <f ca="1">IF(ROW()=ROW(table_avg_current1[]),TIME(,,),OFFSET(table_avg_current1[[#This Row],[Schedule]],-1,,,)+TIME(,5,))</f>
        <v>0.15972222222222213</v>
      </c>
      <c r="L154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4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4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4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4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78</v>
      </c>
      <c r="Q154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26.4</v>
      </c>
      <c r="R154" s="44">
        <f ca="1">SUM(table_avg_current1[[#This Row],[Gyro]:[Microcontroller]])</f>
        <v>104.40696</v>
      </c>
    </row>
    <row r="155" spans="2:18">
      <c r="B155" s="6">
        <f ca="1">IF(ROW()=ROW(table_peak_current1[]),TIME(,,),OFFSET(table_peak_current1[[#This Row],[Schedule]],-1,,,)+TIME(,5,))</f>
        <v>0.16319444444444434</v>
      </c>
      <c r="C155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3.3599999999999997E-3</v>
      </c>
      <c r="D155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2.3999999999999998E-3</v>
      </c>
      <c r="E155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1.1999999999999999E-3</v>
      </c>
      <c r="F155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5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</v>
      </c>
      <c r="H155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49.2</v>
      </c>
      <c r="I155" s="18">
        <f ca="1">SUM(table_peak_current1[[#This Row],[Gyro]:[Microcontroller]])</f>
        <v>49.206960000000002</v>
      </c>
      <c r="K155" s="6">
        <f ca="1">IF(ROW()=ROW(table_avg_current1[]),TIME(,,),OFFSET(table_avg_current1[[#This Row],[Schedule]],-1,,,)+TIME(,5,))</f>
        <v>0.16319444444444434</v>
      </c>
      <c r="L155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3.3599999999999997E-3</v>
      </c>
      <c r="M155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2.3999999999999998E-3</v>
      </c>
      <c r="N155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1.1999999999999999E-3</v>
      </c>
      <c r="O155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5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</v>
      </c>
      <c r="Q155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26.4</v>
      </c>
      <c r="R155" s="44">
        <f ca="1">SUM(table_avg_current1[[#This Row],[Gyro]:[Microcontroller]])</f>
        <v>26.406959999999998</v>
      </c>
    </row>
    <row r="156" spans="2:18">
      <c r="B156" s="6">
        <f ca="1">IF(ROW()=ROW(table_peak_current1[]),TIME(,,),OFFSET(table_peak_current1[[#This Row],[Schedule]],-1,,,)+TIME(,5,))</f>
        <v>0.16666666666666655</v>
      </c>
      <c r="C156" s="33">
        <f ca="1">IF(gyro_inc_1,MAX(
_xlfn.MAXIFS(table_energy_GYRO[Peak current (mA)],table_energy_GYRO[Start],"&gt;="&amp;table_peak_current1[[#This Row],[Schedule]],table_energy_GYRO[Start],"&lt;="&amp;OFFSET(table_peak_current1[[#This Row],[Schedule]],1,,,)),
_xlfn.MAXIFS(table_energy_GYRO[Peak current (mA)],table_energy_GYRO[End],"&gt;="&amp;table_peak_current1[[#This Row],[Schedule]],table_energy_GYRO[End],"&lt;="&amp;OFFSET(table_peak_current1[[#This Row],[Schedule]],1,,,)),
_xlfn.MAXIFS(table_energy_GYRO[Peak current (mA)],table_energy_GYRO[Start],"&lt;="&amp;table_peak_current1[[#This Row],[Schedule]],table_energy_GYRO[End],"&gt;="&amp;OFFSET(table_peak_current1[[#This Row],[Schedule]],1,,,))
),0)</f>
        <v>0</v>
      </c>
      <c r="D156" s="18">
        <f ca="1">IF(acc_inc_1,MAX(
_xlfn.MAXIFS(table_energy_ACC[Peak current (mA)],table_energy_ACC[Start],"&gt;="&amp;table_peak_current1[[#This Row],[Schedule]],table_energy_ACC[Start],"&lt;="&amp;OFFSET(table_peak_current1[[#This Row],[Schedule]],1,,,)),
_xlfn.MAXIFS(table_energy_ACC[Peak current (mA)],table_energy_ACC[End],"&gt;="&amp;table_peak_current1[[#This Row],[Schedule]],table_energy_ACC[End],"&lt;="&amp;OFFSET(table_peak_current1[[#This Row],[Schedule]],1,,,)),
_xlfn.MAXIFS(table_energy_ACC[Peak current (mA)],table_energy_ACC[Start],"&lt;="&amp;table_peak_current1[[#This Row],[Schedule]],table_energy_ACC[End],"&gt;="&amp;OFFSET(table_peak_current1[[#This Row],[Schedule]],1,,,))
),0)</f>
        <v>0</v>
      </c>
      <c r="E156" s="18">
        <f ca="1">IF(Temp_inc_1,MAX(
_xlfn.MAXIFS(table_energy_TEMP[Peak current (mA)],table_energy_TEMP[Start],"&gt;="&amp;table_peak_current1[[#This Row],[Schedule]],table_energy_TEMP[Start],"&lt;="&amp;OFFSET(table_peak_current1[[#This Row],[Schedule]],1,,,)),
_xlfn.MAXIFS(table_energy_TEMP[Peak current (mA)],table_energy_TEMP[End],"&gt;="&amp;table_peak_current1[[#This Row],[Schedule]],table_energy_TEMP[End],"&lt;="&amp;OFFSET(table_peak_current1[[#This Row],[Schedule]],1,,,)),
_xlfn.MAXIFS(table_energy_TEMP[Peak current (mA)],table_energy_TEMP[Start],"&lt;="&amp;table_peak_current1[[#This Row],[Schedule]],table_energy_TEMP[End],"&gt;="&amp;OFFSET(table_peak_current1[[#This Row],[Schedule]],1,,,))
),0)</f>
        <v>0</v>
      </c>
      <c r="F156" s="18">
        <f ca="1">IF(GPS_inc_1,MAX(
_xlfn.MAXIFS(table_energy_GPS[Peak current (mA)],table_energy_GPS[Start],"&gt;="&amp;table_peak_current1[[#This Row],[Schedule]],table_energy_GPS[Start],"&lt;="&amp;OFFSET(table_peak_current1[[#This Row],[Schedule]],1,,,)),
_xlfn.MAXIFS(table_energy_GPS[Peak current (mA)],table_energy_GPS[End],"&gt;="&amp;table_peak_current1[[#This Row],[Schedule]],table_energy_GPS[End],"&lt;="&amp;OFFSET(table_peak_current1[[#This Row],[Schedule]],1,,,)),
_xlfn.MAXIFS(table_energy_GPS[Peak current (mA)],table_energy_GPS[Start],"&lt;="&amp;table_peak_current1[[#This Row],[Schedule]],table_energy_GPS[End],"&gt;="&amp;OFFSET(table_peak_current1[[#This Row],[Schedule]],1,,,))
),0)</f>
        <v>0</v>
      </c>
      <c r="G156" s="18">
        <f ca="1">IF(Rockblock_inc_1,MAX(
_xlfn.MAXIFS(table_energy_Rockblock[Peak current (mA)],table_energy_Rockblock[Start],"&gt;="&amp;table_peak_current1[[#This Row],[Schedule]],table_energy_Rockblock[Start],"&lt;="&amp;OFFSET(table_peak_current1[[#This Row],[Schedule]],1,,,)),
_xlfn.MAXIFS(table_energy_Rockblock[Peak current (mA)],table_energy_Rockblock[End],"&gt;="&amp;table_peak_current1[[#This Row],[Schedule]],table_energy_Rockblock[End],"&lt;="&amp;OFFSET(table_peak_current1[[#This Row],[Schedule]],1,,,)),
_xlfn.MAXIFS(table_energy_Rockblock[Peak current (mA)],table_energy_Rockblock[Start],"&lt;="&amp;table_peak_current1[[#This Row],[Schedule]],table_energy_Rockblock[End],"&gt;="&amp;OFFSET(table_peak_current1[[#This Row],[Schedule]],1,,,))
),0)</f>
        <v>0</v>
      </c>
      <c r="H156" s="18">
        <f ca="1">IF(Microcontroller_inc_1,MAX(
_xlfn.MAXIFS(table_energy_µC[Peak current (mA)],table_energy_µC[Start],"&gt;="&amp;table_peak_current1[[#This Row],[Schedule]],table_energy_µC[Start],"&lt;="&amp;OFFSET(table_peak_current1[[#This Row],[Schedule]],1,,,)),
_xlfn.MAXIFS(table_energy_µC[Peak current (mA)],table_energy_µC[End],"&gt;="&amp;table_peak_current1[[#This Row],[Schedule]],table_energy_µC[End],"&lt;="&amp;OFFSET(table_peak_current1[[#This Row],[Schedule]],1,,,)),
_xlfn.MAXIFS(table_energy_µC[Peak current (mA)],table_energy_µC[Start],"&lt;="&amp;table_peak_current1[[#This Row],[Schedule]],table_energy_µC[End],"&gt;="&amp;OFFSET(table_peak_current1[[#This Row],[Schedule]],1,,,))
),0)</f>
        <v>0</v>
      </c>
      <c r="I156" s="18">
        <f ca="1">SUM(table_peak_current1[[#This Row],[Gyro]:[Microcontroller]])</f>
        <v>0</v>
      </c>
      <c r="K156" s="6">
        <f ca="1">IF(ROW()=ROW(table_avg_current1[]),TIME(,,),OFFSET(table_avg_current1[[#This Row],[Schedule]],-1,,,)+TIME(,5,))</f>
        <v>0.16666666666666655</v>
      </c>
      <c r="L156" s="33">
        <f ca="1">IF(gyro_inc_1,MAX(
_xlfn.MAXIFS(table_energy_GYRO[Average current (mA)],table_energy_GYRO[Start],"&gt;="&amp;table_avg_current1[[#This Row],[Schedule]],table_energy_GYRO[Start],"&lt;="&amp;OFFSET(table_avg_current1[[#This Row],[Schedule]],1,,,)),
_xlfn.MAXIFS(table_energy_GYRO[Average current (mA)],table_energy_GYRO[End],"&gt;="&amp;table_avg_current1[[#This Row],[Schedule]],table_energy_GYRO[End],"&lt;="&amp;OFFSET(table_avg_current1[[#This Row],[Schedule]],1,,,)),
_xlfn.MAXIFS(table_energy_GYRO[Average current (mA)],table_energy_GYRO[Start],"&lt;="&amp;table_avg_current1[[#This Row],[Schedule]],table_energy_GYRO[End],"&gt;="&amp;OFFSET(table_avg_current1[[#This Row],[Schedule]],1,,,))
),0)</f>
        <v>0</v>
      </c>
      <c r="M156" s="44">
        <f ca="1">IF(acc_inc_1,MAX(
_xlfn.MAXIFS(table_energy_ACC[Average current (mA)],table_energy_ACC[Start],"&gt;="&amp;table_avg_current1[[#This Row],[Schedule]],table_energy_ACC[Start],"&lt;="&amp;OFFSET(table_avg_current1[[#This Row],[Schedule]],1,,,)),
_xlfn.MAXIFS(table_energy_ACC[Average current (mA)],table_energy_ACC[End],"&gt;="&amp;table_avg_current1[[#This Row],[Schedule]],table_energy_ACC[End],"&lt;="&amp;OFFSET(table_avg_current1[[#This Row],[Schedule]],1,,,)),
_xlfn.MAXIFS(table_energy_ACC[Average current (mA)],table_energy_ACC[Start],"&lt;="&amp;table_avg_current1[[#This Row],[Schedule]],table_energy_ACC[End],"&gt;="&amp;OFFSET(table_avg_current1[[#This Row],[Schedule]],1,,,))
),0)</f>
        <v>0</v>
      </c>
      <c r="N156" s="44">
        <f ca="1">IF(Temp_inc_1,MAX(
_xlfn.MAXIFS(table_energy_TEMP[Average current (mA)],table_energy_TEMP[Start],"&gt;="&amp;table_avg_current1[[#This Row],[Schedule]],table_energy_TEMP[Start],"&lt;="&amp;OFFSET(table_avg_current1[[#This Row],[Schedule]],1,,,)),
_xlfn.MAXIFS(table_energy_TEMP[Average current (mA)],table_energy_TEMP[End],"&gt;="&amp;table_avg_current1[[#This Row],[Schedule]],table_energy_TEMP[End],"&lt;="&amp;OFFSET(table_avg_current1[[#This Row],[Schedule]],1,,,)),
_xlfn.MAXIFS(table_energy_TEMP[Average current (mA)],table_energy_TEMP[Start],"&lt;="&amp;table_avg_current1[[#This Row],[Schedule]],table_energy_TEMP[End],"&gt;="&amp;OFFSET(table_avg_current1[[#This Row],[Schedule]],1,,,))
),0)</f>
        <v>0</v>
      </c>
      <c r="O156" s="44">
        <f ca="1">IF(GPS_inc_1,MAX(
_xlfn.MAXIFS(table_energy_GPS[Average current (mA)],table_energy_GPS[Start],"&gt;="&amp;table_avg_current1[[#This Row],[Schedule]],table_energy_GPS[Start],"&lt;="&amp;OFFSET(table_avg_current1[[#This Row],[Schedule]],1,,,)),
_xlfn.MAXIFS(table_energy_GPS[Average current (mA)],table_energy_GPS[End],"&gt;="&amp;table_avg_current1[[#This Row],[Schedule]],table_energy_GPS[End],"&lt;="&amp;OFFSET(table_avg_current1[[#This Row],[Schedule]],1,,,)),
_xlfn.MAXIFS(table_energy_GPS[Average current (mA)],table_energy_GPS[Start],"&lt;="&amp;table_avg_current1[[#This Row],[Schedule]],table_energy_GPS[End],"&gt;="&amp;OFFSET(table_avg_current1[[#This Row],[Schedule]],1,,,))
),0)</f>
        <v>0</v>
      </c>
      <c r="P156" s="44">
        <f ca="1">IF(Rockblock_inc_1,MAX(
_xlfn.MAXIFS(table_energy_Rockblock[Average current (mA)],table_energy_Rockblock[Start],"&gt;="&amp;table_avg_current1[[#This Row],[Schedule]],table_energy_Rockblock[Start],"&lt;="&amp;OFFSET(table_avg_current1[[#This Row],[Schedule]],1,,,)),
_xlfn.MAXIFS(table_energy_Rockblock[Average current (mA)],table_energy_Rockblock[End],"&gt;="&amp;table_avg_current1[[#This Row],[Schedule]],table_energy_Rockblock[End],"&lt;="&amp;OFFSET(table_avg_current1[[#This Row],[Schedule]],1,,,)),
_xlfn.MAXIFS(table_energy_Rockblock[Average current (mA)],table_energy_Rockblock[Start],"&lt;="&amp;table_avg_current1[[#This Row],[Schedule]],table_energy_Rockblock[End],"&gt;="&amp;OFFSET(table_avg_current1[[#This Row],[Schedule]],1,,,))
),0)</f>
        <v>0</v>
      </c>
      <c r="Q156" s="44">
        <f ca="1">IF(Microcontroller_inc_1,MAX(
_xlfn.MAXIFS(table_energy_µC[Average current (mA)],table_energy_µC[Start],"&gt;="&amp;table_avg_current1[[#This Row],[Schedule]],table_energy_µC[Start],"&lt;="&amp;OFFSET(table_avg_current1[[#This Row],[Schedule]],1,,,)),
_xlfn.MAXIFS(table_energy_µC[Average current (mA)],table_energy_µC[End],"&gt;="&amp;table_avg_current1[[#This Row],[Schedule]],table_energy_µC[End],"&lt;="&amp;OFFSET(table_avg_current1[[#This Row],[Schedule]],1,,,)),
_xlfn.MAXIFS(table_energy_µC[Average current (mA)],table_energy_µC[Start],"&lt;="&amp;table_avg_current1[[#This Row],[Schedule]],table_energy_µC[End],"&gt;="&amp;OFFSET(table_avg_current1[[#This Row],[Schedule]],1,,,))
),0)</f>
        <v>0</v>
      </c>
      <c r="R156" s="44">
        <f ca="1">SUM(table_avg_current1[[#This Row],[Gyro]:[Microcontroller]])</f>
        <v>0</v>
      </c>
    </row>
  </sheetData>
  <mergeCells count="10">
    <mergeCell ref="B2:F2"/>
    <mergeCell ref="B10:F10"/>
    <mergeCell ref="B20:F20"/>
    <mergeCell ref="B106:I106"/>
    <mergeCell ref="K106:R106"/>
    <mergeCell ref="B65:G65"/>
    <mergeCell ref="B44:G44"/>
    <mergeCell ref="B34:G34"/>
    <mergeCell ref="B56:G56"/>
    <mergeCell ref="F67:G67"/>
  </mergeCells>
  <conditionalFormatting sqref="I108:I15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:R1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6">
    <dataValidation type="list" allowBlank="1" showInputMessage="1" showErrorMessage="1" sqref="C13:C16" xr:uid="{48868C46-9D80-674B-B55F-64A38709C800}">
      <formula1>processes_ACC</formula1>
    </dataValidation>
    <dataValidation type="list" allowBlank="1" showInputMessage="1" showErrorMessage="1" sqref="C37:C39" xr:uid="{DDD08A52-8E42-D942-954A-F0B6574EB234}">
      <formula1>processes_GPS</formula1>
    </dataValidation>
    <dataValidation type="list" allowBlank="1" showInputMessage="1" showErrorMessage="1" sqref="C47:C52" xr:uid="{D7511A74-EDFE-3E40-9F7F-F3ABB8228C3B}">
      <formula1>processes_Rockblock</formula1>
    </dataValidation>
    <dataValidation type="list" allowBlank="1" showInputMessage="1" showErrorMessage="1" sqref="C5:C7" xr:uid="{9CA5B639-568F-9744-A7B6-B89BED0090EF}">
      <formula1>processes_gyro</formula1>
    </dataValidation>
    <dataValidation type="list" allowBlank="1" showInputMessage="1" showErrorMessage="1" sqref="C23:C30" xr:uid="{054F21DF-CD9A-F34B-9A0F-990AA36956C2}">
      <formula1>processes_TEMP</formula1>
    </dataValidation>
    <dataValidation type="list" allowBlank="1" showInputMessage="1" showErrorMessage="1" sqref="C59:C61" xr:uid="{A944C79A-E44A-3F46-8ED7-F380800A17B9}">
      <formula1>processes_µC</formula1>
    </dataValidation>
  </dataValidations>
  <hyperlinks>
    <hyperlink ref="C3" location="options_GYRO" display="Gyro data" xr:uid="{E75E8F63-252E-E346-B51F-0F1766757F64}"/>
    <hyperlink ref="C11" location="options_ACC" display="Acc_Mag data" xr:uid="{75C6738A-7AAD-9340-AD78-0EE65F513F0C}"/>
    <hyperlink ref="C21" location="options_TEMP" display="Temp sensor data" xr:uid="{6DE9442F-6996-E34E-8903-470ACFBD6B2D}"/>
    <hyperlink ref="C35" location="options_GPS" display="GPS data" xr:uid="{77C21EB8-28ED-1748-A5D7-C5BA44725F84}"/>
    <hyperlink ref="C45" location="options_Rockblock" display="Rockblock data" xr:uid="{0BBE9C94-1B0E-5F4D-9744-AF692B8410C2}"/>
    <hyperlink ref="C57" location="options_µC" display="Microcontroller data" xr:uid="{FAEADFA7-608F-634B-9893-B3B436EEBFCA}"/>
  </hyperlink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r:id="rId3" name="Check Box 21">
              <controlPr defaultSize="0" autoFill="0" autoLine="0" autoPict="0" altText="">
                <anchor moveWithCells="1">
                  <from>
                    <xdr:col>3</xdr:col>
                    <xdr:colOff>736600</xdr:colOff>
                    <xdr:row>67</xdr:row>
                    <xdr:rowOff>12700</xdr:rowOff>
                  </from>
                  <to>
                    <xdr:col>3</xdr:col>
                    <xdr:colOff>965200</xdr:colOff>
                    <xdr:row>67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4" name="Check Box 28">
              <controlPr defaultSize="0" autoFill="0" autoLine="0" autoPict="0">
                <anchor moveWithCells="1">
                  <from>
                    <xdr:col>3</xdr:col>
                    <xdr:colOff>736600</xdr:colOff>
                    <xdr:row>68</xdr:row>
                    <xdr:rowOff>12700</xdr:rowOff>
                  </from>
                  <to>
                    <xdr:col>3</xdr:col>
                    <xdr:colOff>965200</xdr:colOff>
                    <xdr:row>68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5" name="Check Box 29">
              <controlPr defaultSize="0" autoFill="0" autoLine="0" autoPict="0">
                <anchor moveWithCells="1">
                  <from>
                    <xdr:col>3</xdr:col>
                    <xdr:colOff>736600</xdr:colOff>
                    <xdr:row>69</xdr:row>
                    <xdr:rowOff>12700</xdr:rowOff>
                  </from>
                  <to>
                    <xdr:col>3</xdr:col>
                    <xdr:colOff>965200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6" name="Check Box 30">
              <controlPr defaultSize="0" autoFill="0" autoLine="0" autoPict="0">
                <anchor moveWithCells="1">
                  <from>
                    <xdr:col>3</xdr:col>
                    <xdr:colOff>736600</xdr:colOff>
                    <xdr:row>70</xdr:row>
                    <xdr:rowOff>12700</xdr:rowOff>
                  </from>
                  <to>
                    <xdr:col>3</xdr:col>
                    <xdr:colOff>965200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" name="Check Box 31">
              <controlPr defaultSize="0" autoFill="0" autoLine="0" autoPict="0">
                <anchor moveWithCells="1">
                  <from>
                    <xdr:col>3</xdr:col>
                    <xdr:colOff>736600</xdr:colOff>
                    <xdr:row>71</xdr:row>
                    <xdr:rowOff>12700</xdr:rowOff>
                  </from>
                  <to>
                    <xdr:col>3</xdr:col>
                    <xdr:colOff>965200</xdr:colOff>
                    <xdr:row>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8" name="Check Box 32">
              <controlPr defaultSize="0" autoFill="0" autoLine="0" autoPict="0">
                <anchor moveWithCells="1">
                  <from>
                    <xdr:col>3</xdr:col>
                    <xdr:colOff>736600</xdr:colOff>
                    <xdr:row>72</xdr:row>
                    <xdr:rowOff>12700</xdr:rowOff>
                  </from>
                  <to>
                    <xdr:col>3</xdr:col>
                    <xdr:colOff>965200</xdr:colOff>
                    <xdr:row>72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" name="Check Box 33">
              <controlPr defaultSize="0" autoFill="0" autoLine="0" autoPict="0">
                <anchor moveWithCells="1">
                  <from>
                    <xdr:col>3</xdr:col>
                    <xdr:colOff>736600</xdr:colOff>
                    <xdr:row>68</xdr:row>
                    <xdr:rowOff>12700</xdr:rowOff>
                  </from>
                  <to>
                    <xdr:col>3</xdr:col>
                    <xdr:colOff>965200</xdr:colOff>
                    <xdr:row>68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tableParts count="10"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2F50-192A-3444-ABDB-DFFAA493F8CD}">
  <dimension ref="B6:C13"/>
  <sheetViews>
    <sheetView workbookViewId="0">
      <selection activeCell="E14" sqref="E14"/>
    </sheetView>
  </sheetViews>
  <sheetFormatPr baseColWidth="10" defaultRowHeight="16"/>
  <cols>
    <col min="2" max="2" width="12.5703125" bestFit="1" customWidth="1"/>
    <col min="3" max="3" width="20.5703125" bestFit="1" customWidth="1"/>
  </cols>
  <sheetData>
    <row r="6" spans="2:3">
      <c r="B6" t="s">
        <v>90</v>
      </c>
    </row>
    <row r="7" spans="2:3">
      <c r="B7" t="s">
        <v>34</v>
      </c>
      <c r="C7" t="s">
        <v>92</v>
      </c>
    </row>
    <row r="8" spans="2:3">
      <c r="B8" t="s">
        <v>0</v>
      </c>
      <c r="C8" t="s">
        <v>93</v>
      </c>
    </row>
    <row r="9" spans="2:3">
      <c r="B9" t="s">
        <v>70</v>
      </c>
      <c r="C9" t="s">
        <v>94</v>
      </c>
    </row>
    <row r="10" spans="2:3">
      <c r="B10" t="s">
        <v>91</v>
      </c>
      <c r="C10" t="s">
        <v>95</v>
      </c>
    </row>
    <row r="11" spans="2:3">
      <c r="B11" t="s">
        <v>13</v>
      </c>
      <c r="C11" t="s">
        <v>96</v>
      </c>
    </row>
    <row r="12" spans="2:3">
      <c r="B12" t="s">
        <v>46</v>
      </c>
      <c r="C12" t="s">
        <v>97</v>
      </c>
    </row>
    <row r="13" spans="2:3">
      <c r="B13" t="s">
        <v>17</v>
      </c>
      <c r="C13" t="s">
        <v>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56</vt:i4>
      </vt:variant>
    </vt:vector>
  </HeadingPairs>
  <TitlesOfParts>
    <vt:vector size="59" baseType="lpstr">
      <vt:lpstr>Data tables</vt:lpstr>
      <vt:lpstr>Procedures</vt:lpstr>
      <vt:lpstr>Table reference</vt:lpstr>
      <vt:lpstr>acc_inc_1</vt:lpstr>
      <vt:lpstr>acc_ODR</vt:lpstr>
      <vt:lpstr>active_mode_GPS</vt:lpstr>
      <vt:lpstr>GPS_inc_1</vt:lpstr>
      <vt:lpstr>gyro_inc_1</vt:lpstr>
      <vt:lpstr>gyro_ODR</vt:lpstr>
      <vt:lpstr>I_ACC_hybrid</vt:lpstr>
      <vt:lpstr>I_ACC_standby</vt:lpstr>
      <vt:lpstr>I_GPS_acquisition</vt:lpstr>
      <vt:lpstr>I_GPS_tracking_cont</vt:lpstr>
      <vt:lpstr>I_GPS_tracking_ps</vt:lpstr>
      <vt:lpstr>I_GYRO_active</vt:lpstr>
      <vt:lpstr>I_GYRO_ready</vt:lpstr>
      <vt:lpstr>I_GYRO_standby</vt:lpstr>
      <vt:lpstr>I_µC_run</vt:lpstr>
      <vt:lpstr>I_µC_sleep</vt:lpstr>
      <vt:lpstr>I_µC_standby</vt:lpstr>
      <vt:lpstr>I_µC_stop</vt:lpstr>
      <vt:lpstr>inactive_mode_GPS</vt:lpstr>
      <vt:lpstr>inactive_modes_GYRO</vt:lpstr>
      <vt:lpstr>Microcontroller_inc_1</vt:lpstr>
      <vt:lpstr>options_ACC</vt:lpstr>
      <vt:lpstr>options_GPS</vt:lpstr>
      <vt:lpstr>options_GYRO</vt:lpstr>
      <vt:lpstr>options_Rockblock</vt:lpstr>
      <vt:lpstr>options_TEMP</vt:lpstr>
      <vt:lpstr>options_µC</vt:lpstr>
      <vt:lpstr>P_ACC_hybrid</vt:lpstr>
      <vt:lpstr>P_ACC_standby</vt:lpstr>
      <vt:lpstr>P_GPS_acquisition</vt:lpstr>
      <vt:lpstr>P_GPS_tracking_cont</vt:lpstr>
      <vt:lpstr>P_GPS_tracking_ps</vt:lpstr>
      <vt:lpstr>P_GYRO_active</vt:lpstr>
      <vt:lpstr>P_GYRO_ready</vt:lpstr>
      <vt:lpstr>P_GYRO_standby</vt:lpstr>
      <vt:lpstr>P_µC_sleep</vt:lpstr>
      <vt:lpstr>P_µC_standby</vt:lpstr>
      <vt:lpstr>P_µC_stop</vt:lpstr>
      <vt:lpstr>processes_ACC</vt:lpstr>
      <vt:lpstr>processes_GPS</vt:lpstr>
      <vt:lpstr>processes_gyro</vt:lpstr>
      <vt:lpstr>processes_microcontroller</vt:lpstr>
      <vt:lpstr>processes_Rockblock</vt:lpstr>
      <vt:lpstr>processes_TEMP</vt:lpstr>
      <vt:lpstr>processes_µC</vt:lpstr>
      <vt:lpstr>Rockblock_inc_1</vt:lpstr>
      <vt:lpstr>start_type_GPS</vt:lpstr>
      <vt:lpstr>Temp_inc_1</vt:lpstr>
      <vt:lpstr>Vdd_ACC</vt:lpstr>
      <vt:lpstr>Vdd_COMM</vt:lpstr>
      <vt:lpstr>Vdd_GPS</vt:lpstr>
      <vt:lpstr>Vdd_GYRO</vt:lpstr>
      <vt:lpstr>Vdd_Iridium</vt:lpstr>
      <vt:lpstr>Vdd_ROCK</vt:lpstr>
      <vt:lpstr>Vdd_TEMP</vt:lpstr>
      <vt:lpstr>Vdd_µC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2019-06-14T07:51:59Z</cp:lastPrinted>
  <dcterms:created xsi:type="dcterms:W3CDTF">2019-06-07T08:05:53Z</dcterms:created>
  <dcterms:modified xsi:type="dcterms:W3CDTF">2019-07-19T09:20:25Z</dcterms:modified>
</cp:coreProperties>
</file>