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2_Hydraulic-Comp-Model_Ms\Hydraulic model in Matlab Ver2June21\Info&amp;Calcs\"/>
    </mc:Choice>
  </mc:AlternateContent>
  <xr:revisionPtr revIDLastSave="0" documentId="13_ncr:1_{F528D05E-42E1-4DAC-8E24-AFB44B1A8E6D}" xr6:coauthVersionLast="47" xr6:coauthVersionMax="47" xr10:uidLastSave="{00000000-0000-0000-0000-000000000000}"/>
  <bookViews>
    <workbookView xWindow="-28920" yWindow="3270" windowWidth="29040" windowHeight="15840" firstSheet="2" activeTab="5" xr2:uid="{00000000-000D-0000-FFFF-FFFF00000000}"/>
  </bookViews>
  <sheets>
    <sheet name="6TankModel_Hts &amp; Po" sheetId="14" r:id="rId1"/>
    <sheet name="Muscle ATP &amp; ATPase rate eqns " sheetId="20" r:id="rId2"/>
    <sheet name="Rasmusssen-Saltin in vivo data" sheetId="13" r:id="rId3"/>
    <sheet name="Jeneson nmr in vivo data" sheetId="22" r:id="rId4"/>
    <sheet name="Glancy isolated mito data" sheetId="21" r:id="rId5"/>
    <sheet name="Tank Hts to kcal &amp; mV" sheetId="18" r:id="rId6"/>
    <sheet name="Static Head Values" sheetId="11" r:id="rId7"/>
    <sheet name="Summary in vivo conduct &amp; cap" sheetId="19" r:id="rId8"/>
    <sheet name="Glancy Conductances vs Model" sheetId="17" r:id="rId9"/>
    <sheet name="constants&amp;conversion_factors" sheetId="3" r:id="rId10"/>
  </sheets>
  <externalReferences>
    <externalReference r:id="rId11"/>
  </externalReferences>
  <calcPr calcId="191029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20" l="1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26" i="20"/>
  <c r="C17" i="14"/>
  <c r="N17" i="14"/>
  <c r="O17" i="14"/>
  <c r="L17" i="14"/>
  <c r="K17" i="14" s="1"/>
  <c r="G17" i="14"/>
  <c r="F17" i="14"/>
  <c r="E17" i="14"/>
  <c r="D17" i="14"/>
  <c r="D15" i="14"/>
  <c r="D26" i="13"/>
  <c r="D24" i="13"/>
  <c r="D20" i="13"/>
  <c r="D19" i="13"/>
  <c r="F9" i="22"/>
  <c r="G9" i="22" s="1"/>
  <c r="E12" i="22"/>
  <c r="C6" i="22"/>
  <c r="C5" i="22"/>
  <c r="D15" i="13"/>
  <c r="D14" i="13"/>
  <c r="H38" i="21"/>
  <c r="H39" i="21" s="1"/>
  <c r="H40" i="21" s="1"/>
  <c r="H31" i="21"/>
  <c r="D27" i="21"/>
  <c r="E19" i="21"/>
  <c r="D19" i="21"/>
  <c r="H18" i="21"/>
  <c r="H19" i="21" s="1"/>
  <c r="H21" i="21" s="1"/>
  <c r="H30" i="21" s="1"/>
  <c r="G18" i="21"/>
  <c r="G19" i="21" s="1"/>
  <c r="F18" i="21"/>
  <c r="F19" i="21" s="1"/>
  <c r="E18" i="21"/>
  <c r="D18" i="21"/>
  <c r="H17" i="21"/>
  <c r="G17" i="21"/>
  <c r="F17" i="21"/>
  <c r="E17" i="21"/>
  <c r="D17" i="21"/>
  <c r="H16" i="21"/>
  <c r="G16" i="21"/>
  <c r="F16" i="21"/>
  <c r="E16" i="21"/>
  <c r="D16" i="21"/>
  <c r="U15" i="21"/>
  <c r="T15" i="21"/>
  <c r="T17" i="21" s="1"/>
  <c r="H15" i="21"/>
  <c r="G15" i="21"/>
  <c r="F15" i="21"/>
  <c r="E15" i="21"/>
  <c r="D15" i="21"/>
  <c r="H14" i="21"/>
  <c r="G14" i="21"/>
  <c r="F14" i="21"/>
  <c r="E14" i="21"/>
  <c r="D14" i="21" s="1"/>
  <c r="U13" i="21"/>
  <c r="U12" i="21"/>
  <c r="C6" i="21"/>
  <c r="C7" i="21" s="1"/>
  <c r="E6" i="20"/>
  <c r="E42" i="14"/>
  <c r="E41" i="14"/>
  <c r="E43" i="14" s="1"/>
  <c r="G42" i="14"/>
  <c r="G44" i="14"/>
  <c r="G41" i="14"/>
  <c r="I17" i="14" l="1"/>
  <c r="J17" i="14"/>
  <c r="C29" i="19"/>
  <c r="C28" i="19"/>
  <c r="C27" i="19"/>
  <c r="C22" i="19"/>
  <c r="C21" i="19"/>
  <c r="C20" i="19"/>
  <c r="C5" i="19"/>
  <c r="C6" i="19" s="1"/>
  <c r="C7" i="19" s="1"/>
  <c r="D40" i="18"/>
  <c r="D39" i="18"/>
  <c r="D37" i="18"/>
  <c r="C35" i="18"/>
  <c r="D35" i="18"/>
  <c r="E35" i="18" s="1"/>
  <c r="F35" i="18" s="1"/>
  <c r="G35" i="18" s="1"/>
  <c r="H35" i="18" s="1"/>
  <c r="W19" i="14"/>
  <c r="W16" i="14"/>
  <c r="U19" i="14"/>
  <c r="U16" i="14"/>
  <c r="S19" i="14"/>
  <c r="S16" i="14"/>
  <c r="Q21" i="18"/>
  <c r="Q22" i="18"/>
  <c r="Q23" i="18"/>
  <c r="Q24" i="18"/>
  <c r="Q25" i="18"/>
  <c r="Q26" i="18"/>
  <c r="Q15" i="18"/>
  <c r="K12" i="18"/>
  <c r="L12" i="18" s="1"/>
  <c r="P26" i="18"/>
  <c r="R26" i="18"/>
  <c r="S26" i="18" s="1"/>
  <c r="P25" i="18"/>
  <c r="R25" i="18"/>
  <c r="S25" i="18" s="1"/>
  <c r="P22" i="18"/>
  <c r="P23" i="18"/>
  <c r="P24" i="18"/>
  <c r="P21" i="18"/>
  <c r="R24" i="18"/>
  <c r="S24" i="18" s="1"/>
  <c r="R23" i="18"/>
  <c r="S23" i="18" s="1"/>
  <c r="R22" i="18"/>
  <c r="S22" i="18" s="1"/>
  <c r="S21" i="18"/>
  <c r="R21" i="18"/>
  <c r="U15" i="18"/>
  <c r="V15" i="18" s="1"/>
  <c r="V18" i="18" s="1"/>
  <c r="R15" i="18"/>
  <c r="S15" i="18" s="1"/>
  <c r="R10" i="18"/>
  <c r="R11" i="18" s="1"/>
  <c r="O7" i="18"/>
  <c r="K11" i="18"/>
  <c r="L11" i="18" s="1"/>
  <c r="K8" i="18"/>
  <c r="J8" i="18"/>
  <c r="W15" i="18" l="1"/>
  <c r="C30" i="18" l="1"/>
  <c r="C31" i="18" s="1"/>
  <c r="D30" i="18"/>
  <c r="E30" i="18" s="1"/>
  <c r="F30" i="18" s="1"/>
  <c r="G30" i="18" s="1"/>
  <c r="H30" i="18" s="1"/>
  <c r="C7" i="18"/>
  <c r="C8" i="18" s="1"/>
  <c r="D7" i="18"/>
  <c r="E7" i="18" s="1"/>
  <c r="F7" i="18" s="1"/>
  <c r="G7" i="18" s="1"/>
  <c r="H7" i="18" s="1"/>
  <c r="C6" i="18"/>
  <c r="D5" i="18"/>
  <c r="E5" i="18" s="1"/>
  <c r="F5" i="18" s="1"/>
  <c r="G5" i="18" s="1"/>
  <c r="H5" i="18" s="1"/>
  <c r="P14" i="17"/>
  <c r="P15" i="17" s="1"/>
  <c r="M11" i="17"/>
  <c r="G20" i="17"/>
  <c r="F20" i="17"/>
  <c r="G19" i="17"/>
  <c r="F19" i="17"/>
  <c r="C13" i="17"/>
  <c r="D6" i="17"/>
  <c r="C6" i="17"/>
  <c r="E6" i="17" s="1"/>
  <c r="F6" i="17"/>
  <c r="G6" i="17" s="1"/>
  <c r="D8" i="17"/>
  <c r="F8" i="17" s="1"/>
  <c r="F5" i="17"/>
  <c r="G5" i="17" s="1"/>
  <c r="E5" i="17"/>
  <c r="N6" i="17"/>
  <c r="N7" i="17"/>
  <c r="M6" i="17"/>
  <c r="L7" i="17"/>
  <c r="M7" i="17"/>
  <c r="L8" i="17"/>
  <c r="M8" i="17"/>
  <c r="M5" i="17"/>
  <c r="N5" i="17" s="1"/>
  <c r="L5" i="17"/>
  <c r="K6" i="17"/>
  <c r="K8" i="17" s="1"/>
  <c r="J6" i="17"/>
  <c r="J8" i="17" s="1"/>
  <c r="C32" i="18" l="1"/>
  <c r="D31" i="18"/>
  <c r="E31" i="18" s="1"/>
  <c r="F31" i="18" s="1"/>
  <c r="G31" i="18" s="1"/>
  <c r="H31" i="18" s="1"/>
  <c r="D8" i="18"/>
  <c r="E8" i="18" s="1"/>
  <c r="F8" i="18" s="1"/>
  <c r="G8" i="18" s="1"/>
  <c r="H8" i="18" s="1"/>
  <c r="C9" i="18"/>
  <c r="D6" i="18"/>
  <c r="E6" i="18" s="1"/>
  <c r="F6" i="18" s="1"/>
  <c r="G6" i="18" s="1"/>
  <c r="H6" i="18" s="1"/>
  <c r="L6" i="17"/>
  <c r="C8" i="17"/>
  <c r="E8" i="17" s="1"/>
  <c r="C33" i="18" l="1"/>
  <c r="D32" i="18"/>
  <c r="E32" i="18" s="1"/>
  <c r="F32" i="18" s="1"/>
  <c r="G32" i="18" s="1"/>
  <c r="H32" i="18" s="1"/>
  <c r="C10" i="18"/>
  <c r="D9" i="18"/>
  <c r="E9" i="18" s="1"/>
  <c r="F9" i="18" s="1"/>
  <c r="G9" i="18" s="1"/>
  <c r="H9" i="18" s="1"/>
  <c r="D51" i="14"/>
  <c r="B52" i="14" s="1"/>
  <c r="D52" i="14" s="1"/>
  <c r="N33" i="14"/>
  <c r="H43" i="14" s="1"/>
  <c r="I25" i="14"/>
  <c r="M25" i="14" s="1"/>
  <c r="L19" i="14"/>
  <c r="L20" i="14"/>
  <c r="K5" i="14"/>
  <c r="H5" i="14"/>
  <c r="C20" i="14"/>
  <c r="D20" i="14" s="1"/>
  <c r="F20" i="14" s="1"/>
  <c r="L16" i="14"/>
  <c r="D16" i="14"/>
  <c r="D19" i="14"/>
  <c r="C34" i="18" l="1"/>
  <c r="D34" i="18" s="1"/>
  <c r="E34" i="18" s="1"/>
  <c r="F34" i="18" s="1"/>
  <c r="G34" i="18" s="1"/>
  <c r="H34" i="18" s="1"/>
  <c r="D33" i="18"/>
  <c r="E33" i="18" s="1"/>
  <c r="F33" i="18" s="1"/>
  <c r="G33" i="18" s="1"/>
  <c r="H33" i="18" s="1"/>
  <c r="D10" i="18"/>
  <c r="E10" i="18" s="1"/>
  <c r="F10" i="18" s="1"/>
  <c r="G10" i="18" s="1"/>
  <c r="H10" i="18" s="1"/>
  <c r="C11" i="18"/>
  <c r="M26" i="14"/>
  <c r="F43" i="14"/>
  <c r="G43" i="14" s="1"/>
  <c r="H41" i="14"/>
  <c r="N34" i="14"/>
  <c r="K20" i="14"/>
  <c r="C12" i="18" l="1"/>
  <c r="D11" i="18"/>
  <c r="E11" i="18" s="1"/>
  <c r="F11" i="18" s="1"/>
  <c r="G11" i="18" s="1"/>
  <c r="H11" i="18" s="1"/>
  <c r="F52" i="14"/>
  <c r="F53" i="14" s="1"/>
  <c r="D12" i="18" l="1"/>
  <c r="E12" i="18" s="1"/>
  <c r="F12" i="18" s="1"/>
  <c r="G12" i="18" s="1"/>
  <c r="H12" i="18" s="1"/>
  <c r="C13" i="18"/>
  <c r="I5" i="14"/>
  <c r="G5" i="14" s="1"/>
  <c r="C14" i="18" l="1"/>
  <c r="D13" i="18"/>
  <c r="E13" i="18" s="1"/>
  <c r="F13" i="18" s="1"/>
  <c r="G13" i="18" s="1"/>
  <c r="H13" i="18" s="1"/>
  <c r="E44" i="14"/>
  <c r="E19" i="14"/>
  <c r="E16" i="14"/>
  <c r="D14" i="14"/>
  <c r="E14" i="14" s="1"/>
  <c r="E8" i="13"/>
  <c r="D8" i="13"/>
  <c r="D12" i="13" s="1"/>
  <c r="E6" i="13"/>
  <c r="E5" i="13"/>
  <c r="D14" i="18" l="1"/>
  <c r="E14" i="18" s="1"/>
  <c r="F14" i="18" s="1"/>
  <c r="G14" i="18" s="1"/>
  <c r="H14" i="18" s="1"/>
  <c r="C15" i="18"/>
  <c r="H44" i="14"/>
  <c r="E20" i="14"/>
  <c r="F16" i="14"/>
  <c r="F19" i="14"/>
  <c r="G19" i="14" s="1"/>
  <c r="G20" i="14"/>
  <c r="C16" i="18" l="1"/>
  <c r="D15" i="18"/>
  <c r="E15" i="18" s="1"/>
  <c r="F15" i="18" s="1"/>
  <c r="G15" i="18" s="1"/>
  <c r="H15" i="18" s="1"/>
  <c r="G16" i="14"/>
  <c r="O16" i="14" s="1"/>
  <c r="K16" i="14"/>
  <c r="I20" i="14"/>
  <c r="J20" i="14"/>
  <c r="O20" i="14"/>
  <c r="C17" i="18" l="1"/>
  <c r="D16" i="18"/>
  <c r="E16" i="18" s="1"/>
  <c r="F16" i="18" s="1"/>
  <c r="G16" i="18" s="1"/>
  <c r="H16" i="18" s="1"/>
  <c r="I16" i="14"/>
  <c r="J16" i="14"/>
  <c r="N16" i="14"/>
  <c r="C18" i="18" l="1"/>
  <c r="D17" i="18"/>
  <c r="E17" i="18" s="1"/>
  <c r="F17" i="18" s="1"/>
  <c r="G17" i="18" s="1"/>
  <c r="H17" i="18" s="1"/>
  <c r="U57" i="11"/>
  <c r="U53" i="11"/>
  <c r="N36" i="11"/>
  <c r="E36" i="11"/>
  <c r="E35" i="11"/>
  <c r="F33" i="11"/>
  <c r="D33" i="11"/>
  <c r="G33" i="11" s="1"/>
  <c r="N32" i="11"/>
  <c r="I32" i="11"/>
  <c r="F32" i="11"/>
  <c r="D32" i="11"/>
  <c r="G32" i="11" s="1"/>
  <c r="J31" i="11"/>
  <c r="N30" i="11"/>
  <c r="N27" i="11"/>
  <c r="N25" i="11"/>
  <c r="J21" i="11"/>
  <c r="K21" i="11" s="1"/>
  <c r="I21" i="11"/>
  <c r="F21" i="11"/>
  <c r="F19" i="11"/>
  <c r="J19" i="11" s="1"/>
  <c r="D19" i="11"/>
  <c r="J17" i="11"/>
  <c r="I17" i="11" s="1"/>
  <c r="M11" i="11"/>
  <c r="J11" i="11"/>
  <c r="K11" i="11" s="1"/>
  <c r="L11" i="11" s="1"/>
  <c r="H11" i="11"/>
  <c r="M10" i="11"/>
  <c r="J10" i="11"/>
  <c r="K10" i="11" s="1"/>
  <c r="L10" i="11" s="1"/>
  <c r="H10" i="11"/>
  <c r="AL6" i="11"/>
  <c r="AK11" i="11" s="1"/>
  <c r="AK6" i="11"/>
  <c r="W6" i="11"/>
  <c r="U6" i="11" s="1"/>
  <c r="L6" i="11"/>
  <c r="M6" i="11" s="1"/>
  <c r="AL5" i="11"/>
  <c r="AK10" i="11" s="1"/>
  <c r="AK5" i="11"/>
  <c r="M5" i="11"/>
  <c r="L5" i="11"/>
  <c r="AL4" i="11"/>
  <c r="AK9" i="11" s="1"/>
  <c r="AK4" i="11"/>
  <c r="D18" i="18" l="1"/>
  <c r="E18" i="18" s="1"/>
  <c r="F18" i="18" s="1"/>
  <c r="G18" i="18" s="1"/>
  <c r="H18" i="18" s="1"/>
  <c r="C19" i="18"/>
  <c r="H19" i="11"/>
  <c r="K19" i="11"/>
  <c r="N19" i="11" s="1"/>
  <c r="I19" i="11"/>
  <c r="K17" i="11"/>
  <c r="D21" i="11"/>
  <c r="N21" i="11" s="1"/>
  <c r="H17" i="11"/>
  <c r="H21" i="11"/>
  <c r="C20" i="18" l="1"/>
  <c r="D19" i="18"/>
  <c r="E19" i="18" s="1"/>
  <c r="F19" i="18" s="1"/>
  <c r="G19" i="18" s="1"/>
  <c r="H19" i="18" s="1"/>
  <c r="P21" i="11"/>
  <c r="Q21" i="11" s="1"/>
  <c r="O21" i="11"/>
  <c r="L17" i="11"/>
  <c r="M17" i="11" s="1"/>
  <c r="N17" i="11"/>
  <c r="H32" i="11"/>
  <c r="C21" i="11"/>
  <c r="L21" i="11"/>
  <c r="M21" i="11" s="1"/>
  <c r="P19" i="11"/>
  <c r="Q19" i="11" s="1"/>
  <c r="O19" i="11"/>
  <c r="L19" i="11"/>
  <c r="M19" i="11" s="1"/>
  <c r="D20" i="18" l="1"/>
  <c r="E20" i="18" s="1"/>
  <c r="F20" i="18" s="1"/>
  <c r="G20" i="18" s="1"/>
  <c r="H20" i="18" s="1"/>
  <c r="C21" i="18"/>
  <c r="P17" i="11"/>
  <c r="Q17" i="11" s="1"/>
  <c r="O17" i="11"/>
  <c r="C22" i="18" l="1"/>
  <c r="D21" i="18"/>
  <c r="E21" i="18" s="1"/>
  <c r="F21" i="18" s="1"/>
  <c r="G21" i="18" s="1"/>
  <c r="H21" i="18" s="1"/>
  <c r="S8" i="3"/>
  <c r="S10" i="3"/>
  <c r="S11" i="3" s="1"/>
  <c r="W5" i="3"/>
  <c r="U5" i="3"/>
  <c r="S5" i="3"/>
  <c r="D22" i="18" l="1"/>
  <c r="E22" i="18" s="1"/>
  <c r="F22" i="18" s="1"/>
  <c r="G22" i="18" s="1"/>
  <c r="H22" i="18" s="1"/>
  <c r="C23" i="18"/>
  <c r="K16" i="3"/>
  <c r="C24" i="18" l="1"/>
  <c r="D23" i="18"/>
  <c r="E23" i="18" s="1"/>
  <c r="F23" i="18" s="1"/>
  <c r="G23" i="18" s="1"/>
  <c r="H23" i="18" s="1"/>
  <c r="B33" i="3"/>
  <c r="B32" i="3"/>
  <c r="E33" i="3"/>
  <c r="D33" i="3"/>
  <c r="D32" i="3"/>
  <c r="E32" i="3" s="1"/>
  <c r="C25" i="18" l="1"/>
  <c r="D24" i="18"/>
  <c r="E24" i="18" s="1"/>
  <c r="F24" i="18" s="1"/>
  <c r="G24" i="18" s="1"/>
  <c r="H24" i="18" s="1"/>
  <c r="E29" i="3"/>
  <c r="C29" i="3"/>
  <c r="E28" i="3"/>
  <c r="C28" i="3"/>
  <c r="E27" i="3"/>
  <c r="C27" i="3"/>
  <c r="I27" i="3" s="1"/>
  <c r="D23" i="3"/>
  <c r="E23" i="3" s="1"/>
  <c r="I23" i="3"/>
  <c r="K23" i="3" s="1"/>
  <c r="E22" i="3"/>
  <c r="K22" i="3"/>
  <c r="L22" i="3" s="1"/>
  <c r="M22" i="3" s="1"/>
  <c r="C26" i="18" l="1"/>
  <c r="D25" i="18"/>
  <c r="E25" i="18" s="1"/>
  <c r="F25" i="18" s="1"/>
  <c r="G25" i="18" s="1"/>
  <c r="H25" i="18" s="1"/>
  <c r="I28" i="3"/>
  <c r="C32" i="3"/>
  <c r="I32" i="3" s="1"/>
  <c r="I29" i="3"/>
  <c r="C33" i="3"/>
  <c r="I33" i="3" s="1"/>
  <c r="L23" i="3"/>
  <c r="M23" i="3" s="1"/>
  <c r="L27" i="3"/>
  <c r="O27" i="3" s="1"/>
  <c r="M27" i="3" s="1"/>
  <c r="N27" i="3" s="1"/>
  <c r="L29" i="3"/>
  <c r="O29" i="3" s="1"/>
  <c r="M29" i="3" s="1"/>
  <c r="N29" i="3" s="1"/>
  <c r="L28" i="3"/>
  <c r="O28" i="3" s="1"/>
  <c r="M28" i="3" s="1"/>
  <c r="N28" i="3" s="1"/>
  <c r="K3" i="3"/>
  <c r="K6" i="3" s="1"/>
  <c r="K14" i="3"/>
  <c r="K5" i="3"/>
  <c r="D26" i="18" l="1"/>
  <c r="E26" i="18" s="1"/>
  <c r="F26" i="18" s="1"/>
  <c r="G26" i="18" s="1"/>
  <c r="H26" i="18" s="1"/>
  <c r="C27" i="18"/>
  <c r="Q33" i="3"/>
  <c r="L33" i="3"/>
  <c r="O33" i="3" s="1"/>
  <c r="M33" i="3" s="1"/>
  <c r="N33" i="3" s="1"/>
  <c r="Q32" i="3"/>
  <c r="L32" i="3"/>
  <c r="O32" i="3" s="1"/>
  <c r="M32" i="3" s="1"/>
  <c r="N32" i="3" s="1"/>
  <c r="D27" i="18" l="1"/>
  <c r="E27" i="18" s="1"/>
  <c r="F27" i="18" s="1"/>
  <c r="G27" i="18" s="1"/>
  <c r="H27" i="18" s="1"/>
  <c r="C28" i="18"/>
  <c r="S33" i="3"/>
  <c r="T33" i="3" s="1"/>
  <c r="D28" i="18" l="1"/>
  <c r="E28" i="18" s="1"/>
  <c r="F28" i="18" s="1"/>
  <c r="G28" i="18" s="1"/>
  <c r="H28" i="18" s="1"/>
  <c r="C29" i="18"/>
  <c r="D29" i="18" s="1"/>
  <c r="E29" i="18" s="1"/>
  <c r="F29" i="18" s="1"/>
  <c r="G29" i="18" s="1"/>
  <c r="H29" i="18" s="1"/>
  <c r="K19" i="14"/>
  <c r="N19" i="14"/>
  <c r="O19" i="14"/>
  <c r="J19" i="14" l="1"/>
  <c r="J22" i="14" s="1"/>
  <c r="K22" i="14"/>
  <c r="K24" i="14" s="1"/>
  <c r="I19" i="14"/>
  <c r="H42" i="14"/>
</calcChain>
</file>

<file path=xl/sharedStrings.xml><?xml version="1.0" encoding="utf-8"?>
<sst xmlns="http://schemas.openxmlformats.org/spreadsheetml/2006/main" count="685" uniqueCount="453">
  <si>
    <t>kg</t>
  </si>
  <si>
    <t>g</t>
  </si>
  <si>
    <t>ml/min</t>
  </si>
  <si>
    <t>ml</t>
  </si>
  <si>
    <t>erg/sec</t>
  </si>
  <si>
    <t>cmH2O</t>
  </si>
  <si>
    <t>product</t>
  </si>
  <si>
    <t>units</t>
  </si>
  <si>
    <t>Units</t>
  </si>
  <si>
    <t>Dyne</t>
  </si>
  <si>
    <t>cm</t>
  </si>
  <si>
    <t>s^-2</t>
  </si>
  <si>
    <t>Newton</t>
  </si>
  <si>
    <t>m</t>
  </si>
  <si>
    <t>Force</t>
  </si>
  <si>
    <t>Conversions</t>
  </si>
  <si>
    <t>From</t>
  </si>
  <si>
    <t>To</t>
  </si>
  <si>
    <t>Factor</t>
  </si>
  <si>
    <t>mmHg</t>
  </si>
  <si>
    <t>Pascal</t>
  </si>
  <si>
    <t>cm H2O</t>
  </si>
  <si>
    <t>Energy</t>
  </si>
  <si>
    <t>dyne cm</t>
  </si>
  <si>
    <t>N m</t>
  </si>
  <si>
    <t>m^2</t>
  </si>
  <si>
    <t>name</t>
  </si>
  <si>
    <t>other</t>
  </si>
  <si>
    <t>Joule</t>
  </si>
  <si>
    <t>Erg</t>
  </si>
  <si>
    <t>cm^2</t>
  </si>
  <si>
    <t>Pressure</t>
  </si>
  <si>
    <t>N/m^2</t>
  </si>
  <si>
    <t>N/cm^2</t>
  </si>
  <si>
    <t>lb/in^2</t>
  </si>
  <si>
    <t>J/m^3</t>
  </si>
  <si>
    <t>cal</t>
  </si>
  <si>
    <t>J</t>
  </si>
  <si>
    <t>m^-3</t>
  </si>
  <si>
    <t>N</t>
  </si>
  <si>
    <t>m^-2</t>
  </si>
  <si>
    <t>Kg</t>
  </si>
  <si>
    <t>Heart Po test calculation</t>
  </si>
  <si>
    <t>CO</t>
  </si>
  <si>
    <t>M^3/min</t>
  </si>
  <si>
    <t>Delta Pressure</t>
  </si>
  <si>
    <t>dyne/cm^2</t>
  </si>
  <si>
    <t>cm^3/min</t>
  </si>
  <si>
    <t>cm^3/sec</t>
  </si>
  <si>
    <t>M^3/sec</t>
  </si>
  <si>
    <t>Pa (J/m^3)</t>
  </si>
  <si>
    <t>watts</t>
  </si>
  <si>
    <t>Po</t>
  </si>
  <si>
    <t>Note</t>
  </si>
  <si>
    <t>1 watt per 10^7 dyne x cm/sec</t>
  </si>
  <si>
    <t>tank ht</t>
  </si>
  <si>
    <t>inches</t>
  </si>
  <si>
    <t>uW</t>
  </si>
  <si>
    <t>Apparent R</t>
  </si>
  <si>
    <t>value</t>
  </si>
  <si>
    <t>sec/cm^-2</t>
  </si>
  <si>
    <t>F1ANT</t>
  </si>
  <si>
    <t>pipe</t>
  </si>
  <si>
    <t>by definition</t>
  </si>
  <si>
    <t>ETC</t>
  </si>
  <si>
    <t>Power Drop Through the Pipe</t>
  </si>
  <si>
    <t>rel radius</t>
  </si>
  <si>
    <t>rel R</t>
  </si>
  <si>
    <t>Delta cm</t>
  </si>
  <si>
    <t>Flow</t>
  </si>
  <si>
    <t>ml/sec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</si>
  <si>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Press</t>
    </r>
  </si>
  <si>
    <t>Delta in</t>
  </si>
  <si>
    <t>pipe L</t>
  </si>
  <si>
    <t>for H2O assume viscosity = 1.0</t>
  </si>
  <si>
    <t>L/sec</t>
  </si>
  <si>
    <t>m H2O</t>
  </si>
  <si>
    <t>flow</t>
  </si>
  <si>
    <t>dyne cm-2</t>
  </si>
  <si>
    <t>ml cm-2 s-1</t>
  </si>
  <si>
    <t>Segment</t>
  </si>
  <si>
    <t>Note: this is 1.0 Poise (1.0 P)</t>
  </si>
  <si>
    <t>Pipe</t>
  </si>
  <si>
    <t>Length</t>
  </si>
  <si>
    <t>Pipe Diameter</t>
  </si>
  <si>
    <t>g cm-1 s-1</t>
  </si>
  <si>
    <t>inch H2O</t>
  </si>
  <si>
    <t>Tank Dimensions</t>
  </si>
  <si>
    <t>Width</t>
  </si>
  <si>
    <t>Volume</t>
  </si>
  <si>
    <t>sec</t>
  </si>
  <si>
    <t>L</t>
  </si>
  <si>
    <t>J/sec</t>
  </si>
  <si>
    <t>DGatp</t>
  </si>
  <si>
    <t>1 kg muscle peak aerobic exercise</t>
  </si>
  <si>
    <t>ATP</t>
  </si>
  <si>
    <t>PCr</t>
  </si>
  <si>
    <t>mM</t>
  </si>
  <si>
    <t>ht</t>
  </si>
  <si>
    <t>sp wt</t>
  </si>
  <si>
    <t>dynes/ml</t>
  </si>
  <si>
    <t>power</t>
  </si>
  <si>
    <t>N/L</t>
  </si>
  <si>
    <t>heart Po</t>
  </si>
  <si>
    <t>Resistance</t>
  </si>
  <si>
    <t>Conductance</t>
  </si>
  <si>
    <r>
      <t>Pa*sec*m</t>
    </r>
    <r>
      <rPr>
        <b/>
        <vertAlign val="superscript"/>
        <sz val="12"/>
        <color theme="1"/>
        <rFont val="Calibri"/>
        <family val="2"/>
        <scheme val="minor"/>
      </rPr>
      <t>-3</t>
    </r>
  </si>
  <si>
    <r>
      <t>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*sec</t>
    </r>
    <r>
      <rPr>
        <b/>
        <vertAlign val="superscript"/>
        <sz val="12"/>
        <color theme="1"/>
        <rFont val="Calibri"/>
        <family val="2"/>
        <scheme val="minor"/>
      </rPr>
      <t>-1</t>
    </r>
    <r>
      <rPr>
        <b/>
        <sz val="12"/>
        <color theme="1"/>
        <rFont val="Calibri"/>
        <family val="2"/>
        <scheme val="minor"/>
      </rPr>
      <t>*Pa</t>
    </r>
    <r>
      <rPr>
        <b/>
        <vertAlign val="superscript"/>
        <sz val="12"/>
        <color theme="1"/>
        <rFont val="Calibri"/>
        <family val="2"/>
        <scheme val="minor"/>
      </rPr>
      <t>-1</t>
    </r>
  </si>
  <si>
    <r>
      <t>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/sec</t>
    </r>
  </si>
  <si>
    <r>
      <t>N/m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</si>
  <si>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Tank</t>
  </si>
  <si>
    <t>Height</t>
  </si>
  <si>
    <t>Hydraulic model simulating 1 kg mixed human muscle with 15 g mito/kg</t>
  </si>
  <si>
    <t>Top &amp; Bottom of Dp Tank</t>
  </si>
  <si>
    <t>Tank Wall Heights</t>
  </si>
  <si>
    <t>DY</t>
  </si>
  <si>
    <t>DGH+</t>
  </si>
  <si>
    <t>x 11/3</t>
  </si>
  <si>
    <t>Fuel DH</t>
  </si>
  <si>
    <t>mV</t>
  </si>
  <si>
    <t>cal/mol</t>
  </si>
  <si>
    <t>Redox</t>
  </si>
  <si>
    <t>Dp</t>
  </si>
  <si>
    <t>ATP-PCr</t>
  </si>
  <si>
    <t>Top &amp; Bottom of Redox tank</t>
  </si>
  <si>
    <t>Eh</t>
  </si>
  <si>
    <t>DEh</t>
  </si>
  <si>
    <t>DGredox</t>
  </si>
  <si>
    <t>x 2.7</t>
  </si>
  <si>
    <t>NAD/NADH</t>
  </si>
  <si>
    <t>O2/H2O</t>
  </si>
  <si>
    <t>(m)</t>
  </si>
  <si>
    <t>Fuel</t>
  </si>
  <si>
    <t>Radius</t>
  </si>
  <si>
    <t>Comparison of Mito Max Jo In Vitro vs In Vivo</t>
  </si>
  <si>
    <t>in vitro</t>
  </si>
  <si>
    <t>slope</t>
  </si>
  <si>
    <t>y-intercpt</t>
  </si>
  <si>
    <t>Mito Jo</t>
  </si>
  <si>
    <t>in vivo</t>
  </si>
  <si>
    <t>nmol/mg</t>
  </si>
  <si>
    <t>mg/g</t>
  </si>
  <si>
    <t>uL/g</t>
  </si>
  <si>
    <t>umol/g</t>
  </si>
  <si>
    <t>Glancy +Ca data expressed rel to ATP</t>
  </si>
  <si>
    <t>Static Heads</t>
  </si>
  <si>
    <t>Flux</t>
  </si>
  <si>
    <t>Affinities (kcal)</t>
  </si>
  <si>
    <t>all forces, energy, power are in dyne-cm system until the end</t>
  </si>
  <si>
    <t>Tank H2O Hts (cm)</t>
  </si>
  <si>
    <t>Power Out</t>
  </si>
  <si>
    <t>Delta h of tank hts cm H2O</t>
  </si>
  <si>
    <t>head</t>
  </si>
  <si>
    <t>Tank Up</t>
  </si>
  <si>
    <t>Tank Down</t>
  </si>
  <si>
    <t>Watt</t>
  </si>
  <si>
    <t>cm^2 s ml-1</t>
  </si>
  <si>
    <t>inch</t>
  </si>
  <si>
    <t>1 cm is 1 cal of driving force. So 1.0 meter = 1 kcal of driving force</t>
  </si>
  <si>
    <t>Capacitance of 8 mM ATP at 13.5 cal/mmol</t>
  </si>
  <si>
    <t>[ATP]</t>
  </si>
  <si>
    <t>The bottom of the tanks is 12 m (because the bottom of DGATP in aerobic range ~ 12 kcal/mol.</t>
  </si>
  <si>
    <t>at VO2max</t>
  </si>
  <si>
    <t>L H2O in tank</t>
  </si>
  <si>
    <t>Bottom</t>
  </si>
  <si>
    <t>Net</t>
  </si>
  <si>
    <t>Depth</t>
  </si>
  <si>
    <t>turnover t</t>
  </si>
  <si>
    <t>Capacitance Energy</t>
  </si>
  <si>
    <t>L H2O/mmol ATP</t>
  </si>
  <si>
    <t>Capacitance of 32 mM ATP at 13.5 cal/mmol</t>
  </si>
  <si>
    <t>approx</t>
  </si>
  <si>
    <t>L/mmol ATP</t>
  </si>
  <si>
    <t>Capacitance of Dp</t>
  </si>
  <si>
    <t>(Wojtczak et al. BBA 851:313-321, 1986)</t>
  </si>
  <si>
    <t>uJ/mg mito</t>
  </si>
  <si>
    <t>mJ/g</t>
  </si>
  <si>
    <t>J/kg muscle</t>
  </si>
  <si>
    <t>Assuming 15 g mito/Kg (see top of page)</t>
  </si>
  <si>
    <t>Capacitance of Redox</t>
  </si>
  <si>
    <r>
      <t>Viscosity of Water (</t>
    </r>
    <r>
      <rPr>
        <sz val="12"/>
        <color theme="1"/>
        <rFont val="Symbol"/>
        <family val="1"/>
        <charset val="2"/>
      </rPr>
      <t>h</t>
    </r>
    <r>
      <rPr>
        <sz val="12"/>
        <color theme="1"/>
        <rFont val="Calibri"/>
        <family val="2"/>
        <scheme val="minor"/>
      </rPr>
      <t>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</si>
  <si>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p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</si>
  <si>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G</t>
    </r>
    <r>
      <rPr>
        <vertAlign val="subscript"/>
        <sz val="12"/>
        <color theme="1"/>
        <rFont val="Calibri"/>
        <family val="2"/>
        <scheme val="minor"/>
      </rPr>
      <t>redox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</si>
  <si>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G</t>
    </r>
    <r>
      <rPr>
        <vertAlign val="subscript"/>
        <sz val="12"/>
        <color theme="1"/>
        <rFont val="Calibri"/>
        <family val="2"/>
        <scheme val="minor"/>
      </rPr>
      <t>ATP</t>
    </r>
  </si>
  <si>
    <t>Path Segment</t>
  </si>
  <si>
    <t>(Pa)</t>
  </si>
  <si>
    <t>NZ</t>
  </si>
  <si>
    <t>DH</t>
  </si>
  <si>
    <t>ATPase</t>
  </si>
  <si>
    <t>m^3</t>
  </si>
  <si>
    <t>Joules</t>
  </si>
  <si>
    <t>(capacitance)</t>
  </si>
  <si>
    <t>potential</t>
  </si>
  <si>
    <t xml:space="preserve">ATP </t>
  </si>
  <si>
    <t>Vol</t>
  </si>
  <si>
    <t>Fat capacitance - 70 kg body, 15% body fat, 10.5 kg lipid</t>
  </si>
  <si>
    <t>Palm MW</t>
  </si>
  <si>
    <t>mol ATP</t>
  </si>
  <si>
    <t>mmol ~P</t>
  </si>
  <si>
    <t>L H2O in fat tank</t>
  </si>
  <si>
    <t>G</t>
  </si>
  <si>
    <t>Pressure Drop</t>
  </si>
  <si>
    <t>Sides</t>
  </si>
  <si>
    <t>Stoichiometries</t>
  </si>
  <si>
    <t>2e-/O</t>
  </si>
  <si>
    <t>H+/2e-</t>
  </si>
  <si>
    <t>H+/ATP</t>
  </si>
  <si>
    <t>ATP/O</t>
  </si>
  <si>
    <t>ATP/O2</t>
  </si>
  <si>
    <t>H+ pumping</t>
  </si>
  <si>
    <t>ETC e-</t>
  </si>
  <si>
    <t>Jatp</t>
  </si>
  <si>
    <t>JO2</t>
  </si>
  <si>
    <t>Power Outputs (uW/mg)</t>
  </si>
  <si>
    <t>Glancy isolated mito</t>
  </si>
  <si>
    <t>Power Outputs (W/kg)</t>
  </si>
  <si>
    <t>mlO2</t>
  </si>
  <si>
    <t>mmol O2</t>
  </si>
  <si>
    <t>at state 3 (Jo = 460)</t>
  </si>
  <si>
    <t>JO2 (per min per kg)</t>
  </si>
  <si>
    <t>Exercise 1</t>
  </si>
  <si>
    <t>Exercise 2</t>
  </si>
  <si>
    <t>mmol/min</t>
  </si>
  <si>
    <t>VO2 per Kg</t>
  </si>
  <si>
    <t>Quad mass</t>
  </si>
  <si>
    <t>Max Po</t>
  </si>
  <si>
    <t>W/kg</t>
  </si>
  <si>
    <t xml:space="preserve">Rasmussen &amp; Saltin Krogh data </t>
  </si>
  <si>
    <t>avg max VO2</t>
  </si>
  <si>
    <t>max Po</t>
  </si>
  <si>
    <t>Rasmussen actual max Po</t>
  </si>
  <si>
    <t>Rel to ETC</t>
  </si>
  <si>
    <t>CVANT</t>
  </si>
  <si>
    <t>Ca2+ Conductances at rest</t>
  </si>
  <si>
    <t>Hydraulic model simulating 1 kg mixed human muscle with 10 g mito/kg</t>
  </si>
  <si>
    <t>kcal</t>
  </si>
  <si>
    <t>Gdh</t>
  </si>
  <si>
    <t>mL/sec</t>
  </si>
  <si>
    <t>Power Drop</t>
  </si>
  <si>
    <t>Po Abs</t>
  </si>
  <si>
    <t>Height (ss)</t>
  </si>
  <si>
    <t>Energy Pot</t>
  </si>
  <si>
    <t>Mito</t>
  </si>
  <si>
    <t>OxPhos</t>
  </si>
  <si>
    <t>Goxphos</t>
  </si>
  <si>
    <t>Gatpase</t>
  </si>
  <si>
    <t>Mito Serial Conductance</t>
  </si>
  <si>
    <t>Gmito</t>
  </si>
  <si>
    <t>What is the H2O volume of the ATP tank?</t>
  </si>
  <si>
    <t>min</t>
  </si>
  <si>
    <t>In vivo muscle [ATP] ~ 8 mM and Vmax ~ 50 mM/min. Therefore the ATP Turnover Time at max is:</t>
  </si>
  <si>
    <t xml:space="preserve"> (cm)</t>
  </si>
  <si>
    <t>Tank H2O Volumes at rest (capacitance estimations)</t>
  </si>
  <si>
    <t xml:space="preserve">Fuel capacitance is of course orders of magnitude greater, whether fat or cho. A large number based </t>
  </si>
  <si>
    <t>but also takes into account that fat must supply 28 kg muscle</t>
  </si>
  <si>
    <t>m^3 H2O fat for each kg muscle</t>
  </si>
  <si>
    <t>Ht</t>
  </si>
  <si>
    <t>Area of Base</t>
  </si>
  <si>
    <t>L is the apparent appropriate vol for PCr tank for tau = 31 sec</t>
  </si>
  <si>
    <t>is therefore the ratio of PCr to ATP volume</t>
  </si>
  <si>
    <t>Are the effective volumes of the ATP &amp; PCr tanks in the energetic region of control based on 8 m down to 5 m = 3 m? So divide by 3, not 8, in this range?</t>
  </si>
  <si>
    <t>The net ATP breakdown that occurs from rest to ~12.2 kcal/mol ~ 0.4 mmol. So is the ATP H2O volume in L and m^3 is 0.4/8 x 11.7?</t>
  </si>
  <si>
    <t>CV ANT</t>
  </si>
  <si>
    <t>Total</t>
  </si>
  <si>
    <t>no Ca</t>
  </si>
  <si>
    <t>+Ca</t>
  </si>
  <si>
    <r>
      <rPr>
        <sz val="12"/>
        <color theme="1"/>
        <rFont val="Symbol"/>
        <family val="1"/>
        <charset val="2"/>
      </rPr>
      <t>W</t>
    </r>
    <r>
      <rPr>
        <sz val="12"/>
        <color theme="1"/>
        <rFont val="Calibri"/>
        <family val="2"/>
        <scheme val="minor"/>
      </rPr>
      <t>/mg</t>
    </r>
  </si>
  <si>
    <t>mS/mg</t>
  </si>
  <si>
    <t>+Ca rel to ETC</t>
  </si>
  <si>
    <t>Glancy compared to full hydraulic model</t>
  </si>
  <si>
    <t>Glancy compared to 4 tank hydraulic model</t>
  </si>
  <si>
    <r>
      <rPr>
        <sz val="12"/>
        <color theme="1"/>
        <rFont val="Symbol"/>
        <family val="1"/>
        <charset val="2"/>
      </rPr>
      <t>W</t>
    </r>
    <r>
      <rPr>
        <sz val="12"/>
        <color theme="1"/>
        <rFont val="Calibri"/>
        <family val="1"/>
        <charset val="2"/>
        <scheme val="minor"/>
      </rPr>
      <t>/mg</t>
    </r>
  </si>
  <si>
    <t>+Ca rel to OxPhos</t>
  </si>
  <si>
    <t>in Glancy 2013 DH step conductance is 5.5x that of OxPhos</t>
  </si>
  <si>
    <t>DH/OxPhos</t>
  </si>
  <si>
    <t>tot G</t>
  </si>
  <si>
    <t>Original</t>
  </si>
  <si>
    <t>Adjusted</t>
  </si>
  <si>
    <t>The adjusted conductances give both DH/OxPhos = 5.5 and also the original total G</t>
  </si>
  <si>
    <t>V = iR</t>
  </si>
  <si>
    <t>R = V/i = Volt x sec/Coul = Ohm</t>
  </si>
  <si>
    <t>G = Coul/(Volt x sec) = Siemen</t>
  </si>
  <si>
    <t>Scaled to</t>
  </si>
  <si>
    <t>S/kg musc</t>
  </si>
  <si>
    <t>tau = RC</t>
  </si>
  <si>
    <t>1 kg 10g mito</t>
  </si>
  <si>
    <t>tau = C/G</t>
  </si>
  <si>
    <t>C = tau x G</t>
  </si>
  <si>
    <t>tau</t>
  </si>
  <si>
    <t>Siemens</t>
  </si>
  <si>
    <t>C</t>
  </si>
  <si>
    <t>S x sec</t>
  </si>
  <si>
    <t>Glancy State 3</t>
  </si>
  <si>
    <t>assume contractile eff = 0.5</t>
  </si>
  <si>
    <t xml:space="preserve">Glancy JO2max </t>
  </si>
  <si>
    <t xml:space="preserve">in vivo JO2max </t>
  </si>
  <si>
    <t>Power Output</t>
  </si>
  <si>
    <t>therefore, in vivo mito/Glancy mito:</t>
  </si>
  <si>
    <t>in vivo/Glancy max values</t>
  </si>
  <si>
    <r>
      <t>VO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max</t>
    </r>
  </si>
  <si>
    <t>same energetic span of control for both</t>
  </si>
  <si>
    <t>thus, Glancy conductance scaled up to 10 g mito/kg and then multiplied by 2.5</t>
  </si>
  <si>
    <t>w/ 2.5x ox cap</t>
  </si>
  <si>
    <t>(see next sheet)</t>
  </si>
  <si>
    <t>total R &amp; G</t>
  </si>
  <si>
    <t>of mito</t>
  </si>
  <si>
    <t>Energetic Range - rest to max</t>
  </si>
  <si>
    <t>Tank Ht</t>
  </si>
  <si>
    <t>kJ</t>
  </si>
  <si>
    <r>
      <t xml:space="preserve">per </t>
    </r>
    <r>
      <rPr>
        <b/>
        <sz val="14"/>
        <color theme="1"/>
        <rFont val="Symbol"/>
        <family val="1"/>
        <charset val="2"/>
      </rPr>
      <t>DY</t>
    </r>
  </si>
  <si>
    <t>Rest</t>
  </si>
  <si>
    <t>Max</t>
  </si>
  <si>
    <t>Tank Ht (m)</t>
  </si>
  <si>
    <t>meters to kcal conversion relation</t>
  </si>
  <si>
    <t>y-interc</t>
  </si>
  <si>
    <t>meters = slope x kcal + y-intercept</t>
  </si>
  <si>
    <t>Note: 2.344 x 4.184 =</t>
  </si>
  <si>
    <t>Calculator below</t>
  </si>
  <si>
    <r>
      <t>2e</t>
    </r>
    <r>
      <rPr>
        <b/>
        <vertAlign val="superscript"/>
        <sz val="14"/>
        <rFont val="Calibri"/>
        <family val="2"/>
        <scheme val="minor"/>
      </rPr>
      <t>-</t>
    </r>
    <r>
      <rPr>
        <b/>
        <sz val="14"/>
        <rFont val="Calibri"/>
        <family val="2"/>
        <scheme val="minor"/>
      </rPr>
      <t>/O</t>
    </r>
  </si>
  <si>
    <r>
      <t>H</t>
    </r>
    <r>
      <rPr>
        <b/>
        <vertAlign val="superscript"/>
        <sz val="14"/>
        <rFont val="Calibri"/>
        <family val="2"/>
        <scheme val="minor"/>
      </rPr>
      <t>+</t>
    </r>
    <r>
      <rPr>
        <b/>
        <sz val="14"/>
        <rFont val="Calibri"/>
        <family val="2"/>
        <scheme val="minor"/>
      </rPr>
      <t>/2e</t>
    </r>
    <r>
      <rPr>
        <b/>
        <vertAlign val="superscript"/>
        <sz val="14"/>
        <rFont val="Calibri"/>
        <family val="2"/>
        <scheme val="minor"/>
      </rPr>
      <t>-</t>
    </r>
  </si>
  <si>
    <r>
      <t>H</t>
    </r>
    <r>
      <rPr>
        <b/>
        <vertAlign val="superscript"/>
        <sz val="14"/>
        <rFont val="Calibri"/>
        <family val="2"/>
        <scheme val="minor"/>
      </rPr>
      <t>+</t>
    </r>
    <r>
      <rPr>
        <b/>
        <sz val="14"/>
        <rFont val="Calibri"/>
        <family val="2"/>
        <scheme val="minor"/>
      </rPr>
      <t>/ATP</t>
    </r>
  </si>
  <si>
    <r>
      <t>ATP/O</t>
    </r>
    <r>
      <rPr>
        <b/>
        <vertAlign val="subscript"/>
        <sz val="14"/>
        <rFont val="Calibri"/>
        <family val="2"/>
        <scheme val="minor"/>
      </rPr>
      <t>2</t>
    </r>
  </si>
  <si>
    <r>
      <rPr>
        <b/>
        <sz val="14"/>
        <rFont val="Symbol"/>
        <family val="1"/>
        <charset val="2"/>
      </rPr>
      <t>D</t>
    </r>
    <r>
      <rPr>
        <b/>
        <sz val="14"/>
        <rFont val="Calibri"/>
        <family val="2"/>
        <scheme val="minor"/>
      </rPr>
      <t>G</t>
    </r>
    <r>
      <rPr>
        <b/>
        <vertAlign val="subscript"/>
        <sz val="14"/>
        <rFont val="Calibri"/>
        <family val="2"/>
        <scheme val="minor"/>
      </rPr>
      <t>ATP</t>
    </r>
  </si>
  <si>
    <r>
      <rPr>
        <b/>
        <sz val="14"/>
        <rFont val="Symbol"/>
        <family val="1"/>
        <charset val="2"/>
      </rPr>
      <t>D</t>
    </r>
    <r>
      <rPr>
        <b/>
        <sz val="14"/>
        <rFont val="Calibri"/>
        <family val="2"/>
        <scheme val="minor"/>
      </rPr>
      <t>G</t>
    </r>
    <r>
      <rPr>
        <b/>
        <vertAlign val="subscript"/>
        <sz val="14"/>
        <rFont val="Calibri"/>
        <family val="2"/>
        <scheme val="minor"/>
      </rPr>
      <t>H</t>
    </r>
    <r>
      <rPr>
        <b/>
        <vertAlign val="superscript"/>
        <sz val="14"/>
        <rFont val="Calibri"/>
        <family val="2"/>
        <scheme val="minor"/>
      </rPr>
      <t>+</t>
    </r>
  </si>
  <si>
    <r>
      <rPr>
        <b/>
        <sz val="14"/>
        <rFont val="Symbol"/>
        <family val="1"/>
        <charset val="2"/>
      </rPr>
      <t>D</t>
    </r>
    <r>
      <rPr>
        <b/>
        <sz val="14"/>
        <rFont val="Calibri"/>
        <family val="2"/>
        <scheme val="minor"/>
      </rPr>
      <t>G</t>
    </r>
    <r>
      <rPr>
        <b/>
        <vertAlign val="subscript"/>
        <sz val="14"/>
        <rFont val="Calibri"/>
        <family val="2"/>
        <scheme val="minor"/>
      </rPr>
      <t>redox</t>
    </r>
  </si>
  <si>
    <t>what would be measured per mol</t>
  </si>
  <si>
    <t>(mV)</t>
  </si>
  <si>
    <r>
      <t xml:space="preserve">as </t>
    </r>
    <r>
      <rPr>
        <b/>
        <sz val="12"/>
        <rFont val="Symbol"/>
        <family val="1"/>
        <charset val="2"/>
      </rPr>
      <t>DY</t>
    </r>
  </si>
  <si>
    <t>as ATP/ADP</t>
  </si>
  <si>
    <t>@3 mM Pi</t>
  </si>
  <si>
    <r>
      <t xml:space="preserve">Equilibrium free energies based on </t>
    </r>
    <r>
      <rPr>
        <b/>
        <sz val="14"/>
        <rFont val="Symbol"/>
        <family val="1"/>
        <charset val="2"/>
      </rPr>
      <t>D</t>
    </r>
    <r>
      <rPr>
        <b/>
        <sz val="14"/>
        <rFont val="Calibri"/>
        <family val="2"/>
        <scheme val="minor"/>
      </rPr>
      <t>G</t>
    </r>
    <r>
      <rPr>
        <b/>
        <vertAlign val="subscript"/>
        <sz val="14"/>
        <rFont val="Calibri"/>
        <family val="2"/>
        <scheme val="minor"/>
      </rPr>
      <t>ATP</t>
    </r>
  </si>
  <si>
    <t>% Reduced</t>
  </si>
  <si>
    <t>kcal/mol e-</t>
  </si>
  <si>
    <t>reduced</t>
  </si>
  <si>
    <r>
      <t>% NAD</t>
    </r>
    <r>
      <rPr>
        <b/>
        <vertAlign val="subscript"/>
        <sz val="12"/>
        <color theme="1"/>
        <rFont val="Calibri"/>
        <family val="2"/>
        <scheme val="minor"/>
      </rPr>
      <t>total</t>
    </r>
    <r>
      <rPr>
        <b/>
        <sz val="12"/>
        <color theme="1"/>
        <rFont val="Calibri"/>
        <family val="2"/>
        <scheme val="minor"/>
      </rPr>
      <t xml:space="preserve"> pool</t>
    </r>
  </si>
  <si>
    <r>
      <rPr>
        <b/>
        <sz val="14"/>
        <rFont val="Symbol"/>
        <family val="1"/>
        <charset val="2"/>
      </rPr>
      <t>D</t>
    </r>
    <r>
      <rPr>
        <b/>
        <sz val="14"/>
        <rFont val="Calibri"/>
        <family val="2"/>
        <scheme val="minor"/>
      </rPr>
      <t>E</t>
    </r>
    <r>
      <rPr>
        <b/>
        <vertAlign val="subscript"/>
        <sz val="14"/>
        <rFont val="Calibri"/>
        <family val="2"/>
        <scheme val="minor"/>
      </rPr>
      <t>h</t>
    </r>
  </si>
  <si>
    <r>
      <t>E</t>
    </r>
    <r>
      <rPr>
        <b/>
        <vertAlign val="subscript"/>
        <sz val="14"/>
        <rFont val="Calibri"/>
        <family val="2"/>
        <scheme val="minor"/>
      </rPr>
      <t>h(NAD)</t>
    </r>
  </si>
  <si>
    <t xml:space="preserve">slope meter --&gt; kcal = </t>
  </si>
  <si>
    <t>based on stoichiometries &amp; equilib</t>
  </si>
  <si>
    <t>Glancy Scaled to 10 g mito/kg muscle</t>
  </si>
  <si>
    <t>Glancy Lmito is the conductance from fuel to ATP in units of nmol O2/min/nmol cyt a per kcal driving force</t>
  </si>
  <si>
    <t>nmol cyt a ~ mg mito protein</t>
  </si>
  <si>
    <t>Assume 5 nmol ATP/nmol O2 and converting to nmol ATP/min/mg:</t>
  </si>
  <si>
    <t>That value =</t>
  </si>
  <si>
    <t>nmol O2/min/nmol cyt a/kcal</t>
  </si>
  <si>
    <t>nmol ATP/min/mg/kcal</t>
  </si>
  <si>
    <t>Scale up to 10 g mito/kg &amp; mult by 2.5</t>
  </si>
  <si>
    <t>then x 2.5</t>
  </si>
  <si>
    <t>for 10 g mito/kg</t>
  </si>
  <si>
    <t>mmol ATP/min/kg/kcal</t>
  </si>
  <si>
    <t>In model at max 1220 mlH2O/sec enter and leave ATP tank. Therefore, under max conditions the H2O volume of the ATP tank in L is 1220 ml/s x 9.6 s =</t>
  </si>
  <si>
    <t>8 --&gt; 5</t>
  </si>
  <si>
    <t>k</t>
  </si>
  <si>
    <r>
      <t>min</t>
    </r>
    <r>
      <rPr>
        <vertAlign val="superscript"/>
        <sz val="14"/>
        <color theme="1"/>
        <rFont val="Calibri"/>
        <family val="2"/>
        <scheme val="minor"/>
      </rPr>
      <t>-1</t>
    </r>
  </si>
  <si>
    <r>
      <t>t</t>
    </r>
    <r>
      <rPr>
        <vertAlign val="subscript"/>
        <sz val="14"/>
        <color theme="1"/>
        <rFont val="Calibri"/>
        <family val="2"/>
        <scheme val="minor"/>
      </rPr>
      <t>1/2</t>
    </r>
  </si>
  <si>
    <r>
      <t>mmol ATP sec</t>
    </r>
    <r>
      <rPr>
        <vertAlign val="superscript"/>
        <sz val="14"/>
        <color theme="1"/>
        <rFont val="Calibri"/>
        <family val="2"/>
        <scheme val="minor"/>
      </rPr>
      <t>-1</t>
    </r>
    <r>
      <rPr>
        <sz val="14"/>
        <color theme="1"/>
        <rFont val="Calibri"/>
        <family val="2"/>
        <scheme val="minor"/>
      </rPr>
      <t xml:space="preserve"> kcal</t>
    </r>
    <r>
      <rPr>
        <vertAlign val="superscript"/>
        <sz val="14"/>
        <color theme="1"/>
        <rFont val="Calibri"/>
        <family val="2"/>
        <scheme val="minor"/>
      </rPr>
      <t>-1</t>
    </r>
  </si>
  <si>
    <r>
      <t>m</t>
    </r>
    <r>
      <rPr>
        <vertAlign val="super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 xml:space="preserve"> sec</t>
    </r>
    <r>
      <rPr>
        <vertAlign val="superscript"/>
        <sz val="14"/>
        <color theme="1"/>
        <rFont val="Calibri"/>
        <family val="2"/>
        <scheme val="minor"/>
      </rPr>
      <t xml:space="preserve">-1 </t>
    </r>
    <r>
      <rPr>
        <sz val="14"/>
        <color theme="1"/>
        <rFont val="Calibri"/>
        <family val="2"/>
        <scheme val="minor"/>
      </rPr>
      <t>Pa</t>
    </r>
    <r>
      <rPr>
        <vertAlign val="superscript"/>
        <sz val="14"/>
        <color theme="1"/>
        <rFont val="Calibri"/>
        <family val="2"/>
        <scheme val="minor"/>
      </rPr>
      <t>-1</t>
    </r>
  </si>
  <si>
    <r>
      <t>VO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&amp; J</t>
    </r>
    <r>
      <rPr>
        <b/>
        <vertAlign val="subscript"/>
        <sz val="14"/>
        <color theme="1"/>
        <rFont val="Calibri"/>
        <family val="2"/>
        <scheme val="minor"/>
      </rPr>
      <t>PCr</t>
    </r>
    <r>
      <rPr>
        <b/>
        <sz val="14"/>
        <color theme="1"/>
        <rFont val="Calibri"/>
        <family val="2"/>
        <scheme val="minor"/>
      </rPr>
      <t xml:space="preserve"> kinetic parameters</t>
    </r>
  </si>
  <si>
    <t>Source</t>
  </si>
  <si>
    <t>Glancy data scaled up*</t>
  </si>
  <si>
    <t>H2O model</t>
  </si>
  <si>
    <t>(* Glancy isolated mito scaled up to 1 kg muscle with 10 g mito &amp; having 2.5x greater Po, in line with Saltin &amp; Rasmussen)</t>
  </si>
  <si>
    <r>
      <t xml:space="preserve">rearrange relationship </t>
    </r>
    <r>
      <rPr>
        <b/>
        <sz val="14"/>
        <color rgb="FFC00000"/>
        <rFont val="Symbol"/>
        <family val="1"/>
        <charset val="2"/>
      </rPr>
      <t>t</t>
    </r>
    <r>
      <rPr>
        <b/>
        <sz val="14"/>
        <color rgb="FFC00000"/>
        <rFont val="Calibri"/>
        <family val="2"/>
        <scheme val="minor"/>
      </rPr>
      <t xml:space="preserve"> = RC ... C =</t>
    </r>
    <r>
      <rPr>
        <b/>
        <sz val="14"/>
        <color rgb="FFC00000"/>
        <rFont val="Symbol"/>
        <family val="1"/>
        <charset val="2"/>
      </rPr>
      <t xml:space="preserve"> t</t>
    </r>
    <r>
      <rPr>
        <b/>
        <sz val="14"/>
        <color rgb="FFC00000"/>
        <rFont val="Calibri"/>
        <family val="2"/>
        <scheme val="minor"/>
      </rPr>
      <t xml:space="preserve">/R, then sub in G (= 1/R) to get C = </t>
    </r>
    <r>
      <rPr>
        <b/>
        <sz val="14"/>
        <color rgb="FFC00000"/>
        <rFont val="Symbol"/>
        <family val="1"/>
        <charset val="2"/>
      </rPr>
      <t>t</t>
    </r>
    <r>
      <rPr>
        <b/>
        <sz val="14"/>
        <color rgb="FFC00000"/>
        <rFont val="Calibri"/>
        <family val="2"/>
        <scheme val="minor"/>
      </rPr>
      <t xml:space="preserve"> * G</t>
    </r>
  </si>
  <si>
    <t>Conductance (G)</t>
  </si>
  <si>
    <r>
      <t>mmol ATP kcal</t>
    </r>
    <r>
      <rPr>
        <vertAlign val="superscript"/>
        <sz val="14"/>
        <color theme="1"/>
        <rFont val="Calibri"/>
        <family val="2"/>
        <scheme val="minor"/>
      </rPr>
      <t>-1</t>
    </r>
  </si>
  <si>
    <r>
      <t>coul Volt</t>
    </r>
    <r>
      <rPr>
        <vertAlign val="superscript"/>
        <sz val="14"/>
        <color theme="1"/>
        <rFont val="Calibri"/>
        <family val="2"/>
        <scheme val="minor"/>
      </rPr>
      <t>-1</t>
    </r>
  </si>
  <si>
    <t>now calculate the apparent in vivo or water model capacitance with the data above</t>
  </si>
  <si>
    <t>Capacitance (C)</t>
  </si>
  <si>
    <t>or</t>
  </si>
  <si>
    <r>
      <t>m</t>
    </r>
    <r>
      <rPr>
        <vertAlign val="super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 xml:space="preserve"> Pa</t>
    </r>
    <r>
      <rPr>
        <vertAlign val="superscript"/>
        <sz val="14"/>
        <color theme="1"/>
        <rFont val="Calibri"/>
        <family val="2"/>
        <scheme val="minor"/>
      </rPr>
      <t>-1</t>
    </r>
  </si>
  <si>
    <r>
      <t>ml H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O  Pa</t>
    </r>
    <r>
      <rPr>
        <vertAlign val="superscript"/>
        <sz val="14"/>
        <color theme="1"/>
        <rFont val="Calibri"/>
        <family val="2"/>
        <scheme val="minor"/>
      </rPr>
      <t>-1</t>
    </r>
  </si>
  <si>
    <t>50 yrs of literature</t>
  </si>
  <si>
    <r>
      <t>(1 Siemen = 1 coul V</t>
    </r>
    <r>
      <rPr>
        <vertAlign val="superscript"/>
        <sz val="14"/>
        <color theme="1"/>
        <rFont val="Calibri"/>
        <family val="2"/>
        <scheme val="minor"/>
      </rPr>
      <t xml:space="preserve">-1 </t>
    </r>
    <r>
      <rPr>
        <sz val="14"/>
        <color theme="1"/>
        <rFont val="Calibri"/>
        <family val="2"/>
        <scheme val="minor"/>
      </rPr>
      <t>sec</t>
    </r>
    <r>
      <rPr>
        <vertAlign val="superscript"/>
        <sz val="14"/>
        <color theme="1"/>
        <rFont val="Calibri"/>
        <family val="2"/>
        <scheme val="minor"/>
      </rPr>
      <t>-1</t>
    </r>
    <r>
      <rPr>
        <sz val="14"/>
        <color theme="1"/>
        <rFont val="Calibri"/>
        <family val="2"/>
        <scheme val="minor"/>
      </rPr>
      <t>)</t>
    </r>
  </si>
  <si>
    <t>ml H2O</t>
  </si>
  <si>
    <t>L H2O</t>
  </si>
  <si>
    <r>
      <t>m</t>
    </r>
    <r>
      <rPr>
        <vertAlign val="super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 xml:space="preserve"> H2O</t>
    </r>
  </si>
  <si>
    <r>
      <t>8 m H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O --&gt; 78448 Pascals of pressure</t>
    </r>
  </si>
  <si>
    <t>all data based on skeletal muscle in vivo (1 kg fit muscle with 10 g mito)</t>
  </si>
  <si>
    <t>Apparent capacitance in H2O model therefore is</t>
  </si>
  <si>
    <t>(note - tanks are rectangular cuboids ie., boxes with square bases)</t>
  </si>
  <si>
    <t>PCr capacitance was calculated from Glancy conductance scaled up to Saltin's muscle and tau = RC.</t>
  </si>
  <si>
    <r>
      <t xml:space="preserve">this approach gave </t>
    </r>
    <r>
      <rPr>
        <b/>
        <sz val="12"/>
        <color theme="1"/>
        <rFont val="Calibri"/>
        <family val="2"/>
      </rPr>
      <t>→</t>
    </r>
  </si>
  <si>
    <r>
      <t>(note: Overall mito conductance in H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O model giving Saltin&amp;Rasmussen in vivo behavior)</t>
    </r>
  </si>
  <si>
    <t>(5 ATP/O2)</t>
  </si>
  <si>
    <r>
      <t>est max J</t>
    </r>
    <r>
      <rPr>
        <b/>
        <vertAlign val="subscript"/>
        <sz val="14"/>
        <color theme="1"/>
        <rFont val="Calibri"/>
        <family val="2"/>
        <scheme val="minor"/>
      </rPr>
      <t>ATP</t>
    </r>
  </si>
  <si>
    <t>b-OX</t>
  </si>
  <si>
    <t>PDH</t>
  </si>
  <si>
    <t>Simply use this as ATP tank volume</t>
  </si>
  <si>
    <r>
      <t>L H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O</t>
    </r>
  </si>
  <si>
    <t>Lipid</t>
  </si>
  <si>
    <t>CHO</t>
  </si>
  <si>
    <t xml:space="preserve">Redox and DY capacitance totals about 1/2 of matrix ATP capacitance. Matrix ATP ~ </t>
  </si>
  <si>
    <t xml:space="preserve">10 g mito/kg --&gt; 10 ml matrix H2O per kg. @10 umol total adenylate/ml matrix that gives 100 umol max possible matrix ATP per kg. </t>
  </si>
  <si>
    <t xml:space="preserve">Therefore, the matrix ATP max volume would be </t>
  </si>
  <si>
    <t>[ATP] in mmol/L cell H2O</t>
  </si>
  <si>
    <t>[ATP] in mmol/kg wet muscle</t>
  </si>
  <si>
    <t>muscle cell H2O per kg wet</t>
  </si>
  <si>
    <t>mmol/kg wet</t>
  </si>
  <si>
    <t xml:space="preserve">Rasmussen &amp; Saltin Krogh ergometer data </t>
  </si>
  <si>
    <t>mmol/kg</t>
  </si>
  <si>
    <t>(see prev sht)</t>
  </si>
  <si>
    <r>
      <t>maxJ</t>
    </r>
    <r>
      <rPr>
        <b/>
        <vertAlign val="subscript"/>
        <sz val="14"/>
        <color theme="1"/>
        <rFont val="Calibri"/>
        <family val="2"/>
        <scheme val="minor"/>
      </rPr>
      <t>ATP</t>
    </r>
    <r>
      <rPr>
        <b/>
        <sz val="14"/>
        <color theme="1"/>
        <rFont val="Calibri"/>
        <family val="2"/>
        <scheme val="minor"/>
      </rPr>
      <t>/kg &amp; ATP pool turnover time at max</t>
    </r>
  </si>
  <si>
    <t>kJ/mol</t>
  </si>
  <si>
    <t>kcal/mol</t>
  </si>
  <si>
    <r>
      <t>Apparent "K</t>
    </r>
    <r>
      <rPr>
        <vertAlign val="subscript"/>
        <sz val="14"/>
        <color theme="1"/>
        <rFont val="Calibri"/>
        <family val="2"/>
        <scheme val="minor"/>
      </rPr>
      <t>0.5</t>
    </r>
    <r>
      <rPr>
        <sz val="14"/>
        <color theme="1"/>
        <rFont val="Symbol"/>
        <family val="1"/>
        <charset val="2"/>
      </rPr>
      <t>D</t>
    </r>
    <r>
      <rPr>
        <sz val="14"/>
        <color theme="1"/>
        <rFont val="Calibri"/>
        <family val="2"/>
        <scheme val="minor"/>
      </rPr>
      <t>G</t>
    </r>
    <r>
      <rPr>
        <vertAlign val="sub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>"</t>
    </r>
  </si>
  <si>
    <r>
      <t>in vivo range of ATP free energy (</t>
    </r>
    <r>
      <rPr>
        <vertAlign val="superscript"/>
        <sz val="14"/>
        <color theme="1"/>
        <rFont val="Calibri"/>
        <family val="2"/>
        <scheme val="minor"/>
      </rPr>
      <t>31</t>
    </r>
    <r>
      <rPr>
        <sz val="14"/>
        <color theme="1"/>
        <rFont val="Calibri"/>
        <family val="2"/>
        <scheme val="minor"/>
      </rPr>
      <t>P-MRS)</t>
    </r>
  </si>
  <si>
    <r>
      <t>Apparent K</t>
    </r>
    <r>
      <rPr>
        <vertAlign val="subscript"/>
        <sz val="14"/>
        <color theme="1"/>
        <rFont val="Calibri"/>
        <family val="2"/>
        <scheme val="minor"/>
      </rPr>
      <t>0.5</t>
    </r>
    <r>
      <rPr>
        <sz val="14"/>
        <color theme="1"/>
        <rFont val="Calibri"/>
        <family val="2"/>
        <scheme val="minor"/>
      </rPr>
      <t>ADP</t>
    </r>
  </si>
  <si>
    <r>
      <rPr>
        <sz val="14"/>
        <color theme="1"/>
        <rFont val="Symbol"/>
        <family val="1"/>
        <charset val="2"/>
      </rPr>
      <t>m</t>
    </r>
    <r>
      <rPr>
        <sz val="14"/>
        <color theme="1"/>
        <rFont val="Calibri"/>
        <family val="2"/>
        <scheme val="minor"/>
      </rPr>
      <t>M</t>
    </r>
  </si>
  <si>
    <r>
      <t>n</t>
    </r>
    <r>
      <rPr>
        <vertAlign val="subscript"/>
        <sz val="14"/>
        <color theme="1"/>
        <rFont val="Calibri"/>
        <family val="2"/>
        <scheme val="minor"/>
      </rPr>
      <t>H</t>
    </r>
  </si>
  <si>
    <t>mM/sec</t>
  </si>
  <si>
    <t>mM/min</t>
  </si>
  <si>
    <t>mmol/min/kg wet</t>
  </si>
  <si>
    <r>
      <t>V</t>
    </r>
    <r>
      <rPr>
        <vertAlign val="subscript"/>
        <sz val="14"/>
        <color theme="1"/>
        <rFont val="Calibri"/>
        <family val="2"/>
        <scheme val="minor"/>
      </rPr>
      <t>max</t>
    </r>
  </si>
  <si>
    <t>ATP production</t>
  </si>
  <si>
    <r>
      <t>mmol ATP/L cell H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O</t>
    </r>
  </si>
  <si>
    <t>per kg wet muscle</t>
  </si>
  <si>
    <t>Mito Content</t>
  </si>
  <si>
    <t>familiar units</t>
  </si>
  <si>
    <r>
      <t>App max mito JO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</si>
  <si>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mmol O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/min/g mito</t>
    </r>
  </si>
  <si>
    <r>
      <t>nmol O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/min/mg mito</t>
    </r>
  </si>
  <si>
    <t>g mito/kg wet muscle</t>
  </si>
  <si>
    <r>
      <t>avg max VO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</si>
  <si>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VO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per Kg wet</t>
    </r>
  </si>
  <si>
    <t>(see Jeneson sheet)</t>
  </si>
  <si>
    <t>then</t>
  </si>
  <si>
    <t>max mito ATP Po</t>
  </si>
  <si>
    <t>if</t>
  </si>
  <si>
    <t>J/mmol</t>
  </si>
  <si>
    <t>since</t>
  </si>
  <si>
    <t>leg actual Po</t>
  </si>
  <si>
    <t>mmol ATP/min/kg</t>
  </si>
  <si>
    <t>J/sec/kg</t>
  </si>
  <si>
    <t>contractile efficiency</t>
  </si>
  <si>
    <t>absolute value</t>
  </si>
  <si>
    <r>
      <rPr>
        <b/>
        <sz val="14"/>
        <color theme="1"/>
        <rFont val="Symbol"/>
        <family val="1"/>
        <charset val="2"/>
      </rPr>
      <t>D</t>
    </r>
    <r>
      <rPr>
        <b/>
        <sz val="14"/>
        <color theme="1"/>
        <rFont val="Calibri"/>
        <family val="2"/>
        <scheme val="minor"/>
      </rPr>
      <t>G</t>
    </r>
    <r>
      <rPr>
        <b/>
        <vertAlign val="subscript"/>
        <sz val="14"/>
        <color theme="1"/>
        <rFont val="Calibri"/>
        <family val="2"/>
        <scheme val="minor"/>
      </rPr>
      <t>ATP</t>
    </r>
    <r>
      <rPr>
        <b/>
        <sz val="14"/>
        <color theme="1"/>
        <rFont val="Calibri"/>
        <family val="2"/>
        <scheme val="minor"/>
      </rPr>
      <t xml:space="preserve"> at max =</t>
    </r>
  </si>
  <si>
    <t>ATP mass in 1.0 kg wet muscle</t>
  </si>
  <si>
    <r>
      <t>L H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O/kg</t>
    </r>
  </si>
  <si>
    <r>
      <t>(5 mmol ATP/mmol O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</si>
  <si>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t>ATP turnover time</t>
  </si>
  <si>
    <t>Apparent Contractile Efficiency in Krogh Ergometer</t>
  </si>
  <si>
    <t>ATP Utilization Equations</t>
  </si>
  <si>
    <t>1. Energy sensitive (inhibited by falling ATP)</t>
  </si>
  <si>
    <t>% Computing ATP breakdown by energy sensitive ATPase</t>
  </si>
  <si>
    <t>nH = 0.2;</t>
  </si>
  <si>
    <t>ki = ((GA-5)/(8-5))^nH;</t>
  </si>
  <si>
    <t>J_ATPase = Pa*GA*ATPase*ki;</t>
  </si>
  <si>
    <t>GA</t>
  </si>
  <si>
    <t>Pa</t>
  </si>
  <si>
    <t>nH</t>
  </si>
  <si>
    <t>ki</t>
  </si>
  <si>
    <t>Baseline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</si>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</sst>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"/>
    <numFmt numFmtId="166" formatCode="0.000"/>
    <numFmt numFmtId="167" formatCode="0.00000"/>
    <numFmt numFmtId="168" formatCode="0.000E+00"/>
    <numFmt numFmtId="169" formatCode="0.000000"/>
  </numFmts>
  <fonts count="37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333333"/>
      <name val="Verdana"/>
      <family val="2"/>
    </font>
    <font>
      <sz val="11"/>
      <color theme="1"/>
      <name val="Symbol"/>
      <family val="1"/>
      <charset val="2"/>
    </font>
    <font>
      <b/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2"/>
      <color theme="1"/>
      <name val="Calibri"/>
      <family val="1"/>
      <charset val="2"/>
      <scheme val="minor"/>
    </font>
    <font>
      <b/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Calibri"/>
      <family val="2"/>
      <scheme val="minor"/>
    </font>
    <font>
      <sz val="12"/>
      <color theme="1"/>
      <name val="Symbol"/>
      <family val="1"/>
      <charset val="2"/>
    </font>
    <font>
      <vertAlign val="subscript"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4"/>
      <color theme="1"/>
      <name val="Symbol"/>
      <family val="1"/>
      <charset val="2"/>
    </font>
    <font>
      <sz val="14"/>
      <name val="Calibri"/>
      <family val="2"/>
      <scheme val="minor"/>
    </font>
    <font>
      <b/>
      <sz val="14"/>
      <name val="Symbol"/>
      <family val="1"/>
      <charset val="2"/>
    </font>
    <font>
      <b/>
      <vertAlign val="subscript"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b/>
      <sz val="14"/>
      <name val="Calibri"/>
      <family val="1"/>
      <charset val="2"/>
      <scheme val="minor"/>
    </font>
    <font>
      <vertAlign val="sub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2"/>
      <name val="Symbol"/>
      <family val="1"/>
      <charset val="2"/>
    </font>
    <font>
      <b/>
      <sz val="1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4"/>
      <color rgb="FFC00000"/>
      <name val="Symbol"/>
      <family val="1"/>
      <charset val="2"/>
    </font>
    <font>
      <sz val="14"/>
      <color theme="1"/>
      <name val="Symbol"/>
      <family val="1"/>
      <charset val="2"/>
    </font>
    <font>
      <sz val="14"/>
      <color theme="1"/>
      <name val="Calibri"/>
      <family val="1"/>
      <charset val="2"/>
      <scheme val="minor"/>
    </font>
    <font>
      <b/>
      <sz val="14"/>
      <color theme="1"/>
      <name val="Calibri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166" fontId="5" fillId="0" borderId="0" xfId="0" applyNumberFormat="1" applyFont="1"/>
    <xf numFmtId="2" fontId="2" fillId="0" borderId="0" xfId="0" applyNumberFormat="1" applyFont="1"/>
    <xf numFmtId="166" fontId="6" fillId="0" borderId="0" xfId="0" applyNumberFormat="1" applyFont="1"/>
    <xf numFmtId="0" fontId="2" fillId="0" borderId="0" xfId="0" applyFont="1"/>
    <xf numFmtId="11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0" applyNumberFormat="1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1" fontId="6" fillId="0" borderId="0" xfId="0" applyNumberFormat="1" applyFont="1"/>
    <xf numFmtId="2" fontId="6" fillId="0" borderId="0" xfId="0" applyNumberFormat="1" applyFont="1"/>
    <xf numFmtId="0" fontId="6" fillId="0" borderId="0" xfId="0" applyFont="1"/>
    <xf numFmtId="1" fontId="6" fillId="0" borderId="0" xfId="0" applyNumberFormat="1" applyFont="1"/>
    <xf numFmtId="0" fontId="2" fillId="0" borderId="0" xfId="0" quotePrefix="1" applyFont="1"/>
    <xf numFmtId="11" fontId="2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5" fontId="6" fillId="0" borderId="0" xfId="0" applyNumberFormat="1" applyFont="1"/>
    <xf numFmtId="0" fontId="1" fillId="0" borderId="0" xfId="0" applyFont="1" applyAlignment="1">
      <alignment horizontal="right"/>
    </xf>
    <xf numFmtId="166" fontId="1" fillId="0" borderId="0" xfId="0" applyNumberFormat="1" applyFont="1"/>
    <xf numFmtId="11" fontId="6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/>
    <xf numFmtId="165" fontId="11" fillId="0" borderId="0" xfId="0" applyNumberFormat="1" applyFont="1"/>
    <xf numFmtId="165" fontId="1" fillId="0" borderId="0" xfId="0" applyNumberFormat="1" applyFont="1"/>
    <xf numFmtId="0" fontId="10" fillId="0" borderId="0" xfId="0" applyFont="1"/>
    <xf numFmtId="0" fontId="11" fillId="0" borderId="0" xfId="0" applyFont="1"/>
    <xf numFmtId="166" fontId="12" fillId="0" borderId="0" xfId="0" applyNumberFormat="1" applyFont="1"/>
    <xf numFmtId="0" fontId="12" fillId="0" borderId="0" xfId="0" applyFont="1"/>
    <xf numFmtId="0" fontId="2" fillId="0" borderId="0" xfId="0" applyFont="1" applyAlignment="1"/>
    <xf numFmtId="0" fontId="6" fillId="0" borderId="0" xfId="0" applyFont="1" applyAlignment="1">
      <alignment horizontal="right"/>
    </xf>
    <xf numFmtId="167" fontId="6" fillId="0" borderId="0" xfId="0" applyNumberFormat="1" applyFont="1"/>
    <xf numFmtId="165" fontId="15" fillId="0" borderId="0" xfId="0" applyNumberFormat="1" applyFont="1"/>
    <xf numFmtId="0" fontId="15" fillId="0" borderId="0" xfId="0" applyFont="1"/>
    <xf numFmtId="2" fontId="15" fillId="0" borderId="0" xfId="0" applyNumberFormat="1" applyFont="1"/>
    <xf numFmtId="0" fontId="6" fillId="0" borderId="0" xfId="0" applyFont="1" applyAlignment="1">
      <alignment horizontal="left"/>
    </xf>
    <xf numFmtId="11" fontId="1" fillId="0" borderId="0" xfId="0" applyNumberFormat="1" applyFont="1" applyAlignment="1">
      <alignment horizontal="right"/>
    </xf>
    <xf numFmtId="1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7" fillId="0" borderId="0" xfId="0" applyFont="1"/>
    <xf numFmtId="165" fontId="17" fillId="0" borderId="0" xfId="0" applyNumberFormat="1" applyFont="1"/>
    <xf numFmtId="1" fontId="17" fillId="0" borderId="0" xfId="0" applyNumberFormat="1" applyFont="1"/>
    <xf numFmtId="165" fontId="2" fillId="0" borderId="0" xfId="0" applyNumberFormat="1" applyFont="1" applyAlignment="1">
      <alignment horizontal="right"/>
    </xf>
    <xf numFmtId="0" fontId="15" fillId="0" borderId="0" xfId="0" quotePrefix="1" applyFo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1" fontId="1" fillId="0" borderId="0" xfId="0" applyNumberFormat="1" applyFont="1"/>
    <xf numFmtId="166" fontId="6" fillId="0" borderId="0" xfId="0" applyNumberFormat="1" applyFont="1" applyAlignment="1">
      <alignment horizontal="center"/>
    </xf>
    <xf numFmtId="168" fontId="6" fillId="0" borderId="0" xfId="0" applyNumberFormat="1" applyFont="1"/>
    <xf numFmtId="0" fontId="2" fillId="0" borderId="0" xfId="0" quotePrefix="1" applyFont="1" applyAlignment="1">
      <alignment horizontal="right"/>
    </xf>
    <xf numFmtId="11" fontId="1" fillId="0" borderId="0" xfId="0" applyNumberFormat="1" applyFont="1"/>
    <xf numFmtId="1" fontId="15" fillId="0" borderId="0" xfId="0" applyNumberFormat="1" applyFont="1"/>
    <xf numFmtId="0" fontId="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17" fillId="0" borderId="0" xfId="0" applyNumberFormat="1" applyFont="1"/>
    <xf numFmtId="166" fontId="17" fillId="0" borderId="0" xfId="0" applyNumberFormat="1" applyFont="1"/>
    <xf numFmtId="2" fontId="20" fillId="0" borderId="0" xfId="0" applyNumberFormat="1" applyFont="1"/>
    <xf numFmtId="11" fontId="20" fillId="0" borderId="0" xfId="0" applyNumberFormat="1" applyFont="1"/>
    <xf numFmtId="166" fontId="16" fillId="0" borderId="0" xfId="0" applyNumberFormat="1" applyFont="1"/>
    <xf numFmtId="0" fontId="20" fillId="0" borderId="0" xfId="0" applyFont="1"/>
    <xf numFmtId="0" fontId="16" fillId="0" borderId="0" xfId="0" applyFont="1"/>
    <xf numFmtId="2" fontId="16" fillId="0" borderId="0" xfId="0" applyNumberFormat="1" applyFont="1"/>
    <xf numFmtId="0" fontId="27" fillId="0" borderId="0" xfId="0" applyFont="1" applyAlignment="1">
      <alignment horizontal="center"/>
    </xf>
    <xf numFmtId="166" fontId="20" fillId="0" borderId="0" xfId="0" applyNumberFormat="1" applyFont="1"/>
    <xf numFmtId="0" fontId="31" fillId="0" borderId="0" xfId="0" applyFont="1" applyAlignment="1">
      <alignment horizontal="center"/>
    </xf>
    <xf numFmtId="165" fontId="16" fillId="0" borderId="0" xfId="0" applyNumberFormat="1" applyFont="1"/>
    <xf numFmtId="0" fontId="1" fillId="0" borderId="0" xfId="0" quotePrefix="1" applyFont="1" applyAlignment="1">
      <alignment horizontal="center"/>
    </xf>
    <xf numFmtId="0" fontId="16" fillId="0" borderId="0" xfId="0" applyFont="1" applyAlignment="1">
      <alignment horizontal="right"/>
    </xf>
    <xf numFmtId="166" fontId="1" fillId="0" borderId="0" xfId="0" applyNumberFormat="1" applyFont="1" applyAlignment="1">
      <alignment horizontal="center"/>
    </xf>
    <xf numFmtId="0" fontId="20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169" fontId="6" fillId="0" borderId="0" xfId="0" applyNumberFormat="1" applyFont="1"/>
    <xf numFmtId="1" fontId="16" fillId="0" borderId="0" xfId="0" applyNumberFormat="1" applyFont="1"/>
    <xf numFmtId="165" fontId="20" fillId="0" borderId="0" xfId="0" applyNumberFormat="1" applyFont="1"/>
    <xf numFmtId="1" fontId="20" fillId="0" borderId="0" xfId="0" applyNumberFormat="1" applyFont="1"/>
    <xf numFmtId="11" fontId="17" fillId="0" borderId="0" xfId="0" applyNumberFormat="1" applyFont="1"/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11" fontId="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30" fillId="0" borderId="0" xfId="0" applyFont="1" applyAlignment="1">
      <alignment horizontal="right"/>
    </xf>
    <xf numFmtId="0" fontId="35" fillId="0" borderId="0" xfId="0" applyFont="1" applyAlignment="1">
      <alignment horizontal="center"/>
    </xf>
    <xf numFmtId="165" fontId="6" fillId="0" borderId="0" xfId="0" applyNumberFormat="1" applyFont="1" applyAlignment="1">
      <alignment horizontal="left"/>
    </xf>
    <xf numFmtId="2" fontId="17" fillId="0" borderId="0" xfId="0" applyNumberFormat="1" applyFont="1" applyAlignment="1">
      <alignment horizontal="right"/>
    </xf>
    <xf numFmtId="0" fontId="36" fillId="0" borderId="0" xfId="0" applyFont="1" applyAlignment="1">
      <alignment horizontal="right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166" fontId="2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1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'Muscle ATP &amp; ATPase rate eqns '!$G$26:$G$46</c:f>
              <c:numCache>
                <c:formatCode>0.00</c:formatCode>
                <c:ptCount val="21"/>
                <c:pt idx="0">
                  <c:v>7</c:v>
                </c:pt>
                <c:pt idx="1">
                  <c:v>6.9000000000000039</c:v>
                </c:pt>
                <c:pt idx="2">
                  <c:v>6.8000000000000043</c:v>
                </c:pt>
                <c:pt idx="3">
                  <c:v>6.7000000000000046</c:v>
                </c:pt>
                <c:pt idx="4">
                  <c:v>6.600000000000005</c:v>
                </c:pt>
                <c:pt idx="5">
                  <c:v>6.5000000000000053</c:v>
                </c:pt>
                <c:pt idx="6">
                  <c:v>6.4000000000000057</c:v>
                </c:pt>
                <c:pt idx="7">
                  <c:v>6.300000000000006</c:v>
                </c:pt>
                <c:pt idx="8">
                  <c:v>6.2000000000000064</c:v>
                </c:pt>
                <c:pt idx="9">
                  <c:v>6.1000000000000068</c:v>
                </c:pt>
                <c:pt idx="10">
                  <c:v>6.0000000000000071</c:v>
                </c:pt>
                <c:pt idx="11">
                  <c:v>5.9000000000000075</c:v>
                </c:pt>
                <c:pt idx="12">
                  <c:v>5.8000000000000078</c:v>
                </c:pt>
                <c:pt idx="13">
                  <c:v>5.7000000000000082</c:v>
                </c:pt>
                <c:pt idx="14">
                  <c:v>5.6000000000000085</c:v>
                </c:pt>
                <c:pt idx="15">
                  <c:v>5.5000000000000089</c:v>
                </c:pt>
                <c:pt idx="16">
                  <c:v>5.4000000000000092</c:v>
                </c:pt>
                <c:pt idx="17">
                  <c:v>5.3000000000000096</c:v>
                </c:pt>
                <c:pt idx="18">
                  <c:v>5.2000000000000099</c:v>
                </c:pt>
                <c:pt idx="19">
                  <c:v>5.1000000000000103</c:v>
                </c:pt>
                <c:pt idx="20">
                  <c:v>5.0000000000000107</c:v>
                </c:pt>
              </c:numCache>
            </c:numRef>
          </c:xVal>
          <c:yVal>
            <c:numRef>
              <c:f>'Muscle ATP &amp; ATPase rate eqns '!$H$26:$H$46</c:f>
              <c:numCache>
                <c:formatCode>0.000</c:formatCode>
                <c:ptCount val="21"/>
                <c:pt idx="0">
                  <c:v>1</c:v>
                </c:pt>
                <c:pt idx="1">
                  <c:v>0.99488380310817648</c:v>
                </c:pt>
                <c:pt idx="2">
                  <c:v>0.98951925820621467</c:v>
                </c:pt>
                <c:pt idx="3">
                  <c:v>0.98387945654052655</c:v>
                </c:pt>
                <c:pt idx="4">
                  <c:v>0.97793276854292877</c:v>
                </c:pt>
                <c:pt idx="5">
                  <c:v>0.97164165786307388</c:v>
                </c:pt>
                <c:pt idx="6">
                  <c:v>0.96496109511981798</c:v>
                </c:pt>
                <c:pt idx="7">
                  <c:v>0.95783639657850694</c:v>
                </c:pt>
                <c:pt idx="8">
                  <c:v>0.95020021650567688</c:v>
                </c:pt>
                <c:pt idx="9">
                  <c:v>0.94196825921382676</c:v>
                </c:pt>
                <c:pt idx="10">
                  <c:v>0.93303299153680808</c:v>
                </c:pt>
                <c:pt idx="11">
                  <c:v>0.92325411366742749</c:v>
                </c:pt>
                <c:pt idx="12">
                  <c:v>0.91244353655548172</c:v>
                </c:pt>
                <c:pt idx="13">
                  <c:v>0.90034053729627828</c:v>
                </c:pt>
                <c:pt idx="14">
                  <c:v>0.88656815056521454</c:v>
                </c:pt>
                <c:pt idx="15">
                  <c:v>0.87055056329612568</c:v>
                </c:pt>
                <c:pt idx="16">
                  <c:v>0.85133992252078661</c:v>
                </c:pt>
                <c:pt idx="17">
                  <c:v>0.82719733372311832</c:v>
                </c:pt>
                <c:pt idx="18">
                  <c:v>0.79432823472428549</c:v>
                </c:pt>
                <c:pt idx="19">
                  <c:v>0.74113444910695536</c:v>
                </c:pt>
                <c:pt idx="20">
                  <c:v>3.7382224964103601E-2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2-4DB9-96CB-19FF110B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091055"/>
        <c:axId val="1637459935"/>
      </c:scatterChart>
      <c:valAx>
        <c:axId val="2004091055"/>
        <c:scaling>
          <c:orientation val="minMax"/>
          <c:min val="5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59935"/>
        <c:crosses val="autoZero"/>
        <c:crossBetween val="midCat"/>
      </c:valAx>
      <c:valAx>
        <c:axId val="1637459935"/>
        <c:scaling>
          <c:orientation val="minMax"/>
        </c:scaling>
        <c:delete val="0"/>
        <c:axPos val="l"/>
        <c:numFmt formatCode="0.000" sourceLinked="1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91055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Glancy 2013 +Calcium Data</a:t>
            </a:r>
          </a:p>
        </c:rich>
      </c:tx>
      <c:layout>
        <c:manualLayout>
          <c:xMode val="edge"/>
          <c:yMode val="edge"/>
          <c:x val="0.35405867744272446"/>
          <c:y val="2.1126756658394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18731665894703"/>
          <c:y val="0.10283267408475349"/>
          <c:w val="0.71012254901960781"/>
          <c:h val="0.75886757113107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'[1]Hydraulic Comp Model 1st go'!$T$10</c:f>
              <c:strCache>
                <c:ptCount val="1"/>
                <c:pt idx="0">
                  <c:v>Redox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 w="9525">
                <a:solidFill>
                  <a:srgbClr val="008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8000"/>
                </a:solidFill>
                <a:prstDash val="dash"/>
              </a:ln>
              <a:effectLst/>
            </c:spPr>
            <c:trendlineType val="linear"/>
            <c:forward val="0.27"/>
            <c:backward val="123"/>
            <c:dispRSqr val="1"/>
            <c:dispEq val="1"/>
            <c:trendlineLbl>
              <c:layout>
                <c:manualLayout>
                  <c:x val="0.17548236233052339"/>
                  <c:y val="-0.48306171988804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rgbClr val="008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'[1]Hydraulic Comp Model 1st go'!$T$11:$T$15</c:f>
              <c:numCache>
                <c:formatCode>General</c:formatCode>
                <c:ptCount val="5"/>
                <c:pt idx="0">
                  <c:v>18.966956043956042</c:v>
                </c:pt>
                <c:pt idx="1">
                  <c:v>18.927286593406595</c:v>
                </c:pt>
                <c:pt idx="2">
                  <c:v>18.882658461538462</c:v>
                </c:pt>
                <c:pt idx="3">
                  <c:v>18.859517948717951</c:v>
                </c:pt>
                <c:pt idx="4">
                  <c:v>18.823154285714285</c:v>
                </c:pt>
              </c:numCache>
            </c:numRef>
          </c:xVal>
          <c:yVal>
            <c:numRef>
              <c:f>'[1]Hydraulic Comp Model 1st go'!$S$11:$S$15</c:f>
              <c:numCache>
                <c:formatCode>General</c:formatCode>
                <c:ptCount val="5"/>
                <c:pt idx="0">
                  <c:v>123</c:v>
                </c:pt>
                <c:pt idx="1">
                  <c:v>151</c:v>
                </c:pt>
                <c:pt idx="2">
                  <c:v>191</c:v>
                </c:pt>
                <c:pt idx="3">
                  <c:v>225</c:v>
                </c:pt>
                <c:pt idx="4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0-4EE6-A62B-BD1CCF59BF45}"/>
            </c:ext>
          </c:extLst>
        </c:ser>
        <c:ser>
          <c:idx val="1"/>
          <c:order val="1"/>
          <c:tx>
            <c:strRef>
              <c:f>'[1]Hydraulic Comp Model 1st go'!$U$10</c:f>
              <c:strCache>
                <c:ptCount val="1"/>
                <c:pt idx="0">
                  <c:v>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forward val="1.0429999999999999"/>
            <c:backward val="123"/>
            <c:dispRSqr val="1"/>
            <c:dispEq val="1"/>
            <c:trendlineLbl>
              <c:layout>
                <c:manualLayout>
                  <c:x val="4.5749964579088948E-2"/>
                  <c:y val="-0.506535893952923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'[1]Hydraulic Comp Model 1st go'!$U$11:$U$15</c:f>
              <c:numCache>
                <c:formatCode>General</c:formatCode>
                <c:ptCount val="5"/>
                <c:pt idx="0">
                  <c:v>17.005150066666669</c:v>
                </c:pt>
                <c:pt idx="1">
                  <c:v>16.869853000000003</c:v>
                </c:pt>
                <c:pt idx="2">
                  <c:v>16.743012000000004</c:v>
                </c:pt>
                <c:pt idx="3">
                  <c:v>16.616171000000001</c:v>
                </c:pt>
                <c:pt idx="4">
                  <c:v>16.455505733333336</c:v>
                </c:pt>
              </c:numCache>
            </c:numRef>
          </c:xVal>
          <c:yVal>
            <c:numRef>
              <c:f>'[1]Hydraulic Comp Model 1st go'!$S$11:$S$15</c:f>
              <c:numCache>
                <c:formatCode>General</c:formatCode>
                <c:ptCount val="5"/>
                <c:pt idx="0">
                  <c:v>123</c:v>
                </c:pt>
                <c:pt idx="1">
                  <c:v>151</c:v>
                </c:pt>
                <c:pt idx="2">
                  <c:v>191</c:v>
                </c:pt>
                <c:pt idx="3">
                  <c:v>225</c:v>
                </c:pt>
                <c:pt idx="4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D0-4EE6-A62B-BD1CCF59BF45}"/>
            </c:ext>
          </c:extLst>
        </c:ser>
        <c:ser>
          <c:idx val="2"/>
          <c:order val="2"/>
          <c:tx>
            <c:strRef>
              <c:f>'[1]Hydraulic Comp Model 1st go'!$V$10</c:f>
              <c:strCache>
                <c:ptCount val="1"/>
                <c:pt idx="0">
                  <c:v>DGatp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dash"/>
              </a:ln>
              <a:effectLst/>
            </c:spPr>
            <c:trendlineType val="linear"/>
            <c:forward val="215"/>
            <c:backward val="123"/>
            <c:dispRSqr val="1"/>
            <c:dispEq val="1"/>
            <c:trendlineLbl>
              <c:layout>
                <c:manualLayout>
                  <c:x val="-0.59584108684721326"/>
                  <c:y val="-0.490103972107505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'[1]Hydraulic Comp Model 1st go'!$V$11:$V$15</c:f>
              <c:numCache>
                <c:formatCode>General</c:formatCode>
                <c:ptCount val="5"/>
                <c:pt idx="0">
                  <c:v>13.943643032121523</c:v>
                </c:pt>
                <c:pt idx="1">
                  <c:v>13.766407575326944</c:v>
                </c:pt>
                <c:pt idx="2">
                  <c:v>13.516608228995208</c:v>
                </c:pt>
                <c:pt idx="3">
                  <c:v>13.339372772200628</c:v>
                </c:pt>
                <c:pt idx="4">
                  <c:v>13.089573425868892</c:v>
                </c:pt>
              </c:numCache>
            </c:numRef>
          </c:xVal>
          <c:yVal>
            <c:numRef>
              <c:f>'[1]Hydraulic Comp Model 1st go'!$S$11:$S$15</c:f>
              <c:numCache>
                <c:formatCode>General</c:formatCode>
                <c:ptCount val="5"/>
                <c:pt idx="0">
                  <c:v>123</c:v>
                </c:pt>
                <c:pt idx="1">
                  <c:v>151</c:v>
                </c:pt>
                <c:pt idx="2">
                  <c:v>191</c:v>
                </c:pt>
                <c:pt idx="3">
                  <c:v>225</c:v>
                </c:pt>
                <c:pt idx="4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D0-4EE6-A62B-BD1CCF59B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627951"/>
        <c:axId val="1283626703"/>
      </c:scatterChart>
      <c:valAx>
        <c:axId val="1283627951"/>
        <c:scaling>
          <c:orientation val="minMax"/>
          <c:max val="22"/>
          <c:min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Delta G (kcal) </a:t>
                </a:r>
                <a:r>
                  <a:rPr lang="en-US" sz="1400" b="1" i="0" baseline="0">
                    <a:effectLst/>
                  </a:rPr>
                  <a:t>(stoichiometry per ATP)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816984219369777"/>
              <c:y val="0.9350347604398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26703"/>
        <c:crosses val="autoZero"/>
        <c:crossBetween val="midCat"/>
        <c:majorUnit val="1"/>
        <c:minorUnit val="0.5"/>
      </c:valAx>
      <c:valAx>
        <c:axId val="1283626703"/>
        <c:scaling>
          <c:orientation val="minMax"/>
          <c:max val="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Jo (nmolO2/min/mg) 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5666595479450582E-2"/>
              <c:y val="0.26062465310115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27951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8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7478983299061421"/>
          <c:y val="0.40764658350290484"/>
          <c:w val="0.18833866793404325"/>
          <c:h val="0.28125134919932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4</xdr:row>
      <xdr:rowOff>85726</xdr:rowOff>
    </xdr:from>
    <xdr:to>
      <xdr:col>26</xdr:col>
      <xdr:colOff>524109</xdr:colOff>
      <xdr:row>21</xdr:row>
      <xdr:rowOff>134753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118BD37-973C-4CAA-9B34-60808F6AC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3575" y="952501"/>
          <a:ext cx="10973034" cy="3468502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0</xdr:row>
      <xdr:rowOff>134542</xdr:rowOff>
    </xdr:from>
    <xdr:to>
      <xdr:col>14</xdr:col>
      <xdr:colOff>504199</xdr:colOff>
      <xdr:row>4</xdr:row>
      <xdr:rowOff>105375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0983E44-577E-2D1A-6074-53DCFE8F9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134542"/>
          <a:ext cx="3561724" cy="837608"/>
        </a:xfrm>
        <a:prstGeom prst="rect">
          <a:avLst/>
        </a:prstGeom>
      </xdr:spPr>
    </xdr:pic>
    <xdr:clientData/>
  </xdr:twoCellAnchor>
  <xdr:twoCellAnchor editAs="oneCell">
    <xdr:from>
      <xdr:col>15</xdr:col>
      <xdr:colOff>57149</xdr:colOff>
      <xdr:row>1</xdr:row>
      <xdr:rowOff>58257</xdr:rowOff>
    </xdr:from>
    <xdr:to>
      <xdr:col>25</xdr:col>
      <xdr:colOff>294088</xdr:colOff>
      <xdr:row>3</xdr:row>
      <xdr:rowOff>57288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73EF0E6-6432-EF28-C320-9A4813E03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01174" y="248757"/>
          <a:ext cx="6332939" cy="437181"/>
        </a:xfrm>
        <a:prstGeom prst="rect">
          <a:avLst/>
        </a:prstGeom>
      </xdr:spPr>
    </xdr:pic>
    <xdr:clientData/>
  </xdr:twoCellAnchor>
  <xdr:twoCellAnchor>
    <xdr:from>
      <xdr:col>9</xdr:col>
      <xdr:colOff>304799</xdr:colOff>
      <xdr:row>22</xdr:row>
      <xdr:rowOff>182561</xdr:rowOff>
    </xdr:from>
    <xdr:to>
      <xdr:col>18</xdr:col>
      <xdr:colOff>561974</xdr:colOff>
      <xdr:row>44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D5949-344F-33D9-7059-1E8CB1472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476250</xdr:colOff>
      <xdr:row>0</xdr:row>
      <xdr:rowOff>123825</xdr:rowOff>
    </xdr:from>
    <xdr:to>
      <xdr:col>19</xdr:col>
      <xdr:colOff>467199</xdr:colOff>
      <xdr:row>3</xdr:row>
      <xdr:rowOff>86165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DA8F57-0CE7-4146-919A-0172F8508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4725" y="123825"/>
          <a:ext cx="7048974" cy="67671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4</xdr:row>
      <xdr:rowOff>57150</xdr:rowOff>
    </xdr:from>
    <xdr:to>
      <xdr:col>17</xdr:col>
      <xdr:colOff>322391</xdr:colOff>
      <xdr:row>5</xdr:row>
      <xdr:rowOff>236764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47058A-FAF5-4128-A982-2FACA1B33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05700" y="971550"/>
          <a:ext cx="5151566" cy="417739"/>
        </a:xfrm>
        <a:prstGeom prst="rect">
          <a:avLst/>
        </a:prstGeom>
      </xdr:spPr>
    </xdr:pic>
    <xdr:clientData/>
  </xdr:twoCellAnchor>
  <xdr:twoCellAnchor editAs="oneCell">
    <xdr:from>
      <xdr:col>19</xdr:col>
      <xdr:colOff>533400</xdr:colOff>
      <xdr:row>0</xdr:row>
      <xdr:rowOff>104775</xdr:rowOff>
    </xdr:from>
    <xdr:to>
      <xdr:col>24</xdr:col>
      <xdr:colOff>124983</xdr:colOff>
      <xdr:row>3</xdr:row>
      <xdr:rowOff>143448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1EDBDA-9F57-4F92-B49B-C5F3E64F2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39900" y="104775"/>
          <a:ext cx="3106308" cy="753048"/>
        </a:xfrm>
        <a:prstGeom prst="rect">
          <a:avLst/>
        </a:prstGeom>
      </xdr:spPr>
    </xdr:pic>
    <xdr:clientData/>
  </xdr:twoCellAnchor>
  <xdr:twoCellAnchor editAs="oneCell">
    <xdr:from>
      <xdr:col>9</xdr:col>
      <xdr:colOff>238125</xdr:colOff>
      <xdr:row>7</xdr:row>
      <xdr:rowOff>57150</xdr:rowOff>
    </xdr:from>
    <xdr:to>
      <xdr:col>15</xdr:col>
      <xdr:colOff>189670</xdr:colOff>
      <xdr:row>15</xdr:row>
      <xdr:rowOff>179626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B3A857E-790E-41EC-9B4D-3D6343172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96200" y="1685925"/>
          <a:ext cx="3609145" cy="2017951"/>
        </a:xfrm>
        <a:prstGeom prst="rect">
          <a:avLst/>
        </a:prstGeom>
      </xdr:spPr>
    </xdr:pic>
    <xdr:clientData/>
  </xdr:twoCellAnchor>
  <xdr:twoCellAnchor editAs="oneCell">
    <xdr:from>
      <xdr:col>8</xdr:col>
      <xdr:colOff>523875</xdr:colOff>
      <xdr:row>17</xdr:row>
      <xdr:rowOff>48569</xdr:rowOff>
    </xdr:from>
    <xdr:to>
      <xdr:col>22</xdr:col>
      <xdr:colOff>285750</xdr:colOff>
      <xdr:row>25</xdr:row>
      <xdr:rowOff>181325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904760-86A1-4483-9EB1-7E7794D08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72350" y="4001444"/>
          <a:ext cx="9115425" cy="2037756"/>
        </a:xfrm>
        <a:prstGeom prst="rect">
          <a:avLst/>
        </a:prstGeom>
      </xdr:spPr>
    </xdr:pic>
    <xdr:clientData/>
  </xdr:twoCellAnchor>
  <xdr:twoCellAnchor editAs="oneCell">
    <xdr:from>
      <xdr:col>27</xdr:col>
      <xdr:colOff>323850</xdr:colOff>
      <xdr:row>0</xdr:row>
      <xdr:rowOff>0</xdr:rowOff>
    </xdr:from>
    <xdr:to>
      <xdr:col>35</xdr:col>
      <xdr:colOff>295952</xdr:colOff>
      <xdr:row>41</xdr:row>
      <xdr:rowOff>77492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67110F3-9739-4533-89E5-D82209805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0" y="0"/>
          <a:ext cx="4848902" cy="92595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571499</xdr:colOff>
      <xdr:row>1</xdr:row>
      <xdr:rowOff>66288</xdr:rowOff>
    </xdr:from>
    <xdr:to>
      <xdr:col>19</xdr:col>
      <xdr:colOff>438118</xdr:colOff>
      <xdr:row>5</xdr:row>
      <xdr:rowOff>133785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EC67CC-DFC1-975B-2A4A-F85410AFC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8899" y="256788"/>
          <a:ext cx="7181819" cy="1000947"/>
        </a:xfrm>
        <a:prstGeom prst="rect">
          <a:avLst/>
        </a:prstGeom>
      </xdr:spPr>
    </xdr:pic>
    <xdr:clientData/>
  </xdr:twoCellAnchor>
  <xdr:twoCellAnchor editAs="oneCell">
    <xdr:from>
      <xdr:col>18</xdr:col>
      <xdr:colOff>466724</xdr:colOff>
      <xdr:row>0</xdr:row>
      <xdr:rowOff>144312</xdr:rowOff>
    </xdr:from>
    <xdr:to>
      <xdr:col>26</xdr:col>
      <xdr:colOff>96677</xdr:colOff>
      <xdr:row>3</xdr:row>
      <xdr:rowOff>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3C1354-BD05-8AA1-721E-AB8648F2E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39724" y="144312"/>
          <a:ext cx="4506753" cy="503548"/>
        </a:xfrm>
        <a:prstGeom prst="rect">
          <a:avLst/>
        </a:prstGeom>
      </xdr:spPr>
    </xdr:pic>
    <xdr:clientData/>
  </xdr:twoCellAnchor>
  <xdr:twoCellAnchor editAs="oneCell">
    <xdr:from>
      <xdr:col>8</xdr:col>
      <xdr:colOff>285953</xdr:colOff>
      <xdr:row>6</xdr:row>
      <xdr:rowOff>200025</xdr:rowOff>
    </xdr:from>
    <xdr:to>
      <xdr:col>16</xdr:col>
      <xdr:colOff>541461</xdr:colOff>
      <xdr:row>28</xdr:row>
      <xdr:rowOff>30117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2FDBA-73A0-2336-7CD1-34A16F945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2953" y="1562100"/>
          <a:ext cx="5132308" cy="4630692"/>
        </a:xfrm>
        <a:prstGeom prst="rect">
          <a:avLst/>
        </a:prstGeom>
      </xdr:spPr>
    </xdr:pic>
    <xdr:clientData/>
  </xdr:twoCellAnchor>
  <xdr:twoCellAnchor editAs="oneCell">
    <xdr:from>
      <xdr:col>8</xdr:col>
      <xdr:colOff>391078</xdr:colOff>
      <xdr:row>28</xdr:row>
      <xdr:rowOff>104572</xdr:rowOff>
    </xdr:from>
    <xdr:to>
      <xdr:col>17</xdr:col>
      <xdr:colOff>38100</xdr:colOff>
      <xdr:row>54</xdr:row>
      <xdr:rowOff>141379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EC999C-8ACD-722B-BA3E-EFEAD842E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68078" y="6267247"/>
          <a:ext cx="5133422" cy="4989807"/>
        </a:xfrm>
        <a:prstGeom prst="rect">
          <a:avLst/>
        </a:prstGeom>
      </xdr:spPr>
    </xdr:pic>
    <xdr:clientData/>
  </xdr:twoCellAnchor>
  <xdr:twoCellAnchor editAs="oneCell">
    <xdr:from>
      <xdr:col>17</xdr:col>
      <xdr:colOff>295275</xdr:colOff>
      <xdr:row>26</xdr:row>
      <xdr:rowOff>122717</xdr:rowOff>
    </xdr:from>
    <xdr:to>
      <xdr:col>24</xdr:col>
      <xdr:colOff>160513</xdr:colOff>
      <xdr:row>40</xdr:row>
      <xdr:rowOff>10618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984829-77EF-9938-94BF-1F31BEF9E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58675" y="5904392"/>
          <a:ext cx="4132438" cy="2554901"/>
        </a:xfrm>
        <a:prstGeom prst="rect">
          <a:avLst/>
        </a:prstGeom>
      </xdr:spPr>
    </xdr:pic>
    <xdr:clientData/>
  </xdr:twoCellAnchor>
  <xdr:twoCellAnchor editAs="oneCell">
    <xdr:from>
      <xdr:col>17</xdr:col>
      <xdr:colOff>419100</xdr:colOff>
      <xdr:row>6</xdr:row>
      <xdr:rowOff>96285</xdr:rowOff>
    </xdr:from>
    <xdr:to>
      <xdr:col>25</xdr:col>
      <xdr:colOff>227153</xdr:colOff>
      <xdr:row>18</xdr:row>
      <xdr:rowOff>182075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D7911-3E7C-CC9C-D5BE-5EC2F2AD0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82500" y="1458360"/>
          <a:ext cx="4684853" cy="29813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21</xdr:col>
      <xdr:colOff>352899</xdr:colOff>
      <xdr:row>4</xdr:row>
      <xdr:rowOff>76640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B6A7BC-BD5E-45B0-BE14-C0F4FE20A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0" y="200025"/>
          <a:ext cx="7048974" cy="67671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18</xdr:col>
      <xdr:colOff>884366</xdr:colOff>
      <xdr:row>7</xdr:row>
      <xdr:rowOff>17689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4B04BE-FC66-4396-9D9D-509922699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000125"/>
          <a:ext cx="5151566" cy="41773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16</xdr:col>
      <xdr:colOff>58308</xdr:colOff>
      <xdr:row>11</xdr:row>
      <xdr:rowOff>152973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C9F06F-A37A-4C23-A42B-C841C2BB6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96150" y="1600200"/>
          <a:ext cx="3106308" cy="75304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16</xdr:col>
      <xdr:colOff>561145</xdr:colOff>
      <xdr:row>21</xdr:row>
      <xdr:rowOff>36751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BDF5898-0513-4DD6-A647-4B8AC949E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6150" y="2438400"/>
          <a:ext cx="3609145" cy="2017951"/>
        </a:xfrm>
        <a:prstGeom prst="rect">
          <a:avLst/>
        </a:prstGeom>
      </xdr:spPr>
    </xdr:pic>
    <xdr:clientData/>
  </xdr:twoCellAnchor>
  <xdr:twoCellAnchor editAs="oneCell">
    <xdr:from>
      <xdr:col>10</xdr:col>
      <xdr:colOff>533400</xdr:colOff>
      <xdr:row>23</xdr:row>
      <xdr:rowOff>45394</xdr:rowOff>
    </xdr:from>
    <xdr:to>
      <xdr:col>24</xdr:col>
      <xdr:colOff>295275</xdr:colOff>
      <xdr:row>32</xdr:row>
      <xdr:rowOff>152750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435130-2DC6-4F02-92F4-2F9092AF5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19950" y="4906319"/>
          <a:ext cx="9115425" cy="2037756"/>
        </a:xfrm>
        <a:prstGeom prst="rect">
          <a:avLst/>
        </a:prstGeom>
      </xdr:spPr>
    </xdr:pic>
    <xdr:clientData/>
  </xdr:twoCellAnchor>
  <xdr:twoCellAnchor editAs="oneCell">
    <xdr:from>
      <xdr:col>25</xdr:col>
      <xdr:colOff>447675</xdr:colOff>
      <xdr:row>0</xdr:row>
      <xdr:rowOff>0</xdr:rowOff>
    </xdr:from>
    <xdr:to>
      <xdr:col>33</xdr:col>
      <xdr:colOff>419777</xdr:colOff>
      <xdr:row>44</xdr:row>
      <xdr:rowOff>134642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6E542F7-E60D-4103-8446-37E9AAC91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097375" y="0"/>
          <a:ext cx="4848902" cy="9259592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180974</xdr:colOff>
      <xdr:row>34</xdr:row>
      <xdr:rowOff>20159</xdr:rowOff>
    </xdr:from>
    <xdr:to>
      <xdr:col>24</xdr:col>
      <xdr:colOff>485939</xdr:colOff>
      <xdr:row>57</xdr:row>
      <xdr:rowOff>189126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ED72B9E-2858-4FD6-B6DD-A8C6AA144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86724" y="7240109"/>
          <a:ext cx="8439315" cy="45504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304800</xdr:colOff>
      <xdr:row>1</xdr:row>
      <xdr:rowOff>142875</xdr:rowOff>
    </xdr:from>
    <xdr:to>
      <xdr:col>34</xdr:col>
      <xdr:colOff>323852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64A09-4C5E-4E71-A93A-2E481AECB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24</xdr:row>
      <xdr:rowOff>28575</xdr:rowOff>
    </xdr:from>
    <xdr:to>
      <xdr:col>19</xdr:col>
      <xdr:colOff>295895</xdr:colOff>
      <xdr:row>36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F9D5D7-E70D-4F28-8DAE-69C4C4CECE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861"/>
        <a:stretch/>
      </xdr:blipFill>
      <xdr:spPr>
        <a:xfrm>
          <a:off x="1695450" y="4867275"/>
          <a:ext cx="11592545" cy="24288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590550</xdr:colOff>
      <xdr:row>1</xdr:row>
      <xdr:rowOff>85725</xdr:rowOff>
    </xdr:from>
    <xdr:to>
      <xdr:col>15</xdr:col>
      <xdr:colOff>1838325</xdr:colOff>
      <xdr:row>9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3325" y="276225"/>
          <a:ext cx="3267075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657225</xdr:colOff>
      <xdr:row>27</xdr:row>
      <xdr:rowOff>161925</xdr:rowOff>
    </xdr:from>
    <xdr:to>
      <xdr:col>19</xdr:col>
      <xdr:colOff>447675</xdr:colOff>
      <xdr:row>29</xdr:row>
      <xdr:rowOff>0</xdr:rowOff>
    </xdr:to>
    <xdr:pic>
      <xdr:nvPicPr>
        <xdr:cNvPr id="3" name="Picture 2" descr="R=8L\eta /(\pi r^{4})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5305425"/>
          <a:ext cx="12096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_Hydraulic-Comp-Model_Ms/2017-June21%20Hydraulic%20model%20calcs/Hydr%20mod%20multiple%20Po%20&amp;%20dimens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ground Info"/>
      <sheetName val="Hydraulic Comp Model 1st go"/>
      <sheetName val="Gp -13.090"/>
      <sheetName val="all +Calcium runs"/>
      <sheetName val="all No Calcium runs"/>
    </sheetNames>
    <sheetDataSet>
      <sheetData sheetId="0"/>
      <sheetData sheetId="1">
        <row r="10">
          <cell r="T10" t="str">
            <v>Redox</v>
          </cell>
          <cell r="U10" t="str">
            <v>Dp</v>
          </cell>
          <cell r="V10" t="str">
            <v>DGatp</v>
          </cell>
        </row>
        <row r="11">
          <cell r="S11">
            <v>123</v>
          </cell>
          <cell r="T11">
            <v>18.966956043956042</v>
          </cell>
          <cell r="U11">
            <v>17.005150066666669</v>
          </cell>
          <cell r="V11">
            <v>13.943643032121523</v>
          </cell>
        </row>
        <row r="12">
          <cell r="S12">
            <v>151</v>
          </cell>
          <cell r="T12">
            <v>18.927286593406595</v>
          </cell>
          <cell r="U12">
            <v>16.869853000000003</v>
          </cell>
          <cell r="V12">
            <v>13.766407575326944</v>
          </cell>
        </row>
        <row r="13">
          <cell r="S13">
            <v>191</v>
          </cell>
          <cell r="T13">
            <v>18.882658461538462</v>
          </cell>
          <cell r="U13">
            <v>16.743012000000004</v>
          </cell>
          <cell r="V13">
            <v>13.516608228995208</v>
          </cell>
        </row>
        <row r="14">
          <cell r="S14">
            <v>225</v>
          </cell>
          <cell r="T14">
            <v>18.859517948717951</v>
          </cell>
          <cell r="U14">
            <v>16.616171000000001</v>
          </cell>
          <cell r="V14">
            <v>13.339372772200628</v>
          </cell>
        </row>
        <row r="15">
          <cell r="S15">
            <v>261</v>
          </cell>
          <cell r="T15">
            <v>18.823154285714285</v>
          </cell>
          <cell r="U15">
            <v>16.455505733333336</v>
          </cell>
          <cell r="V15">
            <v>13.089573425868892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A2C4-8D46-4E99-A551-18683B8DBA20}">
  <dimension ref="A1:AI76"/>
  <sheetViews>
    <sheetView topLeftCell="A7" workbookViewId="0">
      <selection activeCell="L20" sqref="L20"/>
    </sheetView>
  </sheetViews>
  <sheetFormatPr defaultColWidth="9.1328125" defaultRowHeight="16"/>
  <cols>
    <col min="1" max="1" width="12.31640625" style="16" customWidth="1"/>
    <col min="2" max="2" width="10.26953125" style="16" customWidth="1"/>
    <col min="3" max="3" width="10.40625" style="16" customWidth="1"/>
    <col min="4" max="5" width="13.40625" style="16" customWidth="1"/>
    <col min="6" max="6" width="12.7265625" style="16" customWidth="1"/>
    <col min="7" max="7" width="11.26953125" style="16" customWidth="1"/>
    <col min="8" max="8" width="9.58984375" style="16" customWidth="1"/>
    <col min="9" max="9" width="12.04296875" style="16" customWidth="1"/>
    <col min="10" max="10" width="14.1328125" style="16" customWidth="1"/>
    <col min="11" max="11" width="17.08984375" style="16" customWidth="1"/>
    <col min="12" max="12" width="13.86328125" style="16" customWidth="1"/>
    <col min="13" max="13" width="9.7265625" style="16" customWidth="1"/>
    <col min="14" max="14" width="11.36328125" style="16" customWidth="1"/>
    <col min="15" max="15" width="10.1328125" style="16" customWidth="1"/>
    <col min="16" max="16" width="11" style="16" customWidth="1"/>
    <col min="17" max="17" width="10.40625" style="16" customWidth="1"/>
    <col min="18" max="18" width="12.40625" style="16" customWidth="1"/>
    <col min="19" max="19" width="13.40625" style="16" customWidth="1"/>
    <col min="20" max="20" width="13.90625" style="16" customWidth="1"/>
    <col min="21" max="21" width="13.36328125" style="16" customWidth="1"/>
    <col min="22" max="23" width="13.2265625" style="16" customWidth="1"/>
    <col min="24" max="24" width="14.40625" style="16" customWidth="1"/>
    <col min="25" max="25" width="12.1328125" style="16" customWidth="1"/>
    <col min="26" max="26" width="11.86328125" style="16" customWidth="1"/>
    <col min="27" max="28" width="10" style="16" customWidth="1"/>
    <col min="29" max="29" width="9.7265625" style="16" bestFit="1" customWidth="1"/>
    <col min="30" max="30" width="13.40625" style="16" customWidth="1"/>
    <col min="31" max="31" width="10.40625" style="16" customWidth="1"/>
    <col min="32" max="32" width="11.86328125" style="16" customWidth="1"/>
    <col min="33" max="33" width="13.86328125" style="16" customWidth="1"/>
    <col min="34" max="34" width="10" style="16" customWidth="1"/>
    <col min="35" max="35" width="10.7265625" style="16" customWidth="1"/>
    <col min="36" max="16384" width="9.1328125" style="16"/>
  </cols>
  <sheetData>
    <row r="1" spans="1:30" ht="18.5">
      <c r="A1" s="16" t="s">
        <v>234</v>
      </c>
      <c r="Y1" s="70"/>
    </row>
    <row r="2" spans="1:30" ht="18.5">
      <c r="B2" s="68" t="s">
        <v>256</v>
      </c>
      <c r="G2" s="138" t="s">
        <v>246</v>
      </c>
      <c r="H2" s="138"/>
      <c r="I2" s="138"/>
      <c r="J2" s="68"/>
      <c r="M2" s="38"/>
      <c r="N2" s="139" t="s">
        <v>233</v>
      </c>
      <c r="O2" s="139"/>
      <c r="P2" s="139"/>
    </row>
    <row r="3" spans="1:30">
      <c r="B3" s="59" t="s">
        <v>131</v>
      </c>
      <c r="G3" s="66" t="s">
        <v>247</v>
      </c>
      <c r="H3" s="66" t="s">
        <v>236</v>
      </c>
      <c r="I3" s="66" t="s">
        <v>244</v>
      </c>
      <c r="J3" s="68"/>
      <c r="K3" s="66" t="s">
        <v>245</v>
      </c>
      <c r="N3" s="59" t="s">
        <v>136</v>
      </c>
      <c r="O3" s="16" t="s">
        <v>231</v>
      </c>
      <c r="P3" s="16" t="s">
        <v>231</v>
      </c>
    </row>
    <row r="4" spans="1:30">
      <c r="A4" s="20" t="s">
        <v>389</v>
      </c>
      <c r="B4" s="20">
        <v>8</v>
      </c>
      <c r="G4" s="58"/>
      <c r="H4" s="38">
        <v>7.0000000000000005E-8</v>
      </c>
      <c r="I4" s="38">
        <v>1.1999999999999999E-7</v>
      </c>
      <c r="J4" s="68"/>
      <c r="K4" s="38">
        <v>2.4E-8</v>
      </c>
      <c r="M4" s="20" t="s">
        <v>187</v>
      </c>
      <c r="N4" s="16">
        <v>263</v>
      </c>
      <c r="O4" s="16">
        <v>6.7</v>
      </c>
      <c r="P4" s="19">
        <v>6</v>
      </c>
    </row>
    <row r="5" spans="1:30">
      <c r="A5" s="20" t="s">
        <v>390</v>
      </c>
      <c r="B5" s="20">
        <v>11.5</v>
      </c>
      <c r="F5" s="59"/>
      <c r="G5" s="38">
        <f>1/(H5+I5)</f>
        <v>4.4210526315789473E-8</v>
      </c>
      <c r="H5" s="38">
        <f>1/H4</f>
        <v>14285714.285714285</v>
      </c>
      <c r="I5" s="38">
        <f>1/I4</f>
        <v>8333333.333333334</v>
      </c>
      <c r="J5" s="21"/>
      <c r="K5" s="38">
        <f>1/K4</f>
        <v>41666666.666666664</v>
      </c>
      <c r="M5" s="20" t="s">
        <v>64</v>
      </c>
      <c r="N5" s="63">
        <v>39.299999999999997</v>
      </c>
      <c r="O5" s="16">
        <v>1</v>
      </c>
      <c r="P5" s="19">
        <v>2</v>
      </c>
      <c r="V5" s="25"/>
      <c r="W5" s="25"/>
      <c r="X5" s="25"/>
      <c r="Z5" s="26"/>
      <c r="AD5" s="17"/>
    </row>
    <row r="6" spans="1:30">
      <c r="A6" s="20" t="s">
        <v>242</v>
      </c>
      <c r="B6" s="20">
        <v>8</v>
      </c>
      <c r="F6" s="59"/>
      <c r="J6" s="68"/>
      <c r="K6" s="68"/>
      <c r="L6" s="68"/>
      <c r="M6" s="20" t="s">
        <v>232</v>
      </c>
      <c r="N6" s="63">
        <v>79.5</v>
      </c>
      <c r="O6" s="16">
        <v>2</v>
      </c>
      <c r="P6" s="19">
        <v>1</v>
      </c>
      <c r="R6" s="42"/>
      <c r="T6" s="68"/>
      <c r="U6" s="59"/>
      <c r="V6" s="65"/>
      <c r="W6" s="38"/>
      <c r="X6" s="38"/>
      <c r="Z6" s="38"/>
      <c r="AB6" s="59"/>
      <c r="AD6" s="17"/>
    </row>
    <row r="7" spans="1:30">
      <c r="A7" s="20" t="s">
        <v>95</v>
      </c>
      <c r="B7" s="20">
        <v>8</v>
      </c>
      <c r="K7" s="68"/>
      <c r="L7" s="68"/>
      <c r="M7" s="68"/>
      <c r="N7" s="68"/>
      <c r="O7" s="68"/>
      <c r="P7" s="69"/>
      <c r="Q7" s="69"/>
      <c r="R7" s="55"/>
      <c r="S7" s="69"/>
      <c r="T7" s="68"/>
      <c r="U7" s="59"/>
      <c r="V7" s="38"/>
      <c r="W7" s="38"/>
      <c r="X7" s="38"/>
      <c r="AD7" s="17"/>
    </row>
    <row r="8" spans="1:30">
      <c r="A8" s="77" t="s">
        <v>96</v>
      </c>
      <c r="B8" s="20">
        <v>8</v>
      </c>
      <c r="K8" s="121"/>
      <c r="L8" s="121"/>
      <c r="M8" s="121"/>
      <c r="N8" s="121"/>
      <c r="O8" s="121"/>
      <c r="P8" s="120"/>
      <c r="Q8" s="120"/>
      <c r="R8" s="55"/>
      <c r="S8" s="120"/>
      <c r="T8" s="121"/>
      <c r="U8" s="121"/>
      <c r="V8" s="118"/>
      <c r="W8" s="118"/>
      <c r="X8" s="118"/>
      <c r="AD8" s="17"/>
    </row>
    <row r="9" spans="1:30">
      <c r="E9" s="59"/>
      <c r="F9" s="49"/>
      <c r="G9" s="59"/>
      <c r="H9" s="59"/>
      <c r="J9" s="32"/>
      <c r="L9" s="32"/>
      <c r="M9" s="35"/>
      <c r="N9" s="33"/>
      <c r="O9" s="69"/>
      <c r="P9" s="69"/>
      <c r="Q9" s="69"/>
      <c r="R9" s="36"/>
      <c r="S9" s="38"/>
      <c r="T9" s="69"/>
      <c r="U9" s="137"/>
      <c r="V9" s="137"/>
      <c r="AD9" s="17"/>
    </row>
    <row r="10" spans="1:30" ht="18.5">
      <c r="A10" s="64"/>
      <c r="C10" s="72" t="s">
        <v>76</v>
      </c>
      <c r="D10" s="72" t="s">
        <v>20</v>
      </c>
      <c r="E10" s="74">
        <v>9806.3799999999992</v>
      </c>
      <c r="F10" s="55" t="s">
        <v>190</v>
      </c>
      <c r="G10" s="12"/>
      <c r="H10" s="12"/>
      <c r="J10" s="32"/>
      <c r="L10" s="32"/>
      <c r="M10" s="35"/>
      <c r="N10" s="33"/>
      <c r="O10" s="58"/>
      <c r="P10" s="58"/>
      <c r="Q10" s="39" t="s">
        <v>337</v>
      </c>
      <c r="R10" s="36"/>
      <c r="S10" s="103">
        <v>2.3439999999999999</v>
      </c>
      <c r="T10" s="59"/>
      <c r="U10" s="66"/>
      <c r="V10" s="66"/>
    </row>
    <row r="11" spans="1:30">
      <c r="C11" s="58"/>
      <c r="F11" s="27"/>
      <c r="O11" s="14"/>
      <c r="P11" s="18"/>
      <c r="Q11" s="17"/>
      <c r="R11" s="56"/>
      <c r="S11" s="37"/>
      <c r="T11" s="44"/>
      <c r="U11" s="67"/>
      <c r="V11" s="67"/>
    </row>
    <row r="12" spans="1:30" ht="18.5">
      <c r="A12" s="134" t="s">
        <v>184</v>
      </c>
      <c r="B12" s="134"/>
      <c r="C12" s="58" t="s">
        <v>240</v>
      </c>
      <c r="D12" s="58" t="s">
        <v>31</v>
      </c>
      <c r="E12" s="58" t="s">
        <v>241</v>
      </c>
      <c r="F12" s="134" t="s">
        <v>201</v>
      </c>
      <c r="G12" s="140"/>
      <c r="H12" s="134" t="s">
        <v>82</v>
      </c>
      <c r="I12" s="134"/>
      <c r="J12" s="58" t="s">
        <v>104</v>
      </c>
      <c r="K12" s="58" t="s">
        <v>105</v>
      </c>
      <c r="L12" s="134" t="s">
        <v>69</v>
      </c>
      <c r="M12" s="134"/>
      <c r="N12" s="58" t="s">
        <v>238</v>
      </c>
      <c r="O12" s="66" t="s">
        <v>239</v>
      </c>
      <c r="Q12" s="95" t="s">
        <v>306</v>
      </c>
    </row>
    <row r="13" spans="1:30" ht="18.5">
      <c r="A13" s="58" t="s">
        <v>186</v>
      </c>
      <c r="B13" s="58" t="s">
        <v>110</v>
      </c>
      <c r="C13" s="58" t="s">
        <v>76</v>
      </c>
      <c r="D13" s="58" t="s">
        <v>185</v>
      </c>
      <c r="E13" s="58" t="s">
        <v>235</v>
      </c>
      <c r="F13" s="58" t="s">
        <v>185</v>
      </c>
      <c r="G13" s="58" t="s">
        <v>109</v>
      </c>
      <c r="H13" s="58" t="s">
        <v>83</v>
      </c>
      <c r="I13" s="58" t="s">
        <v>133</v>
      </c>
      <c r="J13" s="58" t="s">
        <v>106</v>
      </c>
      <c r="K13" s="58" t="s">
        <v>107</v>
      </c>
      <c r="L13" s="58" t="s">
        <v>108</v>
      </c>
      <c r="M13" s="58" t="s">
        <v>237</v>
      </c>
      <c r="N13" s="58" t="s">
        <v>51</v>
      </c>
      <c r="O13" s="65" t="s">
        <v>51</v>
      </c>
      <c r="R13" s="138" t="s">
        <v>132</v>
      </c>
      <c r="S13" s="138"/>
      <c r="T13" s="138" t="s">
        <v>242</v>
      </c>
      <c r="U13" s="138"/>
      <c r="V13" s="138" t="s">
        <v>95</v>
      </c>
      <c r="W13" s="138"/>
    </row>
    <row r="14" spans="1:30" ht="18.5">
      <c r="B14" s="50" t="s">
        <v>389</v>
      </c>
      <c r="C14" s="15">
        <v>7.9930000000000003</v>
      </c>
      <c r="D14" s="25">
        <f>C14*E$10</f>
        <v>78382.395340000003</v>
      </c>
      <c r="E14" s="26">
        <f>D14/1000/4.184</f>
        <v>18.733842098470362</v>
      </c>
      <c r="F14" s="58"/>
      <c r="G14" s="58"/>
      <c r="H14" s="58" t="s">
        <v>13</v>
      </c>
      <c r="I14" s="58" t="s">
        <v>13</v>
      </c>
      <c r="J14" s="58"/>
      <c r="K14" s="58"/>
      <c r="N14" s="58"/>
      <c r="R14" s="85" t="s">
        <v>312</v>
      </c>
      <c r="S14" s="85" t="s">
        <v>235</v>
      </c>
      <c r="T14" s="85" t="s">
        <v>312</v>
      </c>
      <c r="U14" s="85" t="s">
        <v>235</v>
      </c>
      <c r="V14" s="85" t="s">
        <v>312</v>
      </c>
      <c r="W14" s="85" t="s">
        <v>235</v>
      </c>
      <c r="Y14" s="68"/>
      <c r="Z14" s="68"/>
      <c r="AA14" s="68"/>
    </row>
    <row r="15" spans="1:30" ht="18.5">
      <c r="B15" s="122" t="s">
        <v>390</v>
      </c>
      <c r="C15" s="15">
        <v>11.5</v>
      </c>
      <c r="D15" s="25">
        <f>C15*E$10</f>
        <v>112773.37</v>
      </c>
      <c r="E15" s="26"/>
      <c r="F15" s="120"/>
      <c r="G15" s="120"/>
      <c r="H15" s="120"/>
      <c r="I15" s="120"/>
      <c r="J15" s="120"/>
      <c r="K15" s="120"/>
      <c r="N15" s="120"/>
      <c r="R15" s="119"/>
      <c r="S15" s="119"/>
      <c r="T15" s="119"/>
      <c r="U15" s="119"/>
      <c r="V15" s="119"/>
      <c r="W15" s="119"/>
      <c r="Y15" s="121"/>
      <c r="Z15" s="121"/>
      <c r="AA15" s="121"/>
    </row>
    <row r="16" spans="1:30" ht="18.5">
      <c r="A16" s="50" t="s">
        <v>385</v>
      </c>
      <c r="B16" s="50" t="s">
        <v>121</v>
      </c>
      <c r="C16" s="15">
        <v>7.5579999999999998</v>
      </c>
      <c r="D16" s="25">
        <f>C16*E$10</f>
        <v>74116.620039999994</v>
      </c>
      <c r="E16" s="26">
        <f t="shared" ref="E16:E20" si="0">D16/1000/4.184</f>
        <v>17.714297332695985</v>
      </c>
      <c r="F16" s="25">
        <f>(D14-D16)</f>
        <v>4265.7753000000084</v>
      </c>
      <c r="G16" s="28">
        <f>F16</f>
        <v>4265.7753000000084</v>
      </c>
      <c r="H16" s="27">
        <v>0.2</v>
      </c>
      <c r="I16" s="51">
        <f>(K16*8*0.001*H16/3.14159)^0.25</f>
        <v>3.4704612124128106E-3</v>
      </c>
      <c r="J16" s="25">
        <f>1/K16</f>
        <v>3510926.172839513</v>
      </c>
      <c r="K16" s="25">
        <f>L16/F16</f>
        <v>2.8482512897479564E-7</v>
      </c>
      <c r="L16" s="25">
        <f>M16/1000000</f>
        <v>1.2149999999999999E-3</v>
      </c>
      <c r="M16" s="28">
        <v>1215</v>
      </c>
      <c r="N16" s="35">
        <f>G16*L16</f>
        <v>5.1829169895000096</v>
      </c>
      <c r="O16" s="44">
        <f>L16*D16</f>
        <v>90.051693348599983</v>
      </c>
      <c r="Q16" s="102" t="s">
        <v>310</v>
      </c>
      <c r="R16" s="93">
        <v>7.9989999999999997</v>
      </c>
      <c r="S16" s="93">
        <f>R16*$S$10</f>
        <v>18.749655999999998</v>
      </c>
      <c r="T16" s="95">
        <v>7.9939999999999998</v>
      </c>
      <c r="U16" s="93">
        <f>T16*$S$10</f>
        <v>18.737935999999998</v>
      </c>
      <c r="V16" s="102">
        <v>7.9640000000000004</v>
      </c>
      <c r="W16" s="93">
        <f>V16*$S$10</f>
        <v>18.667615999999999</v>
      </c>
    </row>
    <row r="17" spans="1:27" ht="18.5">
      <c r="A17" s="116" t="s">
        <v>386</v>
      </c>
      <c r="B17" s="116" t="s">
        <v>121</v>
      </c>
      <c r="C17" s="15">
        <f>C16</f>
        <v>7.5579999999999998</v>
      </c>
      <c r="D17" s="25">
        <f>D16</f>
        <v>74116.620039999994</v>
      </c>
      <c r="E17" s="26">
        <f t="shared" si="0"/>
        <v>17.714297332695985</v>
      </c>
      <c r="F17" s="25">
        <f>(D15-D17)</f>
        <v>38656.749960000001</v>
      </c>
      <c r="G17" s="28">
        <f>F17</f>
        <v>38656.749960000001</v>
      </c>
      <c r="H17" s="27">
        <v>0.2</v>
      </c>
      <c r="I17" s="51">
        <f>(K17*8*0.001*H17/3.14159)^0.25</f>
        <v>2.0002319227470336E-3</v>
      </c>
      <c r="J17" s="25">
        <f>1/K17</f>
        <v>31816255.111111112</v>
      </c>
      <c r="K17" s="25">
        <f>L17/F17</f>
        <v>3.143047465855818E-8</v>
      </c>
      <c r="L17" s="25">
        <f>M17/1000000</f>
        <v>1.2149999999999999E-3</v>
      </c>
      <c r="M17" s="28">
        <v>1215</v>
      </c>
      <c r="N17" s="35">
        <f>G17*L17</f>
        <v>46.967951201399998</v>
      </c>
      <c r="O17" s="44">
        <f>L17*D17</f>
        <v>90.051693348599983</v>
      </c>
      <c r="Q17" s="102"/>
      <c r="R17" s="93"/>
      <c r="S17" s="93"/>
      <c r="T17" s="95"/>
      <c r="U17" s="93"/>
      <c r="V17" s="102"/>
      <c r="W17" s="93"/>
    </row>
    <row r="18" spans="1:27" ht="18.5">
      <c r="A18" s="116" t="s">
        <v>64</v>
      </c>
      <c r="B18" s="116" t="s">
        <v>122</v>
      </c>
      <c r="C18" s="15"/>
      <c r="D18" s="25"/>
      <c r="E18" s="26"/>
      <c r="F18" s="25"/>
      <c r="G18" s="28"/>
      <c r="H18" s="27"/>
      <c r="I18" s="51"/>
      <c r="J18" s="25"/>
      <c r="K18" s="25"/>
      <c r="L18" s="25"/>
      <c r="M18" s="28"/>
      <c r="N18" s="35"/>
      <c r="O18" s="44"/>
      <c r="Q18" s="102"/>
      <c r="R18" s="93"/>
      <c r="S18" s="93"/>
      <c r="T18" s="95"/>
      <c r="U18" s="93"/>
      <c r="V18" s="102"/>
      <c r="W18" s="93"/>
    </row>
    <row r="19" spans="1:27" ht="18.5">
      <c r="A19" s="50" t="s">
        <v>232</v>
      </c>
      <c r="B19" s="72" t="s">
        <v>95</v>
      </c>
      <c r="C19" s="15">
        <v>5.165</v>
      </c>
      <c r="D19" s="25">
        <f>C19*E$10</f>
        <v>50649.952699999994</v>
      </c>
      <c r="E19" s="26">
        <f t="shared" si="0"/>
        <v>12.105629230401528</v>
      </c>
      <c r="F19" s="25">
        <f t="shared" ref="F19" si="1">(D16-D19)</f>
        <v>23466.66734</v>
      </c>
      <c r="G19" s="28">
        <f t="shared" ref="G19:G20" si="2">F19</f>
        <v>23466.66734</v>
      </c>
      <c r="H19" s="27">
        <v>0.2</v>
      </c>
      <c r="I19" s="51">
        <f t="shared" ref="I19" si="3">(K19*8*0.001*H19/3.14159)^0.25</f>
        <v>2.2660726775767322E-3</v>
      </c>
      <c r="J19" s="25">
        <f t="shared" ref="J19:J20" si="4">1/K19</f>
        <v>19314129.497942388</v>
      </c>
      <c r="K19" s="25">
        <f>L19/F19</f>
        <v>5.1775566696212432E-8</v>
      </c>
      <c r="L19" s="25">
        <f t="shared" ref="L19:L20" si="5">M19/1000000</f>
        <v>1.2149999999999999E-3</v>
      </c>
      <c r="M19" s="28">
        <v>1215</v>
      </c>
      <c r="N19" s="35">
        <f t="shared" ref="N19" si="6">G19*L19</f>
        <v>28.512000818099999</v>
      </c>
      <c r="O19" s="44">
        <f>L19*D19</f>
        <v>61.539692530499991</v>
      </c>
      <c r="Q19" s="102" t="s">
        <v>311</v>
      </c>
      <c r="R19" s="93">
        <v>7.9930000000000003</v>
      </c>
      <c r="S19" s="93">
        <f>R19*$S$10</f>
        <v>18.735592</v>
      </c>
      <c r="T19" s="95">
        <v>7.5590000000000002</v>
      </c>
      <c r="U19" s="93">
        <f>T19*$S$10</f>
        <v>17.718295999999999</v>
      </c>
      <c r="V19" s="102">
        <v>5.165</v>
      </c>
      <c r="W19" s="93">
        <f>V19*$S$10</f>
        <v>12.10676</v>
      </c>
      <c r="X19" s="68"/>
      <c r="Y19" s="68"/>
      <c r="Z19" s="68"/>
      <c r="AA19" s="68"/>
    </row>
    <row r="20" spans="1:27">
      <c r="A20" s="50" t="s">
        <v>188</v>
      </c>
      <c r="B20" s="50" t="s">
        <v>95</v>
      </c>
      <c r="C20" s="15">
        <f>C19</f>
        <v>5.165</v>
      </c>
      <c r="D20" s="25">
        <f>C20*E$10</f>
        <v>50649.952699999994</v>
      </c>
      <c r="E20" s="26">
        <f t="shared" si="0"/>
        <v>12.105629230401528</v>
      </c>
      <c r="F20" s="25">
        <f>D20</f>
        <v>50649.952699999994</v>
      </c>
      <c r="G20" s="28">
        <f t="shared" si="2"/>
        <v>50649.952699999994</v>
      </c>
      <c r="H20" s="27">
        <v>0.2</v>
      </c>
      <c r="I20" s="51">
        <f>(K20*8*0.001*H20/3.14159)^0.25</f>
        <v>1.8695708485036353E-3</v>
      </c>
      <c r="J20" s="25">
        <f t="shared" si="4"/>
        <v>41687203.868312754</v>
      </c>
      <c r="K20" s="25">
        <f>L20/F20</f>
        <v>2.3988176399619817E-8</v>
      </c>
      <c r="L20" s="25">
        <f t="shared" si="5"/>
        <v>1.2149999999999999E-3</v>
      </c>
      <c r="M20" s="28">
        <v>1215</v>
      </c>
      <c r="N20" s="35"/>
      <c r="O20" s="44">
        <f>L20*D20</f>
        <v>61.539692530499991</v>
      </c>
      <c r="T20" s="59"/>
      <c r="V20" s="20"/>
      <c r="W20" s="20"/>
      <c r="X20" s="68"/>
      <c r="Y20" s="68"/>
      <c r="Z20" s="68"/>
      <c r="AA20" s="68"/>
    </row>
    <row r="21" spans="1:27">
      <c r="A21" s="83"/>
      <c r="B21" s="83"/>
      <c r="C21" s="15"/>
      <c r="D21" s="25"/>
      <c r="E21" s="26"/>
      <c r="F21" s="25"/>
      <c r="G21" s="28"/>
      <c r="H21" s="27"/>
      <c r="I21" s="51"/>
      <c r="J21" s="25"/>
      <c r="K21" s="25"/>
      <c r="L21" s="25"/>
      <c r="M21" s="28"/>
      <c r="N21" s="35"/>
      <c r="O21" s="44"/>
      <c r="T21" s="82"/>
      <c r="V21" s="20"/>
      <c r="W21" s="20"/>
      <c r="X21" s="82"/>
      <c r="Y21" s="82"/>
      <c r="Z21" s="82"/>
      <c r="AA21" s="82"/>
    </row>
    <row r="22" spans="1:27">
      <c r="A22" s="83"/>
      <c r="B22" s="83"/>
      <c r="C22" s="15"/>
      <c r="D22" s="25"/>
      <c r="E22" s="26"/>
      <c r="F22" s="25"/>
      <c r="G22" s="28"/>
      <c r="H22" s="27"/>
      <c r="I22" s="51" t="s">
        <v>304</v>
      </c>
      <c r="J22" s="25">
        <f>J16+J19</f>
        <v>22825055.670781903</v>
      </c>
      <c r="K22" s="25">
        <f>1/(1/K16+1/K19)</f>
        <v>4.3811503219249045E-8</v>
      </c>
      <c r="L22" s="25"/>
      <c r="M22" s="28"/>
      <c r="N22" s="35"/>
      <c r="O22" s="44"/>
      <c r="T22" s="82"/>
      <c r="V22" s="20"/>
      <c r="W22" s="20"/>
      <c r="X22" s="82"/>
      <c r="Y22" s="82"/>
      <c r="Z22" s="82"/>
      <c r="AA22" s="82"/>
    </row>
    <row r="23" spans="1:27">
      <c r="A23" s="72"/>
      <c r="B23" s="72"/>
      <c r="C23" s="15"/>
      <c r="D23" s="25"/>
      <c r="E23" s="26"/>
      <c r="F23" s="25"/>
      <c r="G23" s="28"/>
      <c r="H23" s="27"/>
      <c r="I23" s="51" t="s">
        <v>305</v>
      </c>
      <c r="J23" s="25"/>
      <c r="K23" s="25"/>
      <c r="L23" s="25"/>
      <c r="M23" s="28"/>
      <c r="N23" s="35"/>
      <c r="O23" s="44"/>
      <c r="T23" s="68"/>
      <c r="V23" s="20"/>
      <c r="W23" s="20"/>
      <c r="X23" s="68"/>
      <c r="Y23" s="68"/>
      <c r="Z23" s="68"/>
      <c r="AA23" s="68"/>
    </row>
    <row r="24" spans="1:27">
      <c r="A24" s="55" t="s">
        <v>248</v>
      </c>
      <c r="B24" s="72"/>
      <c r="C24" s="15"/>
      <c r="D24" s="25"/>
      <c r="E24" s="26"/>
      <c r="F24" s="25"/>
      <c r="G24" s="28"/>
      <c r="H24" s="27"/>
      <c r="I24" s="51"/>
      <c r="J24" s="25"/>
      <c r="K24" s="25">
        <f>30*K22</f>
        <v>1.3143450965774714E-6</v>
      </c>
      <c r="L24" s="25"/>
      <c r="M24" s="28"/>
      <c r="N24" s="35"/>
      <c r="O24" s="44"/>
      <c r="T24" s="68"/>
      <c r="V24" s="20"/>
      <c r="W24" s="20"/>
      <c r="X24" s="68"/>
      <c r="Y24" s="68"/>
      <c r="Z24" s="68"/>
      <c r="AA24" s="68"/>
    </row>
    <row r="25" spans="1:27">
      <c r="A25" s="55" t="s">
        <v>250</v>
      </c>
      <c r="B25" s="72"/>
      <c r="C25" s="15"/>
      <c r="D25" s="25"/>
      <c r="E25" s="26"/>
      <c r="F25" s="25"/>
      <c r="G25" s="28"/>
      <c r="H25" s="27"/>
      <c r="I25" s="15">
        <f>8/50</f>
        <v>0.16</v>
      </c>
      <c r="J25" s="25" t="s">
        <v>249</v>
      </c>
      <c r="M25" s="26">
        <f>I25*60</f>
        <v>9.6</v>
      </c>
      <c r="N25" s="25" t="s">
        <v>90</v>
      </c>
      <c r="O25" s="44"/>
      <c r="T25" s="68"/>
      <c r="V25" s="20"/>
      <c r="W25" s="20"/>
      <c r="X25" s="68"/>
      <c r="Y25" s="68"/>
      <c r="Z25" s="68"/>
      <c r="AA25" s="68"/>
    </row>
    <row r="26" spans="1:27">
      <c r="A26" s="55" t="s">
        <v>350</v>
      </c>
      <c r="B26" s="50"/>
      <c r="C26" s="15"/>
      <c r="D26" s="25"/>
      <c r="E26" s="25"/>
      <c r="F26" s="25"/>
      <c r="G26" s="28"/>
      <c r="H26" s="27"/>
      <c r="I26" s="15"/>
      <c r="J26" s="25"/>
      <c r="M26" s="35">
        <f>M25*M20/1000</f>
        <v>11.664</v>
      </c>
      <c r="N26" s="25" t="s">
        <v>91</v>
      </c>
      <c r="O26" s="44" t="s">
        <v>387</v>
      </c>
      <c r="T26" s="19"/>
      <c r="U26" s="20"/>
      <c r="V26" s="20"/>
      <c r="W26" s="20"/>
      <c r="X26" s="68"/>
      <c r="Y26" s="68"/>
      <c r="Z26" s="68"/>
      <c r="AA26" s="68"/>
    </row>
    <row r="27" spans="1:27">
      <c r="A27" s="55"/>
      <c r="B27" s="88"/>
      <c r="C27" s="15"/>
      <c r="D27" s="25"/>
      <c r="E27" s="25"/>
      <c r="F27" s="25"/>
      <c r="G27" s="28"/>
      <c r="H27" s="27"/>
      <c r="I27" s="15"/>
      <c r="J27" s="25"/>
      <c r="M27" s="15"/>
      <c r="N27" s="25"/>
      <c r="O27" s="44"/>
      <c r="T27" s="19"/>
      <c r="U27" s="20"/>
      <c r="V27" s="20"/>
      <c r="W27" s="20"/>
      <c r="X27" s="87"/>
      <c r="Y27" s="87"/>
      <c r="Z27" s="87"/>
      <c r="AA27" s="87"/>
    </row>
    <row r="28" spans="1:27" ht="18.5">
      <c r="A28" s="55" t="s">
        <v>392</v>
      </c>
      <c r="B28" s="88"/>
      <c r="C28" s="15"/>
      <c r="D28" s="25"/>
      <c r="E28" s="25"/>
      <c r="F28" s="25"/>
      <c r="G28" s="28"/>
      <c r="H28" s="27"/>
      <c r="I28" s="15"/>
      <c r="J28" s="25"/>
      <c r="M28" s="61"/>
      <c r="N28" s="110"/>
      <c r="O28" s="44"/>
      <c r="T28" s="19"/>
      <c r="U28" s="20"/>
      <c r="V28" s="20"/>
      <c r="W28" s="20"/>
      <c r="X28" s="87"/>
      <c r="Y28" s="87"/>
      <c r="Z28" s="87"/>
      <c r="AA28" s="87"/>
    </row>
    <row r="29" spans="1:27">
      <c r="A29" s="55" t="s">
        <v>393</v>
      </c>
      <c r="B29" s="72"/>
      <c r="C29" s="15"/>
      <c r="D29" s="25"/>
      <c r="E29" s="25"/>
      <c r="F29" s="25"/>
      <c r="G29" s="28"/>
      <c r="H29" s="27"/>
      <c r="I29" s="15"/>
      <c r="J29" s="25"/>
      <c r="M29" s="26"/>
      <c r="N29" s="25"/>
      <c r="O29" s="44"/>
      <c r="T29" s="19"/>
      <c r="U29" s="20"/>
      <c r="V29" s="20"/>
      <c r="W29" s="20"/>
      <c r="X29" s="68"/>
      <c r="Y29" s="68"/>
      <c r="Z29" s="68"/>
      <c r="AA29" s="68"/>
    </row>
    <row r="30" spans="1:27" ht="18.5">
      <c r="A30" s="55"/>
      <c r="B30" s="55"/>
      <c r="C30" s="15"/>
      <c r="D30" s="25"/>
      <c r="E30" s="25"/>
      <c r="F30" s="52"/>
      <c r="G30" s="79"/>
      <c r="H30" s="27"/>
      <c r="I30" s="15"/>
      <c r="J30" s="25"/>
      <c r="M30" s="106"/>
      <c r="N30" s="25"/>
      <c r="O30" s="44"/>
      <c r="T30" s="19"/>
      <c r="U30" s="20"/>
      <c r="V30" s="20"/>
      <c r="W30" s="20"/>
      <c r="X30" s="68"/>
      <c r="Y30" s="68"/>
      <c r="Z30" s="68"/>
      <c r="AA30" s="68"/>
    </row>
    <row r="31" spans="1:27" ht="18.5">
      <c r="A31" s="129" t="s">
        <v>252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T31" s="19"/>
      <c r="U31" s="20"/>
      <c r="V31" s="20"/>
      <c r="W31" s="20"/>
      <c r="X31" s="68"/>
      <c r="Y31" s="68"/>
      <c r="Z31" s="68"/>
      <c r="AA31" s="68"/>
    </row>
    <row r="32" spans="1:27">
      <c r="A32" s="55" t="s">
        <v>260</v>
      </c>
      <c r="B32" s="72"/>
      <c r="C32" s="15"/>
      <c r="D32" s="25"/>
      <c r="E32" s="25"/>
      <c r="F32" s="25"/>
      <c r="G32" s="28"/>
      <c r="H32" s="27"/>
      <c r="I32" s="15"/>
      <c r="J32" s="25"/>
      <c r="K32" s="26"/>
      <c r="L32" s="25"/>
      <c r="M32" s="35"/>
      <c r="N32" s="28"/>
      <c r="O32" s="44"/>
      <c r="T32" s="19"/>
      <c r="U32" s="20"/>
      <c r="V32" s="20"/>
      <c r="W32" s="20"/>
      <c r="X32" s="68"/>
      <c r="Y32" s="68"/>
      <c r="Z32" s="68"/>
      <c r="AA32" s="68"/>
    </row>
    <row r="33" spans="1:27">
      <c r="A33" s="55" t="s">
        <v>261</v>
      </c>
      <c r="B33" s="72"/>
      <c r="C33" s="15"/>
      <c r="D33" s="25"/>
      <c r="E33" s="25"/>
      <c r="F33" s="25"/>
      <c r="G33" s="28"/>
      <c r="H33" s="27"/>
      <c r="I33" s="15"/>
      <c r="J33" s="25"/>
      <c r="K33" s="26"/>
      <c r="L33" s="26">
        <v>11.7</v>
      </c>
      <c r="M33" s="35" t="s">
        <v>91</v>
      </c>
      <c r="N33" s="25">
        <f>L33/1000</f>
        <v>1.1699999999999999E-2</v>
      </c>
      <c r="O33" s="44" t="s">
        <v>189</v>
      </c>
      <c r="P33" s="42" t="s">
        <v>95</v>
      </c>
      <c r="T33" s="19"/>
      <c r="U33" s="20"/>
      <c r="V33" s="20"/>
      <c r="W33" s="20"/>
      <c r="X33" s="68"/>
      <c r="Y33" s="68"/>
      <c r="Z33" s="68"/>
      <c r="AA33" s="68"/>
    </row>
    <row r="34" spans="1:27">
      <c r="A34" s="55" t="s">
        <v>380</v>
      </c>
      <c r="B34" s="72"/>
      <c r="C34" s="15"/>
      <c r="D34" s="25"/>
      <c r="E34" s="25"/>
      <c r="F34" s="25"/>
      <c r="G34" s="28"/>
      <c r="H34" s="27"/>
      <c r="I34" s="15"/>
      <c r="J34" s="26" t="s">
        <v>381</v>
      </c>
      <c r="L34" s="28">
        <v>112</v>
      </c>
      <c r="M34" s="35" t="s">
        <v>91</v>
      </c>
      <c r="N34" s="25">
        <f>L34/1000</f>
        <v>0.112</v>
      </c>
      <c r="O34" s="44" t="s">
        <v>189</v>
      </c>
      <c r="P34" s="42" t="s">
        <v>96</v>
      </c>
      <c r="T34" s="19"/>
      <c r="U34" s="20"/>
      <c r="V34" s="20"/>
      <c r="W34" s="20"/>
      <c r="X34" s="68"/>
      <c r="Y34" s="68"/>
      <c r="Z34" s="68"/>
      <c r="AA34" s="68"/>
    </row>
    <row r="35" spans="1:27">
      <c r="A35" s="55" t="s">
        <v>391</v>
      </c>
      <c r="B35" s="72"/>
      <c r="C35" s="15"/>
      <c r="D35" s="25"/>
      <c r="E35" s="25"/>
      <c r="F35" s="25"/>
      <c r="G35" s="28"/>
      <c r="H35" s="27"/>
      <c r="I35" s="15"/>
      <c r="J35" s="25"/>
      <c r="K35" s="26"/>
      <c r="L35" s="28"/>
      <c r="M35" s="35"/>
      <c r="N35" s="25"/>
      <c r="O35" s="44"/>
      <c r="T35" s="19"/>
      <c r="U35" s="20"/>
      <c r="V35" s="20"/>
      <c r="W35" s="20"/>
      <c r="X35" s="68"/>
      <c r="Y35" s="68"/>
      <c r="Z35" s="68"/>
      <c r="AA35" s="68"/>
    </row>
    <row r="36" spans="1:27">
      <c r="A36" s="55" t="s">
        <v>253</v>
      </c>
      <c r="B36" s="72"/>
      <c r="C36" s="15"/>
      <c r="D36" s="25"/>
      <c r="E36" s="25"/>
      <c r="F36" s="25"/>
      <c r="G36" s="28"/>
      <c r="H36" s="27"/>
      <c r="I36" s="15"/>
      <c r="J36" s="25"/>
      <c r="K36" s="26"/>
      <c r="L36" s="28">
        <v>112.32000000000001</v>
      </c>
      <c r="M36" s="35" t="s">
        <v>258</v>
      </c>
      <c r="N36" s="25"/>
      <c r="O36" s="44"/>
      <c r="T36" s="19"/>
      <c r="U36" s="20"/>
      <c r="V36" s="20"/>
      <c r="W36" s="20"/>
      <c r="X36" s="68"/>
      <c r="Y36" s="68"/>
      <c r="Z36" s="68"/>
      <c r="AA36" s="68"/>
    </row>
    <row r="37" spans="1:27">
      <c r="A37" s="55"/>
      <c r="B37" s="72"/>
      <c r="D37" s="25"/>
      <c r="E37" s="75"/>
      <c r="F37" s="25"/>
      <c r="G37" s="28"/>
      <c r="H37" s="27"/>
      <c r="I37" s="15"/>
      <c r="J37" s="25"/>
      <c r="K37" s="26"/>
      <c r="L37" s="42">
        <v>9.6000000000000014</v>
      </c>
      <c r="M37" s="35" t="s">
        <v>259</v>
      </c>
      <c r="N37" s="25"/>
      <c r="O37" s="44"/>
      <c r="T37" s="19"/>
      <c r="U37" s="20"/>
      <c r="V37" s="20"/>
      <c r="W37" s="20"/>
      <c r="X37" s="68"/>
      <c r="Y37" s="68"/>
      <c r="Z37" s="68"/>
      <c r="AA37" s="68"/>
    </row>
    <row r="38" spans="1:27">
      <c r="A38" s="55"/>
      <c r="B38" s="72"/>
      <c r="C38" s="136" t="s">
        <v>87</v>
      </c>
      <c r="D38" s="136"/>
      <c r="E38" s="136"/>
      <c r="F38" s="25" t="s">
        <v>379</v>
      </c>
      <c r="G38" s="27"/>
      <c r="I38" s="15"/>
      <c r="J38" s="25"/>
      <c r="M38" s="35"/>
      <c r="N38" s="25"/>
      <c r="O38" s="44"/>
      <c r="T38" s="19"/>
      <c r="U38" s="20"/>
      <c r="V38" s="20"/>
      <c r="W38" s="20"/>
      <c r="X38" s="68"/>
      <c r="Y38" s="68"/>
      <c r="Z38" s="68"/>
      <c r="AA38" s="68"/>
    </row>
    <row r="39" spans="1:27">
      <c r="A39" s="55"/>
      <c r="B39" s="72"/>
      <c r="C39" s="113" t="s">
        <v>89</v>
      </c>
      <c r="D39" s="69" t="s">
        <v>111</v>
      </c>
      <c r="E39" s="57" t="s">
        <v>194</v>
      </c>
      <c r="F39" s="71" t="s">
        <v>257</v>
      </c>
      <c r="G39" s="135" t="s">
        <v>202</v>
      </c>
      <c r="H39" s="135"/>
      <c r="M39" s="35"/>
      <c r="N39" s="25"/>
      <c r="O39" s="44"/>
      <c r="T39" s="19"/>
      <c r="U39" s="20"/>
      <c r="V39" s="20"/>
      <c r="W39" s="20"/>
      <c r="X39" s="68"/>
      <c r="Y39" s="68"/>
      <c r="Z39" s="68"/>
      <c r="AA39" s="68"/>
    </row>
    <row r="40" spans="1:27" ht="18.5">
      <c r="A40" s="27" t="s">
        <v>192</v>
      </c>
      <c r="C40" s="113" t="s">
        <v>388</v>
      </c>
      <c r="D40" s="69" t="s">
        <v>76</v>
      </c>
      <c r="E40" s="71" t="s">
        <v>189</v>
      </c>
      <c r="F40" s="71" t="s">
        <v>25</v>
      </c>
      <c r="G40" s="71" t="s">
        <v>131</v>
      </c>
      <c r="H40" s="58" t="s">
        <v>251</v>
      </c>
      <c r="M40" s="32"/>
      <c r="N40" s="58"/>
      <c r="T40" s="19"/>
      <c r="U40" s="20"/>
      <c r="V40" s="20"/>
      <c r="W40" s="20"/>
      <c r="X40" s="68"/>
      <c r="Y40" s="68"/>
      <c r="Z40" s="68"/>
      <c r="AA40" s="68"/>
    </row>
    <row r="41" spans="1:27">
      <c r="A41" s="27" t="s">
        <v>22</v>
      </c>
      <c r="B41" s="36" t="s">
        <v>193</v>
      </c>
      <c r="C41" s="27">
        <v>11.7</v>
      </c>
      <c r="D41" s="27">
        <v>8</v>
      </c>
      <c r="E41" s="25">
        <f>C41/1000</f>
        <v>1.1699999999999999E-2</v>
      </c>
      <c r="F41" s="78">
        <v>2.2625000000000002E-3</v>
      </c>
      <c r="G41" s="76">
        <f>F41^0.5</f>
        <v>4.7565743976101124E-2</v>
      </c>
      <c r="H41" s="35">
        <f>100*((E41/D41)^0.5)</f>
        <v>3.8242646351945888</v>
      </c>
      <c r="Y41" s="68"/>
      <c r="Z41" s="68"/>
    </row>
    <row r="42" spans="1:27">
      <c r="A42" s="27" t="s">
        <v>191</v>
      </c>
      <c r="B42" s="36" t="s">
        <v>96</v>
      </c>
      <c r="C42" s="27">
        <v>112</v>
      </c>
      <c r="D42" s="27">
        <v>8</v>
      </c>
      <c r="E42" s="25">
        <f>C42/1000</f>
        <v>0.112</v>
      </c>
      <c r="F42" s="25">
        <v>1.284625E-2</v>
      </c>
      <c r="G42" s="76">
        <f>F42^0.5</f>
        <v>0.11334129873969152</v>
      </c>
      <c r="H42" s="35">
        <f>100*((E42/D42)^0.5)</f>
        <v>11.832159566199232</v>
      </c>
      <c r="Y42" s="68"/>
      <c r="Z42" s="68"/>
    </row>
    <row r="43" spans="1:27">
      <c r="A43" s="27"/>
      <c r="B43" s="116" t="s">
        <v>121</v>
      </c>
      <c r="D43" s="27">
        <v>8</v>
      </c>
      <c r="E43" s="25">
        <f>0.5*E41</f>
        <v>5.8499999999999993E-3</v>
      </c>
      <c r="F43" s="78">
        <f>E43/D43</f>
        <v>7.3124999999999991E-4</v>
      </c>
      <c r="G43" s="76">
        <f>F43^0.5</f>
        <v>2.7041634565979918E-2</v>
      </c>
      <c r="H43" s="35">
        <f>100*((E43/D43)^0.5)</f>
        <v>2.7041634565979917</v>
      </c>
      <c r="Y43" s="68"/>
      <c r="Z43" s="68"/>
    </row>
    <row r="44" spans="1:27">
      <c r="A44" s="27"/>
      <c r="B44" s="123" t="s">
        <v>115</v>
      </c>
      <c r="D44" s="27">
        <v>8</v>
      </c>
      <c r="E44" s="25">
        <f>F53</f>
        <v>2204.0859375</v>
      </c>
      <c r="F44" s="25">
        <v>276.64453125</v>
      </c>
      <c r="G44" s="76">
        <f>F44^0.5</f>
        <v>16.632634525233819</v>
      </c>
      <c r="H44" s="28">
        <f>100*((E44/D44)^0.5)</f>
        <v>1659.8516264639438</v>
      </c>
      <c r="M44" s="28"/>
      <c r="N44" s="28"/>
      <c r="R44" s="14"/>
      <c r="T44" s="19"/>
      <c r="U44" s="20"/>
      <c r="W44" s="20"/>
      <c r="X44" s="68"/>
      <c r="Y44" s="68"/>
      <c r="Z44" s="68"/>
    </row>
    <row r="45" spans="1:27">
      <c r="A45" s="27"/>
      <c r="B45" s="36" t="s">
        <v>389</v>
      </c>
      <c r="C45" s="27"/>
      <c r="D45" s="25"/>
      <c r="E45" s="76"/>
      <c r="F45" s="26"/>
      <c r="G45" s="28"/>
      <c r="K45" s="25"/>
      <c r="L45" s="15"/>
      <c r="M45" s="28"/>
      <c r="N45" s="28"/>
      <c r="R45" s="14"/>
      <c r="T45" s="19"/>
      <c r="U45" s="20"/>
      <c r="W45" s="20"/>
      <c r="X45" s="68"/>
      <c r="Y45" s="68"/>
      <c r="Z45" s="68"/>
    </row>
    <row r="46" spans="1:27">
      <c r="A46" s="27"/>
      <c r="B46" s="36" t="s">
        <v>390</v>
      </c>
      <c r="C46" s="27"/>
      <c r="D46" s="25"/>
      <c r="E46" s="76"/>
      <c r="F46" s="26"/>
      <c r="G46" s="28"/>
      <c r="K46" s="25"/>
      <c r="L46" s="15"/>
      <c r="M46" s="28"/>
      <c r="N46" s="28"/>
      <c r="R46" s="14"/>
      <c r="T46" s="19"/>
      <c r="U46" s="20"/>
      <c r="W46" s="20"/>
      <c r="X46" s="68"/>
      <c r="Y46" s="68"/>
      <c r="Z46" s="68"/>
    </row>
    <row r="47" spans="1:27">
      <c r="A47" s="16" t="s">
        <v>195</v>
      </c>
      <c r="R47" s="14"/>
      <c r="T47" s="19"/>
      <c r="U47" s="20"/>
      <c r="W47" s="20"/>
      <c r="X47" s="68"/>
      <c r="Y47" s="68"/>
      <c r="Z47" s="68"/>
    </row>
    <row r="48" spans="1:27">
      <c r="A48" s="16" t="s">
        <v>254</v>
      </c>
      <c r="Q48" s="14"/>
      <c r="R48" s="14"/>
      <c r="T48" s="19"/>
      <c r="U48" s="20"/>
      <c r="V48" s="20"/>
      <c r="W48" s="20"/>
      <c r="X48" s="68"/>
      <c r="Y48" s="68"/>
      <c r="Z48" s="68"/>
    </row>
    <row r="49" spans="1:35">
      <c r="C49" s="16" t="s">
        <v>94</v>
      </c>
      <c r="Q49" s="14"/>
      <c r="R49" s="14"/>
      <c r="T49" s="19"/>
      <c r="V49" s="20"/>
      <c r="W49" s="20"/>
      <c r="X49" s="68"/>
      <c r="Y49" s="68"/>
      <c r="Z49" s="68"/>
    </row>
    <row r="50" spans="1:35">
      <c r="Q50" s="14"/>
      <c r="R50" s="14"/>
      <c r="T50" s="19"/>
      <c r="V50" s="20"/>
      <c r="W50" s="20"/>
      <c r="X50" s="68"/>
      <c r="Y50" s="68"/>
      <c r="Z50" s="68"/>
      <c r="AA50" s="68"/>
    </row>
    <row r="51" spans="1:35">
      <c r="B51" s="16" t="s">
        <v>196</v>
      </c>
      <c r="C51" s="16">
        <v>256</v>
      </c>
      <c r="D51" s="14">
        <f>10500/256/28</f>
        <v>1.46484375</v>
      </c>
      <c r="H51" s="26"/>
      <c r="I51" s="28"/>
      <c r="U51" s="68"/>
      <c r="V51" s="68"/>
      <c r="W51" s="68"/>
      <c r="AH51" s="59"/>
      <c r="AI51" s="59"/>
    </row>
    <row r="52" spans="1:35">
      <c r="B52" s="21">
        <f>D51*129</f>
        <v>188.96484375</v>
      </c>
      <c r="C52" s="16" t="s">
        <v>197</v>
      </c>
      <c r="D52" s="21">
        <f>1000*B52</f>
        <v>188964.84375</v>
      </c>
      <c r="E52" s="16" t="s">
        <v>198</v>
      </c>
      <c r="F52" s="28">
        <f>D52*M26</f>
        <v>2204085.9375</v>
      </c>
      <c r="G52" s="16" t="s">
        <v>199</v>
      </c>
      <c r="H52" s="19"/>
      <c r="P52" s="68"/>
      <c r="Q52" s="68"/>
      <c r="R52" s="68"/>
      <c r="W52" s="68"/>
    </row>
    <row r="53" spans="1:35">
      <c r="F53" s="74">
        <f>F52/1000</f>
        <v>2204.0859375</v>
      </c>
      <c r="G53" s="16" t="s">
        <v>255</v>
      </c>
      <c r="H53" s="19"/>
      <c r="J53" s="68"/>
      <c r="K53" s="68"/>
      <c r="L53" s="68"/>
      <c r="N53" s="73"/>
      <c r="O53" s="68"/>
      <c r="P53" s="68"/>
      <c r="Q53" s="68"/>
      <c r="R53" s="68"/>
      <c r="W53" s="18"/>
    </row>
    <row r="54" spans="1:35">
      <c r="A54" s="20"/>
      <c r="B54" s="15"/>
      <c r="D54" s="17"/>
      <c r="E54" s="19"/>
      <c r="F54" s="17"/>
      <c r="G54" s="17"/>
      <c r="H54" s="19"/>
      <c r="N54" s="19"/>
      <c r="O54" s="14"/>
      <c r="P54" s="19"/>
      <c r="Q54" s="19"/>
      <c r="R54" s="19"/>
      <c r="W54" s="18"/>
      <c r="Y54" s="17"/>
    </row>
    <row r="55" spans="1:35">
      <c r="A55" s="20"/>
      <c r="B55" s="15"/>
      <c r="D55" s="17"/>
      <c r="E55" s="19"/>
      <c r="F55" s="19"/>
      <c r="H55" s="19"/>
      <c r="N55" s="19"/>
      <c r="O55" s="14"/>
      <c r="P55" s="19"/>
      <c r="Q55" s="19"/>
      <c r="R55" s="19"/>
      <c r="W55" s="14"/>
    </row>
    <row r="56" spans="1:35">
      <c r="A56" s="20"/>
      <c r="B56" s="15"/>
      <c r="D56" s="17"/>
      <c r="E56" s="19"/>
      <c r="F56" s="19"/>
      <c r="H56" s="19"/>
      <c r="L56" s="19"/>
      <c r="N56" s="19"/>
      <c r="O56" s="14"/>
      <c r="P56" s="19"/>
      <c r="Q56" s="19"/>
      <c r="R56" s="19"/>
      <c r="W56" s="18"/>
    </row>
    <row r="57" spans="1:35">
      <c r="A57" s="20"/>
      <c r="B57" s="15"/>
      <c r="D57" s="17"/>
      <c r="E57" s="19"/>
      <c r="F57" s="19"/>
      <c r="H57" s="19"/>
      <c r="I57" s="19"/>
      <c r="J57" s="19"/>
      <c r="K57" s="21"/>
      <c r="L57" s="21"/>
      <c r="N57" s="19"/>
      <c r="O57" s="14"/>
      <c r="P57" s="19"/>
      <c r="Q57" s="19"/>
      <c r="R57" s="19"/>
    </row>
    <row r="58" spans="1:35">
      <c r="A58" s="20"/>
      <c r="B58" s="15"/>
      <c r="D58" s="17"/>
      <c r="E58" s="19"/>
      <c r="F58" s="19"/>
      <c r="H58" s="19"/>
      <c r="I58" s="19"/>
      <c r="J58" s="19"/>
      <c r="N58" s="19"/>
      <c r="O58" s="14"/>
      <c r="P58" s="19"/>
      <c r="Q58" s="19"/>
      <c r="R58" s="19"/>
      <c r="W58" s="14"/>
    </row>
    <row r="59" spans="1:35">
      <c r="N59" s="19"/>
      <c r="O59" s="14"/>
      <c r="P59" s="19"/>
      <c r="Q59" s="19"/>
      <c r="R59" s="19"/>
    </row>
    <row r="60" spans="1:35">
      <c r="G60" s="14"/>
      <c r="L60" s="20"/>
      <c r="M60" s="21"/>
      <c r="W60" s="14"/>
    </row>
    <row r="61" spans="1:35">
      <c r="B61" s="29"/>
      <c r="G61" s="14"/>
      <c r="L61" s="20"/>
      <c r="M61" s="19"/>
      <c r="W61" s="14"/>
    </row>
    <row r="62" spans="1:35">
      <c r="L62" s="20"/>
      <c r="W62" s="14"/>
    </row>
    <row r="63" spans="1:35">
      <c r="W63" s="14"/>
    </row>
    <row r="64" spans="1:35">
      <c r="L64" s="20"/>
      <c r="M64" s="19"/>
      <c r="W64" s="14"/>
    </row>
    <row r="65" spans="3:28">
      <c r="W65" s="14"/>
    </row>
    <row r="66" spans="3:28">
      <c r="W66" s="17"/>
    </row>
    <row r="67" spans="3:28">
      <c r="W67" s="17"/>
    </row>
    <row r="68" spans="3:28">
      <c r="C68" s="20"/>
      <c r="Y68" s="17"/>
      <c r="Z68" s="68"/>
      <c r="AA68" s="68"/>
    </row>
    <row r="69" spans="3:28">
      <c r="C69" s="20"/>
      <c r="D69" s="14"/>
      <c r="E69" s="14"/>
      <c r="K69" s="18"/>
      <c r="W69" s="17"/>
      <c r="Y69" s="17"/>
      <c r="Z69" s="68"/>
      <c r="AA69" s="68"/>
      <c r="AB69" s="19"/>
    </row>
    <row r="70" spans="3:28" ht="18.5">
      <c r="C70" s="20"/>
      <c r="K70" s="52"/>
      <c r="L70" s="53"/>
      <c r="M70" s="53"/>
      <c r="W70" s="14"/>
    </row>
    <row r="71" spans="3:28" ht="18.5">
      <c r="D71" s="14"/>
      <c r="E71" s="14"/>
      <c r="K71" s="54"/>
      <c r="L71" s="53"/>
      <c r="P71" s="20"/>
      <c r="S71" s="14"/>
      <c r="W71" s="18"/>
    </row>
    <row r="72" spans="3:28">
      <c r="C72" s="20"/>
      <c r="P72" s="20"/>
      <c r="S72" s="14"/>
      <c r="W72" s="18"/>
    </row>
    <row r="73" spans="3:28">
      <c r="C73" s="20"/>
      <c r="D73" s="14"/>
      <c r="E73" s="14"/>
    </row>
    <row r="74" spans="3:28">
      <c r="C74" s="20"/>
      <c r="D74" s="14"/>
      <c r="E74" s="14"/>
      <c r="W74" s="21"/>
    </row>
    <row r="75" spans="3:28">
      <c r="D75" s="14"/>
      <c r="E75" s="14"/>
    </row>
    <row r="76" spans="3:28">
      <c r="W76" s="22"/>
    </row>
  </sheetData>
  <mergeCells count="13">
    <mergeCell ref="G39:H39"/>
    <mergeCell ref="A31:O31"/>
    <mergeCell ref="C38:E38"/>
    <mergeCell ref="U9:V9"/>
    <mergeCell ref="G2:I2"/>
    <mergeCell ref="N2:P2"/>
    <mergeCell ref="A12:B12"/>
    <mergeCell ref="F12:G12"/>
    <mergeCell ref="H12:I12"/>
    <mergeCell ref="L12:M12"/>
    <mergeCell ref="R13:S13"/>
    <mergeCell ref="T13:U13"/>
    <mergeCell ref="V13:W13"/>
  </mergeCells>
  <phoneticPr fontId="7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opLeftCell="A13" workbookViewId="0">
      <selection activeCell="F18" sqref="F18"/>
    </sheetView>
  </sheetViews>
  <sheetFormatPr defaultRowHeight="14.75"/>
  <cols>
    <col min="4" max="4" width="10.26953125" customWidth="1"/>
    <col min="9" max="9" width="11" customWidth="1"/>
    <col min="10" max="10" width="10.40625" customWidth="1"/>
    <col min="11" max="11" width="10.54296875" customWidth="1"/>
    <col min="13" max="13" width="10.54296875" bestFit="1" customWidth="1"/>
    <col min="14" max="14" width="10.54296875" customWidth="1"/>
    <col min="16" max="16" width="29.54296875" style="8" customWidth="1"/>
    <col min="17" max="17" width="11.54296875" customWidth="1"/>
    <col min="18" max="18" width="12.1328125" customWidth="1"/>
    <col min="20" max="20" width="10.40625" customWidth="1"/>
    <col min="22" max="22" width="11" customWidth="1"/>
  </cols>
  <sheetData>
    <row r="1" spans="2:24">
      <c r="D1" s="8"/>
      <c r="E1" s="133" t="s">
        <v>8</v>
      </c>
      <c r="F1" s="133"/>
      <c r="G1" s="133"/>
      <c r="H1" s="133"/>
      <c r="I1" s="133" t="s">
        <v>15</v>
      </c>
      <c r="J1" s="133"/>
      <c r="K1" s="133"/>
      <c r="T1" t="s">
        <v>7</v>
      </c>
      <c r="U1" t="s">
        <v>13</v>
      </c>
      <c r="X1" s="1"/>
    </row>
    <row r="2" spans="2:24">
      <c r="C2" t="s">
        <v>26</v>
      </c>
      <c r="D2" s="8" t="s">
        <v>27</v>
      </c>
      <c r="I2" t="s">
        <v>16</v>
      </c>
      <c r="J2" t="s">
        <v>17</v>
      </c>
      <c r="K2" s="1" t="s">
        <v>18</v>
      </c>
      <c r="R2" t="s">
        <v>98</v>
      </c>
      <c r="S2">
        <v>100</v>
      </c>
      <c r="T2" t="s">
        <v>10</v>
      </c>
      <c r="U2">
        <v>1</v>
      </c>
      <c r="V2" t="s">
        <v>13</v>
      </c>
    </row>
    <row r="3" spans="2:24">
      <c r="B3" s="8" t="s">
        <v>14</v>
      </c>
      <c r="C3" s="8" t="s">
        <v>9</v>
      </c>
      <c r="D3" s="8"/>
      <c r="E3" s="1" t="s">
        <v>1</v>
      </c>
      <c r="F3" s="1" t="s">
        <v>10</v>
      </c>
      <c r="G3" s="1" t="s">
        <v>11</v>
      </c>
      <c r="H3" s="1"/>
      <c r="I3" t="s">
        <v>5</v>
      </c>
      <c r="J3" t="s">
        <v>19</v>
      </c>
      <c r="K3" s="3">
        <f>1/K4</f>
        <v>0.73529411764705876</v>
      </c>
      <c r="R3" t="s">
        <v>99</v>
      </c>
      <c r="S3">
        <v>980</v>
      </c>
      <c r="T3" t="s">
        <v>100</v>
      </c>
      <c r="U3">
        <v>9.8000000000000007</v>
      </c>
      <c r="V3" t="s">
        <v>102</v>
      </c>
    </row>
    <row r="4" spans="2:24">
      <c r="C4" s="8" t="s">
        <v>12</v>
      </c>
      <c r="D4" s="8"/>
      <c r="E4" s="1" t="s">
        <v>0</v>
      </c>
      <c r="F4" s="1" t="s">
        <v>13</v>
      </c>
      <c r="G4" s="1" t="s">
        <v>11</v>
      </c>
      <c r="H4" s="1"/>
      <c r="I4" t="s">
        <v>19</v>
      </c>
      <c r="J4" t="s">
        <v>5</v>
      </c>
      <c r="K4" s="3">
        <v>1.36</v>
      </c>
      <c r="R4" t="s">
        <v>77</v>
      </c>
      <c r="S4">
        <v>1000</v>
      </c>
      <c r="T4" t="s">
        <v>70</v>
      </c>
      <c r="U4">
        <v>1</v>
      </c>
      <c r="V4" t="s">
        <v>75</v>
      </c>
    </row>
    <row r="5" spans="2:24">
      <c r="D5" s="8"/>
      <c r="I5" t="s">
        <v>19</v>
      </c>
      <c r="J5" t="s">
        <v>20</v>
      </c>
      <c r="K5" s="4">
        <f>1/K10</f>
        <v>133.31555792560991</v>
      </c>
      <c r="R5" t="s">
        <v>101</v>
      </c>
      <c r="S5">
        <f>S2*S3*S4</f>
        <v>98000000</v>
      </c>
      <c r="T5" t="s">
        <v>4</v>
      </c>
      <c r="U5">
        <f>U2*U3*U4</f>
        <v>9.8000000000000007</v>
      </c>
      <c r="V5" t="s">
        <v>92</v>
      </c>
      <c r="W5" s="7">
        <f>S5/U5</f>
        <v>10000000</v>
      </c>
    </row>
    <row r="6" spans="2:24">
      <c r="D6" s="8"/>
      <c r="I6" t="s">
        <v>21</v>
      </c>
      <c r="J6" t="s">
        <v>20</v>
      </c>
      <c r="K6" s="3">
        <f>K3*K5</f>
        <v>98.026145533536692</v>
      </c>
    </row>
    <row r="7" spans="2:24">
      <c r="D7" s="8"/>
      <c r="I7" t="s">
        <v>20</v>
      </c>
      <c r="J7" t="s">
        <v>32</v>
      </c>
      <c r="K7" s="4">
        <v>1</v>
      </c>
    </row>
    <row r="8" spans="2:24">
      <c r="B8" t="s">
        <v>22</v>
      </c>
      <c r="C8" s="8" t="s">
        <v>23</v>
      </c>
      <c r="D8" s="8" t="s">
        <v>29</v>
      </c>
      <c r="E8" s="1" t="s">
        <v>1</v>
      </c>
      <c r="F8" s="1" t="s">
        <v>30</v>
      </c>
      <c r="G8" s="1" t="s">
        <v>11</v>
      </c>
      <c r="H8" s="1"/>
      <c r="I8" t="s">
        <v>20</v>
      </c>
      <c r="J8" t="s">
        <v>33</v>
      </c>
      <c r="K8" s="7">
        <v>1E-4</v>
      </c>
      <c r="Q8" t="s">
        <v>103</v>
      </c>
      <c r="R8" t="s">
        <v>98</v>
      </c>
      <c r="S8">
        <f>120*1.36/100</f>
        <v>1.6320000000000001</v>
      </c>
      <c r="T8" t="s">
        <v>13</v>
      </c>
    </row>
    <row r="9" spans="2:24">
      <c r="C9" s="8" t="s">
        <v>24</v>
      </c>
      <c r="D9" s="8" t="s">
        <v>28</v>
      </c>
      <c r="E9" s="1" t="s">
        <v>0</v>
      </c>
      <c r="F9" s="1" t="s">
        <v>25</v>
      </c>
      <c r="G9" s="1" t="s">
        <v>11</v>
      </c>
      <c r="H9" s="1"/>
      <c r="I9" t="s">
        <v>20</v>
      </c>
      <c r="J9" t="s">
        <v>34</v>
      </c>
      <c r="K9" s="7">
        <v>1.45E-4</v>
      </c>
      <c r="R9" t="s">
        <v>99</v>
      </c>
      <c r="S9">
        <v>9.8000000000000007</v>
      </c>
      <c r="T9" t="s">
        <v>102</v>
      </c>
      <c r="X9" s="7"/>
    </row>
    <row r="10" spans="2:24">
      <c r="D10" s="8"/>
      <c r="E10" s="1"/>
      <c r="F10" s="1"/>
      <c r="G10" s="1"/>
      <c r="I10" t="s">
        <v>20</v>
      </c>
      <c r="J10" t="s">
        <v>19</v>
      </c>
      <c r="K10" s="7">
        <v>7.5009999999999999E-3</v>
      </c>
      <c r="R10" t="s">
        <v>77</v>
      </c>
      <c r="S10">
        <f>5/60</f>
        <v>8.3333333333333329E-2</v>
      </c>
      <c r="T10" t="s">
        <v>75</v>
      </c>
    </row>
    <row r="11" spans="2:24">
      <c r="B11" t="s">
        <v>31</v>
      </c>
      <c r="C11" s="8" t="s">
        <v>20</v>
      </c>
      <c r="D11" s="8"/>
      <c r="E11" s="1" t="s">
        <v>37</v>
      </c>
      <c r="F11" s="1" t="s">
        <v>38</v>
      </c>
      <c r="G11" s="1"/>
      <c r="I11" t="s">
        <v>20</v>
      </c>
      <c r="J11" t="s">
        <v>5</v>
      </c>
      <c r="K11" s="7">
        <v>1.0200000000000001E-2</v>
      </c>
      <c r="R11" t="s">
        <v>101</v>
      </c>
      <c r="S11" s="4">
        <f>S8*S9*S10</f>
        <v>1.3328000000000002</v>
      </c>
      <c r="T11" t="s">
        <v>92</v>
      </c>
    </row>
    <row r="12" spans="2:24">
      <c r="C12" s="8" t="s">
        <v>20</v>
      </c>
      <c r="D12" s="8"/>
      <c r="E12" s="1" t="s">
        <v>39</v>
      </c>
      <c r="F12" s="1" t="s">
        <v>40</v>
      </c>
      <c r="G12" s="1"/>
      <c r="I12" t="s">
        <v>20</v>
      </c>
      <c r="J12" t="s">
        <v>35</v>
      </c>
      <c r="K12" s="4">
        <v>1</v>
      </c>
    </row>
    <row r="13" spans="2:24">
      <c r="C13" s="8" t="s">
        <v>20</v>
      </c>
      <c r="D13" s="8"/>
      <c r="E13" s="1" t="s">
        <v>41</v>
      </c>
      <c r="F13" s="1" t="s">
        <v>13</v>
      </c>
      <c r="G13" s="1" t="s">
        <v>11</v>
      </c>
      <c r="H13" s="1" t="s">
        <v>40</v>
      </c>
      <c r="I13" t="s">
        <v>36</v>
      </c>
      <c r="J13" t="s">
        <v>37</v>
      </c>
      <c r="K13" s="3">
        <v>4.1859999999999999</v>
      </c>
    </row>
    <row r="14" spans="2:24">
      <c r="D14" s="8"/>
      <c r="I14" t="s">
        <v>37</v>
      </c>
      <c r="J14" t="s">
        <v>36</v>
      </c>
      <c r="K14" s="3">
        <f>1/K13</f>
        <v>0.23889154323936934</v>
      </c>
    </row>
    <row r="15" spans="2:24">
      <c r="D15" s="8"/>
      <c r="I15" t="s">
        <v>19</v>
      </c>
      <c r="J15" t="s">
        <v>46</v>
      </c>
      <c r="K15">
        <v>1333</v>
      </c>
    </row>
    <row r="16" spans="2:24">
      <c r="I16" t="s">
        <v>21</v>
      </c>
      <c r="J16" t="s">
        <v>46</v>
      </c>
      <c r="K16" s="6">
        <f>K15/K4</f>
        <v>980.14705882352939</v>
      </c>
    </row>
    <row r="17" spans="1:22">
      <c r="I17" t="s">
        <v>21</v>
      </c>
      <c r="J17" t="s">
        <v>32</v>
      </c>
      <c r="K17">
        <v>98.066500000000005</v>
      </c>
    </row>
    <row r="18" spans="1:22">
      <c r="C18" t="s">
        <v>42</v>
      </c>
    </row>
    <row r="19" spans="1:22">
      <c r="L19" s="10"/>
      <c r="M19" s="10"/>
      <c r="N19" s="10"/>
    </row>
    <row r="20" spans="1:22">
      <c r="D20" s="133" t="s">
        <v>43</v>
      </c>
      <c r="E20" s="133"/>
      <c r="F20" s="133"/>
      <c r="G20" s="133"/>
      <c r="H20" s="133" t="s">
        <v>45</v>
      </c>
      <c r="I20" s="133"/>
      <c r="J20" s="133"/>
      <c r="K20" s="133"/>
      <c r="L20" s="133" t="s">
        <v>52</v>
      </c>
      <c r="M20" s="133"/>
      <c r="N20" s="133"/>
      <c r="O20" s="133"/>
      <c r="P20" s="9" t="s">
        <v>53</v>
      </c>
      <c r="Q20" s="133" t="s">
        <v>58</v>
      </c>
      <c r="R20" s="133"/>
    </row>
    <row r="21" spans="1:22">
      <c r="D21" t="s">
        <v>47</v>
      </c>
      <c r="E21" t="s">
        <v>48</v>
      </c>
      <c r="F21" t="s">
        <v>44</v>
      </c>
      <c r="G21" t="s">
        <v>49</v>
      </c>
      <c r="H21" s="9" t="s">
        <v>19</v>
      </c>
      <c r="I21" s="9" t="s">
        <v>21</v>
      </c>
      <c r="J21" s="9" t="s">
        <v>50</v>
      </c>
      <c r="K21" s="9" t="s">
        <v>46</v>
      </c>
      <c r="L21" s="9" t="s">
        <v>6</v>
      </c>
      <c r="M21" s="9" t="s">
        <v>51</v>
      </c>
      <c r="N21" s="9" t="s">
        <v>57</v>
      </c>
      <c r="O21" s="9" t="s">
        <v>4</v>
      </c>
      <c r="Q21" s="9" t="s">
        <v>59</v>
      </c>
      <c r="R21" s="9" t="s">
        <v>7</v>
      </c>
    </row>
    <row r="22" spans="1:22">
      <c r="D22">
        <v>5000</v>
      </c>
      <c r="E22">
        <f>D22/60</f>
        <v>83.333333333333329</v>
      </c>
      <c r="H22">
        <v>120</v>
      </c>
      <c r="K22" s="7">
        <f>H22*K15</f>
        <v>159960</v>
      </c>
      <c r="L22" s="7">
        <f>E22*K22</f>
        <v>13330000</v>
      </c>
      <c r="M22" s="4">
        <f>L22/10000000</f>
        <v>1.333</v>
      </c>
      <c r="N22" s="7"/>
      <c r="P22" s="8" t="s">
        <v>54</v>
      </c>
    </row>
    <row r="23" spans="1:22">
      <c r="D23">
        <f>D22</f>
        <v>5000</v>
      </c>
      <c r="E23">
        <f>D23/60</f>
        <v>83.333333333333329</v>
      </c>
      <c r="I23">
        <f>H22*K4</f>
        <v>163.20000000000002</v>
      </c>
      <c r="K23" s="7">
        <f>I23*K16</f>
        <v>159960</v>
      </c>
      <c r="L23" s="7">
        <f>E23*K23</f>
        <v>13330000</v>
      </c>
      <c r="M23" s="4">
        <f>L23/10000000</f>
        <v>1.333</v>
      </c>
      <c r="N23" s="7"/>
      <c r="O23" s="7"/>
      <c r="P23" s="8" t="s">
        <v>54</v>
      </c>
    </row>
    <row r="24" spans="1:22">
      <c r="M24" s="7"/>
      <c r="N24" s="7"/>
      <c r="O24" s="7"/>
    </row>
    <row r="25" spans="1:22">
      <c r="B25" s="133" t="s">
        <v>55</v>
      </c>
      <c r="C25" s="133"/>
      <c r="D25" s="133" t="s">
        <v>69</v>
      </c>
      <c r="E25" s="133"/>
      <c r="I25" s="9" t="s">
        <v>71</v>
      </c>
      <c r="L25" s="133" t="s">
        <v>52</v>
      </c>
      <c r="M25" s="133"/>
      <c r="N25" s="133"/>
      <c r="O25" s="133"/>
    </row>
    <row r="26" spans="1:22">
      <c r="B26" s="9" t="s">
        <v>56</v>
      </c>
      <c r="C26" s="9" t="s">
        <v>10</v>
      </c>
      <c r="D26" s="9" t="s">
        <v>2</v>
      </c>
      <c r="E26" s="9" t="s">
        <v>70</v>
      </c>
      <c r="I26" t="s">
        <v>46</v>
      </c>
      <c r="L26" s="9" t="s">
        <v>6</v>
      </c>
      <c r="M26" s="9" t="s">
        <v>51</v>
      </c>
      <c r="N26" s="9" t="s">
        <v>57</v>
      </c>
      <c r="O26" s="9" t="s">
        <v>4</v>
      </c>
    </row>
    <row r="27" spans="1:22">
      <c r="B27">
        <v>12</v>
      </c>
      <c r="C27">
        <f>B27*2.54</f>
        <v>30.48</v>
      </c>
      <c r="D27">
        <v>25</v>
      </c>
      <c r="E27" s="3">
        <f>D27/60</f>
        <v>0.41666666666666669</v>
      </c>
      <c r="I27" s="6">
        <f>C27*K$16</f>
        <v>29874.882352941175</v>
      </c>
      <c r="L27" s="4">
        <f>E27*I27</f>
        <v>12447.867647058823</v>
      </c>
      <c r="M27" s="7">
        <f>O27/10000/1000</f>
        <v>1.2198910294117644</v>
      </c>
      <c r="N27" s="6">
        <f>M27*1000000</f>
        <v>1219891.0294117643</v>
      </c>
      <c r="O27" s="7">
        <f>L27*980</f>
        <v>12198910.294117646</v>
      </c>
      <c r="Q27" s="3" t="s">
        <v>74</v>
      </c>
    </row>
    <row r="28" spans="1:22">
      <c r="B28">
        <v>16</v>
      </c>
      <c r="C28">
        <f>B28*2.54</f>
        <v>40.64</v>
      </c>
      <c r="D28">
        <v>25</v>
      </c>
      <c r="E28" s="3">
        <f>D28/60</f>
        <v>0.41666666666666669</v>
      </c>
      <c r="I28" s="6">
        <f t="shared" ref="I28:I29" si="0">C28*K$16</f>
        <v>39833.176470588238</v>
      </c>
      <c r="L28" s="4">
        <f>E28*I28</f>
        <v>16597.156862745102</v>
      </c>
      <c r="M28" s="7">
        <f>O28/10000/1000</f>
        <v>1.62652137254902</v>
      </c>
      <c r="N28" s="6">
        <f>M28*1000000</f>
        <v>1626521.37254902</v>
      </c>
      <c r="O28" s="7">
        <f>L28*980</f>
        <v>16265213.725490199</v>
      </c>
    </row>
    <row r="29" spans="1:22">
      <c r="B29">
        <v>18</v>
      </c>
      <c r="C29">
        <f>B29*2.54</f>
        <v>45.72</v>
      </c>
      <c r="D29">
        <v>25</v>
      </c>
      <c r="E29" s="3">
        <f>D29/60</f>
        <v>0.41666666666666669</v>
      </c>
      <c r="I29" s="6">
        <f t="shared" si="0"/>
        <v>44812.323529411762</v>
      </c>
      <c r="L29" s="4">
        <f>E29*I29</f>
        <v>18671.801470588234</v>
      </c>
      <c r="M29" s="7">
        <f>O29/10000/1000</f>
        <v>1.829836544117647</v>
      </c>
      <c r="N29" s="6">
        <f>M29*1000000</f>
        <v>1829836.544117647</v>
      </c>
      <c r="O29" s="7">
        <f>L29*980</f>
        <v>18298365.44117647</v>
      </c>
    </row>
    <row r="30" spans="1:22">
      <c r="V30" s="11" t="s">
        <v>73</v>
      </c>
    </row>
    <row r="31" spans="1:22">
      <c r="A31" t="s">
        <v>62</v>
      </c>
      <c r="B31" s="11" t="s">
        <v>72</v>
      </c>
      <c r="C31" s="11" t="s">
        <v>68</v>
      </c>
      <c r="L31" s="133" t="s">
        <v>65</v>
      </c>
      <c r="M31" s="133"/>
      <c r="N31" s="133"/>
      <c r="O31" s="133"/>
      <c r="S31" s="9" t="s">
        <v>67</v>
      </c>
      <c r="T31" s="9" t="s">
        <v>66</v>
      </c>
      <c r="V31" s="11" t="s">
        <v>10</v>
      </c>
    </row>
    <row r="32" spans="1:22">
      <c r="A32" t="s">
        <v>61</v>
      </c>
      <c r="B32" s="4">
        <f>B28-B27</f>
        <v>4</v>
      </c>
      <c r="C32">
        <f>C28-C27</f>
        <v>10.16</v>
      </c>
      <c r="D32">
        <f>D27</f>
        <v>25</v>
      </c>
      <c r="E32" s="3">
        <f>D32/60</f>
        <v>0.41666666666666669</v>
      </c>
      <c r="I32" s="6">
        <f t="shared" ref="I32:I33" si="1">C32*K$16</f>
        <v>9958.2941176470595</v>
      </c>
      <c r="L32" s="4">
        <f>E32*I32</f>
        <v>4149.2892156862754</v>
      </c>
      <c r="M32" s="3">
        <f>O32/10000/1000</f>
        <v>0.40663034313725499</v>
      </c>
      <c r="N32" s="6">
        <f>M32*1000000</f>
        <v>406630.343137255</v>
      </c>
      <c r="O32" s="7">
        <f>L32*980</f>
        <v>4066303.4313725499</v>
      </c>
      <c r="Q32" s="3">
        <f>I32/D32</f>
        <v>398.33176470588239</v>
      </c>
      <c r="R32" t="s">
        <v>60</v>
      </c>
      <c r="S32" s="3">
        <v>1</v>
      </c>
      <c r="T32" s="4">
        <v>1</v>
      </c>
      <c r="U32" t="s">
        <v>63</v>
      </c>
      <c r="V32" s="5">
        <v>5</v>
      </c>
    </row>
    <row r="33" spans="1:22">
      <c r="A33" t="s">
        <v>64</v>
      </c>
      <c r="B33" s="4">
        <f>B29-B28</f>
        <v>2</v>
      </c>
      <c r="C33">
        <f>C29-C28</f>
        <v>5.0799999999999983</v>
      </c>
      <c r="D33">
        <f>D28</f>
        <v>25</v>
      </c>
      <c r="E33" s="3">
        <f>D33/60</f>
        <v>0.41666666666666669</v>
      </c>
      <c r="I33" s="6">
        <f t="shared" si="1"/>
        <v>4979.1470588235279</v>
      </c>
      <c r="L33" s="4">
        <f>E33*I33</f>
        <v>2074.6446078431368</v>
      </c>
      <c r="M33" s="3">
        <f>O33/10000/1000</f>
        <v>0.20331517156862738</v>
      </c>
      <c r="N33" s="6">
        <f>M33*1000000</f>
        <v>203315.17156862738</v>
      </c>
      <c r="O33" s="7">
        <f>L33*980</f>
        <v>2033151.715686274</v>
      </c>
      <c r="Q33" s="3">
        <f>I33/D33</f>
        <v>199.16588235294111</v>
      </c>
      <c r="R33" t="s">
        <v>60</v>
      </c>
      <c r="S33" s="3">
        <f>Q33/Q32</f>
        <v>0.49999999999999978</v>
      </c>
      <c r="T33" s="4">
        <f>(1/S33)^0.25</f>
        <v>1.1892071150027212</v>
      </c>
      <c r="V33" s="5">
        <v>5</v>
      </c>
    </row>
  </sheetData>
  <mergeCells count="10">
    <mergeCell ref="E1:H1"/>
    <mergeCell ref="I1:K1"/>
    <mergeCell ref="D20:G20"/>
    <mergeCell ref="H20:K20"/>
    <mergeCell ref="L20:O20"/>
    <mergeCell ref="B25:C25"/>
    <mergeCell ref="Q20:R20"/>
    <mergeCell ref="L31:O31"/>
    <mergeCell ref="D25:E25"/>
    <mergeCell ref="L25:O25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DD1E-FD4B-41EE-8477-81069EA1C63D}">
  <dimension ref="B2:H46"/>
  <sheetViews>
    <sheetView topLeftCell="A17" workbookViewId="0">
      <selection activeCell="I24" sqref="I24"/>
    </sheetView>
  </sheetViews>
  <sheetFormatPr defaultRowHeight="14.75"/>
  <cols>
    <col min="2" max="2" width="10.08984375" customWidth="1"/>
    <col min="3" max="3" width="9.453125" bestFit="1" customWidth="1"/>
    <col min="4" max="4" width="11.58984375" customWidth="1"/>
    <col min="6" max="6" width="10.2265625" customWidth="1"/>
  </cols>
  <sheetData>
    <row r="2" spans="2:8" ht="18.5">
      <c r="B2" s="60" t="s">
        <v>436</v>
      </c>
      <c r="C2" s="27"/>
      <c r="D2" s="27"/>
      <c r="E2" s="27"/>
      <c r="F2" s="27"/>
      <c r="G2" s="27"/>
      <c r="H2" s="27"/>
    </row>
    <row r="3" spans="2:8" ht="16">
      <c r="B3" s="27"/>
      <c r="C3" s="27"/>
      <c r="D3" s="27"/>
      <c r="E3" s="27"/>
      <c r="F3" s="27"/>
      <c r="G3" s="27"/>
      <c r="H3" s="27"/>
    </row>
    <row r="4" spans="2:8" ht="18.5">
      <c r="B4" s="27" t="s">
        <v>394</v>
      </c>
      <c r="C4" s="27"/>
      <c r="D4" s="27"/>
      <c r="E4" s="60">
        <v>8.1999999999999993</v>
      </c>
      <c r="F4" s="60" t="s">
        <v>97</v>
      </c>
      <c r="G4" s="27"/>
      <c r="H4" s="27"/>
    </row>
    <row r="5" spans="2:8" ht="21.5">
      <c r="B5" s="27" t="s">
        <v>396</v>
      </c>
      <c r="C5" s="27"/>
      <c r="D5" s="27"/>
      <c r="E5" s="60">
        <v>0.76</v>
      </c>
      <c r="F5" s="60" t="s">
        <v>437</v>
      </c>
      <c r="G5" s="27"/>
      <c r="H5" s="27"/>
    </row>
    <row r="6" spans="2:8" ht="18.5">
      <c r="B6" s="27" t="s">
        <v>395</v>
      </c>
      <c r="C6" s="27"/>
      <c r="D6" s="27"/>
      <c r="E6" s="60">
        <f>E4*E5</f>
        <v>6.2319999999999993</v>
      </c>
      <c r="F6" s="60" t="s">
        <v>397</v>
      </c>
      <c r="G6" s="27"/>
      <c r="H6" s="27"/>
    </row>
    <row r="7" spans="2:8" ht="16">
      <c r="B7" s="27"/>
      <c r="C7" s="27"/>
      <c r="D7" s="27"/>
      <c r="E7" s="27"/>
      <c r="F7" s="27"/>
      <c r="G7" s="27"/>
      <c r="H7" s="27"/>
    </row>
    <row r="10" spans="2:8">
      <c r="B10" t="s">
        <v>441</v>
      </c>
    </row>
    <row r="12" spans="2:8">
      <c r="B12" t="s">
        <v>442</v>
      </c>
    </row>
    <row r="14" spans="2:8">
      <c r="B14" t="s">
        <v>443</v>
      </c>
    </row>
    <row r="15" spans="2:8">
      <c r="B15" t="s">
        <v>444</v>
      </c>
    </row>
    <row r="16" spans="2:8">
      <c r="B16" t="s">
        <v>445</v>
      </c>
    </row>
    <row r="18" spans="4:8" ht="16">
      <c r="F18" s="27" t="s">
        <v>446</v>
      </c>
      <c r="G18" s="27"/>
      <c r="H18" s="27"/>
    </row>
    <row r="19" spans="4:8" ht="16">
      <c r="F19" s="122" t="s">
        <v>448</v>
      </c>
      <c r="G19" s="27">
        <v>9806</v>
      </c>
      <c r="H19" s="27"/>
    </row>
    <row r="20" spans="4:8" ht="16">
      <c r="F20" s="122" t="s">
        <v>188</v>
      </c>
      <c r="G20" s="25">
        <v>2.4999999999999999E-8</v>
      </c>
      <c r="H20" s="27"/>
    </row>
    <row r="21" spans="4:8" ht="16">
      <c r="F21" s="122" t="s">
        <v>449</v>
      </c>
      <c r="G21" s="27">
        <v>0.1</v>
      </c>
      <c r="H21" s="27"/>
    </row>
    <row r="22" spans="4:8" ht="16">
      <c r="F22" s="122" t="s">
        <v>451</v>
      </c>
      <c r="G22" s="27">
        <v>5</v>
      </c>
    </row>
    <row r="23" spans="4:8" ht="16">
      <c r="F23" s="122" t="s">
        <v>452</v>
      </c>
      <c r="G23" s="27">
        <v>2</v>
      </c>
    </row>
    <row r="25" spans="4:8" ht="18.5">
      <c r="D25" s="90"/>
      <c r="F25" s="122" t="s">
        <v>93</v>
      </c>
      <c r="G25" s="120" t="s">
        <v>447</v>
      </c>
      <c r="H25" s="120" t="s">
        <v>450</v>
      </c>
    </row>
    <row r="26" spans="4:8" ht="18.5">
      <c r="D26" s="90"/>
      <c r="F26" s="90">
        <v>16.405831739961766</v>
      </c>
      <c r="G26" s="89">
        <v>7</v>
      </c>
      <c r="H26" s="90">
        <f>((G26-G$22)/(G$23))^G$21</f>
        <v>1</v>
      </c>
    </row>
    <row r="27" spans="4:8" ht="18.5">
      <c r="D27" s="90"/>
      <c r="F27" s="90">
        <v>16.171462715105172</v>
      </c>
      <c r="G27" s="89">
        <v>6.9000000000000039</v>
      </c>
      <c r="H27" s="90">
        <f>((G27-G$22)/(G$23))^G$21</f>
        <v>0.99488380310817648</v>
      </c>
    </row>
    <row r="28" spans="4:8" ht="18.5">
      <c r="D28" s="90"/>
      <c r="F28" s="90">
        <v>15.937093690248577</v>
      </c>
      <c r="G28" s="89">
        <v>6.8000000000000043</v>
      </c>
      <c r="H28" s="90">
        <f>((G28-G$22)/(G$23))^G$21</f>
        <v>0.98951925820621467</v>
      </c>
    </row>
    <row r="29" spans="4:8" ht="18.5">
      <c r="D29" s="90"/>
      <c r="F29" s="90">
        <v>15.702724665391978</v>
      </c>
      <c r="G29" s="89">
        <v>6.7000000000000046</v>
      </c>
      <c r="H29" s="90">
        <f>((G29-G$22)/(G$23))^G$21</f>
        <v>0.98387945654052655</v>
      </c>
    </row>
    <row r="30" spans="4:8" ht="18.5">
      <c r="D30" s="90"/>
      <c r="F30" s="90">
        <v>15.468355640535382</v>
      </c>
      <c r="G30" s="89">
        <v>6.600000000000005</v>
      </c>
      <c r="H30" s="90">
        <f>((G30-G$22)/(G$23))^G$21</f>
        <v>0.97793276854292877</v>
      </c>
    </row>
    <row r="31" spans="4:8" ht="18.5">
      <c r="D31" s="90"/>
      <c r="F31" s="90">
        <v>15.233986615678788</v>
      </c>
      <c r="G31" s="89">
        <v>6.5000000000000053</v>
      </c>
      <c r="H31" s="90">
        <f>((G31-G$22)/(G$23))^G$21</f>
        <v>0.97164165786307388</v>
      </c>
    </row>
    <row r="32" spans="4:8" ht="18.5">
      <c r="D32" s="90"/>
      <c r="F32" s="90">
        <v>14.999617590822192</v>
      </c>
      <c r="G32" s="89">
        <v>6.4000000000000057</v>
      </c>
      <c r="H32" s="90">
        <f>((G32-G$22)/(G$23))^G$21</f>
        <v>0.96496109511981798</v>
      </c>
    </row>
    <row r="33" spans="4:8" ht="18.5">
      <c r="D33" s="90"/>
      <c r="F33" s="90">
        <v>14.765248565965598</v>
      </c>
      <c r="G33" s="89">
        <v>6.300000000000006</v>
      </c>
      <c r="H33" s="90">
        <f>((G33-G$22)/(G$23))^G$21</f>
        <v>0.95783639657850694</v>
      </c>
    </row>
    <row r="34" spans="4:8" ht="18.5">
      <c r="D34" s="90"/>
      <c r="F34" s="90">
        <v>14.530879541109</v>
      </c>
      <c r="G34" s="89">
        <v>6.2000000000000064</v>
      </c>
      <c r="H34" s="90">
        <f>((G34-G$22)/(G$23))^G$21</f>
        <v>0.95020021650567688</v>
      </c>
    </row>
    <row r="35" spans="4:8" ht="18.5">
      <c r="D35" s="90"/>
      <c r="F35" s="90">
        <v>14.296510516252406</v>
      </c>
      <c r="G35" s="89">
        <v>6.1000000000000068</v>
      </c>
      <c r="H35" s="90">
        <f>((G35-G$22)/(G$23))^G$21</f>
        <v>0.94196825921382676</v>
      </c>
    </row>
    <row r="36" spans="4:8" ht="18.5">
      <c r="D36" s="90"/>
      <c r="F36" s="90">
        <v>14.06214149139581</v>
      </c>
      <c r="G36" s="89">
        <v>6.0000000000000071</v>
      </c>
      <c r="H36" s="90">
        <f>((G36-G$22)/(G$23))^G$21</f>
        <v>0.93303299153680808</v>
      </c>
    </row>
    <row r="37" spans="4:8" ht="18.5">
      <c r="D37" s="90"/>
      <c r="F37" s="90">
        <v>13.827772466539214</v>
      </c>
      <c r="G37" s="89">
        <v>5.9000000000000075</v>
      </c>
      <c r="H37" s="90">
        <f>((G37-G$22)/(G$23))^G$21</f>
        <v>0.92325411366742749</v>
      </c>
    </row>
    <row r="38" spans="4:8" ht="18.5">
      <c r="D38" s="90"/>
      <c r="F38" s="90">
        <v>13.593403441682618</v>
      </c>
      <c r="G38" s="89">
        <v>5.8000000000000078</v>
      </c>
      <c r="H38" s="90">
        <f>((G38-G$22)/(G$23))^G$21</f>
        <v>0.91244353655548172</v>
      </c>
    </row>
    <row r="39" spans="4:8" ht="18.5">
      <c r="D39" s="90"/>
      <c r="F39" s="90">
        <v>13.359034416826022</v>
      </c>
      <c r="G39" s="89">
        <v>5.7000000000000082</v>
      </c>
      <c r="H39" s="90">
        <f>((G39-G$22)/(G$23))^G$21</f>
        <v>0.90034053729627828</v>
      </c>
    </row>
    <row r="40" spans="4:8" ht="18.5">
      <c r="D40" s="90"/>
      <c r="F40" s="90">
        <v>13.124665391969428</v>
      </c>
      <c r="G40" s="89">
        <v>5.6000000000000085</v>
      </c>
      <c r="H40" s="90">
        <f>((G40-G$22)/(G$23))^G$21</f>
        <v>0.88656815056521454</v>
      </c>
    </row>
    <row r="41" spans="4:8" ht="18.5">
      <c r="D41" s="90"/>
      <c r="F41" s="90">
        <v>12.89029636711283</v>
      </c>
      <c r="G41" s="89">
        <v>5.5000000000000089</v>
      </c>
      <c r="H41" s="90">
        <f>((G41-G$22)/(G$23))^G$21</f>
        <v>0.87055056329612568</v>
      </c>
    </row>
    <row r="42" spans="4:8" ht="18.5">
      <c r="D42" s="90"/>
      <c r="F42" s="90">
        <v>12.655927342256236</v>
      </c>
      <c r="G42" s="89">
        <v>5.4000000000000092</v>
      </c>
      <c r="H42" s="90">
        <f>((G42-G$22)/(G$23))^G$21</f>
        <v>0.85133992252078661</v>
      </c>
    </row>
    <row r="43" spans="4:8" ht="18.5">
      <c r="D43" s="90"/>
      <c r="F43" s="90">
        <v>12.42155831739964</v>
      </c>
      <c r="G43" s="89">
        <v>5.3000000000000096</v>
      </c>
      <c r="H43" s="90">
        <f>((G43-G$22)/(G$23))^G$21</f>
        <v>0.82719733372311832</v>
      </c>
    </row>
    <row r="44" spans="4:8" ht="18.5">
      <c r="D44" s="90"/>
      <c r="F44" s="90">
        <v>12.187189292543044</v>
      </c>
      <c r="G44" s="89">
        <v>5.2000000000000099</v>
      </c>
      <c r="H44" s="90">
        <f>((G44-G$22)/(G$23))^G$21</f>
        <v>0.79432823472428549</v>
      </c>
    </row>
    <row r="45" spans="4:8" ht="18.5">
      <c r="D45" s="90"/>
      <c r="F45" s="90">
        <v>11.952820267686448</v>
      </c>
      <c r="G45" s="89">
        <v>5.1000000000000103</v>
      </c>
      <c r="H45" s="90">
        <f>((G45-G$22)/(G$23))^G$21</f>
        <v>0.74113444910695536</v>
      </c>
    </row>
    <row r="46" spans="4:8" ht="18.5">
      <c r="F46" s="90">
        <v>11.718451242829852</v>
      </c>
      <c r="G46" s="89">
        <v>5.0000000000000107</v>
      </c>
      <c r="H46" s="90">
        <f>((G46-G$22)/(G$23))^G$21</f>
        <v>3.7382224964103601E-2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D8F21-0D0B-4E50-8656-9C3AED73FDDD}">
  <dimension ref="B1:I40"/>
  <sheetViews>
    <sheetView workbookViewId="0">
      <selection activeCell="G27" sqref="G27"/>
    </sheetView>
  </sheetViews>
  <sheetFormatPr defaultRowHeight="14.75"/>
  <cols>
    <col min="3" max="3" width="23.7265625" customWidth="1"/>
    <col min="4" max="4" width="12.6796875" customWidth="1"/>
    <col min="5" max="5" width="11.1328125" customWidth="1"/>
    <col min="6" max="6" width="12.953125" customWidth="1"/>
    <col min="7" max="7" width="13.08984375" customWidth="1"/>
    <col min="19" max="19" width="13.7265625" customWidth="1"/>
    <col min="20" max="20" width="11.40625" customWidth="1"/>
    <col min="21" max="21" width="9.54296875" customWidth="1"/>
    <col min="22" max="22" width="11.86328125" customWidth="1"/>
  </cols>
  <sheetData>
    <row r="1" spans="2:8" ht="16">
      <c r="E1" s="114"/>
      <c r="F1" s="114"/>
      <c r="G1" s="114"/>
      <c r="H1" s="114"/>
    </row>
    <row r="2" spans="2:8" ht="18.5">
      <c r="B2" s="117"/>
      <c r="C2" s="129" t="s">
        <v>398</v>
      </c>
      <c r="D2" s="129"/>
      <c r="E2" s="129"/>
      <c r="F2" s="129"/>
      <c r="G2" s="129"/>
      <c r="H2" s="114"/>
    </row>
    <row r="3" spans="2:8" ht="21.5">
      <c r="C3" s="27"/>
      <c r="D3" s="129" t="s">
        <v>423</v>
      </c>
      <c r="E3" s="129"/>
      <c r="F3" s="112" t="s">
        <v>224</v>
      </c>
      <c r="G3" s="112" t="s">
        <v>225</v>
      </c>
      <c r="H3" s="114"/>
    </row>
    <row r="4" spans="2:8" ht="16">
      <c r="C4" s="27"/>
      <c r="D4" s="58" t="s">
        <v>222</v>
      </c>
      <c r="E4" s="58" t="s">
        <v>2</v>
      </c>
      <c r="F4" s="58" t="s">
        <v>0</v>
      </c>
      <c r="G4" s="58" t="s">
        <v>226</v>
      </c>
      <c r="H4" s="16"/>
    </row>
    <row r="5" spans="2:8" ht="18.5">
      <c r="C5" s="111" t="s">
        <v>220</v>
      </c>
      <c r="D5" s="60">
        <v>12.6</v>
      </c>
      <c r="E5" s="61">
        <f>22.4*D5</f>
        <v>282.23999999999995</v>
      </c>
      <c r="F5" s="60">
        <v>2.4</v>
      </c>
      <c r="G5" s="61">
        <v>28</v>
      </c>
      <c r="H5" s="6"/>
    </row>
    <row r="6" spans="2:8" ht="18.5">
      <c r="C6" s="111" t="s">
        <v>221</v>
      </c>
      <c r="D6" s="60">
        <v>13.9</v>
      </c>
      <c r="E6" s="61">
        <f>22.4*D6</f>
        <v>311.36</v>
      </c>
      <c r="F6" s="60"/>
      <c r="G6" s="60"/>
      <c r="H6" s="6"/>
    </row>
    <row r="7" spans="2:8" ht="18.5">
      <c r="C7" s="94"/>
      <c r="H7" s="6"/>
    </row>
    <row r="8" spans="2:8" ht="21.5">
      <c r="C8" s="111" t="s">
        <v>422</v>
      </c>
      <c r="D8" s="61">
        <f>AVERAGE(D5:D6)</f>
        <v>13.25</v>
      </c>
      <c r="E8" s="62">
        <f>AVERAGE(E5:E6)</f>
        <v>296.79999999999995</v>
      </c>
      <c r="H8" s="6"/>
    </row>
    <row r="9" spans="2:8">
      <c r="H9" s="6"/>
    </row>
    <row r="11" spans="2:8" ht="21.5">
      <c r="C11" s="60" t="s">
        <v>401</v>
      </c>
      <c r="H11" s="114"/>
    </row>
    <row r="12" spans="2:8" ht="19.25">
      <c r="C12" s="116" t="s">
        <v>438</v>
      </c>
      <c r="D12" s="100">
        <f>D8*5</f>
        <v>66.25</v>
      </c>
      <c r="E12" s="55" t="s">
        <v>431</v>
      </c>
      <c r="F12" s="114"/>
      <c r="G12" s="114"/>
      <c r="H12" s="114"/>
    </row>
    <row r="13" spans="2:8" ht="18.5">
      <c r="C13" s="111" t="s">
        <v>160</v>
      </c>
      <c r="D13" s="90">
        <v>6.2320000000000002</v>
      </c>
      <c r="E13" s="55" t="s">
        <v>399</v>
      </c>
      <c r="F13" s="113" t="s">
        <v>400</v>
      </c>
      <c r="G13" s="114"/>
      <c r="H13" s="114"/>
    </row>
    <row r="14" spans="2:8" ht="18.5">
      <c r="C14" s="116" t="s">
        <v>439</v>
      </c>
      <c r="D14" s="90">
        <f>D13/D12</f>
        <v>9.4067924528301886E-2</v>
      </c>
      <c r="E14" s="26" t="s">
        <v>249</v>
      </c>
      <c r="F14" s="19"/>
      <c r="G14" s="19"/>
      <c r="H14" s="19"/>
    </row>
    <row r="15" spans="2:8" ht="18.5">
      <c r="C15" s="116" t="s">
        <v>439</v>
      </c>
      <c r="D15" s="61">
        <f>D14*60</f>
        <v>5.6440754716981134</v>
      </c>
      <c r="E15" s="26" t="s">
        <v>90</v>
      </c>
      <c r="F15" s="19"/>
      <c r="G15" s="19"/>
      <c r="H15" s="19"/>
    </row>
    <row r="16" spans="2:8" ht="16">
      <c r="D16" s="19"/>
      <c r="E16" s="14"/>
      <c r="F16" s="19"/>
      <c r="G16" s="19"/>
      <c r="H16" s="19"/>
    </row>
    <row r="17" spans="2:9" ht="18.5">
      <c r="C17" s="111" t="s">
        <v>416</v>
      </c>
      <c r="D17" s="60">
        <v>10.3</v>
      </c>
      <c r="E17" s="125" t="s">
        <v>421</v>
      </c>
      <c r="F17" s="19"/>
      <c r="G17" s="19"/>
      <c r="H17" s="19"/>
    </row>
    <row r="18" spans="2:9" ht="16">
      <c r="D18" s="19"/>
      <c r="E18" s="14"/>
      <c r="F18" s="19"/>
      <c r="G18" s="19"/>
      <c r="H18" s="19"/>
    </row>
    <row r="19" spans="2:9" ht="21.5">
      <c r="C19" s="111" t="s">
        <v>418</v>
      </c>
      <c r="D19" s="89">
        <f>D8/D17</f>
        <v>1.2864077669902911</v>
      </c>
      <c r="E19" s="26" t="s">
        <v>419</v>
      </c>
      <c r="F19" s="19"/>
      <c r="G19" s="19"/>
      <c r="H19" s="19"/>
    </row>
    <row r="20" spans="2:9" ht="19.25">
      <c r="C20" s="111" t="s">
        <v>417</v>
      </c>
      <c r="D20" s="62">
        <f>D19*1000</f>
        <v>1286.4077669902911</v>
      </c>
      <c r="E20" s="26" t="s">
        <v>420</v>
      </c>
    </row>
    <row r="22" spans="2:9" ht="18.5">
      <c r="C22" s="128" t="s">
        <v>440</v>
      </c>
    </row>
    <row r="23" spans="2:9" ht="21.5">
      <c r="B23" s="116" t="s">
        <v>427</v>
      </c>
      <c r="C23" s="127" t="s">
        <v>435</v>
      </c>
      <c r="D23" s="111">
        <v>-52</v>
      </c>
      <c r="E23" s="60" t="s">
        <v>428</v>
      </c>
      <c r="F23" t="s">
        <v>424</v>
      </c>
    </row>
    <row r="24" spans="2:9" ht="18.5">
      <c r="B24" s="116" t="s">
        <v>425</v>
      </c>
      <c r="C24" s="111" t="s">
        <v>426</v>
      </c>
      <c r="D24" s="61">
        <f>D12*D23/60*-1</f>
        <v>57.416666666666664</v>
      </c>
      <c r="E24" s="60" t="s">
        <v>432</v>
      </c>
      <c r="F24" t="s">
        <v>434</v>
      </c>
    </row>
    <row r="25" spans="2:9" ht="18.5">
      <c r="B25" s="116" t="s">
        <v>429</v>
      </c>
      <c r="C25" s="111" t="s">
        <v>430</v>
      </c>
      <c r="D25" s="61">
        <v>28</v>
      </c>
      <c r="E25" s="60" t="s">
        <v>432</v>
      </c>
    </row>
    <row r="26" spans="2:9" ht="18.5">
      <c r="B26" s="116"/>
      <c r="C26" s="111" t="s">
        <v>433</v>
      </c>
      <c r="D26" s="126">
        <f>D25/D24</f>
        <v>0.48766328011611032</v>
      </c>
      <c r="E26" s="116"/>
      <c r="H26" s="61"/>
      <c r="I26" s="114"/>
    </row>
    <row r="27" spans="2:9" ht="16">
      <c r="I27" s="114"/>
    </row>
    <row r="28" spans="2:9" ht="18.5">
      <c r="C28" s="116"/>
      <c r="D28" s="116"/>
      <c r="E28" s="116"/>
      <c r="H28" s="61"/>
      <c r="I28" s="114"/>
    </row>
    <row r="29" spans="2:9" ht="16">
      <c r="G29" s="27"/>
    </row>
    <row r="30" spans="2:9" ht="18.5">
      <c r="B30" s="27"/>
      <c r="G30" s="116"/>
      <c r="H30" s="89"/>
    </row>
    <row r="31" spans="2:9" ht="18.5">
      <c r="G31" s="116"/>
      <c r="H31" s="89"/>
    </row>
    <row r="32" spans="2:9" ht="16">
      <c r="B32" s="27"/>
    </row>
    <row r="33" spans="2:7" ht="18.5">
      <c r="B33" s="53"/>
    </row>
    <row r="39" spans="2:7">
      <c r="G39" s="8"/>
    </row>
    <row r="40" spans="2:7">
      <c r="G40" s="8"/>
    </row>
  </sheetData>
  <mergeCells count="2">
    <mergeCell ref="D3:E3"/>
    <mergeCell ref="C2:G2"/>
  </mergeCells>
  <phoneticPr fontId="7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9F3E-4794-4150-824F-0960AAB55C8A}">
  <dimension ref="B3:H15"/>
  <sheetViews>
    <sheetView topLeftCell="G25" workbookViewId="0">
      <selection activeCell="G24" sqref="G24"/>
    </sheetView>
  </sheetViews>
  <sheetFormatPr defaultRowHeight="14.75"/>
  <cols>
    <col min="2" max="3" width="10.76953125" customWidth="1"/>
    <col min="5" max="5" width="11.453125" customWidth="1"/>
    <col min="6" max="6" width="11.31640625" customWidth="1"/>
    <col min="7" max="7" width="22.2265625" customWidth="1"/>
  </cols>
  <sheetData>
    <row r="3" spans="2:8" ht="21">
      <c r="B3" s="94" t="s">
        <v>405</v>
      </c>
      <c r="C3" s="94"/>
      <c r="D3" s="94"/>
      <c r="E3" s="94"/>
    </row>
    <row r="4" spans="2:8" ht="18.5">
      <c r="B4" s="115" t="s">
        <v>402</v>
      </c>
      <c r="C4" s="115" t="s">
        <v>403</v>
      </c>
      <c r="D4" s="94"/>
      <c r="E4" s="94"/>
    </row>
    <row r="5" spans="2:8" ht="18.5">
      <c r="B5" s="94">
        <v>-68</v>
      </c>
      <c r="C5" s="98">
        <f>B5/4.184</f>
        <v>-16.252390057361374</v>
      </c>
      <c r="D5" s="94"/>
      <c r="E5" s="94"/>
    </row>
    <row r="6" spans="2:8" ht="18.5">
      <c r="B6" s="94">
        <v>-52</v>
      </c>
      <c r="C6" s="98">
        <f>B6/4.184</f>
        <v>-12.4282982791587</v>
      </c>
      <c r="D6" s="94"/>
      <c r="E6" s="94"/>
    </row>
    <row r="7" spans="2:8" ht="21.5">
      <c r="B7" s="94"/>
      <c r="C7" s="98"/>
      <c r="D7" s="94"/>
      <c r="E7" s="130" t="s">
        <v>414</v>
      </c>
      <c r="F7" s="130"/>
      <c r="G7" s="115" t="s">
        <v>415</v>
      </c>
    </row>
    <row r="8" spans="2:8" ht="18.5">
      <c r="B8" s="94"/>
      <c r="C8" s="98"/>
      <c r="D8" s="94"/>
      <c r="E8" s="115" t="s">
        <v>409</v>
      </c>
      <c r="F8" s="115" t="s">
        <v>410</v>
      </c>
      <c r="G8" s="115" t="s">
        <v>411</v>
      </c>
      <c r="H8" s="117"/>
    </row>
    <row r="9" spans="2:8" ht="21.5">
      <c r="B9" s="104" t="s">
        <v>412</v>
      </c>
      <c r="C9" t="s">
        <v>413</v>
      </c>
      <c r="D9" s="94"/>
      <c r="E9" s="94">
        <v>0.74</v>
      </c>
      <c r="F9" s="94">
        <f>60*E9</f>
        <v>44.4</v>
      </c>
      <c r="G9" s="108">
        <f>F9*0.76</f>
        <v>33.744</v>
      </c>
    </row>
    <row r="10" spans="2:8" ht="18.5">
      <c r="B10" s="94"/>
      <c r="C10" s="98"/>
      <c r="D10" s="94"/>
      <c r="E10" s="94"/>
    </row>
    <row r="11" spans="2:8" ht="21.5">
      <c r="D11" s="115" t="s">
        <v>402</v>
      </c>
      <c r="E11" s="115" t="s">
        <v>403</v>
      </c>
      <c r="F11" s="124" t="s">
        <v>408</v>
      </c>
    </row>
    <row r="12" spans="2:8" ht="21.5">
      <c r="B12" s="94" t="s">
        <v>404</v>
      </c>
      <c r="D12" s="94">
        <v>-58.2</v>
      </c>
      <c r="E12" s="94">
        <f>D12/4.184</f>
        <v>-13.910133843212238</v>
      </c>
      <c r="F12" s="94">
        <v>23.8</v>
      </c>
    </row>
    <row r="14" spans="2:8" ht="21.5">
      <c r="D14" s="124" t="s">
        <v>407</v>
      </c>
      <c r="E14" s="124" t="s">
        <v>408</v>
      </c>
    </row>
    <row r="15" spans="2:8" ht="21.5">
      <c r="B15" s="94" t="s">
        <v>406</v>
      </c>
      <c r="D15" s="94">
        <v>22</v>
      </c>
      <c r="E15" s="94">
        <v>1.9</v>
      </c>
    </row>
  </sheetData>
  <mergeCells count="1">
    <mergeCell ref="E7:F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F712F-3ABD-4955-B43E-F17F17898F89}">
  <dimension ref="A1:W40"/>
  <sheetViews>
    <sheetView topLeftCell="A19" workbookViewId="0">
      <selection activeCell="I27" sqref="I27"/>
    </sheetView>
  </sheetViews>
  <sheetFormatPr defaultRowHeight="14.75"/>
  <cols>
    <col min="5" max="5" width="11.1328125" customWidth="1"/>
    <col min="7" max="7" width="14.7265625" customWidth="1"/>
    <col min="19" max="19" width="13.7265625" customWidth="1"/>
    <col min="20" max="20" width="11.40625" customWidth="1"/>
    <col min="21" max="21" width="9.54296875" customWidth="1"/>
    <col min="22" max="22" width="11.86328125" customWidth="1"/>
  </cols>
  <sheetData>
    <row r="1" spans="2:23" ht="16">
      <c r="E1" s="131" t="s">
        <v>214</v>
      </c>
      <c r="F1" s="131"/>
      <c r="G1" s="131"/>
      <c r="H1" s="131"/>
    </row>
    <row r="2" spans="2:23" ht="16">
      <c r="B2" s="133" t="s">
        <v>203</v>
      </c>
      <c r="C2" s="133"/>
      <c r="D2" s="117"/>
      <c r="E2" s="114" t="s">
        <v>212</v>
      </c>
      <c r="F2" s="131" t="s">
        <v>213</v>
      </c>
      <c r="G2" s="131"/>
      <c r="H2" s="131"/>
    </row>
    <row r="3" spans="2:23" ht="16">
      <c r="B3" t="s">
        <v>204</v>
      </c>
      <c r="C3">
        <v>1</v>
      </c>
      <c r="E3" s="114" t="s">
        <v>140</v>
      </c>
      <c r="F3" s="114" t="s">
        <v>210</v>
      </c>
      <c r="G3" s="114" t="s">
        <v>209</v>
      </c>
      <c r="H3" s="114" t="s">
        <v>211</v>
      </c>
    </row>
    <row r="4" spans="2:23" ht="16">
      <c r="B4" t="s">
        <v>205</v>
      </c>
      <c r="C4">
        <v>10</v>
      </c>
      <c r="E4" s="16"/>
      <c r="F4" s="16"/>
      <c r="G4" s="16"/>
      <c r="H4" s="16"/>
    </row>
    <row r="5" spans="2:23" ht="16">
      <c r="B5" t="s">
        <v>206</v>
      </c>
      <c r="C5">
        <v>3.67</v>
      </c>
      <c r="E5" s="16">
        <v>123</v>
      </c>
      <c r="F5" s="6">
        <v>888.67582385399999</v>
      </c>
      <c r="G5" s="6">
        <v>795.96160509320009</v>
      </c>
      <c r="H5" s="6">
        <v>652.06857739261272</v>
      </c>
    </row>
    <row r="6" spans="2:23" ht="16">
      <c r="B6" t="s">
        <v>207</v>
      </c>
      <c r="C6" s="4">
        <f>C4/C5</f>
        <v>2.7247956403269757</v>
      </c>
      <c r="D6" s="4"/>
      <c r="E6" s="16">
        <v>151</v>
      </c>
      <c r="F6" s="6">
        <v>1088.6942315048802</v>
      </c>
      <c r="G6" s="6">
        <v>969.38162757800001</v>
      </c>
      <c r="H6" s="6">
        <v>790.33183457385178</v>
      </c>
    </row>
    <row r="7" spans="2:23" ht="16">
      <c r="B7" t="s">
        <v>208</v>
      </c>
      <c r="C7" s="5">
        <f>2*C6</f>
        <v>5.4495912806539515</v>
      </c>
      <c r="D7" s="5"/>
      <c r="E7" s="16">
        <v>191</v>
      </c>
      <c r="F7" s="6">
        <v>1373.84305140992</v>
      </c>
      <c r="G7" s="6">
        <v>1216.9521283919996</v>
      </c>
      <c r="H7" s="6">
        <v>981.55129072621469</v>
      </c>
    </row>
    <row r="8" spans="2:23" ht="16">
      <c r="E8" s="16">
        <v>225</v>
      </c>
      <c r="F8" s="6">
        <v>1616.4181651800002</v>
      </c>
      <c r="G8" s="6">
        <v>1422.7218778500001</v>
      </c>
      <c r="H8" s="6">
        <v>1141.1160985919309</v>
      </c>
    </row>
    <row r="9" spans="2:23" ht="16">
      <c r="E9" s="16">
        <v>261</v>
      </c>
      <c r="F9" s="6">
        <v>1871.4297349238398</v>
      </c>
      <c r="G9" s="6">
        <v>1634.3997242664</v>
      </c>
      <c r="H9" s="6">
        <v>1298.9065475149278</v>
      </c>
      <c r="S9" s="134" t="s">
        <v>227</v>
      </c>
      <c r="T9" s="134"/>
      <c r="U9" s="134"/>
      <c r="V9" s="134"/>
      <c r="W9" s="134"/>
    </row>
    <row r="10" spans="2:23" ht="16">
      <c r="S10" s="27"/>
      <c r="T10" s="134" t="s">
        <v>223</v>
      </c>
      <c r="U10" s="134"/>
      <c r="V10" s="113" t="s">
        <v>224</v>
      </c>
      <c r="W10" s="113" t="s">
        <v>225</v>
      </c>
    </row>
    <row r="11" spans="2:23" ht="16">
      <c r="E11" s="131" t="s">
        <v>339</v>
      </c>
      <c r="F11" s="131"/>
      <c r="G11" s="131"/>
      <c r="H11" s="131"/>
      <c r="S11" s="27"/>
      <c r="T11" s="113" t="s">
        <v>222</v>
      </c>
      <c r="U11" s="113" t="s">
        <v>2</v>
      </c>
      <c r="V11" s="113" t="s">
        <v>0</v>
      </c>
      <c r="W11" s="113" t="s">
        <v>226</v>
      </c>
    </row>
    <row r="12" spans="2:23" ht="18.5">
      <c r="D12" s="131" t="s">
        <v>219</v>
      </c>
      <c r="E12" s="131"/>
      <c r="F12" s="131" t="s">
        <v>215</v>
      </c>
      <c r="G12" s="131"/>
      <c r="H12" s="131"/>
      <c r="S12" s="116" t="s">
        <v>220</v>
      </c>
      <c r="T12" s="60">
        <v>12.6</v>
      </c>
      <c r="U12" s="61">
        <f>22.4*T12</f>
        <v>282.23999999999995</v>
      </c>
      <c r="V12" s="60">
        <v>2.4</v>
      </c>
      <c r="W12" s="61">
        <v>28</v>
      </c>
    </row>
    <row r="13" spans="2:23" ht="18.5">
      <c r="D13" s="117" t="s">
        <v>216</v>
      </c>
      <c r="E13" s="114" t="s">
        <v>217</v>
      </c>
      <c r="F13" s="114" t="s">
        <v>210</v>
      </c>
      <c r="G13" s="114" t="s">
        <v>209</v>
      </c>
      <c r="H13" s="114" t="s">
        <v>211</v>
      </c>
      <c r="S13" s="116" t="s">
        <v>221</v>
      </c>
      <c r="T13" s="60">
        <v>13.9</v>
      </c>
      <c r="U13" s="61">
        <f>22.4*T13</f>
        <v>311.36</v>
      </c>
      <c r="V13" s="60"/>
      <c r="W13" s="60"/>
    </row>
    <row r="14" spans="2:23" ht="16">
      <c r="D14" s="19">
        <f>22.4*E14</f>
        <v>27.552</v>
      </c>
      <c r="E14" s="14">
        <f>E5*10/1000</f>
        <v>1.23</v>
      </c>
      <c r="F14" s="19">
        <f t="shared" ref="F14:H14" si="0">F5*10/1000</f>
        <v>8.8867582385400006</v>
      </c>
      <c r="G14" s="19">
        <f t="shared" si="0"/>
        <v>7.9596160509320004</v>
      </c>
      <c r="H14" s="19">
        <f t="shared" si="0"/>
        <v>6.520685773926127</v>
      </c>
    </row>
    <row r="15" spans="2:23" ht="18.5">
      <c r="D15" s="19">
        <f t="shared" ref="D15:D19" si="1">22.4*E15</f>
        <v>33.823999999999998</v>
      </c>
      <c r="E15" s="14">
        <f t="shared" ref="E15:H18" si="2">E6*10/1000</f>
        <v>1.51</v>
      </c>
      <c r="F15" s="19">
        <f t="shared" si="2"/>
        <v>10.886942315048802</v>
      </c>
      <c r="G15" s="19">
        <f t="shared" si="2"/>
        <v>9.6938162757799997</v>
      </c>
      <c r="H15" s="19">
        <f t="shared" si="2"/>
        <v>7.9033183457385174</v>
      </c>
      <c r="S15" s="116" t="s">
        <v>228</v>
      </c>
      <c r="T15" s="61">
        <f>AVERAGE(T12:T13)</f>
        <v>13.25</v>
      </c>
      <c r="U15" s="62">
        <f>AVERAGE(U12:U13)</f>
        <v>296.79999999999995</v>
      </c>
    </row>
    <row r="16" spans="2:23" ht="16">
      <c r="D16" s="19">
        <f t="shared" si="1"/>
        <v>42.783999999999999</v>
      </c>
      <c r="E16" s="14">
        <f t="shared" si="2"/>
        <v>1.91</v>
      </c>
      <c r="F16" s="19">
        <f t="shared" si="2"/>
        <v>13.7384305140992</v>
      </c>
      <c r="G16" s="19">
        <f t="shared" si="2"/>
        <v>12.169521283919996</v>
      </c>
      <c r="H16" s="19">
        <f t="shared" si="2"/>
        <v>9.8155129072621481</v>
      </c>
    </row>
    <row r="17" spans="1:20" ht="21.5">
      <c r="D17" s="19">
        <f t="shared" si="1"/>
        <v>50.4</v>
      </c>
      <c r="E17" s="14">
        <f t="shared" si="2"/>
        <v>2.25</v>
      </c>
      <c r="F17" s="19">
        <f t="shared" si="2"/>
        <v>16.1641816518</v>
      </c>
      <c r="G17" s="19">
        <f t="shared" si="2"/>
        <v>14.227218778500001</v>
      </c>
      <c r="H17" s="19">
        <f t="shared" si="2"/>
        <v>11.411160985919308</v>
      </c>
      <c r="S17" s="111" t="s">
        <v>384</v>
      </c>
      <c r="T17" s="100">
        <f>T15*5</f>
        <v>66.25</v>
      </c>
    </row>
    <row r="18" spans="1:20" ht="16">
      <c r="D18" s="19">
        <f t="shared" si="1"/>
        <v>58.463999999999992</v>
      </c>
      <c r="E18" s="14">
        <f t="shared" si="2"/>
        <v>2.61</v>
      </c>
      <c r="F18" s="19">
        <f t="shared" si="2"/>
        <v>18.714297349238397</v>
      </c>
      <c r="G18" s="19">
        <f t="shared" si="2"/>
        <v>16.343997242663999</v>
      </c>
      <c r="H18" s="19">
        <f t="shared" si="2"/>
        <v>12.989065475149276</v>
      </c>
      <c r="S18" s="113" t="s">
        <v>383</v>
      </c>
    </row>
    <row r="19" spans="1:20" ht="16">
      <c r="B19" t="s">
        <v>218</v>
      </c>
      <c r="D19" s="19">
        <f t="shared" si="1"/>
        <v>103.03999999999999</v>
      </c>
      <c r="E19" s="14">
        <f>460/$E$9*E18</f>
        <v>4.5999999999999996</v>
      </c>
      <c r="F19" s="19">
        <f t="shared" ref="F19:H19" si="3">460/$E$9*F18</f>
        <v>32.983052799423994</v>
      </c>
      <c r="G19" s="19">
        <f t="shared" si="3"/>
        <v>28.805512381706667</v>
      </c>
      <c r="H19" s="19">
        <f t="shared" si="3"/>
        <v>22.892605818270756</v>
      </c>
    </row>
    <row r="21" spans="1:20" ht="18.5">
      <c r="A21" s="132" t="s">
        <v>293</v>
      </c>
      <c r="B21" s="132"/>
      <c r="C21" s="132"/>
      <c r="D21" s="132"/>
      <c r="E21" s="116" t="s">
        <v>229</v>
      </c>
      <c r="H21" s="61">
        <f>0.5*H19</f>
        <v>11.446302909135378</v>
      </c>
      <c r="I21" s="114" t="s">
        <v>226</v>
      </c>
    </row>
    <row r="22" spans="1:20" ht="16">
      <c r="I22" s="114"/>
    </row>
    <row r="23" spans="1:20" ht="18.5">
      <c r="C23" s="132" t="s">
        <v>230</v>
      </c>
      <c r="D23" s="132"/>
      <c r="E23" s="132"/>
      <c r="H23" s="61">
        <v>28</v>
      </c>
      <c r="I23" s="114" t="s">
        <v>226</v>
      </c>
    </row>
    <row r="27" spans="1:20" ht="18.5">
      <c r="B27" s="132" t="s">
        <v>294</v>
      </c>
      <c r="C27" s="132"/>
      <c r="D27" s="62">
        <f>D19</f>
        <v>103.03999999999999</v>
      </c>
    </row>
    <row r="28" spans="1:20" ht="18.5">
      <c r="B28" s="132" t="s">
        <v>295</v>
      </c>
      <c r="C28" s="132"/>
      <c r="D28" s="60">
        <v>297</v>
      </c>
    </row>
    <row r="29" spans="1:20" ht="16">
      <c r="G29" s="27" t="s">
        <v>298</v>
      </c>
    </row>
    <row r="30" spans="1:20" ht="18.5">
      <c r="B30" s="27" t="s">
        <v>297</v>
      </c>
      <c r="G30" s="116" t="s">
        <v>296</v>
      </c>
      <c r="H30" s="89">
        <f>H23/H21</f>
        <v>2.4462047022757885</v>
      </c>
    </row>
    <row r="31" spans="1:20" ht="19.25">
      <c r="G31" s="116" t="s">
        <v>299</v>
      </c>
      <c r="H31" s="89">
        <f>D28/D27</f>
        <v>2.8823757763975157</v>
      </c>
    </row>
    <row r="32" spans="1:20" ht="16">
      <c r="B32" s="27" t="s">
        <v>300</v>
      </c>
    </row>
    <row r="33" spans="2:9" ht="18.5">
      <c r="B33" s="53" t="s">
        <v>301</v>
      </c>
    </row>
    <row r="35" spans="2:9">
      <c r="B35" t="s">
        <v>340</v>
      </c>
    </row>
    <row r="36" spans="2:9">
      <c r="B36" t="s">
        <v>343</v>
      </c>
      <c r="D36">
        <v>61</v>
      </c>
      <c r="E36" t="s">
        <v>344</v>
      </c>
    </row>
    <row r="37" spans="2:9">
      <c r="B37" t="s">
        <v>341</v>
      </c>
    </row>
    <row r="38" spans="2:9">
      <c r="B38" t="s">
        <v>342</v>
      </c>
      <c r="H38">
        <f>5*D36</f>
        <v>305</v>
      </c>
      <c r="I38" t="s">
        <v>345</v>
      </c>
    </row>
    <row r="39" spans="2:9">
      <c r="B39" t="s">
        <v>346</v>
      </c>
      <c r="G39" s="8" t="s">
        <v>348</v>
      </c>
      <c r="H39">
        <f>H38*10/1000</f>
        <v>3.05</v>
      </c>
      <c r="I39" t="s">
        <v>349</v>
      </c>
    </row>
    <row r="40" spans="2:9">
      <c r="G40" s="8" t="s">
        <v>347</v>
      </c>
      <c r="H40">
        <f>2.5*H39</f>
        <v>7.625</v>
      </c>
      <c r="I40" t="s">
        <v>349</v>
      </c>
    </row>
  </sheetData>
  <mergeCells count="12">
    <mergeCell ref="B28:C28"/>
    <mergeCell ref="E1:H1"/>
    <mergeCell ref="B2:C2"/>
    <mergeCell ref="F2:H2"/>
    <mergeCell ref="S9:W9"/>
    <mergeCell ref="T10:U10"/>
    <mergeCell ref="E11:H11"/>
    <mergeCell ref="D12:E12"/>
    <mergeCell ref="F12:H12"/>
    <mergeCell ref="A21:D21"/>
    <mergeCell ref="C23:E23"/>
    <mergeCell ref="B27:C2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65B4-6C21-41CE-8804-F5D3562F9AD7}">
  <dimension ref="C3:W40"/>
  <sheetViews>
    <sheetView tabSelected="1" workbookViewId="0">
      <selection activeCell="C15" sqref="C15:F35"/>
    </sheetView>
  </sheetViews>
  <sheetFormatPr defaultRowHeight="14.75"/>
  <cols>
    <col min="3" max="3" width="12" customWidth="1"/>
    <col min="4" max="4" width="10.5" customWidth="1"/>
    <col min="5" max="5" width="10.90625" customWidth="1"/>
    <col min="6" max="6" width="11.1796875" customWidth="1"/>
    <col min="7" max="7" width="10.76953125" customWidth="1"/>
    <col min="8" max="8" width="10.08984375" customWidth="1"/>
    <col min="11" max="11" width="12.2265625" bestFit="1" customWidth="1"/>
    <col min="14" max="14" width="11.58984375" customWidth="1"/>
    <col min="15" max="15" width="11.6328125" customWidth="1"/>
    <col min="16" max="16" width="11.58984375" customWidth="1"/>
    <col min="17" max="17" width="11.04296875" customWidth="1"/>
    <col min="18" max="18" width="9.6796875" customWidth="1"/>
    <col min="19" max="19" width="10.6328125" customWidth="1"/>
    <col min="21" max="22" width="11.31640625" customWidth="1"/>
    <col min="23" max="23" width="15.26953125" customWidth="1"/>
  </cols>
  <sheetData>
    <row r="3" spans="3:23" ht="18.5">
      <c r="C3" s="81" t="s">
        <v>307</v>
      </c>
      <c r="D3" s="129" t="s">
        <v>22</v>
      </c>
      <c r="E3" s="129"/>
      <c r="F3" s="129"/>
      <c r="G3" s="129" t="s">
        <v>309</v>
      </c>
      <c r="H3" s="129"/>
    </row>
    <row r="4" spans="3:23" ht="21.5">
      <c r="C4" s="81" t="s">
        <v>13</v>
      </c>
      <c r="D4" s="81" t="s">
        <v>37</v>
      </c>
      <c r="E4" s="81" t="s">
        <v>308</v>
      </c>
      <c r="F4" s="81" t="s">
        <v>235</v>
      </c>
      <c r="G4" s="81" t="s">
        <v>235</v>
      </c>
      <c r="H4" s="81" t="s">
        <v>119</v>
      </c>
      <c r="Q4" s="95" t="s">
        <v>330</v>
      </c>
    </row>
    <row r="5" spans="3:23" ht="18.5">
      <c r="C5" s="89">
        <v>8</v>
      </c>
      <c r="D5" s="62">
        <f>9806*C5</f>
        <v>78448</v>
      </c>
      <c r="E5" s="90">
        <f>D5/1000</f>
        <v>78.447999999999993</v>
      </c>
      <c r="F5" s="90">
        <f>E5/4.184</f>
        <v>18.749521988527722</v>
      </c>
      <c r="G5" s="90">
        <f>F5/(11/3)</f>
        <v>5.1135059968711971</v>
      </c>
      <c r="H5" s="62">
        <f>G5*1000/23.062</f>
        <v>221.72864438778933</v>
      </c>
      <c r="J5" s="95" t="s">
        <v>313</v>
      </c>
    </row>
    <row r="6" spans="3:23" ht="18.5">
      <c r="C6" s="89">
        <f>C5-0.1</f>
        <v>7.9</v>
      </c>
      <c r="D6" s="62">
        <f t="shared" ref="D6" si="0">9806*C6</f>
        <v>77467.400000000009</v>
      </c>
      <c r="E6" s="90">
        <f t="shared" ref="E6" si="1">D6/1000</f>
        <v>77.467400000000012</v>
      </c>
      <c r="F6" s="90">
        <f t="shared" ref="F6" si="2">E6/4.184</f>
        <v>18.515152963671131</v>
      </c>
      <c r="G6" s="90">
        <f t="shared" ref="G6" si="3">F6/(11/3)</f>
        <v>5.0495871719103089</v>
      </c>
      <c r="H6" s="62">
        <f t="shared" ref="H6" si="4">G6*1000/23.062</f>
        <v>218.95703633294201</v>
      </c>
      <c r="J6" s="95" t="s">
        <v>315</v>
      </c>
      <c r="Q6" s="138" t="s">
        <v>203</v>
      </c>
      <c r="R6" s="138"/>
    </row>
    <row r="7" spans="3:23" ht="21">
      <c r="C7" s="89">
        <f t="shared" ref="C7:C29" si="5">C6-0.1</f>
        <v>7.8000000000000007</v>
      </c>
      <c r="D7" s="62">
        <f t="shared" ref="D7:D30" si="6">9806*C7</f>
        <v>76486.8</v>
      </c>
      <c r="E7" s="90">
        <f t="shared" ref="E7:E30" si="7">D7/1000</f>
        <v>76.486800000000002</v>
      </c>
      <c r="F7" s="90">
        <f t="shared" ref="F7:F30" si="8">E7/4.184</f>
        <v>18.28078393881453</v>
      </c>
      <c r="G7" s="90">
        <f t="shared" ref="G7:G30" si="9">F7/(11/3)</f>
        <v>4.9856683469494172</v>
      </c>
      <c r="H7" s="62">
        <f t="shared" ref="H7:H30" si="10">G7*1000/23.062</f>
        <v>216.18542827809458</v>
      </c>
      <c r="J7" s="85" t="s">
        <v>136</v>
      </c>
      <c r="K7" s="85" t="s">
        <v>314</v>
      </c>
      <c r="M7" s="42" t="s">
        <v>316</v>
      </c>
      <c r="O7" s="37">
        <f>2.377*4.184</f>
        <v>9.9453680000000002</v>
      </c>
      <c r="Q7" s="102" t="s">
        <v>318</v>
      </c>
      <c r="R7" s="95">
        <v>1</v>
      </c>
    </row>
    <row r="8" spans="3:23" ht="21">
      <c r="C8" s="89">
        <f t="shared" si="5"/>
        <v>7.7000000000000011</v>
      </c>
      <c r="D8" s="62">
        <f t="shared" si="6"/>
        <v>75506.200000000012</v>
      </c>
      <c r="E8" s="90">
        <f t="shared" si="7"/>
        <v>75.506200000000007</v>
      </c>
      <c r="F8" s="90">
        <f t="shared" si="8"/>
        <v>18.046414913957936</v>
      </c>
      <c r="G8" s="90">
        <f t="shared" si="9"/>
        <v>4.9217495219885281</v>
      </c>
      <c r="H8" s="62">
        <f t="shared" si="10"/>
        <v>213.41382022324723</v>
      </c>
      <c r="J8" s="93">
        <f>SLOPE(F5:F34,C5:C34)</f>
        <v>2.3436902485659652</v>
      </c>
      <c r="K8" s="96">
        <f>INTERCEPT(F5:F34,C5:C34)</f>
        <v>-1.7763568394002505E-15</v>
      </c>
      <c r="Q8" s="102" t="s">
        <v>319</v>
      </c>
      <c r="R8" s="95">
        <v>10</v>
      </c>
    </row>
    <row r="9" spans="3:23" ht="21">
      <c r="C9" s="89">
        <f t="shared" si="5"/>
        <v>7.6000000000000014</v>
      </c>
      <c r="D9" s="62">
        <f t="shared" si="6"/>
        <v>74525.60000000002</v>
      </c>
      <c r="E9" s="90">
        <f t="shared" si="7"/>
        <v>74.525600000000026</v>
      </c>
      <c r="F9" s="90">
        <f t="shared" si="8"/>
        <v>17.812045889101345</v>
      </c>
      <c r="G9" s="90">
        <f t="shared" si="9"/>
        <v>4.8578306970276399</v>
      </c>
      <c r="H9" s="62">
        <f t="shared" si="10"/>
        <v>210.64221216839994</v>
      </c>
      <c r="J9" s="95" t="s">
        <v>317</v>
      </c>
      <c r="K9" s="95"/>
      <c r="Q9" s="102" t="s">
        <v>320</v>
      </c>
      <c r="R9" s="95">
        <v>3.67</v>
      </c>
    </row>
    <row r="10" spans="3:23" ht="18.5">
      <c r="C10" s="89">
        <f t="shared" si="5"/>
        <v>7.5000000000000018</v>
      </c>
      <c r="D10" s="62">
        <f t="shared" si="6"/>
        <v>73545.000000000015</v>
      </c>
      <c r="E10" s="90">
        <f t="shared" si="7"/>
        <v>73.545000000000016</v>
      </c>
      <c r="F10" s="90">
        <f t="shared" si="8"/>
        <v>17.577676864244744</v>
      </c>
      <c r="G10" s="90">
        <f t="shared" si="9"/>
        <v>4.7939118720667482</v>
      </c>
      <c r="H10" s="62">
        <f t="shared" si="10"/>
        <v>207.87060411355253</v>
      </c>
      <c r="J10" s="85" t="s">
        <v>13</v>
      </c>
      <c r="K10" s="85" t="s">
        <v>235</v>
      </c>
      <c r="L10" s="85" t="s">
        <v>308</v>
      </c>
      <c r="Q10" s="102" t="s">
        <v>207</v>
      </c>
      <c r="R10" s="96">
        <f>R8/R9</f>
        <v>2.7247956403269757</v>
      </c>
    </row>
    <row r="11" spans="3:23" ht="21.5">
      <c r="C11" s="89">
        <f t="shared" si="5"/>
        <v>7.4000000000000021</v>
      </c>
      <c r="D11" s="62">
        <f t="shared" si="6"/>
        <v>72564.400000000023</v>
      </c>
      <c r="E11" s="90">
        <f t="shared" si="7"/>
        <v>72.56440000000002</v>
      </c>
      <c r="F11" s="90">
        <f t="shared" si="8"/>
        <v>17.343307839388149</v>
      </c>
      <c r="G11" s="90">
        <f t="shared" si="9"/>
        <v>4.7299930471058591</v>
      </c>
      <c r="H11" s="62">
        <f t="shared" si="10"/>
        <v>205.09899605870515</v>
      </c>
      <c r="J11" s="95">
        <v>7.5</v>
      </c>
      <c r="K11" s="93">
        <f>J11*J8+K8</f>
        <v>17.577676864244737</v>
      </c>
      <c r="L11" s="93">
        <f>4.184*K11</f>
        <v>73.544999999999987</v>
      </c>
      <c r="Q11" s="102" t="s">
        <v>321</v>
      </c>
      <c r="R11" s="96">
        <f>2*R10</f>
        <v>5.4495912806539515</v>
      </c>
      <c r="U11" s="134" t="s">
        <v>338</v>
      </c>
      <c r="V11" s="134"/>
      <c r="W11" s="134"/>
    </row>
    <row r="12" spans="3:23" ht="18.5">
      <c r="C12" s="89">
        <f t="shared" si="5"/>
        <v>7.3000000000000025</v>
      </c>
      <c r="D12" s="62">
        <f t="shared" si="6"/>
        <v>71583.800000000017</v>
      </c>
      <c r="E12" s="90">
        <f t="shared" si="7"/>
        <v>71.583800000000011</v>
      </c>
      <c r="F12" s="90">
        <f t="shared" si="8"/>
        <v>17.108938814531552</v>
      </c>
      <c r="G12" s="90">
        <f t="shared" si="9"/>
        <v>4.6660742221449691</v>
      </c>
      <c r="H12" s="62">
        <f t="shared" si="10"/>
        <v>202.32738800385781</v>
      </c>
      <c r="J12" s="100">
        <v>8</v>
      </c>
      <c r="K12" s="93">
        <f>J12*J8+K8</f>
        <v>18.749521988527718</v>
      </c>
      <c r="L12" s="93">
        <f>4.184*K12</f>
        <v>78.447999999999979</v>
      </c>
      <c r="U12" s="137" t="s">
        <v>325</v>
      </c>
      <c r="V12" s="137"/>
      <c r="W12" s="137"/>
    </row>
    <row r="13" spans="3:23" ht="22.5">
      <c r="C13" s="89">
        <f t="shared" si="5"/>
        <v>7.2000000000000028</v>
      </c>
      <c r="D13" s="62">
        <f t="shared" si="6"/>
        <v>70603.200000000026</v>
      </c>
      <c r="E13" s="90">
        <f t="shared" si="7"/>
        <v>70.603200000000029</v>
      </c>
      <c r="F13" s="90">
        <f t="shared" si="8"/>
        <v>16.874569789674958</v>
      </c>
      <c r="G13" s="90">
        <f t="shared" si="9"/>
        <v>4.6021553971840792</v>
      </c>
      <c r="H13" s="62">
        <f t="shared" si="10"/>
        <v>199.55577994901046</v>
      </c>
      <c r="Q13" s="97" t="s">
        <v>322</v>
      </c>
      <c r="R13" s="97" t="s">
        <v>323</v>
      </c>
      <c r="S13" s="97" t="s">
        <v>324</v>
      </c>
      <c r="U13" s="97" t="s">
        <v>322</v>
      </c>
      <c r="V13" s="97" t="s">
        <v>323</v>
      </c>
      <c r="W13" s="97" t="s">
        <v>324</v>
      </c>
    </row>
    <row r="14" spans="3:23" ht="18.5">
      <c r="C14" s="89">
        <f t="shared" si="5"/>
        <v>7.1000000000000032</v>
      </c>
      <c r="D14" s="62">
        <f t="shared" si="6"/>
        <v>69622.600000000035</v>
      </c>
      <c r="E14" s="90">
        <f t="shared" si="7"/>
        <v>69.622600000000034</v>
      </c>
      <c r="F14" s="90">
        <f t="shared" si="8"/>
        <v>16.640200764818363</v>
      </c>
      <c r="G14" s="90">
        <f t="shared" si="9"/>
        <v>4.5382365722231901</v>
      </c>
      <c r="H14" s="62">
        <f t="shared" si="10"/>
        <v>196.78417189416311</v>
      </c>
      <c r="Q14" s="137" t="s">
        <v>235</v>
      </c>
      <c r="R14" s="137"/>
      <c r="S14" s="137"/>
      <c r="U14" s="137" t="s">
        <v>235</v>
      </c>
      <c r="V14" s="137"/>
      <c r="W14" s="137"/>
    </row>
    <row r="15" spans="3:23" ht="18.5">
      <c r="C15" s="89">
        <f t="shared" si="5"/>
        <v>7.0000000000000036</v>
      </c>
      <c r="D15" s="62">
        <f t="shared" si="6"/>
        <v>68642.000000000029</v>
      </c>
      <c r="E15" s="90">
        <f t="shared" si="7"/>
        <v>68.642000000000024</v>
      </c>
      <c r="F15" s="90">
        <f t="shared" si="8"/>
        <v>16.405831739961766</v>
      </c>
      <c r="G15" s="90">
        <f t="shared" si="9"/>
        <v>4.4743177472623001</v>
      </c>
      <c r="H15" s="62">
        <f t="shared" si="10"/>
        <v>194.01256383931576</v>
      </c>
      <c r="Q15" s="93">
        <f>K12</f>
        <v>18.749521988527718</v>
      </c>
      <c r="R15" s="93">
        <f>Q15</f>
        <v>18.749521988527718</v>
      </c>
      <c r="S15" s="93">
        <f>R15</f>
        <v>18.749521988527718</v>
      </c>
      <c r="U15" s="93">
        <f>Q15</f>
        <v>18.749521988527718</v>
      </c>
      <c r="V15" s="93">
        <f>U15*1/R9</f>
        <v>5.1088615772555093</v>
      </c>
      <c r="W15" s="93">
        <f>U15*R10</f>
        <v>51.088615772555094</v>
      </c>
    </row>
    <row r="16" spans="3:23" ht="19.25">
      <c r="C16" s="89">
        <f t="shared" si="5"/>
        <v>6.9000000000000039</v>
      </c>
      <c r="D16" s="62">
        <f t="shared" si="6"/>
        <v>67661.400000000038</v>
      </c>
      <c r="E16" s="90">
        <f t="shared" si="7"/>
        <v>67.661400000000043</v>
      </c>
      <c r="F16" s="90">
        <f t="shared" si="8"/>
        <v>16.171462715105172</v>
      </c>
      <c r="G16" s="90">
        <f t="shared" si="9"/>
        <v>4.4103989223014102</v>
      </c>
      <c r="H16" s="62">
        <f t="shared" si="10"/>
        <v>191.24095578446841</v>
      </c>
      <c r="U16" s="99" t="s">
        <v>328</v>
      </c>
      <c r="V16" s="84" t="s">
        <v>327</v>
      </c>
      <c r="W16" s="86" t="s">
        <v>334</v>
      </c>
    </row>
    <row r="17" spans="3:23" ht="18.5">
      <c r="C17" s="89">
        <f t="shared" si="5"/>
        <v>6.8000000000000043</v>
      </c>
      <c r="D17" s="62">
        <f t="shared" si="6"/>
        <v>66680.800000000047</v>
      </c>
      <c r="E17" s="90">
        <f t="shared" si="7"/>
        <v>66.680800000000048</v>
      </c>
      <c r="F17" s="90">
        <f t="shared" si="8"/>
        <v>15.937093690248577</v>
      </c>
      <c r="G17" s="90">
        <f t="shared" si="9"/>
        <v>4.3464800973405211</v>
      </c>
      <c r="H17" s="62">
        <f t="shared" si="10"/>
        <v>188.46934772962103</v>
      </c>
      <c r="U17" s="101" t="s">
        <v>329</v>
      </c>
      <c r="V17" s="84" t="s">
        <v>326</v>
      </c>
      <c r="W17" s="86" t="s">
        <v>333</v>
      </c>
    </row>
    <row r="18" spans="3:23" ht="18.5">
      <c r="C18" s="89">
        <f t="shared" si="5"/>
        <v>6.7000000000000046</v>
      </c>
      <c r="D18" s="62">
        <f t="shared" si="6"/>
        <v>65700.200000000041</v>
      </c>
      <c r="E18" s="90">
        <f t="shared" si="7"/>
        <v>65.700200000000038</v>
      </c>
      <c r="F18" s="90">
        <f t="shared" si="8"/>
        <v>15.702724665391978</v>
      </c>
      <c r="G18" s="90">
        <f t="shared" si="9"/>
        <v>4.2825612723796302</v>
      </c>
      <c r="H18" s="62">
        <f t="shared" si="10"/>
        <v>185.69773967477366</v>
      </c>
      <c r="V18" s="100">
        <f>V15*1000/23.062</f>
        <v>221.52725597326813</v>
      </c>
      <c r="W18" s="60">
        <v>8.1999999999999993</v>
      </c>
    </row>
    <row r="19" spans="3:23" ht="21.5">
      <c r="C19" s="89">
        <f t="shared" si="5"/>
        <v>6.600000000000005</v>
      </c>
      <c r="D19" s="62">
        <f t="shared" si="6"/>
        <v>64719.600000000049</v>
      </c>
      <c r="E19" s="90">
        <f t="shared" si="7"/>
        <v>64.719600000000042</v>
      </c>
      <c r="F19" s="90">
        <f t="shared" si="8"/>
        <v>15.468355640535382</v>
      </c>
      <c r="G19" s="90">
        <f t="shared" si="9"/>
        <v>4.2186424474187403</v>
      </c>
      <c r="H19" s="62">
        <f t="shared" si="10"/>
        <v>182.92613161992631</v>
      </c>
      <c r="O19" s="84" t="s">
        <v>129</v>
      </c>
      <c r="P19" s="84" t="s">
        <v>331</v>
      </c>
      <c r="Q19" s="85" t="s">
        <v>336</v>
      </c>
      <c r="R19" s="97" t="s">
        <v>335</v>
      </c>
      <c r="S19" s="97" t="s">
        <v>324</v>
      </c>
    </row>
    <row r="20" spans="3:23" ht="18.5">
      <c r="C20" s="89">
        <f t="shared" si="5"/>
        <v>6.5000000000000053</v>
      </c>
      <c r="D20" s="62">
        <f t="shared" si="6"/>
        <v>63739.000000000051</v>
      </c>
      <c r="E20" s="90">
        <f t="shared" si="7"/>
        <v>63.739000000000054</v>
      </c>
      <c r="F20" s="90">
        <f t="shared" si="8"/>
        <v>15.233986615678788</v>
      </c>
      <c r="G20" s="90">
        <f t="shared" si="9"/>
        <v>4.1547236224578512</v>
      </c>
      <c r="H20" s="62">
        <f t="shared" si="10"/>
        <v>180.15452356507896</v>
      </c>
      <c r="O20" s="42"/>
      <c r="P20" s="42"/>
      <c r="Q20" s="84" t="s">
        <v>119</v>
      </c>
      <c r="R20" s="84" t="s">
        <v>119</v>
      </c>
      <c r="S20" s="84" t="s">
        <v>332</v>
      </c>
    </row>
    <row r="21" spans="3:23" ht="18.5">
      <c r="C21" s="89">
        <f t="shared" si="5"/>
        <v>6.4000000000000057</v>
      </c>
      <c r="D21" s="62">
        <f t="shared" si="6"/>
        <v>62758.400000000052</v>
      </c>
      <c r="E21" s="90">
        <f t="shared" si="7"/>
        <v>62.758400000000051</v>
      </c>
      <c r="F21" s="90">
        <f t="shared" si="8"/>
        <v>14.999617590822192</v>
      </c>
      <c r="G21" s="90">
        <f t="shared" si="9"/>
        <v>4.0908047974969612</v>
      </c>
      <c r="H21" s="62">
        <f t="shared" si="10"/>
        <v>177.38291551023161</v>
      </c>
      <c r="O21" s="42">
        <v>1</v>
      </c>
      <c r="P21" s="44">
        <f>1/(O21+1)*100</f>
        <v>50</v>
      </c>
      <c r="Q21" s="74">
        <f t="shared" ref="Q21:Q26" si="11">-320+2.303*1.987*310/2/23.062*LOG(O21)</f>
        <v>-320</v>
      </c>
      <c r="R21" s="74">
        <f t="shared" ref="R21:R26" si="12">820-Q21</f>
        <v>1140</v>
      </c>
      <c r="S21" s="37">
        <f t="shared" ref="S21:S26" si="13">-2*23.062*R21/1000</f>
        <v>-52.581360000000004</v>
      </c>
    </row>
    <row r="22" spans="3:23" ht="18.5">
      <c r="C22" s="89">
        <f t="shared" si="5"/>
        <v>6.300000000000006</v>
      </c>
      <c r="D22" s="62">
        <f t="shared" si="6"/>
        <v>61777.800000000061</v>
      </c>
      <c r="E22" s="90">
        <f t="shared" si="7"/>
        <v>61.777800000000063</v>
      </c>
      <c r="F22" s="90">
        <f t="shared" si="8"/>
        <v>14.765248565965598</v>
      </c>
      <c r="G22" s="90">
        <f t="shared" si="9"/>
        <v>4.0268859725360722</v>
      </c>
      <c r="H22" s="62">
        <f t="shared" si="10"/>
        <v>174.61130745538426</v>
      </c>
      <c r="O22" s="42">
        <v>5</v>
      </c>
      <c r="P22" s="44">
        <f t="shared" ref="P22:P26" si="14">1/(O22+1)*100</f>
        <v>16.666666666666664</v>
      </c>
      <c r="Q22" s="74">
        <f t="shared" si="11"/>
        <v>-298.50264272670012</v>
      </c>
      <c r="R22" s="74">
        <f t="shared" si="12"/>
        <v>1118.5026427267001</v>
      </c>
      <c r="S22" s="37">
        <f t="shared" si="13"/>
        <v>-51.589815893126314</v>
      </c>
    </row>
    <row r="23" spans="3:23" ht="18.5">
      <c r="C23" s="89">
        <f t="shared" si="5"/>
        <v>6.2000000000000064</v>
      </c>
      <c r="D23" s="62">
        <f t="shared" si="6"/>
        <v>60797.200000000063</v>
      </c>
      <c r="E23" s="90">
        <f t="shared" si="7"/>
        <v>60.797200000000061</v>
      </c>
      <c r="F23" s="90">
        <f t="shared" si="8"/>
        <v>14.530879541109</v>
      </c>
      <c r="G23" s="90">
        <f t="shared" si="9"/>
        <v>3.9629671475751818</v>
      </c>
      <c r="H23" s="62">
        <f t="shared" si="10"/>
        <v>171.83969940053689</v>
      </c>
      <c r="O23" s="42">
        <v>10</v>
      </c>
      <c r="P23" s="44">
        <f t="shared" si="14"/>
        <v>9.0909090909090917</v>
      </c>
      <c r="Q23" s="74">
        <f t="shared" si="11"/>
        <v>-289.24423488856127</v>
      </c>
      <c r="R23" s="74">
        <f t="shared" si="12"/>
        <v>1109.2442348885613</v>
      </c>
      <c r="S23" s="37">
        <f t="shared" si="13"/>
        <v>-51.162781090000003</v>
      </c>
    </row>
    <row r="24" spans="3:23" ht="18.5">
      <c r="C24" s="89">
        <f t="shared" si="5"/>
        <v>6.1000000000000068</v>
      </c>
      <c r="D24" s="62">
        <f t="shared" si="6"/>
        <v>59816.600000000064</v>
      </c>
      <c r="E24" s="90">
        <f t="shared" si="7"/>
        <v>59.816600000000065</v>
      </c>
      <c r="F24" s="90">
        <f t="shared" si="8"/>
        <v>14.296510516252406</v>
      </c>
      <c r="G24" s="90">
        <f t="shared" si="9"/>
        <v>3.8990483226142927</v>
      </c>
      <c r="H24" s="62">
        <f t="shared" si="10"/>
        <v>169.06809134568957</v>
      </c>
      <c r="O24" s="42">
        <v>11.25</v>
      </c>
      <c r="P24" s="44">
        <f t="shared" si="14"/>
        <v>8.1632653061224492</v>
      </c>
      <c r="Q24" s="74">
        <f t="shared" si="11"/>
        <v>-287.67099992331202</v>
      </c>
      <c r="R24" s="74">
        <f t="shared" si="12"/>
        <v>1107.6709999233121</v>
      </c>
      <c r="S24" s="37">
        <f t="shared" si="13"/>
        <v>-51.090217200462853</v>
      </c>
    </row>
    <row r="25" spans="3:23" ht="18.5">
      <c r="C25" s="89">
        <f t="shared" si="5"/>
        <v>6.0000000000000071</v>
      </c>
      <c r="D25" s="62">
        <f t="shared" si="6"/>
        <v>58836.000000000073</v>
      </c>
      <c r="E25" s="90">
        <f t="shared" si="7"/>
        <v>58.83600000000007</v>
      </c>
      <c r="F25" s="90">
        <f t="shared" si="8"/>
        <v>14.06214149139581</v>
      </c>
      <c r="G25" s="90">
        <f t="shared" si="9"/>
        <v>3.8351294976534027</v>
      </c>
      <c r="H25" s="62">
        <f t="shared" si="10"/>
        <v>166.29648329084219</v>
      </c>
      <c r="O25" s="42">
        <v>500</v>
      </c>
      <c r="P25" s="44">
        <f t="shared" si="14"/>
        <v>0.19960079840319359</v>
      </c>
      <c r="Q25" s="74">
        <f t="shared" si="11"/>
        <v>-236.99111250382265</v>
      </c>
      <c r="R25" s="74">
        <f t="shared" si="12"/>
        <v>1056.9911125038227</v>
      </c>
      <c r="S25" s="37">
        <f t="shared" si="13"/>
        <v>-48.752658073126327</v>
      </c>
    </row>
    <row r="26" spans="3:23" ht="18.5">
      <c r="C26" s="89">
        <f t="shared" si="5"/>
        <v>5.9000000000000075</v>
      </c>
      <c r="D26" s="62">
        <f t="shared" si="6"/>
        <v>57855.400000000074</v>
      </c>
      <c r="E26" s="90">
        <f t="shared" si="7"/>
        <v>57.855400000000074</v>
      </c>
      <c r="F26" s="90">
        <f t="shared" si="8"/>
        <v>13.827772466539214</v>
      </c>
      <c r="G26" s="90">
        <f t="shared" si="9"/>
        <v>3.7712106726925132</v>
      </c>
      <c r="H26" s="62">
        <f t="shared" si="10"/>
        <v>163.52487523599484</v>
      </c>
      <c r="O26" s="42">
        <v>1000</v>
      </c>
      <c r="P26" s="44">
        <f t="shared" si="14"/>
        <v>9.9900099900099903E-2</v>
      </c>
      <c r="Q26" s="74">
        <f t="shared" si="11"/>
        <v>-227.73270466568383</v>
      </c>
      <c r="R26" s="74">
        <f t="shared" si="12"/>
        <v>1047.7327046656837</v>
      </c>
      <c r="S26" s="37">
        <f t="shared" si="13"/>
        <v>-48.325623269999994</v>
      </c>
    </row>
    <row r="27" spans="3:23" ht="18.5">
      <c r="C27" s="89">
        <f t="shared" si="5"/>
        <v>5.8000000000000078</v>
      </c>
      <c r="D27" s="62">
        <f t="shared" si="6"/>
        <v>56874.800000000076</v>
      </c>
      <c r="E27" s="90">
        <f t="shared" si="7"/>
        <v>56.874800000000079</v>
      </c>
      <c r="F27" s="90">
        <f t="shared" si="8"/>
        <v>13.593403441682618</v>
      </c>
      <c r="G27" s="90">
        <f t="shared" si="9"/>
        <v>3.7072918477316232</v>
      </c>
      <c r="H27" s="62">
        <f t="shared" si="10"/>
        <v>160.75326718114749</v>
      </c>
    </row>
    <row r="28" spans="3:23" ht="18.5">
      <c r="C28" s="89">
        <f t="shared" si="5"/>
        <v>5.7000000000000082</v>
      </c>
      <c r="D28" s="62">
        <f t="shared" si="6"/>
        <v>55894.200000000077</v>
      </c>
      <c r="E28" s="90">
        <f t="shared" si="7"/>
        <v>55.894200000000076</v>
      </c>
      <c r="F28" s="90">
        <f t="shared" si="8"/>
        <v>13.359034416826022</v>
      </c>
      <c r="G28" s="90">
        <f t="shared" si="9"/>
        <v>3.6433730227707333</v>
      </c>
      <c r="H28" s="62">
        <f t="shared" si="10"/>
        <v>157.98165912630012</v>
      </c>
    </row>
    <row r="29" spans="3:23" ht="18.5">
      <c r="C29" s="89">
        <f t="shared" si="5"/>
        <v>5.6000000000000085</v>
      </c>
      <c r="D29" s="62">
        <f t="shared" si="6"/>
        <v>54913.600000000086</v>
      </c>
      <c r="E29" s="90">
        <f t="shared" si="7"/>
        <v>54.913600000000088</v>
      </c>
      <c r="F29" s="90">
        <f t="shared" si="8"/>
        <v>13.124665391969428</v>
      </c>
      <c r="G29" s="90">
        <f t="shared" si="9"/>
        <v>3.5794541978098442</v>
      </c>
      <c r="H29" s="62">
        <f t="shared" si="10"/>
        <v>155.21005107145277</v>
      </c>
    </row>
    <row r="30" spans="3:23" ht="18.5">
      <c r="C30" s="89">
        <f>C29-0.1</f>
        <v>5.5000000000000089</v>
      </c>
      <c r="D30" s="62">
        <f t="shared" si="6"/>
        <v>53933.000000000087</v>
      </c>
      <c r="E30" s="90">
        <f t="shared" si="7"/>
        <v>53.933000000000085</v>
      </c>
      <c r="F30" s="90">
        <f t="shared" si="8"/>
        <v>12.89029636711283</v>
      </c>
      <c r="G30" s="90">
        <f t="shared" si="9"/>
        <v>3.5155353728489538</v>
      </c>
      <c r="H30" s="62">
        <f t="shared" si="10"/>
        <v>152.43844301660539</v>
      </c>
    </row>
    <row r="31" spans="3:23" ht="18.5">
      <c r="C31" s="89">
        <f t="shared" ref="C31:C35" si="15">C30-0.1</f>
        <v>5.4000000000000092</v>
      </c>
      <c r="D31" s="62">
        <f t="shared" ref="D31:D34" si="16">9806*C31</f>
        <v>52952.400000000089</v>
      </c>
      <c r="E31" s="90">
        <f t="shared" ref="E31:E34" si="17">D31/1000</f>
        <v>52.95240000000009</v>
      </c>
      <c r="F31" s="90">
        <f t="shared" ref="F31:F34" si="18">E31/4.184</f>
        <v>12.655927342256236</v>
      </c>
      <c r="G31" s="90">
        <f t="shared" ref="G31:G34" si="19">F31/(11/3)</f>
        <v>3.4516165478880643</v>
      </c>
      <c r="H31" s="62">
        <f t="shared" ref="H31:H34" si="20">G31*1000/23.062</f>
        <v>149.66683496175804</v>
      </c>
    </row>
    <row r="32" spans="3:23" ht="18.5">
      <c r="C32" s="89">
        <f t="shared" si="15"/>
        <v>5.3000000000000096</v>
      </c>
      <c r="D32" s="62">
        <f t="shared" si="16"/>
        <v>51971.800000000097</v>
      </c>
      <c r="E32" s="90">
        <f t="shared" si="17"/>
        <v>51.971800000000094</v>
      </c>
      <c r="F32" s="90">
        <f t="shared" si="18"/>
        <v>12.42155831739964</v>
      </c>
      <c r="G32" s="90">
        <f t="shared" si="19"/>
        <v>3.3876977229271747</v>
      </c>
      <c r="H32" s="62">
        <f t="shared" si="20"/>
        <v>146.89522690691069</v>
      </c>
    </row>
    <row r="33" spans="3:8" ht="18.5">
      <c r="C33" s="89">
        <f t="shared" si="15"/>
        <v>5.2000000000000099</v>
      </c>
      <c r="D33" s="62">
        <f t="shared" si="16"/>
        <v>50991.200000000099</v>
      </c>
      <c r="E33" s="90">
        <f t="shared" si="17"/>
        <v>50.991200000000099</v>
      </c>
      <c r="F33" s="90">
        <f t="shared" si="18"/>
        <v>12.187189292543044</v>
      </c>
      <c r="G33" s="90">
        <f t="shared" si="19"/>
        <v>3.3237788979662848</v>
      </c>
      <c r="H33" s="62">
        <f t="shared" si="20"/>
        <v>144.12361885206332</v>
      </c>
    </row>
    <row r="34" spans="3:8" ht="18.5">
      <c r="C34" s="89">
        <f t="shared" si="15"/>
        <v>5.1000000000000103</v>
      </c>
      <c r="D34" s="62">
        <f t="shared" si="16"/>
        <v>50010.6000000001</v>
      </c>
      <c r="E34" s="90">
        <f t="shared" si="17"/>
        <v>50.010600000000103</v>
      </c>
      <c r="F34" s="90">
        <f t="shared" si="18"/>
        <v>11.952820267686448</v>
      </c>
      <c r="G34" s="90">
        <f t="shared" si="19"/>
        <v>3.2598600730053953</v>
      </c>
      <c r="H34" s="62">
        <f t="shared" si="20"/>
        <v>141.352010797216</v>
      </c>
    </row>
    <row r="35" spans="3:8" ht="18.5">
      <c r="C35" s="89">
        <f t="shared" si="15"/>
        <v>5.0000000000000107</v>
      </c>
      <c r="D35" s="62">
        <f t="shared" ref="D35" si="21">9806*C35</f>
        <v>49030.000000000102</v>
      </c>
      <c r="E35" s="90">
        <f t="shared" ref="E35" si="22">D35/1000</f>
        <v>49.030000000000101</v>
      </c>
      <c r="F35" s="90">
        <f t="shared" ref="F35" si="23">E35/4.184</f>
        <v>11.718451242829852</v>
      </c>
      <c r="G35" s="90">
        <f t="shared" ref="G35" si="24">F35/(11/3)</f>
        <v>3.1959412480445053</v>
      </c>
      <c r="H35" s="62">
        <f t="shared" ref="H35" si="25">G35*1000/23.062</f>
        <v>138.58040274236862</v>
      </c>
    </row>
    <row r="37" spans="3:8" ht="18.5">
      <c r="C37" t="s">
        <v>351</v>
      </c>
      <c r="D37" s="107">
        <f>D5-D35</f>
        <v>29417.999999999898</v>
      </c>
    </row>
    <row r="39" spans="3:8">
      <c r="D39">
        <f>1.31*D37</f>
        <v>38537.579999999871</v>
      </c>
    </row>
    <row r="40" spans="3:8">
      <c r="D40">
        <f>1.31*78448/1000</f>
        <v>102.76688</v>
      </c>
    </row>
  </sheetData>
  <mergeCells count="7">
    <mergeCell ref="U14:W14"/>
    <mergeCell ref="U11:W11"/>
    <mergeCell ref="U12:W12"/>
    <mergeCell ref="D3:F3"/>
    <mergeCell ref="G3:H3"/>
    <mergeCell ref="Q6:R6"/>
    <mergeCell ref="Q14:S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322E-0CF3-4583-8778-DFE09D1E2A91}">
  <dimension ref="A1:AL57"/>
  <sheetViews>
    <sheetView topLeftCell="A10" workbookViewId="0">
      <selection activeCell="N26" sqref="N26"/>
    </sheetView>
  </sheetViews>
  <sheetFormatPr defaultColWidth="8.7265625" defaultRowHeight="16"/>
  <cols>
    <col min="1" max="1" width="9.1328125" style="16" customWidth="1"/>
    <col min="2" max="2" width="10.1328125" style="16" customWidth="1"/>
    <col min="3" max="3" width="8.40625" style="16" customWidth="1"/>
    <col min="4" max="4" width="10.40625" style="16" customWidth="1"/>
    <col min="5" max="5" width="9.54296875" style="16" customWidth="1"/>
    <col min="6" max="6" width="10.1328125" style="16" customWidth="1"/>
    <col min="7" max="7" width="10.86328125" style="16" customWidth="1"/>
    <col min="8" max="8" width="10.26953125" style="16" customWidth="1"/>
    <col min="9" max="9" width="11.1328125" style="16" customWidth="1"/>
    <col min="10" max="10" width="11.54296875" style="16" customWidth="1"/>
    <col min="11" max="11" width="10.40625" style="16" customWidth="1"/>
    <col min="12" max="12" width="11" style="16" customWidth="1"/>
    <col min="13" max="13" width="8.7265625" style="16" bestFit="1"/>
    <col min="14" max="14" width="11" style="16" customWidth="1"/>
    <col min="15" max="15" width="12.86328125" style="16" customWidth="1"/>
    <col min="16" max="16" width="7.7265625" style="16" customWidth="1"/>
    <col min="17" max="17" width="9" style="16" customWidth="1"/>
    <col min="18" max="18" width="8.26953125" style="16" customWidth="1"/>
    <col min="19" max="19" width="11.26953125" style="16" customWidth="1"/>
    <col min="20" max="20" width="8.7265625" style="16" bestFit="1"/>
    <col min="21" max="21" width="11.40625" style="16" customWidth="1"/>
    <col min="22" max="22" width="9" style="16" bestFit="1" customWidth="1"/>
    <col min="23" max="23" width="10.40625" style="16" customWidth="1"/>
    <col min="24" max="36" width="8.7265625" style="16"/>
    <col min="37" max="38" width="8.7265625" style="16" bestFit="1"/>
    <col min="39" max="16384" width="8.7265625" style="16"/>
  </cols>
  <sheetData>
    <row r="1" spans="1:38">
      <c r="A1" s="16" t="s">
        <v>112</v>
      </c>
    </row>
    <row r="2" spans="1:38">
      <c r="K2" s="131" t="s">
        <v>113</v>
      </c>
      <c r="L2" s="131"/>
      <c r="M2" s="131"/>
      <c r="S2" s="27" t="s">
        <v>134</v>
      </c>
      <c r="T2" s="27"/>
      <c r="U2" s="27"/>
      <c r="V2" s="27"/>
      <c r="W2" s="27"/>
    </row>
    <row r="3" spans="1:38">
      <c r="A3" s="16" t="s">
        <v>114</v>
      </c>
      <c r="E3" s="16" t="s">
        <v>180</v>
      </c>
      <c r="K3" s="24" t="s">
        <v>115</v>
      </c>
      <c r="L3" s="24" t="s">
        <v>116</v>
      </c>
      <c r="M3" s="24" t="s">
        <v>117</v>
      </c>
      <c r="S3" s="23" t="s">
        <v>135</v>
      </c>
      <c r="T3" s="27"/>
      <c r="U3" s="27"/>
      <c r="V3" s="27"/>
      <c r="W3" s="27"/>
      <c r="AJ3" s="16" t="s">
        <v>14</v>
      </c>
      <c r="AK3" s="16" t="s">
        <v>136</v>
      </c>
      <c r="AL3" s="16" t="s">
        <v>137</v>
      </c>
    </row>
    <row r="4" spans="1:38">
      <c r="A4" s="16" t="s">
        <v>118</v>
      </c>
      <c r="B4" s="20">
        <v>20</v>
      </c>
      <c r="E4" s="17">
        <v>8.8999999999999999E-3</v>
      </c>
      <c r="F4" s="16" t="s">
        <v>85</v>
      </c>
      <c r="G4" s="16" t="s">
        <v>81</v>
      </c>
      <c r="K4" s="24" t="s">
        <v>119</v>
      </c>
      <c r="L4" s="24" t="s">
        <v>120</v>
      </c>
      <c r="M4" s="24" t="s">
        <v>36</v>
      </c>
      <c r="S4" s="23" t="s">
        <v>138</v>
      </c>
      <c r="T4" s="134" t="s">
        <v>139</v>
      </c>
      <c r="U4" s="134"/>
      <c r="V4" s="134"/>
      <c r="W4" s="134"/>
      <c r="AJ4" s="36" t="s">
        <v>64</v>
      </c>
      <c r="AK4" s="16">
        <f>SLOPE(S11:S15,T11:T15)</f>
        <v>-975.42756285969028</v>
      </c>
      <c r="AL4" s="16">
        <f>INTERCEPT(S11:S15,T11:T15)</f>
        <v>18617.894281059907</v>
      </c>
    </row>
    <row r="5" spans="1:38">
      <c r="A5" s="16" t="s">
        <v>121</v>
      </c>
      <c r="B5" s="20">
        <v>20</v>
      </c>
      <c r="D5" s="24"/>
      <c r="H5" s="131"/>
      <c r="I5" s="131"/>
      <c r="J5" s="131"/>
      <c r="K5" s="16">
        <v>210</v>
      </c>
      <c r="L5" s="21">
        <f>K5*23.062</f>
        <v>4843.0200000000004</v>
      </c>
      <c r="M5" s="21">
        <f>L5*11/3</f>
        <v>17757.740000000002</v>
      </c>
      <c r="S5" s="23" t="s">
        <v>140</v>
      </c>
      <c r="T5" s="23" t="s">
        <v>141</v>
      </c>
      <c r="U5" s="23" t="s">
        <v>140</v>
      </c>
      <c r="V5" s="23" t="s">
        <v>142</v>
      </c>
      <c r="W5" s="27" t="s">
        <v>143</v>
      </c>
      <c r="AJ5" s="36" t="s">
        <v>122</v>
      </c>
      <c r="AK5" s="16">
        <f>SLOPE(S11:S15,U11:U15)</f>
        <v>-258.18405497787711</v>
      </c>
      <c r="AL5" s="16">
        <f>INTERCEPT(S11:S15,U11:U15)</f>
        <v>4511.668797754558</v>
      </c>
    </row>
    <row r="6" spans="1:38">
      <c r="A6" s="16" t="s">
        <v>181</v>
      </c>
      <c r="B6" s="16">
        <v>18</v>
      </c>
      <c r="D6" s="24"/>
      <c r="H6" s="24"/>
      <c r="I6" s="24"/>
      <c r="J6" s="24"/>
      <c r="K6" s="16">
        <v>170</v>
      </c>
      <c r="L6" s="21">
        <f>K6*23.062</f>
        <v>3920.5400000000004</v>
      </c>
      <c r="M6" s="21">
        <f>L6*11/3</f>
        <v>14375.313333333334</v>
      </c>
      <c r="S6" s="27">
        <v>480</v>
      </c>
      <c r="T6" s="27">
        <v>15</v>
      </c>
      <c r="U6" s="35">
        <f>W6*1000/T6</f>
        <v>744.04761904761904</v>
      </c>
      <c r="V6" s="27">
        <v>250</v>
      </c>
      <c r="W6" s="26">
        <f>V6/22.4</f>
        <v>11.160714285714286</v>
      </c>
      <c r="AJ6" s="36" t="s">
        <v>95</v>
      </c>
      <c r="AK6" s="16">
        <f>SLOPE(S11:S15,V11:V15)</f>
        <v>-163.70400914827644</v>
      </c>
      <c r="AL6" s="16">
        <f>INTERCEPT(S11:S15,V11:V15)</f>
        <v>2405.2987571004251</v>
      </c>
    </row>
    <row r="7" spans="1:38">
      <c r="A7" s="29" t="s">
        <v>123</v>
      </c>
      <c r="B7" s="16">
        <v>15</v>
      </c>
      <c r="I7" s="24"/>
      <c r="J7" s="24"/>
      <c r="K7" s="131" t="s">
        <v>124</v>
      </c>
      <c r="L7" s="131"/>
      <c r="M7" s="131"/>
    </row>
    <row r="8" spans="1:38">
      <c r="H8" s="30" t="s">
        <v>125</v>
      </c>
      <c r="J8" s="24" t="s">
        <v>125</v>
      </c>
      <c r="K8" s="24" t="s">
        <v>126</v>
      </c>
      <c r="L8" s="24" t="s">
        <v>127</v>
      </c>
      <c r="M8" s="24" t="s">
        <v>128</v>
      </c>
      <c r="S8" s="134" t="s">
        <v>144</v>
      </c>
      <c r="T8" s="134"/>
      <c r="U8" s="134"/>
      <c r="V8" s="134"/>
      <c r="AJ8" s="137" t="s">
        <v>145</v>
      </c>
      <c r="AK8" s="137"/>
    </row>
    <row r="9" spans="1:38">
      <c r="G9" s="16" t="s">
        <v>129</v>
      </c>
      <c r="H9" s="31"/>
      <c r="I9" s="24" t="s">
        <v>130</v>
      </c>
      <c r="K9" s="30" t="s">
        <v>119</v>
      </c>
      <c r="L9" s="24" t="s">
        <v>120</v>
      </c>
      <c r="M9" s="24" t="s">
        <v>36</v>
      </c>
      <c r="S9" s="23" t="s">
        <v>146</v>
      </c>
      <c r="T9" s="134" t="s">
        <v>147</v>
      </c>
      <c r="U9" s="134"/>
      <c r="V9" s="134"/>
      <c r="AJ9" s="36" t="s">
        <v>64</v>
      </c>
      <c r="AK9" s="37">
        <f>-1*AL4/AK4</f>
        <v>19.086906080936721</v>
      </c>
    </row>
    <row r="10" spans="1:38" ht="15.75" customHeight="1">
      <c r="B10" s="24"/>
      <c r="C10" s="24"/>
      <c r="D10" s="24"/>
      <c r="E10" s="24"/>
      <c r="F10" s="24"/>
      <c r="G10" s="16">
        <v>0.1</v>
      </c>
      <c r="H10" s="32">
        <f>-320+2.303*1.987*310/2/23.062*LOG(G10)</f>
        <v>-350.75576511143873</v>
      </c>
      <c r="I10" s="16">
        <v>0.2</v>
      </c>
      <c r="J10" s="32">
        <f>820+2.303*1.987*310/2/23.062*LOG(I10)</f>
        <v>798.50264272670006</v>
      </c>
      <c r="K10" s="19">
        <f>J10-H10</f>
        <v>1149.2584078381387</v>
      </c>
      <c r="L10" s="33">
        <f>2*23.062*K10</f>
        <v>53008.394803126313</v>
      </c>
      <c r="M10" s="23">
        <f>2.7*15</f>
        <v>40.5</v>
      </c>
      <c r="S10" s="27"/>
      <c r="T10" s="38" t="s">
        <v>121</v>
      </c>
      <c r="U10" s="23" t="s">
        <v>122</v>
      </c>
      <c r="V10" s="23" t="s">
        <v>93</v>
      </c>
      <c r="AJ10" s="36" t="s">
        <v>122</v>
      </c>
      <c r="AK10" s="37">
        <f>-1*AL5/AK5</f>
        <v>17.474622118477249</v>
      </c>
    </row>
    <row r="11" spans="1:38">
      <c r="A11" s="29"/>
      <c r="C11" s="24"/>
      <c r="E11" s="12"/>
      <c r="F11" s="12"/>
      <c r="G11" s="16">
        <v>9</v>
      </c>
      <c r="H11" s="32">
        <f>-320+2.303*1.987*310/2/23.062*LOG(G11)</f>
        <v>-290.65154152033426</v>
      </c>
      <c r="I11" s="16">
        <v>0.2</v>
      </c>
      <c r="J11" s="32">
        <f>820+2.303*1.987*310/2/23.062*LOG(I11)</f>
        <v>798.50264272670006</v>
      </c>
      <c r="K11" s="19">
        <f>J11-H11</f>
        <v>1089.1541842470342</v>
      </c>
      <c r="L11" s="33">
        <f>2*23.062*K11</f>
        <v>50236.147594210212</v>
      </c>
      <c r="M11" s="23">
        <f>2.7*15</f>
        <v>40.5</v>
      </c>
      <c r="S11" s="27">
        <v>123</v>
      </c>
      <c r="T11" s="15">
        <v>18.966956043956042</v>
      </c>
      <c r="U11" s="15">
        <v>17.005150066666669</v>
      </c>
      <c r="V11" s="15">
        <v>13.943643032121523</v>
      </c>
      <c r="AJ11" s="36" t="s">
        <v>95</v>
      </c>
      <c r="AK11" s="37">
        <f>-1*AL6/AK6</f>
        <v>14.692974042693134</v>
      </c>
    </row>
    <row r="12" spans="1:38">
      <c r="A12" s="39" t="s">
        <v>148</v>
      </c>
      <c r="C12" s="24"/>
      <c r="E12" s="12"/>
      <c r="F12" s="12"/>
      <c r="G12" s="12"/>
      <c r="S12" s="27">
        <v>151</v>
      </c>
      <c r="T12" s="15">
        <v>18.927286593406595</v>
      </c>
      <c r="U12" s="15">
        <v>16.869853000000003</v>
      </c>
      <c r="V12" s="15">
        <v>13.766407575326944</v>
      </c>
    </row>
    <row r="13" spans="1:38">
      <c r="E13" s="24" t="s">
        <v>82</v>
      </c>
      <c r="F13" s="131" t="s">
        <v>149</v>
      </c>
      <c r="G13" s="131"/>
      <c r="K13" s="24" t="s">
        <v>31</v>
      </c>
      <c r="L13" s="131" t="s">
        <v>150</v>
      </c>
      <c r="M13" s="131"/>
      <c r="N13" s="24" t="s">
        <v>104</v>
      </c>
      <c r="O13" s="24" t="s">
        <v>105</v>
      </c>
      <c r="P13" s="16" t="s">
        <v>84</v>
      </c>
      <c r="S13" s="27">
        <v>191</v>
      </c>
      <c r="T13" s="15">
        <v>18.882658461538462</v>
      </c>
      <c r="U13" s="15">
        <v>16.743012000000004</v>
      </c>
      <c r="V13" s="15">
        <v>13.516608228995208</v>
      </c>
    </row>
    <row r="14" spans="1:38">
      <c r="C14" s="131" t="s">
        <v>69</v>
      </c>
      <c r="D14" s="131"/>
      <c r="E14" s="24" t="s">
        <v>83</v>
      </c>
      <c r="F14" s="24"/>
      <c r="G14" s="24"/>
      <c r="H14" s="131" t="s">
        <v>151</v>
      </c>
      <c r="I14" s="131"/>
      <c r="J14" s="131"/>
      <c r="K14" s="24" t="s">
        <v>152</v>
      </c>
      <c r="L14" s="24"/>
      <c r="M14" s="24"/>
      <c r="N14" s="24"/>
      <c r="O14" s="24"/>
      <c r="P14" s="24"/>
      <c r="Q14" s="24"/>
      <c r="R14" s="24"/>
      <c r="S14" s="27">
        <v>225</v>
      </c>
      <c r="T14" s="15">
        <v>18.859517948717951</v>
      </c>
      <c r="U14" s="15">
        <v>16.616171000000001</v>
      </c>
      <c r="V14" s="15">
        <v>13.339372772200628</v>
      </c>
      <c r="W14" s="24"/>
    </row>
    <row r="15" spans="1:38">
      <c r="A15" s="131" t="s">
        <v>80</v>
      </c>
      <c r="B15" s="131"/>
      <c r="C15" s="24" t="s">
        <v>75</v>
      </c>
      <c r="D15" s="40" t="s">
        <v>70</v>
      </c>
      <c r="E15" s="24" t="s">
        <v>10</v>
      </c>
      <c r="F15" s="24" t="s">
        <v>153</v>
      </c>
      <c r="G15" s="24" t="s">
        <v>154</v>
      </c>
      <c r="K15" s="24" t="s">
        <v>78</v>
      </c>
      <c r="L15" s="24" t="s">
        <v>4</v>
      </c>
      <c r="M15" s="2" t="s">
        <v>155</v>
      </c>
      <c r="N15" s="24" t="s">
        <v>79</v>
      </c>
      <c r="O15" s="24" t="s">
        <v>156</v>
      </c>
      <c r="P15" s="24" t="s">
        <v>10</v>
      </c>
      <c r="Q15" s="24" t="s">
        <v>157</v>
      </c>
      <c r="R15" s="24"/>
      <c r="S15" s="27">
        <v>261</v>
      </c>
      <c r="T15" s="15">
        <v>18.823154285714285</v>
      </c>
      <c r="U15" s="15">
        <v>16.455505733333336</v>
      </c>
      <c r="V15" s="15">
        <v>13.089573425868892</v>
      </c>
      <c r="W15" s="24"/>
    </row>
    <row r="16" spans="1:38">
      <c r="A16" s="24" t="s">
        <v>16</v>
      </c>
      <c r="B16" s="24" t="s">
        <v>17</v>
      </c>
      <c r="H16" s="41" t="s">
        <v>86</v>
      </c>
      <c r="I16" s="24" t="s">
        <v>76</v>
      </c>
      <c r="J16" s="24" t="s">
        <v>21</v>
      </c>
      <c r="M16" s="42"/>
      <c r="T16" s="12"/>
    </row>
    <row r="17" spans="1:23">
      <c r="A17" s="24" t="s">
        <v>132</v>
      </c>
      <c r="B17" s="24" t="s">
        <v>127</v>
      </c>
      <c r="C17" s="18">
        <v>5</v>
      </c>
      <c r="D17" s="16">
        <v>5000</v>
      </c>
      <c r="E17" s="16">
        <v>10</v>
      </c>
      <c r="F17" s="16">
        <v>1800</v>
      </c>
      <c r="G17" s="16">
        <v>1600</v>
      </c>
      <c r="H17" s="43">
        <f>J17/2.54</f>
        <v>78.740157480314963</v>
      </c>
      <c r="I17" s="14">
        <f>J17/100</f>
        <v>2</v>
      </c>
      <c r="J17" s="19">
        <f>F17-G17</f>
        <v>200</v>
      </c>
      <c r="K17" s="17">
        <f>980*J17</f>
        <v>196000</v>
      </c>
      <c r="L17" s="17">
        <f>D17*K17</f>
        <v>980000000</v>
      </c>
      <c r="M17" s="44">
        <f>L17/10000000</f>
        <v>98</v>
      </c>
      <c r="N17" s="14">
        <f>K17/D17</f>
        <v>39.200000000000003</v>
      </c>
      <c r="O17" s="18">
        <f>1/N17</f>
        <v>2.551020408163265E-2</v>
      </c>
      <c r="P17" s="14">
        <f>2*(8*E4*E17/3.1416/N17)^0.25</f>
        <v>0.55149395348998187</v>
      </c>
      <c r="Q17" s="18">
        <f>P17/2.54</f>
        <v>0.21712360373621334</v>
      </c>
      <c r="S17" s="18"/>
      <c r="T17" s="13"/>
      <c r="U17" s="17"/>
      <c r="V17" s="17"/>
      <c r="W17" s="17"/>
    </row>
    <row r="18" spans="1:23">
      <c r="A18" s="24"/>
      <c r="B18" s="24"/>
      <c r="H18" s="45"/>
      <c r="T18" s="12"/>
    </row>
    <row r="19" spans="1:23" ht="18.5">
      <c r="A19" s="24" t="s">
        <v>182</v>
      </c>
      <c r="B19" s="24" t="s">
        <v>181</v>
      </c>
      <c r="C19" s="18">
        <v>5</v>
      </c>
      <c r="D19" s="46">
        <f>D17</f>
        <v>5000</v>
      </c>
      <c r="E19" s="16">
        <v>10</v>
      </c>
      <c r="F19" s="16">
        <f>G17</f>
        <v>1600</v>
      </c>
      <c r="G19" s="16">
        <v>1400</v>
      </c>
      <c r="H19" s="43">
        <f>J19/2.54</f>
        <v>78.740157480314963</v>
      </c>
      <c r="I19" s="14">
        <f>J19/100</f>
        <v>2</v>
      </c>
      <c r="J19" s="19">
        <f>F19-G19</f>
        <v>200</v>
      </c>
      <c r="K19" s="17">
        <f>980*J19</f>
        <v>196000</v>
      </c>
      <c r="L19" s="17">
        <f>D19*K19</f>
        <v>980000000</v>
      </c>
      <c r="M19" s="44">
        <f>L19/10000000</f>
        <v>98</v>
      </c>
      <c r="N19" s="14">
        <f>K19/D19</f>
        <v>39.200000000000003</v>
      </c>
      <c r="O19" s="18">
        <f>1/N19</f>
        <v>2.551020408163265E-2</v>
      </c>
      <c r="P19" s="14">
        <f>2*(8*E4*E19/3.1416/N19)^0.25</f>
        <v>0.55149395348998187</v>
      </c>
      <c r="Q19" s="18">
        <f>P19/2.54</f>
        <v>0.21712360373621334</v>
      </c>
      <c r="S19" s="18"/>
      <c r="T19" s="13"/>
      <c r="U19" s="17"/>
      <c r="V19" s="17"/>
      <c r="W19" s="17"/>
    </row>
    <row r="20" spans="1:23">
      <c r="A20" s="24"/>
      <c r="B20" s="24"/>
      <c r="C20" s="18"/>
      <c r="D20" s="46"/>
      <c r="H20" s="45"/>
      <c r="J20" s="14"/>
      <c r="L20" s="17"/>
      <c r="S20" s="18"/>
      <c r="T20" s="13"/>
      <c r="W20" s="17"/>
    </row>
    <row r="21" spans="1:23" ht="18.5">
      <c r="A21" s="31" t="s">
        <v>181</v>
      </c>
      <c r="B21" s="24" t="s">
        <v>183</v>
      </c>
      <c r="C21" s="18">
        <f>D21/1000</f>
        <v>5</v>
      </c>
      <c r="D21" s="46">
        <f>D19</f>
        <v>5000</v>
      </c>
      <c r="E21" s="16">
        <v>10</v>
      </c>
      <c r="F21" s="16">
        <f>G19</f>
        <v>1400</v>
      </c>
      <c r="G21" s="16">
        <v>1200</v>
      </c>
      <c r="H21" s="43">
        <f>J21/2.54</f>
        <v>78.740157480314963</v>
      </c>
      <c r="I21" s="14">
        <f>J21/100</f>
        <v>2</v>
      </c>
      <c r="J21" s="19">
        <f>F21-G21</f>
        <v>200</v>
      </c>
      <c r="K21" s="17">
        <f>980*J21</f>
        <v>196000</v>
      </c>
      <c r="L21" s="17">
        <f>D21*K21</f>
        <v>980000000</v>
      </c>
      <c r="M21" s="44">
        <f>L21/10000000</f>
        <v>98</v>
      </c>
      <c r="N21" s="14">
        <f>K21/D21</f>
        <v>39.200000000000003</v>
      </c>
      <c r="O21" s="18">
        <f>1/N21</f>
        <v>2.551020408163265E-2</v>
      </c>
      <c r="P21" s="14">
        <f>2*(8*E4*E21/3.1416/N21)^0.25</f>
        <v>0.55149395348998187</v>
      </c>
      <c r="Q21" s="18">
        <f>P21/2.54</f>
        <v>0.21712360373621334</v>
      </c>
      <c r="S21" s="18"/>
      <c r="T21" s="13"/>
      <c r="U21" s="17"/>
      <c r="V21" s="17"/>
      <c r="W21" s="17"/>
    </row>
    <row r="23" spans="1:23">
      <c r="A23" s="16" t="s">
        <v>87</v>
      </c>
      <c r="K23" s="17"/>
    </row>
    <row r="24" spans="1:23">
      <c r="A24" s="16" t="s">
        <v>158</v>
      </c>
      <c r="K24" s="17"/>
      <c r="N24" s="16" t="s">
        <v>159</v>
      </c>
      <c r="R24" s="16" t="s">
        <v>160</v>
      </c>
    </row>
    <row r="25" spans="1:23">
      <c r="A25" s="16" t="s">
        <v>161</v>
      </c>
      <c r="K25" s="17"/>
      <c r="N25" s="21">
        <f>R25*13.5</f>
        <v>110.69999999999999</v>
      </c>
      <c r="O25" s="16" t="s">
        <v>36</v>
      </c>
      <c r="R25" s="16">
        <v>8.1999999999999993</v>
      </c>
      <c r="S25" s="16" t="s">
        <v>97</v>
      </c>
    </row>
    <row r="26" spans="1:23">
      <c r="H26" s="16" t="s">
        <v>162</v>
      </c>
      <c r="K26" s="17"/>
      <c r="N26" s="16">
        <v>243</v>
      </c>
      <c r="O26" s="16" t="s">
        <v>163</v>
      </c>
    </row>
    <row r="27" spans="1:23">
      <c r="B27" s="24" t="s">
        <v>111</v>
      </c>
      <c r="C27" s="24" t="s">
        <v>164</v>
      </c>
      <c r="D27" s="24" t="s">
        <v>165</v>
      </c>
      <c r="E27" s="24" t="s">
        <v>88</v>
      </c>
      <c r="F27" s="24" t="s">
        <v>166</v>
      </c>
      <c r="G27" s="24" t="s">
        <v>89</v>
      </c>
      <c r="H27" s="24" t="s">
        <v>167</v>
      </c>
      <c r="I27" s="131" t="s">
        <v>168</v>
      </c>
      <c r="J27" s="131"/>
      <c r="N27" s="19">
        <f>N26/R25</f>
        <v>29.634146341463417</v>
      </c>
      <c r="O27" s="16" t="s">
        <v>169</v>
      </c>
    </row>
    <row r="28" spans="1:23">
      <c r="B28" s="24" t="s">
        <v>10</v>
      </c>
      <c r="C28" s="24" t="s">
        <v>10</v>
      </c>
      <c r="D28" s="24" t="s">
        <v>10</v>
      </c>
      <c r="E28" s="24" t="s">
        <v>10</v>
      </c>
      <c r="F28" s="24" t="s">
        <v>10</v>
      </c>
      <c r="G28" s="24" t="s">
        <v>3</v>
      </c>
      <c r="H28" s="24" t="s">
        <v>90</v>
      </c>
      <c r="I28" s="24" t="s">
        <v>37</v>
      </c>
      <c r="J28" s="24" t="s">
        <v>36</v>
      </c>
    </row>
    <row r="29" spans="1:23">
      <c r="A29" s="20" t="s">
        <v>132</v>
      </c>
      <c r="N29" s="16" t="s">
        <v>170</v>
      </c>
    </row>
    <row r="30" spans="1:23">
      <c r="A30" s="20" t="s">
        <v>121</v>
      </c>
      <c r="B30" s="16">
        <v>1900</v>
      </c>
      <c r="N30" s="21">
        <f>R30*13.5</f>
        <v>432</v>
      </c>
      <c r="O30" s="16" t="s">
        <v>36</v>
      </c>
      <c r="R30" s="16">
        <v>32</v>
      </c>
      <c r="S30" s="16" t="s">
        <v>97</v>
      </c>
    </row>
    <row r="31" spans="1:23">
      <c r="A31" s="20" t="s">
        <v>122</v>
      </c>
      <c r="B31" s="16">
        <v>1750</v>
      </c>
      <c r="I31" s="16">
        <v>1.95</v>
      </c>
      <c r="J31" s="19">
        <f>I31/4.186</f>
        <v>0.46583850931677018</v>
      </c>
      <c r="N31" s="16">
        <v>243</v>
      </c>
      <c r="O31" s="16" t="s">
        <v>91</v>
      </c>
    </row>
    <row r="32" spans="1:23">
      <c r="A32" s="20" t="s">
        <v>95</v>
      </c>
      <c r="B32" s="16">
        <v>1500</v>
      </c>
      <c r="C32" s="16">
        <v>1200</v>
      </c>
      <c r="D32" s="16">
        <f>B32-C32</f>
        <v>300</v>
      </c>
      <c r="E32" s="16">
        <v>9</v>
      </c>
      <c r="F32" s="16">
        <f>E32</f>
        <v>9</v>
      </c>
      <c r="G32" s="16">
        <f>D32*E32*F32</f>
        <v>24300</v>
      </c>
      <c r="H32" s="16">
        <f>G32/D21</f>
        <v>4.8600000000000003</v>
      </c>
      <c r="I32" s="21">
        <f>4.186*J32</f>
        <v>464.64600000000002</v>
      </c>
      <c r="J32" s="21">
        <v>111</v>
      </c>
      <c r="K32" s="16" t="s">
        <v>171</v>
      </c>
      <c r="N32" s="19">
        <f>N31/8</f>
        <v>30.375</v>
      </c>
      <c r="O32" s="16" t="s">
        <v>172</v>
      </c>
    </row>
    <row r="33" spans="1:33">
      <c r="A33" s="20" t="s">
        <v>96</v>
      </c>
      <c r="B33" s="16">
        <v>1500</v>
      </c>
      <c r="C33" s="16">
        <v>1200</v>
      </c>
      <c r="D33" s="16">
        <f>B33-C33</f>
        <v>300</v>
      </c>
      <c r="E33" s="16">
        <v>51</v>
      </c>
      <c r="F33" s="21">
        <f>E33</f>
        <v>51</v>
      </c>
      <c r="G33" s="21">
        <f>D33*E33*F33</f>
        <v>780300</v>
      </c>
      <c r="N33" s="16" t="s">
        <v>173</v>
      </c>
      <c r="P33" s="16" t="s">
        <v>174</v>
      </c>
    </row>
    <row r="34" spans="1:33">
      <c r="G34" s="16">
        <v>777600</v>
      </c>
      <c r="N34" s="16">
        <v>130</v>
      </c>
      <c r="O34" s="16" t="s">
        <v>175</v>
      </c>
    </row>
    <row r="35" spans="1:33">
      <c r="E35" s="14">
        <f>E32/2.54</f>
        <v>3.5433070866141732</v>
      </c>
      <c r="N35" s="16">
        <v>130</v>
      </c>
      <c r="O35" s="16" t="s">
        <v>176</v>
      </c>
    </row>
    <row r="36" spans="1:33">
      <c r="E36" s="14">
        <f>E33/2.54</f>
        <v>20.078740157480315</v>
      </c>
      <c r="N36" s="16">
        <f>N35*15/1000</f>
        <v>1.95</v>
      </c>
      <c r="O36" s="16" t="s">
        <v>177</v>
      </c>
      <c r="P36" s="16" t="s">
        <v>178</v>
      </c>
      <c r="AG36" s="18"/>
    </row>
    <row r="37" spans="1:33">
      <c r="AG37" s="18"/>
    </row>
    <row r="38" spans="1:33">
      <c r="N38" s="16" t="s">
        <v>179</v>
      </c>
    </row>
    <row r="42" spans="1:33">
      <c r="R42" s="18"/>
      <c r="W42" s="34"/>
    </row>
    <row r="43" spans="1:33">
      <c r="A43" s="17"/>
      <c r="B43" s="17"/>
      <c r="C43" s="17"/>
      <c r="D43" s="18"/>
      <c r="H43" s="17"/>
      <c r="J43" s="18"/>
      <c r="K43" s="13"/>
      <c r="L43" s="17"/>
      <c r="M43" s="17"/>
      <c r="N43" s="17"/>
      <c r="O43" s="19"/>
      <c r="P43" s="47"/>
      <c r="Q43" s="21"/>
      <c r="R43" s="18"/>
      <c r="S43" s="18"/>
      <c r="W43" s="23"/>
    </row>
    <row r="44" spans="1:33">
      <c r="A44" s="17"/>
      <c r="J44" s="18"/>
      <c r="K44" s="13"/>
      <c r="N44" s="17"/>
      <c r="O44" s="19"/>
      <c r="P44" s="48"/>
      <c r="R44" s="18"/>
      <c r="W44" s="15"/>
    </row>
    <row r="45" spans="1:33">
      <c r="A45" s="17"/>
      <c r="B45" s="17"/>
      <c r="C45" s="17"/>
      <c r="D45" s="18"/>
      <c r="H45" s="17"/>
      <c r="J45" s="18"/>
      <c r="K45" s="13"/>
      <c r="L45" s="17"/>
      <c r="M45" s="17"/>
      <c r="N45" s="17"/>
      <c r="O45" s="19"/>
      <c r="P45" s="47"/>
      <c r="Q45" s="21"/>
      <c r="R45" s="18"/>
      <c r="S45" s="18"/>
      <c r="U45" s="18"/>
      <c r="W45" s="15"/>
    </row>
    <row r="46" spans="1:33">
      <c r="O46" s="17"/>
      <c r="R46" s="18"/>
      <c r="W46" s="15"/>
    </row>
    <row r="47" spans="1:33">
      <c r="A47" s="17"/>
      <c r="B47" s="17"/>
      <c r="C47" s="17"/>
      <c r="D47" s="18"/>
      <c r="H47" s="17"/>
      <c r="J47" s="18"/>
      <c r="K47" s="13"/>
      <c r="L47" s="17"/>
      <c r="M47" s="17"/>
      <c r="N47" s="17"/>
      <c r="O47" s="19"/>
      <c r="P47" s="47"/>
      <c r="Q47" s="21"/>
      <c r="R47" s="18"/>
      <c r="S47" s="18"/>
      <c r="W47" s="15"/>
    </row>
    <row r="48" spans="1:33">
      <c r="A48" s="17"/>
      <c r="J48" s="18"/>
      <c r="K48" s="13"/>
      <c r="N48" s="17"/>
      <c r="O48" s="19"/>
      <c r="P48" s="48"/>
      <c r="R48" s="18"/>
      <c r="W48" s="15"/>
    </row>
    <row r="49" spans="1:22">
      <c r="A49" s="17"/>
      <c r="B49" s="17"/>
      <c r="C49" s="17"/>
      <c r="D49" s="18"/>
      <c r="H49" s="17"/>
      <c r="J49" s="18"/>
      <c r="K49" s="13"/>
      <c r="L49" s="17"/>
      <c r="M49" s="17"/>
      <c r="N49" s="17"/>
      <c r="O49" s="19"/>
      <c r="P49" s="47"/>
      <c r="Q49" s="21"/>
      <c r="R49" s="18"/>
      <c r="S49" s="18"/>
      <c r="U49" s="18"/>
    </row>
    <row r="50" spans="1:22">
      <c r="R50" s="18"/>
    </row>
    <row r="51" spans="1:22">
      <c r="A51" s="17"/>
      <c r="B51" s="17"/>
      <c r="C51" s="17"/>
      <c r="D51" s="18"/>
      <c r="H51" s="17"/>
      <c r="J51" s="18"/>
      <c r="K51" s="13"/>
      <c r="L51" s="17"/>
      <c r="M51" s="17"/>
      <c r="N51" s="17"/>
      <c r="O51" s="19"/>
      <c r="P51" s="47"/>
      <c r="Q51" s="21"/>
      <c r="R51" s="18"/>
      <c r="S51" s="18"/>
      <c r="V51" s="16">
        <v>199.5</v>
      </c>
    </row>
    <row r="52" spans="1:22">
      <c r="A52" s="17"/>
      <c r="J52" s="18"/>
      <c r="K52" s="13"/>
      <c r="N52" s="17"/>
      <c r="O52" s="19"/>
      <c r="P52" s="48"/>
      <c r="R52" s="18"/>
    </row>
    <row r="53" spans="1:22">
      <c r="A53" s="17"/>
      <c r="B53" s="17"/>
      <c r="C53" s="17"/>
      <c r="D53" s="18"/>
      <c r="H53" s="17"/>
      <c r="J53" s="18"/>
      <c r="K53" s="13"/>
      <c r="L53" s="17"/>
      <c r="M53" s="17"/>
      <c r="N53" s="17"/>
      <c r="O53" s="19"/>
      <c r="P53" s="47"/>
      <c r="Q53" s="21"/>
      <c r="R53" s="18"/>
      <c r="S53" s="18"/>
      <c r="T53" s="16">
        <v>32.299999999999997</v>
      </c>
      <c r="U53" s="18" t="e">
        <f>T53/(T53+#REF!)</f>
        <v>#REF!</v>
      </c>
    </row>
    <row r="54" spans="1:22">
      <c r="R54" s="18"/>
    </row>
    <row r="55" spans="1:22">
      <c r="A55" s="17"/>
      <c r="B55" s="17"/>
      <c r="C55" s="17"/>
      <c r="D55" s="18"/>
      <c r="H55" s="17"/>
      <c r="J55" s="18"/>
      <c r="K55" s="13"/>
      <c r="L55" s="17"/>
      <c r="M55" s="17"/>
      <c r="N55" s="17"/>
      <c r="O55" s="19"/>
      <c r="P55" s="47"/>
      <c r="Q55" s="21"/>
      <c r="R55" s="18"/>
      <c r="S55" s="18"/>
      <c r="V55" s="16">
        <v>201.1</v>
      </c>
    </row>
    <row r="56" spans="1:22">
      <c r="A56" s="17"/>
      <c r="J56" s="18"/>
      <c r="K56" s="13"/>
      <c r="N56" s="17"/>
      <c r="O56" s="19"/>
      <c r="P56" s="48"/>
      <c r="R56" s="18"/>
    </row>
    <row r="57" spans="1:22">
      <c r="A57" s="17"/>
      <c r="B57" s="17"/>
      <c r="C57" s="17"/>
      <c r="D57" s="18"/>
      <c r="H57" s="17"/>
      <c r="J57" s="18"/>
      <c r="K57" s="13"/>
      <c r="L57" s="17"/>
      <c r="M57" s="17"/>
      <c r="N57" s="17"/>
      <c r="O57" s="19"/>
      <c r="P57" s="47"/>
      <c r="Q57" s="21"/>
      <c r="R57" s="18"/>
      <c r="S57" s="18"/>
      <c r="T57" s="16">
        <v>28</v>
      </c>
      <c r="U57" s="18" t="e">
        <f>T57/(T57+#REF!)</f>
        <v>#REF!</v>
      </c>
    </row>
  </sheetData>
  <mergeCells count="13">
    <mergeCell ref="AJ8:AK8"/>
    <mergeCell ref="A15:B15"/>
    <mergeCell ref="K2:M2"/>
    <mergeCell ref="T4:W4"/>
    <mergeCell ref="H5:J5"/>
    <mergeCell ref="K7:M7"/>
    <mergeCell ref="S8:V8"/>
    <mergeCell ref="I27:J27"/>
    <mergeCell ref="T9:V9"/>
    <mergeCell ref="F13:G13"/>
    <mergeCell ref="L13:M13"/>
    <mergeCell ref="C14:D14"/>
    <mergeCell ref="H14:J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2380-8AD0-4924-92FE-A6CE57EE7AF1}">
  <dimension ref="A1:H29"/>
  <sheetViews>
    <sheetView workbookViewId="0">
      <selection activeCell="G31" sqref="G31"/>
    </sheetView>
  </sheetViews>
  <sheetFormatPr defaultRowHeight="16"/>
  <cols>
    <col min="1" max="1" width="21.26953125" style="16" customWidth="1"/>
    <col min="2" max="2" width="8.7265625" style="16"/>
    <col min="3" max="3" width="11.90625" style="16" customWidth="1"/>
    <col min="4" max="4" width="24.6796875" style="16" customWidth="1"/>
    <col min="5" max="16384" width="8.7265625" style="16"/>
  </cols>
  <sheetData>
    <row r="1" spans="1:8" ht="18.5">
      <c r="B1" s="95" t="s">
        <v>377</v>
      </c>
      <c r="C1" s="95"/>
      <c r="D1" s="95"/>
      <c r="E1" s="95"/>
    </row>
    <row r="2" spans="1:8">
      <c r="C2" s="87"/>
      <c r="D2" s="87"/>
    </row>
    <row r="3" spans="1:8" ht="21.5">
      <c r="A3" s="85" t="s">
        <v>358</v>
      </c>
      <c r="B3" s="60" t="s">
        <v>357</v>
      </c>
      <c r="C3" s="60"/>
      <c r="D3" s="60"/>
    </row>
    <row r="4" spans="1:8" ht="18.5">
      <c r="A4" s="16" t="s">
        <v>371</v>
      </c>
      <c r="B4" s="105" t="s">
        <v>288</v>
      </c>
      <c r="C4" s="94">
        <v>30</v>
      </c>
      <c r="D4" s="94" t="s">
        <v>90</v>
      </c>
    </row>
    <row r="5" spans="1:8" ht="21">
      <c r="B5" s="104" t="s">
        <v>352</v>
      </c>
      <c r="C5" s="91">
        <f>1/C4*60</f>
        <v>2</v>
      </c>
      <c r="D5" s="94" t="s">
        <v>353</v>
      </c>
    </row>
    <row r="6" spans="1:8" ht="21.5">
      <c r="B6" s="104" t="s">
        <v>354</v>
      </c>
      <c r="C6" s="91">
        <f>0.693/C5</f>
        <v>0.34649999999999997</v>
      </c>
      <c r="D6" s="94" t="s">
        <v>249</v>
      </c>
    </row>
    <row r="7" spans="1:8" ht="21.5">
      <c r="B7" s="104" t="s">
        <v>354</v>
      </c>
      <c r="C7" s="108">
        <f>C6*60</f>
        <v>20.79</v>
      </c>
      <c r="D7" s="94" t="s">
        <v>90</v>
      </c>
    </row>
    <row r="9" spans="1:8" ht="18.5">
      <c r="B9" s="95" t="s">
        <v>363</v>
      </c>
    </row>
    <row r="11" spans="1:8" ht="21">
      <c r="A11" s="16" t="s">
        <v>359</v>
      </c>
      <c r="C11" s="98">
        <v>0.13</v>
      </c>
      <c r="D11" s="94" t="s">
        <v>355</v>
      </c>
      <c r="E11" s="94" t="s">
        <v>361</v>
      </c>
      <c r="F11" s="94"/>
      <c r="G11" s="94"/>
      <c r="H11" s="94"/>
    </row>
    <row r="12" spans="1:8" ht="21">
      <c r="A12" s="16" t="s">
        <v>359</v>
      </c>
      <c r="C12" s="94">
        <v>11.22</v>
      </c>
      <c r="D12" s="94" t="s">
        <v>289</v>
      </c>
      <c r="E12" s="94" t="s">
        <v>372</v>
      </c>
      <c r="F12" s="94"/>
      <c r="G12" s="94"/>
      <c r="H12" s="94"/>
    </row>
    <row r="13" spans="1:8" ht="22.5">
      <c r="A13" s="20" t="s">
        <v>360</v>
      </c>
      <c r="C13" s="92">
        <v>4.3800000000000002E-8</v>
      </c>
      <c r="D13" s="94" t="s">
        <v>356</v>
      </c>
      <c r="E13" s="94" t="s">
        <v>382</v>
      </c>
      <c r="F13" s="94"/>
      <c r="G13" s="94"/>
      <c r="H13" s="94"/>
    </row>
    <row r="14" spans="1:8" ht="18.5">
      <c r="C14" s="92"/>
      <c r="D14" s="94"/>
      <c r="E14" s="94"/>
      <c r="F14" s="94"/>
      <c r="G14" s="94"/>
      <c r="H14" s="94"/>
    </row>
    <row r="15" spans="1:8" ht="18.5">
      <c r="B15" s="95" t="s">
        <v>367</v>
      </c>
    </row>
    <row r="16" spans="1:8" ht="18.5">
      <c r="B16" s="53" t="s">
        <v>362</v>
      </c>
    </row>
    <row r="17" spans="2:4" ht="18.5">
      <c r="B17" s="53" t="s">
        <v>366</v>
      </c>
    </row>
    <row r="20" spans="2:4" ht="21">
      <c r="C20" s="94">
        <f>C4*C11</f>
        <v>3.9000000000000004</v>
      </c>
      <c r="D20" s="94" t="s">
        <v>364</v>
      </c>
    </row>
    <row r="21" spans="2:4" ht="21">
      <c r="C21" s="109">
        <f>C4*C12</f>
        <v>336.6</v>
      </c>
      <c r="D21" s="94" t="s">
        <v>365</v>
      </c>
    </row>
    <row r="22" spans="2:4" ht="21">
      <c r="C22" s="92">
        <f>C4*C13</f>
        <v>1.314E-6</v>
      </c>
      <c r="D22" s="94" t="s">
        <v>369</v>
      </c>
    </row>
    <row r="23" spans="2:4" ht="22.5">
      <c r="B23" s="104" t="s">
        <v>368</v>
      </c>
      <c r="C23" s="94">
        <v>1.31</v>
      </c>
      <c r="D23" s="94" t="s">
        <v>370</v>
      </c>
    </row>
    <row r="25" spans="2:4" ht="21.5">
      <c r="B25" s="94" t="s">
        <v>376</v>
      </c>
      <c r="C25" s="94"/>
      <c r="D25" s="94"/>
    </row>
    <row r="26" spans="2:4" ht="18.5">
      <c r="B26" s="94"/>
      <c r="C26" s="16" t="s">
        <v>378</v>
      </c>
    </row>
    <row r="27" spans="2:4" ht="18.5">
      <c r="B27" s="94"/>
      <c r="C27" s="109">
        <f>78448*1.31</f>
        <v>102766.88</v>
      </c>
      <c r="D27" s="94" t="s">
        <v>373</v>
      </c>
    </row>
    <row r="28" spans="2:4" ht="18.5">
      <c r="B28" s="94"/>
      <c r="C28" s="108">
        <f>C27/1000</f>
        <v>102.76688</v>
      </c>
      <c r="D28" s="94" t="s">
        <v>374</v>
      </c>
    </row>
    <row r="29" spans="2:4" ht="21">
      <c r="C29" s="98">
        <f>C28/1000</f>
        <v>0.10276688</v>
      </c>
      <c r="D29" s="94" t="s">
        <v>375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22FA5-1BC4-4741-90E5-7EB8B320D5AE}">
  <dimension ref="A2:Q22"/>
  <sheetViews>
    <sheetView workbookViewId="0">
      <selection activeCell="P15" sqref="P15"/>
    </sheetView>
  </sheetViews>
  <sheetFormatPr defaultRowHeight="16"/>
  <cols>
    <col min="1" max="1" width="12.6796875" style="16" customWidth="1"/>
    <col min="2" max="2" width="8.7265625" style="16"/>
    <col min="3" max="3" width="9.81640625" style="16" customWidth="1"/>
    <col min="4" max="4" width="8.7265625" style="16"/>
    <col min="5" max="5" width="11.31640625" style="16" customWidth="1"/>
    <col min="6" max="6" width="8.7265625" style="16"/>
    <col min="7" max="7" width="16.36328125" style="16" customWidth="1"/>
    <col min="8" max="13" width="8.7265625" style="16"/>
    <col min="14" max="14" width="13.6328125" style="16" customWidth="1"/>
    <col min="15" max="16384" width="8.7265625" style="16"/>
  </cols>
  <sheetData>
    <row r="2" spans="2:17" ht="18.5">
      <c r="B2" s="142" t="s">
        <v>270</v>
      </c>
      <c r="C2" s="142"/>
      <c r="D2" s="142"/>
      <c r="E2" s="142"/>
      <c r="F2" s="142"/>
      <c r="G2" s="142"/>
      <c r="I2" s="142" t="s">
        <v>269</v>
      </c>
      <c r="J2" s="142"/>
      <c r="K2" s="142"/>
      <c r="L2" s="142"/>
      <c r="M2" s="142"/>
      <c r="N2" s="142"/>
    </row>
    <row r="3" spans="2:17" ht="16" customHeight="1">
      <c r="C3" s="141" t="s">
        <v>271</v>
      </c>
      <c r="D3" s="131"/>
      <c r="E3" s="131" t="s">
        <v>267</v>
      </c>
      <c r="F3" s="131"/>
      <c r="J3" s="141" t="s">
        <v>266</v>
      </c>
      <c r="K3" s="131"/>
      <c r="L3" s="131" t="s">
        <v>267</v>
      </c>
      <c r="M3" s="131"/>
      <c r="N3" s="29" t="s">
        <v>268</v>
      </c>
    </row>
    <row r="4" spans="2:17" ht="16" customHeight="1">
      <c r="C4" s="68" t="s">
        <v>264</v>
      </c>
      <c r="D4" s="31" t="s">
        <v>265</v>
      </c>
      <c r="E4" s="68" t="s">
        <v>264</v>
      </c>
      <c r="F4" s="31" t="s">
        <v>265</v>
      </c>
      <c r="G4" s="29" t="s">
        <v>272</v>
      </c>
      <c r="J4" s="68" t="s">
        <v>264</v>
      </c>
      <c r="K4" s="31" t="s">
        <v>265</v>
      </c>
      <c r="L4" s="68" t="s">
        <v>264</v>
      </c>
      <c r="M4" s="31" t="s">
        <v>265</v>
      </c>
    </row>
    <row r="5" spans="2:17" ht="16" customHeight="1">
      <c r="B5" s="16" t="s">
        <v>187</v>
      </c>
      <c r="C5" s="16">
        <v>467</v>
      </c>
      <c r="D5" s="16">
        <v>345</v>
      </c>
      <c r="E5" s="14">
        <f>1/C5*1000</f>
        <v>2.1413276231263385</v>
      </c>
      <c r="F5" s="14">
        <f>1/D5*1000</f>
        <v>2.8985507246376812</v>
      </c>
      <c r="G5" s="14">
        <f>F5/F$6</f>
        <v>5.4608695652173918</v>
      </c>
      <c r="I5" s="16" t="s">
        <v>187</v>
      </c>
      <c r="J5" s="16">
        <v>467</v>
      </c>
      <c r="K5" s="16">
        <v>345</v>
      </c>
      <c r="L5" s="14">
        <f>1/J5*1000</f>
        <v>2.1413276231263385</v>
      </c>
      <c r="M5" s="14">
        <f>1/K5*1000</f>
        <v>2.8985507246376812</v>
      </c>
      <c r="N5" s="14">
        <f>M5/M$6</f>
        <v>3.4956521739130433</v>
      </c>
      <c r="P5" s="16" t="s">
        <v>279</v>
      </c>
    </row>
    <row r="6" spans="2:17" ht="16" customHeight="1">
      <c r="B6" s="16" t="s">
        <v>243</v>
      </c>
      <c r="C6" s="16">
        <f>2896+1106</f>
        <v>4002</v>
      </c>
      <c r="D6" s="16">
        <f>1206+678</f>
        <v>1884</v>
      </c>
      <c r="E6" s="14">
        <f t="shared" ref="E6:E8" si="0">1/C6*1000</f>
        <v>0.24987506246876562</v>
      </c>
      <c r="F6" s="14">
        <f t="shared" ref="F6:F8" si="1">1/D6*1000</f>
        <v>0.53078556263269638</v>
      </c>
      <c r="G6" s="14">
        <f t="shared" ref="G6" si="2">F6/F$6</f>
        <v>1</v>
      </c>
      <c r="I6" s="16" t="s">
        <v>64</v>
      </c>
      <c r="J6" s="16">
        <f>1211+1685</f>
        <v>2896</v>
      </c>
      <c r="K6" s="16">
        <f>495+711</f>
        <v>1206</v>
      </c>
      <c r="L6" s="14">
        <f t="shared" ref="L6:L8" si="3">1/J6*1000</f>
        <v>0.34530386740331492</v>
      </c>
      <c r="M6" s="14">
        <f t="shared" ref="M6:M8" si="4">1/K6*1000</f>
        <v>0.82918739635157546</v>
      </c>
      <c r="N6" s="14">
        <f t="shared" ref="N6:N7" si="5">M6/M$6</f>
        <v>1</v>
      </c>
      <c r="P6" s="16" t="s">
        <v>280</v>
      </c>
    </row>
    <row r="7" spans="2:17" ht="16" customHeight="1">
      <c r="E7" s="14"/>
      <c r="F7" s="14"/>
      <c r="G7" s="14"/>
      <c r="I7" s="16" t="s">
        <v>262</v>
      </c>
      <c r="J7" s="16">
        <v>1106</v>
      </c>
      <c r="K7" s="16">
        <v>678</v>
      </c>
      <c r="L7" s="14">
        <f t="shared" si="3"/>
        <v>0.90415913200723319</v>
      </c>
      <c r="M7" s="14">
        <f t="shared" si="4"/>
        <v>1.4749262536873156</v>
      </c>
      <c r="N7" s="14">
        <f t="shared" si="5"/>
        <v>1.7787610619469025</v>
      </c>
      <c r="P7" s="16" t="s">
        <v>281</v>
      </c>
    </row>
    <row r="8" spans="2:17">
      <c r="B8" s="16" t="s">
        <v>263</v>
      </c>
      <c r="C8" s="16">
        <f>SUM(C5:C7)</f>
        <v>4469</v>
      </c>
      <c r="D8" s="16">
        <f>SUM(D5:D7)</f>
        <v>2229</v>
      </c>
      <c r="E8" s="14">
        <f t="shared" si="0"/>
        <v>0.22376370552696351</v>
      </c>
      <c r="F8" s="14">
        <f t="shared" si="1"/>
        <v>0.44863167339614174</v>
      </c>
      <c r="G8" s="14"/>
      <c r="I8" s="16" t="s">
        <v>263</v>
      </c>
      <c r="J8" s="16">
        <f>SUM(J5:J7)</f>
        <v>4469</v>
      </c>
      <c r="K8" s="16">
        <f>SUM(K5:K7)</f>
        <v>2229</v>
      </c>
      <c r="L8" s="14">
        <f t="shared" si="3"/>
        <v>0.22376370552696351</v>
      </c>
      <c r="M8" s="14">
        <f t="shared" si="4"/>
        <v>0.44863167339614174</v>
      </c>
      <c r="N8" s="14"/>
    </row>
    <row r="10" spans="2:17">
      <c r="I10" s="16" t="s">
        <v>282</v>
      </c>
      <c r="M10" s="16" t="s">
        <v>283</v>
      </c>
      <c r="O10" s="16" t="s">
        <v>284</v>
      </c>
    </row>
    <row r="11" spans="2:17">
      <c r="I11" s="16" t="s">
        <v>285</v>
      </c>
      <c r="M11" s="14">
        <f>10*2.5*M8</f>
        <v>11.215791834903543</v>
      </c>
      <c r="O11" s="16" t="s">
        <v>286</v>
      </c>
    </row>
    <row r="12" spans="2:17">
      <c r="C12" s="16" t="s">
        <v>273</v>
      </c>
      <c r="I12" s="16" t="s">
        <v>302</v>
      </c>
      <c r="O12" s="16" t="s">
        <v>287</v>
      </c>
    </row>
    <row r="13" spans="2:17">
      <c r="B13" s="20" t="s">
        <v>274</v>
      </c>
      <c r="C13" s="14" t="e">
        <f>A3/A4</f>
        <v>#DIV/0!</v>
      </c>
      <c r="I13" s="16" t="s">
        <v>303</v>
      </c>
      <c r="O13" s="20" t="s">
        <v>288</v>
      </c>
      <c r="P13" s="16">
        <v>30</v>
      </c>
      <c r="Q13" s="16" t="s">
        <v>90</v>
      </c>
    </row>
    <row r="14" spans="2:17">
      <c r="I14" s="16" t="s">
        <v>292</v>
      </c>
      <c r="O14" s="20" t="s">
        <v>200</v>
      </c>
      <c r="P14" s="14">
        <f>M11</f>
        <v>11.215791834903543</v>
      </c>
      <c r="Q14" s="16" t="s">
        <v>289</v>
      </c>
    </row>
    <row r="15" spans="2:17">
      <c r="B15" s="80" t="s">
        <v>276</v>
      </c>
      <c r="C15" s="80" t="s">
        <v>277</v>
      </c>
      <c r="O15" s="20" t="s">
        <v>290</v>
      </c>
      <c r="P15" s="19">
        <f>P13*P14</f>
        <v>336.47375504710629</v>
      </c>
      <c r="Q15" s="16" t="s">
        <v>291</v>
      </c>
    </row>
    <row r="16" spans="2:17">
      <c r="B16" s="71" t="s">
        <v>200</v>
      </c>
      <c r="C16" s="71" t="s">
        <v>200</v>
      </c>
      <c r="F16" s="71" t="s">
        <v>200</v>
      </c>
    </row>
    <row r="17" spans="1:7">
      <c r="A17" s="42" t="s">
        <v>187</v>
      </c>
      <c r="B17" s="25">
        <v>7.0000000000000005E-8</v>
      </c>
      <c r="C17" s="25">
        <v>2.8500000000000002E-7</v>
      </c>
      <c r="E17" s="42" t="s">
        <v>187</v>
      </c>
      <c r="F17" s="25">
        <v>1.1999999999999999E-7</v>
      </c>
      <c r="G17" s="25">
        <v>2.8500000000000002E-7</v>
      </c>
    </row>
    <row r="18" spans="1:7">
      <c r="A18" s="42" t="s">
        <v>243</v>
      </c>
      <c r="B18" s="25">
        <v>1.1999999999999999E-7</v>
      </c>
      <c r="C18" s="25">
        <v>5.1800000000000001E-8</v>
      </c>
      <c r="E18" s="42" t="s">
        <v>243</v>
      </c>
      <c r="F18" s="25">
        <v>7.0000000000000005E-8</v>
      </c>
      <c r="G18" s="25">
        <v>5.1800000000000001E-8</v>
      </c>
    </row>
    <row r="19" spans="1:7">
      <c r="A19" s="42" t="s">
        <v>275</v>
      </c>
      <c r="B19" s="78">
        <v>4.4210526315789473E-8</v>
      </c>
      <c r="C19" s="78">
        <v>4.383313539192399E-8</v>
      </c>
      <c r="E19" s="42" t="s">
        <v>275</v>
      </c>
      <c r="F19" s="78">
        <f>1/(1/F17+1/F18)</f>
        <v>4.4210526315789473E-8</v>
      </c>
      <c r="G19" s="78">
        <f>1/(1/G17+1/G18)</f>
        <v>4.383313539192399E-8</v>
      </c>
    </row>
    <row r="20" spans="1:7">
      <c r="A20" s="42" t="s">
        <v>274</v>
      </c>
      <c r="B20" s="26">
        <v>1.714285714285714</v>
      </c>
      <c r="C20" s="26">
        <v>5.5019305019305023</v>
      </c>
      <c r="E20" s="42" t="s">
        <v>274</v>
      </c>
      <c r="F20" s="26">
        <f>F17/F18</f>
        <v>1.714285714285714</v>
      </c>
      <c r="G20" s="26">
        <f>G17/G18</f>
        <v>5.5019305019305023</v>
      </c>
    </row>
    <row r="22" spans="1:7">
      <c r="A22" s="12" t="s">
        <v>278</v>
      </c>
    </row>
  </sheetData>
  <mergeCells count="6">
    <mergeCell ref="J3:K3"/>
    <mergeCell ref="L3:M3"/>
    <mergeCell ref="I2:N2"/>
    <mergeCell ref="B2:G2"/>
    <mergeCell ref="C3:D3"/>
    <mergeCell ref="E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6TankModel_Hts &amp; Po</vt:lpstr>
      <vt:lpstr>Muscle ATP &amp; ATPase rate eqns </vt:lpstr>
      <vt:lpstr>Rasmusssen-Saltin in vivo data</vt:lpstr>
      <vt:lpstr>Jeneson nmr in vivo data</vt:lpstr>
      <vt:lpstr>Glancy isolated mito data</vt:lpstr>
      <vt:lpstr>Tank Hts to kcal &amp; mV</vt:lpstr>
      <vt:lpstr>Static Head Values</vt:lpstr>
      <vt:lpstr>Summary in vivo conduct &amp; cap</vt:lpstr>
      <vt:lpstr>Glancy Conductances vs Model</vt:lpstr>
      <vt:lpstr>constants&amp;conversion_factors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</dc:creator>
  <cp:lastModifiedBy>Wayne Willis</cp:lastModifiedBy>
  <dcterms:created xsi:type="dcterms:W3CDTF">2014-09-16T20:20:52Z</dcterms:created>
  <dcterms:modified xsi:type="dcterms:W3CDTF">2022-07-16T04:04:18Z</dcterms:modified>
</cp:coreProperties>
</file>